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Заходи" sheetId="1" r:id="rId1"/>
    <sheet name="Результативні" sheetId="5" r:id="rId2"/>
  </sheets>
  <definedNames>
    <definedName name="_xlnm.Print_Area" localSheetId="0">Заходи!$A$1:$O$479</definedName>
    <definedName name="_xlnm.Print_Area" localSheetId="1">Результативні!$A$1:$G$599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1" i="1" l="1"/>
  <c r="N396" i="1"/>
  <c r="N392" i="1"/>
  <c r="N384" i="1"/>
  <c r="O368" i="1"/>
  <c r="N368" i="1"/>
  <c r="N316" i="1" l="1"/>
  <c r="G91" i="5"/>
  <c r="F91" i="5"/>
  <c r="N76" i="1"/>
  <c r="N68" i="1"/>
  <c r="E6" i="5" l="1"/>
  <c r="G586" i="5"/>
  <c r="G588" i="5" s="1"/>
  <c r="F586" i="5"/>
  <c r="E586" i="5"/>
  <c r="E585" i="5" s="1"/>
  <c r="E583" i="5" s="1"/>
  <c r="F585" i="5"/>
  <c r="F583" i="5" s="1"/>
  <c r="G585" i="5"/>
  <c r="G583" i="5" s="1"/>
  <c r="O13" i="1"/>
  <c r="N13" i="1"/>
  <c r="O12" i="1"/>
  <c r="N12" i="1"/>
  <c r="L13" i="1"/>
  <c r="K13" i="1"/>
  <c r="L12" i="1"/>
  <c r="K12" i="1"/>
  <c r="L11" i="1"/>
  <c r="K11" i="1"/>
  <c r="H12" i="1"/>
  <c r="H13" i="1"/>
  <c r="I12" i="1"/>
  <c r="I13" i="1"/>
  <c r="I11" i="1"/>
  <c r="H11" i="1"/>
  <c r="M474" i="1"/>
  <c r="J474" i="1"/>
  <c r="G474" i="1"/>
  <c r="M473" i="1"/>
  <c r="J473" i="1"/>
  <c r="G473" i="1"/>
  <c r="O472" i="1"/>
  <c r="O471" i="1" s="1"/>
  <c r="N471" i="1"/>
  <c r="M472" i="1"/>
  <c r="M471" i="1" s="1"/>
  <c r="L472" i="1"/>
  <c r="K472" i="1"/>
  <c r="K471" i="1" s="1"/>
  <c r="J472" i="1"/>
  <c r="J471" i="1" s="1"/>
  <c r="G472" i="1"/>
  <c r="G471" i="1" s="1"/>
  <c r="L471" i="1"/>
  <c r="I471" i="1"/>
  <c r="H471" i="1"/>
  <c r="N212" i="1" l="1"/>
  <c r="O360" i="1" l="1"/>
  <c r="O396" i="1"/>
  <c r="O452" i="1" l="1"/>
  <c r="K316" i="1" l="1"/>
  <c r="N132" i="1"/>
  <c r="K88" i="1"/>
  <c r="K80" i="1" l="1"/>
  <c r="K28" i="1"/>
  <c r="N188" i="1" l="1"/>
  <c r="N80" i="1" l="1"/>
  <c r="N232" i="1"/>
  <c r="N124" i="1" l="1"/>
  <c r="O428" i="1" l="1"/>
  <c r="O256" i="1"/>
  <c r="O427" i="1" l="1"/>
  <c r="G521" i="5"/>
  <c r="G207" i="5"/>
  <c r="N142" i="1"/>
  <c r="F521" i="5" l="1"/>
  <c r="O416" i="1"/>
  <c r="N312" i="1" l="1"/>
  <c r="M417" i="1"/>
  <c r="M421" i="1"/>
  <c r="O429" i="1"/>
  <c r="G579" i="5"/>
  <c r="G581" i="5" s="1"/>
  <c r="O433" i="1"/>
  <c r="N24" i="1" l="1"/>
  <c r="N244" i="1" l="1"/>
  <c r="M124" i="1"/>
  <c r="K392" i="1" l="1"/>
  <c r="G254" i="5" l="1"/>
  <c r="N216" i="1"/>
  <c r="K224" i="1"/>
  <c r="K220" i="1"/>
  <c r="K156" i="1" l="1"/>
  <c r="K332" i="1" l="1"/>
  <c r="F9" i="5"/>
  <c r="F66" i="5"/>
  <c r="O52" i="1" l="1"/>
  <c r="E419" i="5"/>
  <c r="E417" i="5"/>
  <c r="E418" i="5"/>
  <c r="E401" i="5"/>
  <c r="E402" i="5"/>
  <c r="E403" i="5"/>
  <c r="E404" i="5"/>
  <c r="E384" i="5"/>
  <c r="E385" i="5"/>
  <c r="F401" i="5"/>
  <c r="F402" i="5"/>
  <c r="F403" i="5"/>
  <c r="F404" i="5"/>
  <c r="F405" i="5"/>
  <c r="F400" i="5"/>
  <c r="F376" i="5"/>
  <c r="F387" i="5"/>
  <c r="F83" i="5" l="1"/>
  <c r="E83" i="5"/>
  <c r="E299" i="5" l="1"/>
  <c r="E301" i="5" s="1"/>
  <c r="E295" i="5"/>
  <c r="E294" i="5" l="1"/>
  <c r="E521" i="5" l="1"/>
  <c r="E523" i="5" s="1"/>
  <c r="F523" i="5"/>
  <c r="F572" i="5" l="1"/>
  <c r="F574" i="5" s="1"/>
  <c r="G572" i="5"/>
  <c r="G571" i="5" s="1"/>
  <c r="G569" i="5" s="1"/>
  <c r="E572" i="5"/>
  <c r="E571" i="5" s="1"/>
  <c r="E569" i="5" s="1"/>
  <c r="F571" i="5" l="1"/>
  <c r="F569" i="5" s="1"/>
  <c r="E407" i="5"/>
  <c r="E376" i="5"/>
  <c r="E387" i="5"/>
  <c r="F579" i="5"/>
  <c r="F581" i="5" s="1"/>
  <c r="G578" i="5"/>
  <c r="E579" i="5"/>
  <c r="F565" i="5"/>
  <c r="F567" i="5" s="1"/>
  <c r="G565" i="5"/>
  <c r="G564" i="5" s="1"/>
  <c r="G562" i="5" s="1"/>
  <c r="E565" i="5"/>
  <c r="E564" i="5" s="1"/>
  <c r="F578" i="5" l="1"/>
  <c r="F576" i="5" s="1"/>
  <c r="F564" i="5"/>
  <c r="F562" i="5" s="1"/>
  <c r="E578" i="5"/>
  <c r="E576" i="5" s="1"/>
  <c r="G576" i="5"/>
  <c r="E562" i="5"/>
  <c r="G558" i="5"/>
  <c r="F558" i="5"/>
  <c r="F560" i="5" s="1"/>
  <c r="E558" i="5"/>
  <c r="G554" i="5"/>
  <c r="G556" i="5" s="1"/>
  <c r="F554" i="5"/>
  <c r="F556" i="5" s="1"/>
  <c r="E554" i="5"/>
  <c r="G547" i="5"/>
  <c r="G546" i="5" s="1"/>
  <c r="F547" i="5"/>
  <c r="F546" i="5" s="1"/>
  <c r="E547" i="5"/>
  <c r="F540" i="5"/>
  <c r="E540" i="5"/>
  <c r="G536" i="5"/>
  <c r="F536" i="5"/>
  <c r="E536" i="5"/>
  <c r="G529" i="5"/>
  <c r="G531" i="5" s="1"/>
  <c r="F529" i="5"/>
  <c r="F531" i="5" s="1"/>
  <c r="E529" i="5"/>
  <c r="G525" i="5"/>
  <c r="F525" i="5"/>
  <c r="E525" i="5"/>
  <c r="E527" i="5" s="1"/>
  <c r="G523" i="5"/>
  <c r="F513" i="5"/>
  <c r="F516" i="5" s="1"/>
  <c r="E513" i="5"/>
  <c r="E516" i="5" s="1"/>
  <c r="G506" i="5"/>
  <c r="G508" i="5" s="1"/>
  <c r="F506" i="5"/>
  <c r="F505" i="5" s="1"/>
  <c r="F503" i="5" s="1"/>
  <c r="E506" i="5"/>
  <c r="F499" i="5"/>
  <c r="E499" i="5"/>
  <c r="G491" i="5"/>
  <c r="G494" i="5" s="1"/>
  <c r="F491" i="5"/>
  <c r="F494" i="5" s="1"/>
  <c r="E491" i="5"/>
  <c r="E494" i="5" s="1"/>
  <c r="G486" i="5"/>
  <c r="F486" i="5"/>
  <c r="F489" i="5" s="1"/>
  <c r="E486" i="5"/>
  <c r="E489" i="5" s="1"/>
  <c r="G481" i="5"/>
  <c r="G484" i="5" s="1"/>
  <c r="F481" i="5"/>
  <c r="F484" i="5" s="1"/>
  <c r="E481" i="5"/>
  <c r="E484" i="5" s="1"/>
  <c r="F474" i="5"/>
  <c r="F476" i="5" s="1"/>
  <c r="E474" i="5"/>
  <c r="G447" i="5"/>
  <c r="G449" i="5" s="1"/>
  <c r="F447" i="5"/>
  <c r="E447" i="5"/>
  <c r="E449" i="5" s="1"/>
  <c r="F443" i="5"/>
  <c r="E443" i="5"/>
  <c r="E467" i="5"/>
  <c r="E469" i="5" s="1"/>
  <c r="G463" i="5"/>
  <c r="G465" i="5" s="1"/>
  <c r="F463" i="5"/>
  <c r="E463" i="5"/>
  <c r="E465" i="5" s="1"/>
  <c r="G455" i="5"/>
  <c r="G457" i="5" s="1"/>
  <c r="F455" i="5"/>
  <c r="E455" i="5"/>
  <c r="G451" i="5"/>
  <c r="G453" i="5" s="1"/>
  <c r="F451" i="5"/>
  <c r="F453" i="5" s="1"/>
  <c r="E451" i="5"/>
  <c r="E453" i="5" s="1"/>
  <c r="G439" i="5"/>
  <c r="F439" i="5"/>
  <c r="E439" i="5"/>
  <c r="E441" i="5" s="1"/>
  <c r="F459" i="5"/>
  <c r="F461" i="5" s="1"/>
  <c r="E459" i="5"/>
  <c r="E461" i="5" s="1"/>
  <c r="G377" i="5"/>
  <c r="G376" i="5" s="1"/>
  <c r="G432" i="5"/>
  <c r="G434" i="5" s="1"/>
  <c r="F432" i="5"/>
  <c r="E432" i="5"/>
  <c r="E434" i="5" s="1"/>
  <c r="G428" i="5"/>
  <c r="F428" i="5"/>
  <c r="E428" i="5"/>
  <c r="F527" i="5" l="1"/>
  <c r="F520" i="5"/>
  <c r="F518" i="5" s="1"/>
  <c r="G520" i="5"/>
  <c r="G518" i="5" s="1"/>
  <c r="E498" i="5"/>
  <c r="E496" i="5" s="1"/>
  <c r="E501" i="5"/>
  <c r="F508" i="5"/>
  <c r="F498" i="5"/>
  <c r="F496" i="5" s="1"/>
  <c r="F501" i="5"/>
  <c r="E505" i="5"/>
  <c r="E503" i="5" s="1"/>
  <c r="E508" i="5"/>
  <c r="E512" i="5"/>
  <c r="E510" i="5" s="1"/>
  <c r="F512" i="5"/>
  <c r="F510" i="5" s="1"/>
  <c r="E546" i="5"/>
  <c r="E544" i="5" s="1"/>
  <c r="E549" i="5"/>
  <c r="G527" i="5"/>
  <c r="E553" i="5"/>
  <c r="E551" i="5" s="1"/>
  <c r="F473" i="5"/>
  <c r="E476" i="5"/>
  <c r="E473" i="5"/>
  <c r="F535" i="5"/>
  <c r="F533" i="5" s="1"/>
  <c r="G553" i="5"/>
  <c r="G551" i="5" s="1"/>
  <c r="G544" i="5" s="1"/>
  <c r="G480" i="5"/>
  <c r="G478" i="5" s="1"/>
  <c r="F553" i="5"/>
  <c r="F551" i="5" s="1"/>
  <c r="E535" i="5"/>
  <c r="E533" i="5" s="1"/>
  <c r="E480" i="5"/>
  <c r="E478" i="5" s="1"/>
  <c r="G489" i="5"/>
  <c r="F480" i="5"/>
  <c r="F478" i="5" s="1"/>
  <c r="E520" i="5"/>
  <c r="E518" i="5" s="1"/>
  <c r="F544" i="5"/>
  <c r="G505" i="5"/>
  <c r="G503" i="5" s="1"/>
  <c r="G441" i="5"/>
  <c r="F441" i="5"/>
  <c r="E438" i="5"/>
  <c r="E436" i="5" s="1"/>
  <c r="E427" i="5"/>
  <c r="E425" i="5" s="1"/>
  <c r="F427" i="5"/>
  <c r="F425" i="5" s="1"/>
  <c r="E430" i="5"/>
  <c r="G427" i="5"/>
  <c r="G425" i="5" s="1"/>
  <c r="G430" i="5"/>
  <c r="F430" i="5"/>
  <c r="G421" i="5"/>
  <c r="F421" i="5"/>
  <c r="F423" i="5" s="1"/>
  <c r="E421" i="5"/>
  <c r="E423" i="5" s="1"/>
  <c r="G408" i="5"/>
  <c r="F416" i="5"/>
  <c r="E416" i="5"/>
  <c r="G388" i="5"/>
  <c r="G387" i="5" s="1"/>
  <c r="E400" i="5"/>
  <c r="E405" i="5" s="1"/>
  <c r="E383" i="5"/>
  <c r="G370" i="5"/>
  <c r="F370" i="5"/>
  <c r="F372" i="5" s="1"/>
  <c r="E370" i="5"/>
  <c r="G366" i="5"/>
  <c r="F366" i="5"/>
  <c r="F368" i="5" s="1"/>
  <c r="E366" i="5"/>
  <c r="E362" i="5"/>
  <c r="E364" i="5" s="1"/>
  <c r="F358" i="5"/>
  <c r="F360" i="5" s="1"/>
  <c r="E358" i="5"/>
  <c r="E360" i="5" s="1"/>
  <c r="G354" i="5"/>
  <c r="G356" i="5" s="1"/>
  <c r="F354" i="5"/>
  <c r="F356" i="5" s="1"/>
  <c r="E354" i="5"/>
  <c r="E356" i="5" s="1"/>
  <c r="G350" i="5"/>
  <c r="F350" i="5"/>
  <c r="E350" i="5"/>
  <c r="G346" i="5"/>
  <c r="F346" i="5"/>
  <c r="E346" i="5"/>
  <c r="G342" i="5"/>
  <c r="G344" i="5" s="1"/>
  <c r="F342" i="5"/>
  <c r="F344" i="5" s="1"/>
  <c r="E342" i="5"/>
  <c r="E344" i="5" s="1"/>
  <c r="G338" i="5"/>
  <c r="G340" i="5" s="1"/>
  <c r="F338" i="5"/>
  <c r="F340" i="5" s="1"/>
  <c r="E338" i="5"/>
  <c r="E340" i="5" s="1"/>
  <c r="G334" i="5"/>
  <c r="G336" i="5" s="1"/>
  <c r="F334" i="5"/>
  <c r="F336" i="5" s="1"/>
  <c r="E334" i="5"/>
  <c r="G330" i="5"/>
  <c r="G332" i="5" s="1"/>
  <c r="F330" i="5"/>
  <c r="F332" i="5" s="1"/>
  <c r="E330" i="5"/>
  <c r="E332" i="5" s="1"/>
  <c r="G326" i="5"/>
  <c r="G328" i="5" s="1"/>
  <c r="F326" i="5"/>
  <c r="F328" i="5" s="1"/>
  <c r="E326" i="5"/>
  <c r="E328" i="5" s="1"/>
  <c r="G318" i="5"/>
  <c r="G320" i="5" s="1"/>
  <c r="F318" i="5"/>
  <c r="F320" i="5" s="1"/>
  <c r="E318" i="5"/>
  <c r="E317" i="5" s="1"/>
  <c r="E315" i="5" s="1"/>
  <c r="E310" i="5"/>
  <c r="G310" i="5"/>
  <c r="F310" i="5"/>
  <c r="G168" i="5"/>
  <c r="G170" i="5" s="1"/>
  <c r="F168" i="5"/>
  <c r="F170" i="5" s="1"/>
  <c r="E168" i="5"/>
  <c r="O86" i="1"/>
  <c r="N86" i="1"/>
  <c r="O85" i="1"/>
  <c r="N85" i="1"/>
  <c r="O84" i="1"/>
  <c r="N84" i="1"/>
  <c r="L86" i="1"/>
  <c r="K86" i="1"/>
  <c r="L85" i="1"/>
  <c r="K85" i="1"/>
  <c r="L84" i="1"/>
  <c r="K84" i="1"/>
  <c r="H85" i="1"/>
  <c r="I85" i="1"/>
  <c r="H86" i="1"/>
  <c r="I86" i="1"/>
  <c r="I84" i="1"/>
  <c r="H84" i="1"/>
  <c r="M130" i="1"/>
  <c r="J130" i="1"/>
  <c r="G130" i="1"/>
  <c r="M129" i="1"/>
  <c r="J129" i="1"/>
  <c r="G129" i="1"/>
  <c r="M128" i="1"/>
  <c r="K128" i="1"/>
  <c r="K127" i="1" s="1"/>
  <c r="J128" i="1"/>
  <c r="G128" i="1"/>
  <c r="G127" i="1" s="1"/>
  <c r="O127" i="1"/>
  <c r="N127" i="1"/>
  <c r="M127" i="1"/>
  <c r="L127" i="1"/>
  <c r="I127" i="1"/>
  <c r="H127" i="1"/>
  <c r="E471" i="5" l="1"/>
  <c r="E375" i="5"/>
  <c r="E374" i="5" s="1"/>
  <c r="E10" i="5" s="1"/>
  <c r="F375" i="5"/>
  <c r="F374" i="5" s="1"/>
  <c r="F10" i="5" s="1"/>
  <c r="F471" i="5"/>
  <c r="G375" i="5"/>
  <c r="G374" i="5" s="1"/>
  <c r="G10" i="5" s="1"/>
  <c r="E325" i="5"/>
  <c r="F317" i="5"/>
  <c r="F315" i="5" s="1"/>
  <c r="G321" i="5"/>
  <c r="E320" i="5"/>
  <c r="F321" i="5" s="1"/>
  <c r="G317" i="5"/>
  <c r="G315" i="5" s="1"/>
  <c r="J127" i="1"/>
  <c r="E324" i="5" l="1"/>
  <c r="F140" i="5"/>
  <c r="G140" i="5"/>
  <c r="E140" i="5"/>
  <c r="F130" i="5"/>
  <c r="G130" i="5"/>
  <c r="E130" i="5"/>
  <c r="F118" i="5"/>
  <c r="G118" i="5"/>
  <c r="E118" i="5"/>
  <c r="F52" i="5"/>
  <c r="G52" i="5"/>
  <c r="E52" i="5"/>
  <c r="F39" i="5"/>
  <c r="G39" i="5"/>
  <c r="E34" i="5"/>
  <c r="E39" i="5" s="1"/>
  <c r="E26" i="5"/>
  <c r="G163" i="5" l="1"/>
  <c r="F163" i="5"/>
  <c r="E163" i="5"/>
  <c r="G123" i="5"/>
  <c r="F123" i="5"/>
  <c r="E123" i="5"/>
  <c r="G106" i="5"/>
  <c r="F106" i="5"/>
  <c r="E106" i="5"/>
  <c r="G74" i="5"/>
  <c r="F74" i="5"/>
  <c r="E74" i="5"/>
  <c r="G61" i="5"/>
  <c r="F61" i="5"/>
  <c r="E61" i="5"/>
  <c r="G31" i="5"/>
  <c r="F31" i="5"/>
  <c r="E31" i="5"/>
  <c r="G26" i="5"/>
  <c r="F26" i="5"/>
  <c r="L278" i="1" l="1"/>
  <c r="J301" i="1"/>
  <c r="J302" i="1"/>
  <c r="L299" i="1"/>
  <c r="K396" i="1" l="1"/>
  <c r="L464" i="1" l="1"/>
  <c r="K464" i="1"/>
  <c r="K424" i="1"/>
  <c r="K412" i="1"/>
  <c r="K408" i="1"/>
  <c r="K268" i="1"/>
  <c r="L260" i="1"/>
  <c r="L440" i="1" l="1"/>
  <c r="L436" i="1"/>
  <c r="L432" i="1"/>
  <c r="L433" i="1" l="1"/>
  <c r="L434" i="1"/>
  <c r="L352" i="1"/>
  <c r="K244" i="1"/>
  <c r="K132" i="1"/>
  <c r="L416" i="1" l="1"/>
  <c r="L320" i="1"/>
  <c r="L276" i="1" s="1"/>
  <c r="K312" i="1"/>
  <c r="K308" i="1"/>
  <c r="K300" i="1" l="1"/>
  <c r="J300" i="1" s="1"/>
  <c r="K296" i="1"/>
  <c r="K292" i="1"/>
  <c r="N284" i="1"/>
  <c r="K284" i="1"/>
  <c r="O344" i="1"/>
  <c r="L344" i="1"/>
  <c r="O340" i="1"/>
  <c r="L340" i="1"/>
  <c r="N336" i="1"/>
  <c r="N332" i="1"/>
  <c r="K240" i="1" l="1"/>
  <c r="K236" i="1"/>
  <c r="K232" i="1"/>
  <c r="K216" i="1"/>
  <c r="K208" i="1"/>
  <c r="K388" i="1"/>
  <c r="K380" i="1"/>
  <c r="K372" i="1"/>
  <c r="K368" i="1"/>
  <c r="K404" i="1"/>
  <c r="L136" i="1" l="1"/>
  <c r="K120" i="1"/>
  <c r="K114" i="1"/>
  <c r="K112" i="1"/>
  <c r="K108" i="1"/>
  <c r="K104" i="1"/>
  <c r="K100" i="1"/>
  <c r="K96" i="1"/>
  <c r="L48" i="1"/>
  <c r="L36" i="1"/>
  <c r="L60" i="1"/>
  <c r="L56" i="1"/>
  <c r="K52" i="1"/>
  <c r="L52" i="1"/>
  <c r="K48" i="1"/>
  <c r="K40" i="1"/>
  <c r="K36" i="1"/>
  <c r="K32" i="1"/>
  <c r="K24" i="1"/>
  <c r="L20" i="1"/>
  <c r="L252" i="1"/>
  <c r="L16" i="1" l="1"/>
  <c r="K248" i="1"/>
  <c r="K76" i="1"/>
  <c r="L76" i="1"/>
  <c r="K170" i="1"/>
  <c r="K168" i="1"/>
  <c r="K160" i="1"/>
  <c r="K152" i="1"/>
  <c r="K148" i="1"/>
  <c r="K144" i="1"/>
  <c r="K196" i="1"/>
  <c r="K192" i="1"/>
  <c r="K184" i="1"/>
  <c r="K180" i="1"/>
  <c r="K176" i="1"/>
  <c r="L264" i="1"/>
  <c r="N304" i="1" l="1"/>
  <c r="N308" i="1"/>
  <c r="N296" i="1"/>
  <c r="N292" i="1"/>
  <c r="N288" i="1"/>
  <c r="N280" i="1"/>
  <c r="O278" i="1"/>
  <c r="M278" i="1" s="1"/>
  <c r="G352" i="5" s="1"/>
  <c r="N278" i="1"/>
  <c r="O277" i="1"/>
  <c r="N277" i="1"/>
  <c r="O276" i="1"/>
  <c r="K278" i="1"/>
  <c r="J278" i="1" s="1"/>
  <c r="F352" i="5" s="1"/>
  <c r="L277" i="1"/>
  <c r="K277" i="1"/>
  <c r="K276" i="1"/>
  <c r="I278" i="1"/>
  <c r="H278" i="1"/>
  <c r="H277" i="1"/>
  <c r="I277" i="1"/>
  <c r="I276" i="1"/>
  <c r="H276" i="1"/>
  <c r="O464" i="1"/>
  <c r="N464" i="1"/>
  <c r="N408" i="1"/>
  <c r="N424" i="1"/>
  <c r="N364" i="1"/>
  <c r="O420" i="1"/>
  <c r="N420" i="1"/>
  <c r="O440" i="1"/>
  <c r="O436" i="1"/>
  <c r="O136" i="1"/>
  <c r="O252" i="1"/>
  <c r="N248" i="1"/>
  <c r="N236" i="1"/>
  <c r="N224" i="1"/>
  <c r="N196" i="1"/>
  <c r="N92" i="1"/>
  <c r="N96" i="1"/>
  <c r="N120" i="1"/>
  <c r="N116" i="1"/>
  <c r="N88" i="1"/>
  <c r="N180" i="1"/>
  <c r="N48" i="1"/>
  <c r="N40" i="1"/>
  <c r="N36" i="1"/>
  <c r="M70" i="1"/>
  <c r="J70" i="1"/>
  <c r="G70" i="1"/>
  <c r="M69" i="1"/>
  <c r="J69" i="1"/>
  <c r="G69" i="1"/>
  <c r="M68" i="1"/>
  <c r="J68" i="1"/>
  <c r="G68" i="1"/>
  <c r="O67" i="1"/>
  <c r="N67" i="1"/>
  <c r="L67" i="1"/>
  <c r="K67" i="1"/>
  <c r="I67" i="1"/>
  <c r="H67" i="1"/>
  <c r="J277" i="1" l="1"/>
  <c r="O275" i="1"/>
  <c r="M277" i="1"/>
  <c r="L275" i="1"/>
  <c r="J276" i="1"/>
  <c r="N276" i="1"/>
  <c r="M276" i="1" s="1"/>
  <c r="K275" i="1"/>
  <c r="M67" i="1"/>
  <c r="G84" i="5" s="1"/>
  <c r="G86" i="5" s="1"/>
  <c r="J67" i="1"/>
  <c r="F84" i="5" s="1"/>
  <c r="G67" i="1"/>
  <c r="E84" i="5" s="1"/>
  <c r="N28" i="1"/>
  <c r="N16" i="1" s="1"/>
  <c r="M275" i="1" l="1"/>
  <c r="J275" i="1"/>
  <c r="N275" i="1"/>
  <c r="O460" i="1"/>
  <c r="O459" i="1" s="1"/>
  <c r="N460" i="1"/>
  <c r="N459" i="1" s="1"/>
  <c r="K460" i="1"/>
  <c r="K459" i="1" s="1"/>
  <c r="L468" i="1"/>
  <c r="J468" i="1" s="1"/>
  <c r="M470" i="1"/>
  <c r="J470" i="1"/>
  <c r="G470" i="1"/>
  <c r="M469" i="1"/>
  <c r="J469" i="1"/>
  <c r="G469" i="1"/>
  <c r="M468" i="1"/>
  <c r="G468" i="1"/>
  <c r="O467" i="1"/>
  <c r="N467" i="1"/>
  <c r="K467" i="1"/>
  <c r="I467" i="1"/>
  <c r="H467" i="1"/>
  <c r="M466" i="1"/>
  <c r="J466" i="1"/>
  <c r="G466" i="1"/>
  <c r="M465" i="1"/>
  <c r="J465" i="1"/>
  <c r="G465" i="1"/>
  <c r="M464" i="1"/>
  <c r="J464" i="1"/>
  <c r="G464" i="1"/>
  <c r="O463" i="1"/>
  <c r="N463" i="1"/>
  <c r="K463" i="1"/>
  <c r="I463" i="1"/>
  <c r="H463" i="1"/>
  <c r="M450" i="1"/>
  <c r="M449" i="1"/>
  <c r="O448" i="1"/>
  <c r="O447" i="1" s="1"/>
  <c r="N447" i="1"/>
  <c r="M454" i="1"/>
  <c r="M453" i="1"/>
  <c r="M452" i="1"/>
  <c r="N451" i="1"/>
  <c r="G463" i="1" l="1"/>
  <c r="L467" i="1"/>
  <c r="J463" i="1"/>
  <c r="M467" i="1"/>
  <c r="L460" i="1"/>
  <c r="L459" i="1" s="1"/>
  <c r="M448" i="1"/>
  <c r="M447" i="1" s="1"/>
  <c r="O451" i="1"/>
  <c r="M463" i="1"/>
  <c r="G467" i="1"/>
  <c r="M451" i="1"/>
  <c r="G540" i="5" s="1"/>
  <c r="G535" i="5" s="1"/>
  <c r="G533" i="5" s="1"/>
  <c r="J467" i="1"/>
  <c r="M460" i="1"/>
  <c r="L463" i="1"/>
  <c r="M458" i="1" l="1"/>
  <c r="M457" i="1"/>
  <c r="M456" i="1"/>
  <c r="O455" i="1"/>
  <c r="N455" i="1"/>
  <c r="M462" i="1"/>
  <c r="M461" i="1"/>
  <c r="J462" i="1"/>
  <c r="G462" i="1"/>
  <c r="J461" i="1"/>
  <c r="G461" i="1"/>
  <c r="J460" i="1"/>
  <c r="G460" i="1"/>
  <c r="H459" i="1"/>
  <c r="M459" i="1" l="1"/>
  <c r="M455" i="1"/>
  <c r="J459" i="1"/>
  <c r="G459" i="1"/>
  <c r="I459" i="1"/>
  <c r="J458" i="1" l="1"/>
  <c r="G458" i="1"/>
  <c r="K455" i="1"/>
  <c r="G457" i="1"/>
  <c r="J456" i="1"/>
  <c r="I455" i="1"/>
  <c r="L452" i="1"/>
  <c r="J452" i="1" s="1"/>
  <c r="I452" i="1"/>
  <c r="G452" i="1" s="1"/>
  <c r="O446" i="1"/>
  <c r="N446" i="1"/>
  <c r="O445" i="1"/>
  <c r="N445" i="1"/>
  <c r="O444" i="1"/>
  <c r="O9" i="1" s="1"/>
  <c r="N444" i="1"/>
  <c r="L446" i="1"/>
  <c r="K446" i="1"/>
  <c r="J446" i="1" s="1"/>
  <c r="L445" i="1"/>
  <c r="K445" i="1"/>
  <c r="K444" i="1"/>
  <c r="L448" i="1"/>
  <c r="L444" i="1" s="1"/>
  <c r="H446" i="1"/>
  <c r="H445" i="1"/>
  <c r="H444" i="1"/>
  <c r="I445" i="1"/>
  <c r="I446" i="1"/>
  <c r="I448" i="1"/>
  <c r="G448" i="1" s="1"/>
  <c r="J454" i="1"/>
  <c r="G454" i="1"/>
  <c r="J453" i="1"/>
  <c r="G453" i="1"/>
  <c r="K451" i="1"/>
  <c r="H451" i="1"/>
  <c r="J450" i="1"/>
  <c r="G450" i="1"/>
  <c r="J449" i="1"/>
  <c r="G449" i="1"/>
  <c r="K447" i="1"/>
  <c r="H447" i="1"/>
  <c r="O430" i="1"/>
  <c r="N430" i="1"/>
  <c r="N429" i="1"/>
  <c r="N428" i="1"/>
  <c r="L430" i="1"/>
  <c r="K430" i="1"/>
  <c r="L429" i="1"/>
  <c r="K429" i="1"/>
  <c r="L428" i="1"/>
  <c r="K428" i="1"/>
  <c r="H429" i="1"/>
  <c r="I429" i="1"/>
  <c r="H430" i="1"/>
  <c r="I430" i="1"/>
  <c r="I428" i="1"/>
  <c r="H428" i="1"/>
  <c r="G445" i="1" l="1"/>
  <c r="M446" i="1"/>
  <c r="M445" i="1"/>
  <c r="G446" i="1"/>
  <c r="L443" i="1"/>
  <c r="J451" i="1"/>
  <c r="I451" i="1"/>
  <c r="I444" i="1"/>
  <c r="G444" i="1" s="1"/>
  <c r="J445" i="1"/>
  <c r="M444" i="1"/>
  <c r="J457" i="1"/>
  <c r="J455" i="1" s="1"/>
  <c r="G456" i="1"/>
  <c r="L455" i="1"/>
  <c r="H455" i="1"/>
  <c r="L451" i="1"/>
  <c r="G447" i="1"/>
  <c r="J444" i="1"/>
  <c r="N443" i="1"/>
  <c r="G451" i="1"/>
  <c r="L447" i="1"/>
  <c r="J448" i="1"/>
  <c r="I447" i="1"/>
  <c r="H443" i="1"/>
  <c r="O443" i="1"/>
  <c r="K443" i="1"/>
  <c r="M438" i="1"/>
  <c r="J438" i="1"/>
  <c r="G438" i="1"/>
  <c r="M437" i="1"/>
  <c r="J437" i="1"/>
  <c r="G437" i="1"/>
  <c r="M436" i="1"/>
  <c r="J436" i="1"/>
  <c r="G436" i="1"/>
  <c r="O435" i="1"/>
  <c r="N435" i="1"/>
  <c r="L435" i="1"/>
  <c r="K435" i="1"/>
  <c r="I435" i="1"/>
  <c r="H435" i="1"/>
  <c r="M434" i="1"/>
  <c r="J434" i="1"/>
  <c r="G434" i="1"/>
  <c r="M433" i="1"/>
  <c r="J433" i="1"/>
  <c r="G433" i="1"/>
  <c r="M432" i="1"/>
  <c r="J432" i="1"/>
  <c r="G432" i="1"/>
  <c r="O431" i="1"/>
  <c r="N431" i="1"/>
  <c r="L431" i="1"/>
  <c r="K431" i="1"/>
  <c r="I431" i="1"/>
  <c r="H431" i="1"/>
  <c r="I426" i="1"/>
  <c r="I422" i="1" s="1"/>
  <c r="I418" i="1" s="1"/>
  <c r="H439" i="1"/>
  <c r="I439" i="1"/>
  <c r="K439" i="1"/>
  <c r="L439" i="1"/>
  <c r="N439" i="1"/>
  <c r="O439" i="1"/>
  <c r="G440" i="1"/>
  <c r="J440" i="1"/>
  <c r="M440" i="1"/>
  <c r="G441" i="1"/>
  <c r="J441" i="1"/>
  <c r="M441" i="1"/>
  <c r="G442" i="1"/>
  <c r="J442" i="1"/>
  <c r="M442" i="1"/>
  <c r="M428" i="1"/>
  <c r="J428" i="1"/>
  <c r="G428" i="1"/>
  <c r="M424" i="1"/>
  <c r="J424" i="1"/>
  <c r="G424" i="1"/>
  <c r="O402" i="1"/>
  <c r="N402" i="1"/>
  <c r="O401" i="1"/>
  <c r="N401" i="1"/>
  <c r="O400" i="1"/>
  <c r="N400" i="1"/>
  <c r="L402" i="1"/>
  <c r="K402" i="1"/>
  <c r="L401" i="1"/>
  <c r="K401" i="1"/>
  <c r="L400" i="1"/>
  <c r="K400" i="1"/>
  <c r="H401" i="1"/>
  <c r="I401" i="1"/>
  <c r="H402" i="1"/>
  <c r="I402" i="1"/>
  <c r="I400" i="1"/>
  <c r="H400" i="1"/>
  <c r="M420" i="1"/>
  <c r="J420" i="1"/>
  <c r="M416" i="1"/>
  <c r="G416" i="1"/>
  <c r="M431" i="1" l="1"/>
  <c r="M443" i="1"/>
  <c r="J443" i="1"/>
  <c r="G455" i="1"/>
  <c r="J447" i="1"/>
  <c r="J439" i="1"/>
  <c r="G443" i="1"/>
  <c r="I443" i="1"/>
  <c r="G431" i="1"/>
  <c r="M435" i="1"/>
  <c r="G439" i="1"/>
  <c r="G435" i="1"/>
  <c r="J435" i="1"/>
  <c r="M439" i="1"/>
  <c r="J431" i="1"/>
  <c r="K426" i="1"/>
  <c r="K422" i="1" s="1"/>
  <c r="K418" i="1" s="1"/>
  <c r="N425" i="1"/>
  <c r="N421" i="1" s="1"/>
  <c r="N417" i="1" s="1"/>
  <c r="K425" i="1"/>
  <c r="K421" i="1" s="1"/>
  <c r="H426" i="1"/>
  <c r="M430" i="1"/>
  <c r="O426" i="1"/>
  <c r="I427" i="1"/>
  <c r="G420" i="1"/>
  <c r="J416" i="1"/>
  <c r="O362" i="1"/>
  <c r="N362" i="1"/>
  <c r="O361" i="1"/>
  <c r="N361" i="1"/>
  <c r="N360" i="1"/>
  <c r="L362" i="1"/>
  <c r="K362" i="1"/>
  <c r="L361" i="1"/>
  <c r="K361" i="1"/>
  <c r="L360" i="1"/>
  <c r="K360" i="1"/>
  <c r="H361" i="1"/>
  <c r="I361" i="1"/>
  <c r="H362" i="1"/>
  <c r="I362" i="1"/>
  <c r="I360" i="1"/>
  <c r="H360" i="1"/>
  <c r="M402" i="1"/>
  <c r="L399" i="1"/>
  <c r="J402" i="1"/>
  <c r="G402" i="1"/>
  <c r="M401" i="1"/>
  <c r="J401" i="1"/>
  <c r="G401" i="1"/>
  <c r="M400" i="1"/>
  <c r="J400" i="1"/>
  <c r="I399" i="1"/>
  <c r="G400" i="1"/>
  <c r="O399" i="1"/>
  <c r="K399" i="1"/>
  <c r="M414" i="1"/>
  <c r="J414" i="1"/>
  <c r="G414" i="1"/>
  <c r="M413" i="1"/>
  <c r="J413" i="1"/>
  <c r="G413" i="1"/>
  <c r="M412" i="1"/>
  <c r="J412" i="1"/>
  <c r="G412" i="1"/>
  <c r="O411" i="1"/>
  <c r="N411" i="1"/>
  <c r="L411" i="1"/>
  <c r="K411" i="1"/>
  <c r="I411" i="1"/>
  <c r="H411" i="1"/>
  <c r="M410" i="1"/>
  <c r="J410" i="1"/>
  <c r="G410" i="1"/>
  <c r="M409" i="1"/>
  <c r="J409" i="1"/>
  <c r="G409" i="1"/>
  <c r="M408" i="1"/>
  <c r="J408" i="1"/>
  <c r="G408" i="1"/>
  <c r="O407" i="1"/>
  <c r="N407" i="1"/>
  <c r="L407" i="1"/>
  <c r="K407" i="1"/>
  <c r="I407" i="1"/>
  <c r="H407" i="1"/>
  <c r="M406" i="1"/>
  <c r="J406" i="1"/>
  <c r="G406" i="1"/>
  <c r="M405" i="1"/>
  <c r="J405" i="1"/>
  <c r="G405" i="1"/>
  <c r="M404" i="1"/>
  <c r="J404" i="1"/>
  <c r="G404" i="1"/>
  <c r="O403" i="1"/>
  <c r="N403" i="1"/>
  <c r="L403" i="1"/>
  <c r="K403" i="1"/>
  <c r="I403" i="1"/>
  <c r="H403" i="1"/>
  <c r="M394" i="1"/>
  <c r="J394" i="1"/>
  <c r="G394" i="1"/>
  <c r="M393" i="1"/>
  <c r="J393" i="1"/>
  <c r="G393" i="1"/>
  <c r="M392" i="1"/>
  <c r="J392" i="1"/>
  <c r="G392" i="1"/>
  <c r="O391" i="1"/>
  <c r="N391" i="1"/>
  <c r="L391" i="1"/>
  <c r="K391" i="1"/>
  <c r="I391" i="1"/>
  <c r="H391" i="1"/>
  <c r="M390" i="1"/>
  <c r="J390" i="1"/>
  <c r="G390" i="1"/>
  <c r="M389" i="1"/>
  <c r="J389" i="1"/>
  <c r="G389" i="1"/>
  <c r="M388" i="1"/>
  <c r="J388" i="1"/>
  <c r="G388" i="1"/>
  <c r="O387" i="1"/>
  <c r="N387" i="1"/>
  <c r="L387" i="1"/>
  <c r="K387" i="1"/>
  <c r="I387" i="1"/>
  <c r="H387" i="1"/>
  <c r="M386" i="1"/>
  <c r="J386" i="1"/>
  <c r="G386" i="1"/>
  <c r="M385" i="1"/>
  <c r="J385" i="1"/>
  <c r="G385" i="1"/>
  <c r="M384" i="1"/>
  <c r="J384" i="1"/>
  <c r="G384" i="1"/>
  <c r="O383" i="1"/>
  <c r="N383" i="1"/>
  <c r="L383" i="1"/>
  <c r="K383" i="1"/>
  <c r="I383" i="1"/>
  <c r="H383" i="1"/>
  <c r="O350" i="1"/>
  <c r="N350" i="1"/>
  <c r="O349" i="1"/>
  <c r="N349" i="1"/>
  <c r="O348" i="1"/>
  <c r="N348" i="1"/>
  <c r="L350" i="1"/>
  <c r="K350" i="1"/>
  <c r="L349" i="1"/>
  <c r="K349" i="1"/>
  <c r="L348" i="1"/>
  <c r="K348" i="1"/>
  <c r="H349" i="1"/>
  <c r="I349" i="1"/>
  <c r="H350" i="1"/>
  <c r="I350" i="1"/>
  <c r="I348" i="1"/>
  <c r="H348" i="1"/>
  <c r="J398" i="1"/>
  <c r="I395" i="1"/>
  <c r="G403" i="1" l="1"/>
  <c r="M391" i="1"/>
  <c r="G467" i="5" s="1"/>
  <c r="J387" i="1"/>
  <c r="J391" i="1"/>
  <c r="F467" i="5" s="1"/>
  <c r="M407" i="1"/>
  <c r="M411" i="1"/>
  <c r="M387" i="1"/>
  <c r="G391" i="1"/>
  <c r="M403" i="1"/>
  <c r="J403" i="1"/>
  <c r="G407" i="1"/>
  <c r="J407" i="1"/>
  <c r="J411" i="1"/>
  <c r="J399" i="1"/>
  <c r="J383" i="1"/>
  <c r="G387" i="1"/>
  <c r="M425" i="1"/>
  <c r="N427" i="1"/>
  <c r="N426" i="1"/>
  <c r="N422" i="1" s="1"/>
  <c r="N418" i="1" s="1"/>
  <c r="N415" i="1" s="1"/>
  <c r="I425" i="1"/>
  <c r="I421" i="1" s="1"/>
  <c r="I417" i="1" s="1"/>
  <c r="I415" i="1" s="1"/>
  <c r="H425" i="1"/>
  <c r="H421" i="1" s="1"/>
  <c r="H417" i="1" s="1"/>
  <c r="K423" i="1"/>
  <c r="M429" i="1"/>
  <c r="M427" i="1" s="1"/>
  <c r="K427" i="1"/>
  <c r="K417" i="1"/>
  <c r="K415" i="1" s="1"/>
  <c r="J421" i="1"/>
  <c r="J425" i="1"/>
  <c r="J429" i="1"/>
  <c r="G430" i="1"/>
  <c r="O423" i="1"/>
  <c r="O422" i="1"/>
  <c r="O418" i="1" s="1"/>
  <c r="O415" i="1" s="1"/>
  <c r="K419" i="1"/>
  <c r="H422" i="1"/>
  <c r="G426" i="1"/>
  <c r="G411" i="1"/>
  <c r="M399" i="1"/>
  <c r="G399" i="1"/>
  <c r="M383" i="1"/>
  <c r="G459" i="5" s="1"/>
  <c r="G461" i="5" s="1"/>
  <c r="G383" i="1"/>
  <c r="H399" i="1"/>
  <c r="N399" i="1"/>
  <c r="G397" i="1"/>
  <c r="L395" i="1"/>
  <c r="J397" i="1"/>
  <c r="G398" i="1"/>
  <c r="M396" i="1"/>
  <c r="M397" i="1"/>
  <c r="M398" i="1"/>
  <c r="K395" i="1"/>
  <c r="O395" i="1"/>
  <c r="J396" i="1"/>
  <c r="N395" i="1"/>
  <c r="M382" i="1"/>
  <c r="J382" i="1"/>
  <c r="G382" i="1"/>
  <c r="M381" i="1"/>
  <c r="J381" i="1"/>
  <c r="G381" i="1"/>
  <c r="M380" i="1"/>
  <c r="J380" i="1"/>
  <c r="G380" i="1"/>
  <c r="O379" i="1"/>
  <c r="N379" i="1"/>
  <c r="L379" i="1"/>
  <c r="K379" i="1"/>
  <c r="I379" i="1"/>
  <c r="H379" i="1"/>
  <c r="M378" i="1"/>
  <c r="J378" i="1"/>
  <c r="G378" i="1"/>
  <c r="M377" i="1"/>
  <c r="J377" i="1"/>
  <c r="G377" i="1"/>
  <c r="M376" i="1"/>
  <c r="J376" i="1"/>
  <c r="G376" i="1"/>
  <c r="O375" i="1"/>
  <c r="N375" i="1"/>
  <c r="L375" i="1"/>
  <c r="K375" i="1"/>
  <c r="I375" i="1"/>
  <c r="H375" i="1"/>
  <c r="M374" i="1"/>
  <c r="J374" i="1"/>
  <c r="G374" i="1"/>
  <c r="M373" i="1"/>
  <c r="J373" i="1"/>
  <c r="G373" i="1"/>
  <c r="M372" i="1"/>
  <c r="J372" i="1"/>
  <c r="G372" i="1"/>
  <c r="O371" i="1"/>
  <c r="N371" i="1"/>
  <c r="L371" i="1"/>
  <c r="K371" i="1"/>
  <c r="I371" i="1"/>
  <c r="H371" i="1"/>
  <c r="M370" i="1"/>
  <c r="J370" i="1"/>
  <c r="G370" i="1"/>
  <c r="M369" i="1"/>
  <c r="J369" i="1"/>
  <c r="G369" i="1"/>
  <c r="M368" i="1"/>
  <c r="J368" i="1"/>
  <c r="G368" i="1"/>
  <c r="O367" i="1"/>
  <c r="N367" i="1"/>
  <c r="L367" i="1"/>
  <c r="K367" i="1"/>
  <c r="I367" i="1"/>
  <c r="H367" i="1"/>
  <c r="M366" i="1"/>
  <c r="J366" i="1"/>
  <c r="G366" i="1"/>
  <c r="M365" i="1"/>
  <c r="J365" i="1"/>
  <c r="G365" i="1"/>
  <c r="M364" i="1"/>
  <c r="J364" i="1"/>
  <c r="G364" i="1"/>
  <c r="O363" i="1"/>
  <c r="N363" i="1"/>
  <c r="L363" i="1"/>
  <c r="K363" i="1"/>
  <c r="I363" i="1"/>
  <c r="H363" i="1"/>
  <c r="O330" i="1"/>
  <c r="O274" i="1" s="1"/>
  <c r="N330" i="1"/>
  <c r="N274" i="1" s="1"/>
  <c r="O329" i="1"/>
  <c r="O273" i="1" s="1"/>
  <c r="N329" i="1"/>
  <c r="N273" i="1" s="1"/>
  <c r="O328" i="1"/>
  <c r="O272" i="1" s="1"/>
  <c r="N328" i="1"/>
  <c r="N272" i="1" s="1"/>
  <c r="L330" i="1"/>
  <c r="L274" i="1" s="1"/>
  <c r="K330" i="1"/>
  <c r="K274" i="1" s="1"/>
  <c r="L329" i="1"/>
  <c r="L273" i="1" s="1"/>
  <c r="K329" i="1"/>
  <c r="K273" i="1" s="1"/>
  <c r="L328" i="1"/>
  <c r="K328" i="1"/>
  <c r="K272" i="1" s="1"/>
  <c r="H329" i="1"/>
  <c r="H273" i="1" s="1"/>
  <c r="I329" i="1"/>
  <c r="I273" i="1" s="1"/>
  <c r="H330" i="1"/>
  <c r="H274" i="1" s="1"/>
  <c r="I330" i="1"/>
  <c r="I274" i="1" s="1"/>
  <c r="I328" i="1"/>
  <c r="I272" i="1" s="1"/>
  <c r="H328" i="1"/>
  <c r="H272" i="1" s="1"/>
  <c r="M350" i="1"/>
  <c r="J350" i="1"/>
  <c r="G350" i="1"/>
  <c r="M349" i="1"/>
  <c r="J349" i="1"/>
  <c r="G349" i="1"/>
  <c r="M348" i="1"/>
  <c r="L347" i="1"/>
  <c r="J348" i="1"/>
  <c r="G348" i="1"/>
  <c r="O347" i="1"/>
  <c r="K347" i="1"/>
  <c r="M358" i="1"/>
  <c r="J358" i="1"/>
  <c r="G358" i="1"/>
  <c r="M357" i="1"/>
  <c r="J357" i="1"/>
  <c r="G357" i="1"/>
  <c r="M356" i="1"/>
  <c r="J356" i="1"/>
  <c r="G356" i="1"/>
  <c r="O355" i="1"/>
  <c r="N355" i="1"/>
  <c r="L355" i="1"/>
  <c r="K355" i="1"/>
  <c r="I355" i="1"/>
  <c r="H355" i="1"/>
  <c r="M354" i="1"/>
  <c r="J354" i="1"/>
  <c r="G354" i="1"/>
  <c r="M353" i="1"/>
  <c r="J353" i="1"/>
  <c r="G353" i="1"/>
  <c r="M352" i="1"/>
  <c r="J352" i="1"/>
  <c r="G352" i="1"/>
  <c r="O351" i="1"/>
  <c r="N351" i="1"/>
  <c r="L351" i="1"/>
  <c r="K351" i="1"/>
  <c r="I351" i="1"/>
  <c r="H351" i="1"/>
  <c r="M288" i="1"/>
  <c r="G469" i="5" l="1"/>
  <c r="F469" i="5"/>
  <c r="F438" i="5"/>
  <c r="F436" i="5" s="1"/>
  <c r="H271" i="1"/>
  <c r="J273" i="1"/>
  <c r="O271" i="1"/>
  <c r="J274" i="1"/>
  <c r="F348" i="5" s="1"/>
  <c r="L272" i="1"/>
  <c r="L271" i="1" s="1"/>
  <c r="M273" i="1"/>
  <c r="M274" i="1"/>
  <c r="M272" i="1"/>
  <c r="N271" i="1"/>
  <c r="J272" i="1"/>
  <c r="K271" i="1"/>
  <c r="I423" i="1"/>
  <c r="I419" i="1"/>
  <c r="M426" i="1"/>
  <c r="M423" i="1" s="1"/>
  <c r="G513" i="5" s="1"/>
  <c r="H423" i="1"/>
  <c r="N419" i="1"/>
  <c r="H427" i="1"/>
  <c r="G421" i="1"/>
  <c r="G429" i="1"/>
  <c r="G425" i="1"/>
  <c r="N423" i="1"/>
  <c r="G423" i="1"/>
  <c r="J417" i="1"/>
  <c r="J430" i="1"/>
  <c r="J427" i="1" s="1"/>
  <c r="L427" i="1"/>
  <c r="O419" i="1"/>
  <c r="G417" i="1"/>
  <c r="M422" i="1"/>
  <c r="M419" i="1" s="1"/>
  <c r="M418" i="1"/>
  <c r="M415" i="1" s="1"/>
  <c r="G499" i="5" s="1"/>
  <c r="H418" i="1"/>
  <c r="G422" i="1"/>
  <c r="H419" i="1"/>
  <c r="G367" i="1"/>
  <c r="M375" i="1"/>
  <c r="M395" i="1"/>
  <c r="G474" i="5" s="1"/>
  <c r="G476" i="5" s="1"/>
  <c r="M355" i="1"/>
  <c r="G361" i="1"/>
  <c r="M362" i="1"/>
  <c r="M351" i="1"/>
  <c r="I359" i="1"/>
  <c r="G362" i="1"/>
  <c r="M367" i="1"/>
  <c r="G443" i="5" s="1"/>
  <c r="G438" i="5" s="1"/>
  <c r="G436" i="5" s="1"/>
  <c r="G375" i="1"/>
  <c r="J360" i="1"/>
  <c r="J362" i="1"/>
  <c r="M379" i="1"/>
  <c r="J395" i="1"/>
  <c r="M371" i="1"/>
  <c r="G363" i="1"/>
  <c r="G371" i="1"/>
  <c r="G379" i="1"/>
  <c r="G347" i="1"/>
  <c r="L359" i="1"/>
  <c r="M361" i="1"/>
  <c r="J363" i="1"/>
  <c r="M363" i="1"/>
  <c r="J371" i="1"/>
  <c r="J379" i="1"/>
  <c r="G351" i="1"/>
  <c r="G360" i="1"/>
  <c r="G355" i="1"/>
  <c r="J355" i="1"/>
  <c r="O359" i="1"/>
  <c r="J361" i="1"/>
  <c r="J367" i="1"/>
  <c r="J375" i="1"/>
  <c r="J351" i="1"/>
  <c r="M347" i="1"/>
  <c r="N359" i="1"/>
  <c r="M360" i="1"/>
  <c r="K359" i="1"/>
  <c r="H359" i="1"/>
  <c r="J347" i="1"/>
  <c r="H347" i="1"/>
  <c r="I347" i="1"/>
  <c r="N347" i="1"/>
  <c r="O269" i="1"/>
  <c r="N269" i="1"/>
  <c r="K270" i="1"/>
  <c r="I269" i="1"/>
  <c r="M330" i="1"/>
  <c r="J330" i="1"/>
  <c r="G330" i="1"/>
  <c r="M329" i="1"/>
  <c r="J329" i="1"/>
  <c r="G329" i="1"/>
  <c r="M328" i="1"/>
  <c r="L327" i="1"/>
  <c r="J328" i="1"/>
  <c r="G328" i="1"/>
  <c r="O327" i="1"/>
  <c r="K327" i="1"/>
  <c r="I327" i="1"/>
  <c r="M346" i="1"/>
  <c r="J346" i="1"/>
  <c r="G346" i="1"/>
  <c r="M345" i="1"/>
  <c r="J345" i="1"/>
  <c r="G345" i="1"/>
  <c r="M344" i="1"/>
  <c r="J344" i="1"/>
  <c r="G344" i="1"/>
  <c r="O343" i="1"/>
  <c r="N343" i="1"/>
  <c r="L343" i="1"/>
  <c r="K343" i="1"/>
  <c r="I343" i="1"/>
  <c r="H343" i="1"/>
  <c r="M342" i="1"/>
  <c r="J342" i="1"/>
  <c r="G342" i="1"/>
  <c r="M341" i="1"/>
  <c r="J341" i="1"/>
  <c r="G341" i="1"/>
  <c r="M340" i="1"/>
  <c r="J340" i="1"/>
  <c r="G340" i="1"/>
  <c r="O339" i="1"/>
  <c r="N339" i="1"/>
  <c r="L339" i="1"/>
  <c r="K339" i="1"/>
  <c r="I339" i="1"/>
  <c r="H339" i="1"/>
  <c r="M338" i="1"/>
  <c r="J338" i="1"/>
  <c r="G338" i="1"/>
  <c r="M337" i="1"/>
  <c r="J337" i="1"/>
  <c r="G337" i="1"/>
  <c r="M336" i="1"/>
  <c r="J336" i="1"/>
  <c r="G336" i="1"/>
  <c r="O335" i="1"/>
  <c r="N335" i="1"/>
  <c r="L335" i="1"/>
  <c r="K335" i="1"/>
  <c r="I335" i="1"/>
  <c r="H335" i="1"/>
  <c r="M334" i="1"/>
  <c r="J334" i="1"/>
  <c r="G334" i="1"/>
  <c r="M333" i="1"/>
  <c r="J333" i="1"/>
  <c r="G333" i="1"/>
  <c r="M332" i="1"/>
  <c r="J332" i="1"/>
  <c r="G332" i="1"/>
  <c r="O331" i="1"/>
  <c r="N331" i="1"/>
  <c r="L331" i="1"/>
  <c r="K331" i="1"/>
  <c r="I331" i="1"/>
  <c r="H331" i="1"/>
  <c r="M326" i="1"/>
  <c r="J326" i="1"/>
  <c r="G326" i="1"/>
  <c r="M325" i="1"/>
  <c r="J325" i="1"/>
  <c r="G325" i="1"/>
  <c r="M324" i="1"/>
  <c r="J324" i="1"/>
  <c r="G324" i="1"/>
  <c r="O323" i="1"/>
  <c r="N323" i="1"/>
  <c r="L323" i="1"/>
  <c r="K323" i="1"/>
  <c r="I323" i="1"/>
  <c r="H323" i="1"/>
  <c r="M322" i="1"/>
  <c r="J322" i="1"/>
  <c r="G322" i="1"/>
  <c r="M321" i="1"/>
  <c r="J321" i="1"/>
  <c r="G321" i="1"/>
  <c r="M320" i="1"/>
  <c r="J320" i="1"/>
  <c r="G320" i="1"/>
  <c r="O319" i="1"/>
  <c r="N319" i="1"/>
  <c r="L319" i="1"/>
  <c r="K319" i="1"/>
  <c r="I319" i="1"/>
  <c r="H319" i="1"/>
  <c r="M318" i="1"/>
  <c r="J318" i="1"/>
  <c r="G318" i="1"/>
  <c r="M317" i="1"/>
  <c r="J317" i="1"/>
  <c r="G317" i="1"/>
  <c r="M316" i="1"/>
  <c r="J316" i="1"/>
  <c r="G316" i="1"/>
  <c r="O315" i="1"/>
  <c r="N315" i="1"/>
  <c r="L315" i="1"/>
  <c r="K315" i="1"/>
  <c r="I315" i="1"/>
  <c r="H315" i="1"/>
  <c r="M314" i="1"/>
  <c r="J314" i="1"/>
  <c r="G314" i="1"/>
  <c r="M313" i="1"/>
  <c r="J313" i="1"/>
  <c r="G313" i="1"/>
  <c r="M312" i="1"/>
  <c r="J312" i="1"/>
  <c r="G312" i="1"/>
  <c r="O311" i="1"/>
  <c r="N311" i="1"/>
  <c r="L311" i="1"/>
  <c r="K311" i="1"/>
  <c r="I311" i="1"/>
  <c r="H311" i="1"/>
  <c r="M310" i="1"/>
  <c r="J310" i="1"/>
  <c r="G310" i="1"/>
  <c r="M309" i="1"/>
  <c r="J309" i="1"/>
  <c r="G309" i="1"/>
  <c r="M308" i="1"/>
  <c r="J308" i="1"/>
  <c r="G308" i="1"/>
  <c r="O307" i="1"/>
  <c r="N307" i="1"/>
  <c r="L307" i="1"/>
  <c r="K307" i="1"/>
  <c r="I307" i="1"/>
  <c r="H307" i="1"/>
  <c r="M306" i="1"/>
  <c r="J306" i="1"/>
  <c r="G306" i="1"/>
  <c r="M305" i="1"/>
  <c r="J305" i="1"/>
  <c r="G305" i="1"/>
  <c r="M304" i="1"/>
  <c r="J304" i="1"/>
  <c r="G304" i="1"/>
  <c r="O303" i="1"/>
  <c r="N303" i="1"/>
  <c r="L303" i="1"/>
  <c r="K303" i="1"/>
  <c r="I303" i="1"/>
  <c r="H303" i="1"/>
  <c r="M302" i="1"/>
  <c r="G302" i="1"/>
  <c r="M301" i="1"/>
  <c r="G301" i="1"/>
  <c r="M300" i="1"/>
  <c r="G300" i="1"/>
  <c r="O299" i="1"/>
  <c r="N299" i="1"/>
  <c r="K299" i="1"/>
  <c r="I299" i="1"/>
  <c r="H299" i="1"/>
  <c r="M298" i="1"/>
  <c r="J298" i="1"/>
  <c r="G298" i="1"/>
  <c r="M297" i="1"/>
  <c r="J297" i="1"/>
  <c r="G297" i="1"/>
  <c r="M296" i="1"/>
  <c r="J296" i="1"/>
  <c r="G296" i="1"/>
  <c r="O295" i="1"/>
  <c r="N295" i="1"/>
  <c r="L295" i="1"/>
  <c r="K295" i="1"/>
  <c r="I295" i="1"/>
  <c r="H295" i="1"/>
  <c r="M294" i="1"/>
  <c r="J294" i="1"/>
  <c r="G294" i="1"/>
  <c r="M293" i="1"/>
  <c r="J293" i="1"/>
  <c r="G293" i="1"/>
  <c r="M292" i="1"/>
  <c r="J292" i="1"/>
  <c r="G292" i="1"/>
  <c r="O291" i="1"/>
  <c r="N291" i="1"/>
  <c r="L291" i="1"/>
  <c r="K291" i="1"/>
  <c r="I291" i="1"/>
  <c r="H291" i="1"/>
  <c r="M290" i="1"/>
  <c r="J290" i="1"/>
  <c r="G290" i="1"/>
  <c r="M289" i="1"/>
  <c r="J289" i="1"/>
  <c r="G289" i="1"/>
  <c r="J288" i="1"/>
  <c r="G288" i="1"/>
  <c r="O287" i="1"/>
  <c r="N287" i="1"/>
  <c r="L287" i="1"/>
  <c r="K287" i="1"/>
  <c r="I287" i="1"/>
  <c r="H287" i="1"/>
  <c r="M286" i="1"/>
  <c r="J286" i="1"/>
  <c r="G286" i="1"/>
  <c r="M285" i="1"/>
  <c r="J285" i="1"/>
  <c r="G285" i="1"/>
  <c r="M284" i="1"/>
  <c r="J284" i="1"/>
  <c r="G284" i="1"/>
  <c r="O283" i="1"/>
  <c r="N283" i="1"/>
  <c r="L283" i="1"/>
  <c r="K283" i="1"/>
  <c r="I283" i="1"/>
  <c r="H283" i="1"/>
  <c r="O258" i="1"/>
  <c r="O254" i="1" s="1"/>
  <c r="N258" i="1"/>
  <c r="N254" i="1" s="1"/>
  <c r="N250" i="1" s="1"/>
  <c r="O257" i="1"/>
  <c r="O253" i="1" s="1"/>
  <c r="O249" i="1" s="1"/>
  <c r="N257" i="1"/>
  <c r="N253" i="1" s="1"/>
  <c r="N256" i="1"/>
  <c r="L258" i="1"/>
  <c r="L254" i="1" s="1"/>
  <c r="K258" i="1"/>
  <c r="L257" i="1"/>
  <c r="L253" i="1" s="1"/>
  <c r="L249" i="1" s="1"/>
  <c r="K257" i="1"/>
  <c r="L256" i="1"/>
  <c r="K256" i="1"/>
  <c r="H257" i="1"/>
  <c r="H253" i="1" s="1"/>
  <c r="H249" i="1" s="1"/>
  <c r="I257" i="1"/>
  <c r="I253" i="1" s="1"/>
  <c r="H258" i="1"/>
  <c r="I258" i="1"/>
  <c r="I254" i="1" s="1"/>
  <c r="I250" i="1" s="1"/>
  <c r="H256" i="1"/>
  <c r="I256" i="1"/>
  <c r="M282" i="1"/>
  <c r="J282" i="1"/>
  <c r="G282" i="1"/>
  <c r="M281" i="1"/>
  <c r="J281" i="1"/>
  <c r="G281" i="1"/>
  <c r="M280" i="1"/>
  <c r="J280" i="1"/>
  <c r="G280" i="1"/>
  <c r="O279" i="1"/>
  <c r="N279" i="1"/>
  <c r="L279" i="1"/>
  <c r="K279" i="1"/>
  <c r="I279" i="1"/>
  <c r="H279" i="1"/>
  <c r="M266" i="1"/>
  <c r="J266" i="1"/>
  <c r="G266" i="1"/>
  <c r="M265" i="1"/>
  <c r="J265" i="1"/>
  <c r="G265" i="1"/>
  <c r="M264" i="1"/>
  <c r="J264" i="1"/>
  <c r="G264" i="1"/>
  <c r="O263" i="1"/>
  <c r="N263" i="1"/>
  <c r="L263" i="1"/>
  <c r="K263" i="1"/>
  <c r="I263" i="1"/>
  <c r="H263" i="1"/>
  <c r="M262" i="1"/>
  <c r="J262" i="1"/>
  <c r="G262" i="1"/>
  <c r="E336" i="5" s="1"/>
  <c r="M261" i="1"/>
  <c r="J261" i="1"/>
  <c r="G261" i="1"/>
  <c r="M260" i="1"/>
  <c r="J260" i="1"/>
  <c r="G260" i="1"/>
  <c r="O259" i="1"/>
  <c r="N259" i="1"/>
  <c r="L259" i="1"/>
  <c r="K259" i="1"/>
  <c r="I259" i="1"/>
  <c r="H259" i="1"/>
  <c r="G252" i="1"/>
  <c r="O206" i="1"/>
  <c r="N206" i="1"/>
  <c r="O205" i="1"/>
  <c r="N205" i="1"/>
  <c r="O204" i="1"/>
  <c r="N204" i="1"/>
  <c r="L206" i="1"/>
  <c r="K206" i="1"/>
  <c r="L205" i="1"/>
  <c r="K205" i="1"/>
  <c r="L204" i="1"/>
  <c r="K204" i="1"/>
  <c r="H205" i="1"/>
  <c r="I205" i="1"/>
  <c r="H206" i="1"/>
  <c r="I206" i="1"/>
  <c r="I204" i="1"/>
  <c r="H204" i="1"/>
  <c r="G248" i="1"/>
  <c r="M246" i="1"/>
  <c r="J246" i="1"/>
  <c r="G246" i="1"/>
  <c r="M245" i="1"/>
  <c r="J245" i="1"/>
  <c r="G245" i="1"/>
  <c r="M244" i="1"/>
  <c r="J244" i="1"/>
  <c r="G244" i="1"/>
  <c r="O243" i="1"/>
  <c r="N243" i="1"/>
  <c r="L243" i="1"/>
  <c r="K243" i="1"/>
  <c r="I243" i="1"/>
  <c r="H243" i="1"/>
  <c r="M242" i="1"/>
  <c r="J242" i="1"/>
  <c r="G242" i="1"/>
  <c r="M241" i="1"/>
  <c r="J241" i="1"/>
  <c r="G241" i="1"/>
  <c r="M240" i="1"/>
  <c r="J240" i="1"/>
  <c r="G240" i="1"/>
  <c r="O239" i="1"/>
  <c r="N239" i="1"/>
  <c r="L239" i="1"/>
  <c r="K239" i="1"/>
  <c r="I239" i="1"/>
  <c r="H239" i="1"/>
  <c r="M238" i="1"/>
  <c r="J238" i="1"/>
  <c r="G238" i="1"/>
  <c r="M237" i="1"/>
  <c r="J237" i="1"/>
  <c r="G237" i="1"/>
  <c r="M236" i="1"/>
  <c r="J236" i="1"/>
  <c r="G236" i="1"/>
  <c r="O235" i="1"/>
  <c r="N235" i="1"/>
  <c r="L235" i="1"/>
  <c r="K235" i="1"/>
  <c r="I235" i="1"/>
  <c r="H235" i="1"/>
  <c r="M234" i="1"/>
  <c r="J234" i="1"/>
  <c r="G234" i="1"/>
  <c r="M233" i="1"/>
  <c r="J233" i="1"/>
  <c r="G233" i="1"/>
  <c r="M232" i="1"/>
  <c r="J232" i="1"/>
  <c r="G232" i="1"/>
  <c r="O231" i="1"/>
  <c r="N231" i="1"/>
  <c r="L231" i="1"/>
  <c r="K231" i="1"/>
  <c r="I231" i="1"/>
  <c r="H231" i="1"/>
  <c r="G473" i="5" l="1"/>
  <c r="G471" i="5" s="1"/>
  <c r="G498" i="5"/>
  <c r="G496" i="5" s="1"/>
  <c r="G501" i="5"/>
  <c r="G512" i="5"/>
  <c r="G510" i="5" s="1"/>
  <c r="G516" i="5"/>
  <c r="J271" i="1"/>
  <c r="M271" i="1"/>
  <c r="G277" i="1"/>
  <c r="G276" i="1"/>
  <c r="H275" i="1"/>
  <c r="G278" i="1"/>
  <c r="E352" i="5" s="1"/>
  <c r="I275" i="1"/>
  <c r="H255" i="1"/>
  <c r="J257" i="1"/>
  <c r="M287" i="1"/>
  <c r="M339" i="1"/>
  <c r="G335" i="1"/>
  <c r="G258" i="1"/>
  <c r="J256" i="1"/>
  <c r="J258" i="1"/>
  <c r="G331" i="1"/>
  <c r="M291" i="1"/>
  <c r="G427" i="1"/>
  <c r="G419" i="1"/>
  <c r="J426" i="1"/>
  <c r="L423" i="1"/>
  <c r="G418" i="1"/>
  <c r="H415" i="1"/>
  <c r="G295" i="1"/>
  <c r="M303" i="1"/>
  <c r="M311" i="1"/>
  <c r="G358" i="5" s="1"/>
  <c r="J323" i="1"/>
  <c r="J331" i="1"/>
  <c r="M343" i="1"/>
  <c r="G273" i="1"/>
  <c r="M299" i="1"/>
  <c r="G359" i="1"/>
  <c r="L251" i="1"/>
  <c r="M258" i="1"/>
  <c r="M307" i="1"/>
  <c r="M335" i="1"/>
  <c r="J359" i="1"/>
  <c r="G239" i="1"/>
  <c r="E277" i="5" s="1"/>
  <c r="E279" i="5" s="1"/>
  <c r="M243" i="1"/>
  <c r="G281" i="5" s="1"/>
  <c r="G283" i="5" s="1"/>
  <c r="J291" i="1"/>
  <c r="J295" i="1"/>
  <c r="J299" i="1"/>
  <c r="G303" i="1"/>
  <c r="J307" i="1"/>
  <c r="I251" i="1"/>
  <c r="I249" i="1"/>
  <c r="G249" i="1" s="1"/>
  <c r="J235" i="1"/>
  <c r="F273" i="5" s="1"/>
  <c r="F275" i="5" s="1"/>
  <c r="G311" i="1"/>
  <c r="G231" i="1"/>
  <c r="E269" i="5" s="1"/>
  <c r="E271" i="5" s="1"/>
  <c r="J239" i="1"/>
  <c r="F277" i="5" s="1"/>
  <c r="F279" i="5" s="1"/>
  <c r="M239" i="1"/>
  <c r="G277" i="5" s="1"/>
  <c r="G279" i="5" s="1"/>
  <c r="J243" i="1"/>
  <c r="F281" i="5" s="1"/>
  <c r="F283" i="5" s="1"/>
  <c r="K254" i="1"/>
  <c r="K250" i="1" s="1"/>
  <c r="G259" i="1"/>
  <c r="E306" i="5" s="1"/>
  <c r="E309" i="5" s="1"/>
  <c r="J263" i="1"/>
  <c r="F311" i="5" s="1"/>
  <c r="M257" i="1"/>
  <c r="H269" i="1"/>
  <c r="G269" i="1" s="1"/>
  <c r="O270" i="1"/>
  <c r="O267" i="1" s="1"/>
  <c r="J279" i="1"/>
  <c r="G257" i="1"/>
  <c r="O255" i="1"/>
  <c r="M283" i="1"/>
  <c r="M295" i="1"/>
  <c r="G299" i="1"/>
  <c r="J303" i="1"/>
  <c r="G315" i="1"/>
  <c r="M315" i="1"/>
  <c r="G362" i="5" s="1"/>
  <c r="G364" i="5" s="1"/>
  <c r="J319" i="1"/>
  <c r="J335" i="1"/>
  <c r="G339" i="1"/>
  <c r="I271" i="1"/>
  <c r="J259" i="1"/>
  <c r="F306" i="5" s="1"/>
  <c r="M263" i="1"/>
  <c r="G311" i="5" s="1"/>
  <c r="G313" i="5" s="1"/>
  <c r="G263" i="1"/>
  <c r="E311" i="5" s="1"/>
  <c r="E313" i="5" s="1"/>
  <c r="L269" i="1"/>
  <c r="L267" i="1" s="1"/>
  <c r="M279" i="1"/>
  <c r="G279" i="1"/>
  <c r="G287" i="1"/>
  <c r="J315" i="1"/>
  <c r="F362" i="5" s="1"/>
  <c r="M319" i="1"/>
  <c r="J339" i="1"/>
  <c r="G343" i="1"/>
  <c r="J231" i="1"/>
  <c r="F269" i="5" s="1"/>
  <c r="F271" i="5" s="1"/>
  <c r="G243" i="1"/>
  <c r="E281" i="5" s="1"/>
  <c r="E283" i="5" s="1"/>
  <c r="K253" i="1"/>
  <c r="J253" i="1" s="1"/>
  <c r="M235" i="1"/>
  <c r="G273" i="5" s="1"/>
  <c r="G275" i="5" s="1"/>
  <c r="G235" i="1"/>
  <c r="E273" i="5" s="1"/>
  <c r="E275" i="5" s="1"/>
  <c r="G283" i="1"/>
  <c r="J287" i="1"/>
  <c r="G291" i="1"/>
  <c r="G307" i="1"/>
  <c r="J311" i="1"/>
  <c r="G323" i="1"/>
  <c r="J343" i="1"/>
  <c r="M359" i="1"/>
  <c r="G396" i="1"/>
  <c r="H395" i="1"/>
  <c r="M331" i="1"/>
  <c r="M327" i="1"/>
  <c r="G327" i="1"/>
  <c r="M323" i="1"/>
  <c r="G319" i="1"/>
  <c r="G274" i="1"/>
  <c r="E348" i="5" s="1"/>
  <c r="J283" i="1"/>
  <c r="G272" i="1"/>
  <c r="I267" i="1"/>
  <c r="J327" i="1"/>
  <c r="H327" i="1"/>
  <c r="N327" i="1"/>
  <c r="G268" i="1"/>
  <c r="M268" i="1"/>
  <c r="K269" i="1"/>
  <c r="H270" i="1"/>
  <c r="N270" i="1"/>
  <c r="M269" i="1"/>
  <c r="M259" i="1"/>
  <c r="G306" i="5" s="1"/>
  <c r="N249" i="1"/>
  <c r="M249" i="1" s="1"/>
  <c r="N251" i="1"/>
  <c r="O251" i="1"/>
  <c r="M254" i="1"/>
  <c r="O250" i="1"/>
  <c r="M250" i="1" s="1"/>
  <c r="M256" i="1"/>
  <c r="K255" i="1"/>
  <c r="J268" i="1"/>
  <c r="J270" i="1"/>
  <c r="G256" i="1"/>
  <c r="J252" i="1"/>
  <c r="M252" i="1"/>
  <c r="H254" i="1"/>
  <c r="L255" i="1"/>
  <c r="I255" i="1"/>
  <c r="N255" i="1"/>
  <c r="G253" i="1"/>
  <c r="M253" i="1"/>
  <c r="L250" i="1"/>
  <c r="J248" i="1"/>
  <c r="M248" i="1"/>
  <c r="M231" i="1"/>
  <c r="G269" i="5" s="1"/>
  <c r="G271" i="5" s="1"/>
  <c r="M230" i="1"/>
  <c r="J230" i="1"/>
  <c r="G230" i="1"/>
  <c r="M229" i="1"/>
  <c r="J229" i="1"/>
  <c r="G229" i="1"/>
  <c r="M228" i="1"/>
  <c r="J228" i="1"/>
  <c r="G228" i="1"/>
  <c r="O227" i="1"/>
  <c r="N227" i="1"/>
  <c r="L227" i="1"/>
  <c r="K227" i="1"/>
  <c r="I227" i="1"/>
  <c r="H227" i="1"/>
  <c r="M226" i="1"/>
  <c r="J226" i="1"/>
  <c r="G226" i="1"/>
  <c r="M225" i="1"/>
  <c r="J225" i="1"/>
  <c r="G225" i="1"/>
  <c r="M224" i="1"/>
  <c r="J224" i="1"/>
  <c r="G224" i="1"/>
  <c r="O223" i="1"/>
  <c r="N223" i="1"/>
  <c r="L223" i="1"/>
  <c r="K223" i="1"/>
  <c r="I223" i="1"/>
  <c r="H223" i="1"/>
  <c r="M222" i="1"/>
  <c r="J222" i="1"/>
  <c r="G222" i="1"/>
  <c r="M221" i="1"/>
  <c r="J221" i="1"/>
  <c r="G221" i="1"/>
  <c r="M220" i="1"/>
  <c r="J220" i="1"/>
  <c r="G220" i="1"/>
  <c r="O219" i="1"/>
  <c r="N219" i="1"/>
  <c r="L219" i="1"/>
  <c r="K219" i="1"/>
  <c r="I219" i="1"/>
  <c r="H219" i="1"/>
  <c r="O174" i="1"/>
  <c r="N174" i="1"/>
  <c r="O173" i="1"/>
  <c r="N173" i="1"/>
  <c r="O172" i="1"/>
  <c r="N172" i="1"/>
  <c r="L174" i="1"/>
  <c r="K174" i="1"/>
  <c r="L173" i="1"/>
  <c r="K173" i="1"/>
  <c r="L172" i="1"/>
  <c r="K172" i="1"/>
  <c r="H173" i="1"/>
  <c r="I173" i="1"/>
  <c r="H174" i="1"/>
  <c r="I174" i="1"/>
  <c r="H172" i="1"/>
  <c r="I172" i="1"/>
  <c r="M206" i="1"/>
  <c r="L203" i="1"/>
  <c r="J206" i="1"/>
  <c r="G206" i="1"/>
  <c r="M205" i="1"/>
  <c r="J205" i="1"/>
  <c r="G205" i="1"/>
  <c r="M204" i="1"/>
  <c r="J204" i="1"/>
  <c r="I203" i="1"/>
  <c r="G204" i="1"/>
  <c r="O203" i="1"/>
  <c r="K203" i="1"/>
  <c r="M218" i="1"/>
  <c r="J218" i="1"/>
  <c r="G218" i="1"/>
  <c r="M217" i="1"/>
  <c r="J217" i="1"/>
  <c r="G217" i="1"/>
  <c r="M216" i="1"/>
  <c r="J216" i="1"/>
  <c r="G216" i="1"/>
  <c r="O215" i="1"/>
  <c r="N215" i="1"/>
  <c r="L215" i="1"/>
  <c r="K215" i="1"/>
  <c r="I215" i="1"/>
  <c r="H215" i="1"/>
  <c r="M214" i="1"/>
  <c r="J214" i="1"/>
  <c r="G214" i="1"/>
  <c r="M213" i="1"/>
  <c r="J213" i="1"/>
  <c r="G213" i="1"/>
  <c r="M212" i="1"/>
  <c r="J212" i="1"/>
  <c r="G212" i="1"/>
  <c r="O211" i="1"/>
  <c r="N211" i="1"/>
  <c r="L211" i="1"/>
  <c r="K211" i="1"/>
  <c r="I211" i="1"/>
  <c r="H211" i="1"/>
  <c r="M210" i="1"/>
  <c r="J210" i="1"/>
  <c r="G210" i="1"/>
  <c r="M209" i="1"/>
  <c r="J209" i="1"/>
  <c r="G209" i="1"/>
  <c r="M208" i="1"/>
  <c r="J208" i="1"/>
  <c r="G208" i="1"/>
  <c r="O207" i="1"/>
  <c r="N207" i="1"/>
  <c r="L207" i="1"/>
  <c r="K207" i="1"/>
  <c r="I207" i="1"/>
  <c r="H207" i="1"/>
  <c r="M202" i="1"/>
  <c r="J202" i="1"/>
  <c r="G202" i="1"/>
  <c r="M201" i="1"/>
  <c r="J201" i="1"/>
  <c r="G201" i="1"/>
  <c r="M200" i="1"/>
  <c r="J200" i="1"/>
  <c r="G200" i="1"/>
  <c r="O199" i="1"/>
  <c r="N199" i="1"/>
  <c r="L199" i="1"/>
  <c r="K199" i="1"/>
  <c r="I199" i="1"/>
  <c r="H199" i="1"/>
  <c r="M198" i="1"/>
  <c r="J198" i="1"/>
  <c r="G198" i="1"/>
  <c r="M197" i="1"/>
  <c r="J197" i="1"/>
  <c r="G197" i="1"/>
  <c r="M196" i="1"/>
  <c r="J196" i="1"/>
  <c r="G196" i="1"/>
  <c r="O195" i="1"/>
  <c r="N195" i="1"/>
  <c r="L195" i="1"/>
  <c r="K195" i="1"/>
  <c r="I195" i="1"/>
  <c r="H195" i="1"/>
  <c r="F364" i="5" l="1"/>
  <c r="F325" i="5"/>
  <c r="F324" i="5" s="1"/>
  <c r="G360" i="5"/>
  <c r="G325" i="5"/>
  <c r="G324" i="5" s="1"/>
  <c r="E305" i="5"/>
  <c r="E303" i="5" s="1"/>
  <c r="G309" i="5"/>
  <c r="G305" i="5"/>
  <c r="G303" i="5" s="1"/>
  <c r="F309" i="5"/>
  <c r="F305" i="5"/>
  <c r="F303" i="5" s="1"/>
  <c r="G275" i="1"/>
  <c r="M270" i="1"/>
  <c r="J255" i="1"/>
  <c r="J254" i="1"/>
  <c r="G211" i="1"/>
  <c r="E249" i="5" s="1"/>
  <c r="E251" i="5" s="1"/>
  <c r="I247" i="1"/>
  <c r="M255" i="1"/>
  <c r="J207" i="1"/>
  <c r="F245" i="5" s="1"/>
  <c r="M215" i="1"/>
  <c r="G253" i="5" s="1"/>
  <c r="G219" i="1"/>
  <c r="E257" i="5" s="1"/>
  <c r="E259" i="5" s="1"/>
  <c r="M223" i="1"/>
  <c r="G261" i="5" s="1"/>
  <c r="G263" i="5" s="1"/>
  <c r="L419" i="1"/>
  <c r="J422" i="1"/>
  <c r="J423" i="1"/>
  <c r="G415" i="1"/>
  <c r="G199" i="1"/>
  <c r="E238" i="5" s="1"/>
  <c r="E240" i="5" s="1"/>
  <c r="J250" i="1"/>
  <c r="K251" i="1"/>
  <c r="M199" i="1"/>
  <c r="G238" i="5" s="1"/>
  <c r="J223" i="1"/>
  <c r="F261" i="5" s="1"/>
  <c r="F263" i="5" s="1"/>
  <c r="G227" i="1"/>
  <c r="E265" i="5" s="1"/>
  <c r="E266" i="5" s="1"/>
  <c r="G207" i="1"/>
  <c r="E245" i="5" s="1"/>
  <c r="G215" i="1"/>
  <c r="E253" i="5" s="1"/>
  <c r="M219" i="1"/>
  <c r="G257" i="5" s="1"/>
  <c r="G259" i="5" s="1"/>
  <c r="M227" i="1"/>
  <c r="G265" i="5" s="1"/>
  <c r="G266" i="5" s="1"/>
  <c r="G270" i="1"/>
  <c r="J199" i="1"/>
  <c r="F238" i="5" s="1"/>
  <c r="O247" i="1"/>
  <c r="J269" i="1"/>
  <c r="M207" i="1"/>
  <c r="G245" i="5" s="1"/>
  <c r="M211" i="1"/>
  <c r="G249" i="5" s="1"/>
  <c r="G251" i="5" s="1"/>
  <c r="G195" i="1"/>
  <c r="E234" i="5" s="1"/>
  <c r="E236" i="5" s="1"/>
  <c r="G395" i="1"/>
  <c r="J195" i="1"/>
  <c r="F234" i="5" s="1"/>
  <c r="F236" i="5" s="1"/>
  <c r="G223" i="1"/>
  <c r="E261" i="5" s="1"/>
  <c r="E263" i="5" s="1"/>
  <c r="G255" i="1"/>
  <c r="G271" i="1"/>
  <c r="J211" i="1"/>
  <c r="F249" i="5" s="1"/>
  <c r="F251" i="5" s="1"/>
  <c r="J215" i="1"/>
  <c r="F253" i="5" s="1"/>
  <c r="J203" i="1"/>
  <c r="J227" i="1"/>
  <c r="F265" i="5" s="1"/>
  <c r="F266" i="5" s="1"/>
  <c r="N247" i="1"/>
  <c r="K249" i="1"/>
  <c r="J249" i="1" s="1"/>
  <c r="N267" i="1"/>
  <c r="K267" i="1"/>
  <c r="H267" i="1"/>
  <c r="M251" i="1"/>
  <c r="G295" i="5" s="1"/>
  <c r="G294" i="5" s="1"/>
  <c r="L247" i="1"/>
  <c r="G254" i="1"/>
  <c r="H251" i="1"/>
  <c r="H250" i="1"/>
  <c r="G250" i="1" s="1"/>
  <c r="M247" i="1"/>
  <c r="G288" i="5" s="1"/>
  <c r="K247" i="1"/>
  <c r="M203" i="1"/>
  <c r="J219" i="1"/>
  <c r="F257" i="5" s="1"/>
  <c r="F259" i="5" s="1"/>
  <c r="G203" i="1"/>
  <c r="M195" i="1"/>
  <c r="G234" i="5" s="1"/>
  <c r="G236" i="5" s="1"/>
  <c r="H203" i="1"/>
  <c r="N203" i="1"/>
  <c r="O142" i="1"/>
  <c r="O141" i="1"/>
  <c r="N141" i="1"/>
  <c r="O140" i="1"/>
  <c r="N140" i="1"/>
  <c r="L142" i="1"/>
  <c r="K142" i="1"/>
  <c r="L141" i="1"/>
  <c r="K141" i="1"/>
  <c r="L140" i="1"/>
  <c r="K140" i="1"/>
  <c r="H141" i="1"/>
  <c r="I141" i="1"/>
  <c r="H142" i="1"/>
  <c r="I142" i="1"/>
  <c r="I140" i="1"/>
  <c r="H140" i="1"/>
  <c r="M174" i="1"/>
  <c r="J174" i="1"/>
  <c r="G174" i="1"/>
  <c r="M173" i="1"/>
  <c r="J173" i="1"/>
  <c r="G173" i="1"/>
  <c r="M172" i="1"/>
  <c r="L171" i="1"/>
  <c r="G172" i="1"/>
  <c r="I171" i="1"/>
  <c r="M194" i="1"/>
  <c r="J194" i="1"/>
  <c r="G194" i="1"/>
  <c r="M193" i="1"/>
  <c r="J193" i="1"/>
  <c r="G193" i="1"/>
  <c r="M192" i="1"/>
  <c r="J192" i="1"/>
  <c r="G192" i="1"/>
  <c r="O191" i="1"/>
  <c r="N191" i="1"/>
  <c r="L191" i="1"/>
  <c r="K191" i="1"/>
  <c r="I191" i="1"/>
  <c r="H191" i="1"/>
  <c r="M190" i="1"/>
  <c r="J190" i="1"/>
  <c r="G190" i="1"/>
  <c r="M189" i="1"/>
  <c r="J189" i="1"/>
  <c r="G189" i="1"/>
  <c r="M188" i="1"/>
  <c r="J188" i="1"/>
  <c r="G188" i="1"/>
  <c r="O187" i="1"/>
  <c r="N187" i="1"/>
  <c r="L187" i="1"/>
  <c r="K187" i="1"/>
  <c r="I187" i="1"/>
  <c r="H187" i="1"/>
  <c r="M186" i="1"/>
  <c r="J186" i="1"/>
  <c r="G186" i="1"/>
  <c r="M185" i="1"/>
  <c r="J185" i="1"/>
  <c r="G185" i="1"/>
  <c r="M184" i="1"/>
  <c r="J184" i="1"/>
  <c r="G184" i="1"/>
  <c r="O183" i="1"/>
  <c r="N183" i="1"/>
  <c r="L183" i="1"/>
  <c r="K183" i="1"/>
  <c r="I183" i="1"/>
  <c r="H183" i="1"/>
  <c r="M182" i="1"/>
  <c r="J182" i="1"/>
  <c r="G182" i="1"/>
  <c r="M181" i="1"/>
  <c r="J181" i="1"/>
  <c r="G181" i="1"/>
  <c r="M180" i="1"/>
  <c r="G218" i="5" s="1"/>
  <c r="G220" i="5" s="1"/>
  <c r="J180" i="1"/>
  <c r="F218" i="5" s="1"/>
  <c r="F220" i="5" s="1"/>
  <c r="G180" i="1"/>
  <c r="E218" i="5" s="1"/>
  <c r="E220" i="5" s="1"/>
  <c r="O179" i="1"/>
  <c r="N179" i="1"/>
  <c r="L179" i="1"/>
  <c r="K179" i="1"/>
  <c r="I179" i="1"/>
  <c r="H179" i="1"/>
  <c r="M178" i="1"/>
  <c r="J178" i="1"/>
  <c r="G178" i="1"/>
  <c r="M177" i="1"/>
  <c r="J177" i="1"/>
  <c r="G177" i="1"/>
  <c r="M176" i="1"/>
  <c r="J176" i="1"/>
  <c r="G176" i="1"/>
  <c r="O175" i="1"/>
  <c r="N175" i="1"/>
  <c r="L175" i="1"/>
  <c r="K175" i="1"/>
  <c r="I175" i="1"/>
  <c r="H175" i="1"/>
  <c r="M170" i="1"/>
  <c r="J170" i="1"/>
  <c r="G170" i="1"/>
  <c r="M169" i="1"/>
  <c r="J169" i="1"/>
  <c r="G169" i="1"/>
  <c r="M168" i="1"/>
  <c r="J168" i="1"/>
  <c r="G168" i="1"/>
  <c r="O167" i="1"/>
  <c r="N167" i="1"/>
  <c r="L167" i="1"/>
  <c r="K167" i="1"/>
  <c r="I167" i="1"/>
  <c r="H167" i="1"/>
  <c r="M166" i="1"/>
  <c r="J166" i="1"/>
  <c r="G166" i="1"/>
  <c r="M165" i="1"/>
  <c r="J165" i="1"/>
  <c r="G165" i="1"/>
  <c r="M164" i="1"/>
  <c r="J164" i="1"/>
  <c r="G164" i="1"/>
  <c r="O163" i="1"/>
  <c r="N163" i="1"/>
  <c r="L163" i="1"/>
  <c r="K163" i="1"/>
  <c r="I163" i="1"/>
  <c r="H163" i="1"/>
  <c r="M154" i="1"/>
  <c r="J154" i="1"/>
  <c r="G154" i="1"/>
  <c r="M153" i="1"/>
  <c r="J153" i="1"/>
  <c r="G153" i="1"/>
  <c r="M152" i="1"/>
  <c r="J152" i="1"/>
  <c r="G152" i="1"/>
  <c r="O151" i="1"/>
  <c r="N151" i="1"/>
  <c r="L151" i="1"/>
  <c r="K151" i="1"/>
  <c r="I151" i="1"/>
  <c r="H151" i="1"/>
  <c r="G247" i="5" l="1"/>
  <c r="G244" i="5"/>
  <c r="G242" i="5" s="1"/>
  <c r="G290" i="5"/>
  <c r="G287" i="5"/>
  <c r="G285" i="5" s="1"/>
  <c r="G297" i="5"/>
  <c r="G292" i="5"/>
  <c r="J251" i="1"/>
  <c r="F295" i="5" s="1"/>
  <c r="F294" i="5" s="1"/>
  <c r="G267" i="1"/>
  <c r="E247" i="5"/>
  <c r="E244" i="5"/>
  <c r="E242" i="5" s="1"/>
  <c r="F244" i="5"/>
  <c r="F242" i="5" s="1"/>
  <c r="F247" i="5"/>
  <c r="M267" i="1"/>
  <c r="J247" i="1"/>
  <c r="F288" i="5" s="1"/>
  <c r="J267" i="1"/>
  <c r="G179" i="1"/>
  <c r="G183" i="1"/>
  <c r="E222" i="5" s="1"/>
  <c r="E224" i="5" s="1"/>
  <c r="J419" i="1"/>
  <c r="J418" i="1"/>
  <c r="L415" i="1"/>
  <c r="M163" i="1"/>
  <c r="G203" i="5" s="1"/>
  <c r="M167" i="1"/>
  <c r="G209" i="5" s="1"/>
  <c r="J175" i="1"/>
  <c r="F214" i="5" s="1"/>
  <c r="J179" i="1"/>
  <c r="M183" i="1"/>
  <c r="G222" i="5" s="1"/>
  <c r="G224" i="5" s="1"/>
  <c r="G151" i="1"/>
  <c r="E191" i="5" s="1"/>
  <c r="E193" i="5" s="1"/>
  <c r="M151" i="1"/>
  <c r="G191" i="5" s="1"/>
  <c r="G193" i="5" s="1"/>
  <c r="G247" i="1"/>
  <c r="E288" i="5" s="1"/>
  <c r="J167" i="1"/>
  <c r="F207" i="5" s="1"/>
  <c r="F209" i="5" s="1"/>
  <c r="M179" i="1"/>
  <c r="J183" i="1"/>
  <c r="F222" i="5" s="1"/>
  <c r="F224" i="5" s="1"/>
  <c r="J163" i="1"/>
  <c r="F203" i="5" s="1"/>
  <c r="G163" i="1"/>
  <c r="E203" i="5" s="1"/>
  <c r="E205" i="5" s="1"/>
  <c r="G175" i="1"/>
  <c r="E214" i="5" s="1"/>
  <c r="M175" i="1"/>
  <c r="G214" i="5" s="1"/>
  <c r="J187" i="1"/>
  <c r="F226" i="5" s="1"/>
  <c r="F228" i="5" s="1"/>
  <c r="J191" i="1"/>
  <c r="F230" i="5" s="1"/>
  <c r="F232" i="5" s="1"/>
  <c r="G251" i="1"/>
  <c r="H247" i="1"/>
  <c r="M191" i="1"/>
  <c r="G230" i="5" s="1"/>
  <c r="G232" i="5" s="1"/>
  <c r="G191" i="1"/>
  <c r="E230" i="5" s="1"/>
  <c r="E232" i="5" s="1"/>
  <c r="M187" i="1"/>
  <c r="G226" i="5" s="1"/>
  <c r="G228" i="5" s="1"/>
  <c r="G187" i="1"/>
  <c r="E226" i="5" s="1"/>
  <c r="E228" i="5" s="1"/>
  <c r="M171" i="1"/>
  <c r="G171" i="1"/>
  <c r="G167" i="1"/>
  <c r="E207" i="5" s="1"/>
  <c r="E209" i="5" s="1"/>
  <c r="N171" i="1"/>
  <c r="K171" i="1"/>
  <c r="O171" i="1"/>
  <c r="J172" i="1"/>
  <c r="J171" i="1" s="1"/>
  <c r="H171" i="1"/>
  <c r="J151" i="1"/>
  <c r="F191" i="5" s="1"/>
  <c r="F193" i="5" s="1"/>
  <c r="M150" i="1"/>
  <c r="J150" i="1"/>
  <c r="G150" i="1"/>
  <c r="M149" i="1"/>
  <c r="J149" i="1"/>
  <c r="G149" i="1"/>
  <c r="M148" i="1"/>
  <c r="J148" i="1"/>
  <c r="G148" i="1"/>
  <c r="O147" i="1"/>
  <c r="N147" i="1"/>
  <c r="L147" i="1"/>
  <c r="K147" i="1"/>
  <c r="I147" i="1"/>
  <c r="H147" i="1"/>
  <c r="M146" i="1"/>
  <c r="J146" i="1"/>
  <c r="G146" i="1"/>
  <c r="M145" i="1"/>
  <c r="J145" i="1"/>
  <c r="G145" i="1"/>
  <c r="M144" i="1"/>
  <c r="J144" i="1"/>
  <c r="G144" i="1"/>
  <c r="O143" i="1"/>
  <c r="N143" i="1"/>
  <c r="L143" i="1"/>
  <c r="K143" i="1"/>
  <c r="I143" i="1"/>
  <c r="H143" i="1"/>
  <c r="M142" i="1"/>
  <c r="G142" i="1"/>
  <c r="J141" i="1"/>
  <c r="M140" i="1"/>
  <c r="J140" i="1"/>
  <c r="M126" i="1"/>
  <c r="J126" i="1"/>
  <c r="G126" i="1"/>
  <c r="M125" i="1"/>
  <c r="J125" i="1"/>
  <c r="G125" i="1"/>
  <c r="J124" i="1"/>
  <c r="G124" i="1"/>
  <c r="O123" i="1"/>
  <c r="N123" i="1"/>
  <c r="L123" i="1"/>
  <c r="K123" i="1"/>
  <c r="I123" i="1"/>
  <c r="H123" i="1"/>
  <c r="M122" i="1"/>
  <c r="J122" i="1"/>
  <c r="G122" i="1"/>
  <c r="M121" i="1"/>
  <c r="J121" i="1"/>
  <c r="G121" i="1"/>
  <c r="M120" i="1"/>
  <c r="J120" i="1"/>
  <c r="G120" i="1"/>
  <c r="O119" i="1"/>
  <c r="N119" i="1"/>
  <c r="L119" i="1"/>
  <c r="K119" i="1"/>
  <c r="I119" i="1"/>
  <c r="H119" i="1"/>
  <c r="M138" i="1"/>
  <c r="J138" i="1"/>
  <c r="G138" i="1"/>
  <c r="M137" i="1"/>
  <c r="J137" i="1"/>
  <c r="G137" i="1"/>
  <c r="M136" i="1"/>
  <c r="J136" i="1"/>
  <c r="G136" i="1"/>
  <c r="O135" i="1"/>
  <c r="N135" i="1"/>
  <c r="L135" i="1"/>
  <c r="K135" i="1"/>
  <c r="I135" i="1"/>
  <c r="H135" i="1"/>
  <c r="M134" i="1"/>
  <c r="J134" i="1"/>
  <c r="G134" i="1"/>
  <c r="M133" i="1"/>
  <c r="J133" i="1"/>
  <c r="G133" i="1"/>
  <c r="M132" i="1"/>
  <c r="J132" i="1"/>
  <c r="G132" i="1"/>
  <c r="O131" i="1"/>
  <c r="N131" i="1"/>
  <c r="L131" i="1"/>
  <c r="K131" i="1"/>
  <c r="I131" i="1"/>
  <c r="H131" i="1"/>
  <c r="M118" i="1"/>
  <c r="J118" i="1"/>
  <c r="G118" i="1"/>
  <c r="M117" i="1"/>
  <c r="J117" i="1"/>
  <c r="G117" i="1"/>
  <c r="M116" i="1"/>
  <c r="J116" i="1"/>
  <c r="G116" i="1"/>
  <c r="O115" i="1"/>
  <c r="N115" i="1"/>
  <c r="L115" i="1"/>
  <c r="K115" i="1"/>
  <c r="I115" i="1"/>
  <c r="H115" i="1"/>
  <c r="M114" i="1"/>
  <c r="J114" i="1"/>
  <c r="G114" i="1"/>
  <c r="M113" i="1"/>
  <c r="J113" i="1"/>
  <c r="G113" i="1"/>
  <c r="M112" i="1"/>
  <c r="J112" i="1"/>
  <c r="G112" i="1"/>
  <c r="O111" i="1"/>
  <c r="N111" i="1"/>
  <c r="L111" i="1"/>
  <c r="K111" i="1"/>
  <c r="I111" i="1"/>
  <c r="H111" i="1"/>
  <c r="G322" i="5" l="1"/>
  <c r="F322" i="5"/>
  <c r="E322" i="5"/>
  <c r="E290" i="5"/>
  <c r="E287" i="5"/>
  <c r="E285" i="5" s="1"/>
  <c r="F297" i="5"/>
  <c r="G298" i="5" s="1"/>
  <c r="F292" i="5"/>
  <c r="G216" i="5"/>
  <c r="G213" i="5"/>
  <c r="G211" i="5" s="1"/>
  <c r="E216" i="5"/>
  <c r="E213" i="5"/>
  <c r="E211" i="5" s="1"/>
  <c r="F216" i="5"/>
  <c r="F213" i="5"/>
  <c r="F211" i="5" s="1"/>
  <c r="F290" i="5"/>
  <c r="F287" i="5"/>
  <c r="F285" i="5" s="1"/>
  <c r="M123" i="1"/>
  <c r="G164" i="5" s="1"/>
  <c r="J415" i="1"/>
  <c r="J135" i="1"/>
  <c r="F176" i="5" s="1"/>
  <c r="J123" i="1"/>
  <c r="F164" i="5" s="1"/>
  <c r="F166" i="5" s="1"/>
  <c r="G147" i="1"/>
  <c r="E187" i="5" s="1"/>
  <c r="E189" i="5" s="1"/>
  <c r="J119" i="1"/>
  <c r="F159" i="5" s="1"/>
  <c r="F162" i="5" s="1"/>
  <c r="M141" i="1"/>
  <c r="M139" i="1" s="1"/>
  <c r="J143" i="1"/>
  <c r="F183" i="5" s="1"/>
  <c r="J147" i="1"/>
  <c r="F187" i="5" s="1"/>
  <c r="F189" i="5" s="1"/>
  <c r="I139" i="1"/>
  <c r="J115" i="1"/>
  <c r="F149" i="5" s="1"/>
  <c r="F157" i="5" s="1"/>
  <c r="J131" i="1"/>
  <c r="F172" i="5" s="1"/>
  <c r="F174" i="5" s="1"/>
  <c r="J142" i="1"/>
  <c r="J139" i="1" s="1"/>
  <c r="J111" i="1"/>
  <c r="F145" i="5" s="1"/>
  <c r="F147" i="5" s="1"/>
  <c r="N139" i="1"/>
  <c r="M143" i="1"/>
  <c r="G183" i="5" s="1"/>
  <c r="G143" i="1"/>
  <c r="E183" i="5" s="1"/>
  <c r="G141" i="1"/>
  <c r="M147" i="1"/>
  <c r="G187" i="5" s="1"/>
  <c r="G189" i="5" s="1"/>
  <c r="K139" i="1"/>
  <c r="O139" i="1"/>
  <c r="H139" i="1"/>
  <c r="L139" i="1"/>
  <c r="G140" i="1"/>
  <c r="M111" i="1"/>
  <c r="G145" i="5" s="1"/>
  <c r="G147" i="5" s="1"/>
  <c r="G115" i="1"/>
  <c r="E149" i="5" s="1"/>
  <c r="E157" i="5" s="1"/>
  <c r="M115" i="1"/>
  <c r="G149" i="5" s="1"/>
  <c r="G157" i="5" s="1"/>
  <c r="M135" i="1"/>
  <c r="G176" i="5" s="1"/>
  <c r="G178" i="5" s="1"/>
  <c r="G123" i="1"/>
  <c r="E164" i="5" s="1"/>
  <c r="E166" i="5" s="1"/>
  <c r="G119" i="1"/>
  <c r="E159" i="5" s="1"/>
  <c r="E162" i="5" s="1"/>
  <c r="M119" i="1"/>
  <c r="G159" i="5" s="1"/>
  <c r="G162" i="5" s="1"/>
  <c r="M131" i="1"/>
  <c r="G172" i="5" s="1"/>
  <c r="G174" i="5" s="1"/>
  <c r="G111" i="1"/>
  <c r="E145" i="5" s="1"/>
  <c r="E147" i="5" s="1"/>
  <c r="G135" i="1"/>
  <c r="E176" i="5" s="1"/>
  <c r="E178" i="5" s="1"/>
  <c r="G131" i="1"/>
  <c r="E172" i="5" s="1"/>
  <c r="E174" i="5" s="1"/>
  <c r="M110" i="1"/>
  <c r="J110" i="1"/>
  <c r="G110" i="1"/>
  <c r="M109" i="1"/>
  <c r="J109" i="1"/>
  <c r="G109" i="1"/>
  <c r="M108" i="1"/>
  <c r="J108" i="1"/>
  <c r="G108" i="1"/>
  <c r="O107" i="1"/>
  <c r="N107" i="1"/>
  <c r="L107" i="1"/>
  <c r="K107" i="1"/>
  <c r="I107" i="1"/>
  <c r="H107" i="1"/>
  <c r="M106" i="1"/>
  <c r="J106" i="1"/>
  <c r="G106" i="1"/>
  <c r="M105" i="1"/>
  <c r="J105" i="1"/>
  <c r="G105" i="1"/>
  <c r="M104" i="1"/>
  <c r="J104" i="1"/>
  <c r="G104" i="1"/>
  <c r="O103" i="1"/>
  <c r="N103" i="1"/>
  <c r="L103" i="1"/>
  <c r="K103" i="1"/>
  <c r="I103" i="1"/>
  <c r="H103" i="1"/>
  <c r="M102" i="1"/>
  <c r="J102" i="1"/>
  <c r="G102" i="1"/>
  <c r="M101" i="1"/>
  <c r="J101" i="1"/>
  <c r="G101" i="1"/>
  <c r="M100" i="1"/>
  <c r="J100" i="1"/>
  <c r="G100" i="1"/>
  <c r="O99" i="1"/>
  <c r="N99" i="1"/>
  <c r="L99" i="1"/>
  <c r="K99" i="1"/>
  <c r="I99" i="1"/>
  <c r="H99" i="1"/>
  <c r="M98" i="1"/>
  <c r="J98" i="1"/>
  <c r="G98" i="1"/>
  <c r="M97" i="1"/>
  <c r="J97" i="1"/>
  <c r="G97" i="1"/>
  <c r="M96" i="1"/>
  <c r="J96" i="1"/>
  <c r="G96" i="1"/>
  <c r="O95" i="1"/>
  <c r="N95" i="1"/>
  <c r="L95" i="1"/>
  <c r="K95" i="1"/>
  <c r="I95" i="1"/>
  <c r="H95" i="1"/>
  <c r="G166" i="5" l="1"/>
  <c r="F291" i="5"/>
  <c r="G185" i="5"/>
  <c r="G291" i="5"/>
  <c r="E292" i="5"/>
  <c r="E297" i="5"/>
  <c r="F298" i="5" s="1"/>
  <c r="E185" i="5"/>
  <c r="F185" i="5"/>
  <c r="J103" i="1"/>
  <c r="F136" i="5" s="1"/>
  <c r="F139" i="5" s="1"/>
  <c r="J99" i="1"/>
  <c r="F131" i="5" s="1"/>
  <c r="F134" i="5" s="1"/>
  <c r="G139" i="1"/>
  <c r="J95" i="1"/>
  <c r="F124" i="5" s="1"/>
  <c r="J107" i="1"/>
  <c r="F141" i="5" s="1"/>
  <c r="F143" i="5" s="1"/>
  <c r="M95" i="1"/>
  <c r="G124" i="5" s="1"/>
  <c r="G99" i="1"/>
  <c r="E131" i="5" s="1"/>
  <c r="E134" i="5" s="1"/>
  <c r="M99" i="1"/>
  <c r="G131" i="5" s="1"/>
  <c r="G134" i="5" s="1"/>
  <c r="M103" i="1"/>
  <c r="G136" i="5" s="1"/>
  <c r="G139" i="5" s="1"/>
  <c r="M107" i="1"/>
  <c r="G141" i="5" s="1"/>
  <c r="G143" i="5" s="1"/>
  <c r="G107" i="1"/>
  <c r="E141" i="5" s="1"/>
  <c r="E143" i="5" s="1"/>
  <c r="G103" i="1"/>
  <c r="E136" i="5" s="1"/>
  <c r="E139" i="5" s="1"/>
  <c r="G95" i="1"/>
  <c r="E124" i="5" s="1"/>
  <c r="M162" i="1"/>
  <c r="J162" i="1"/>
  <c r="G162" i="1"/>
  <c r="M161" i="1"/>
  <c r="J161" i="1"/>
  <c r="G161" i="1"/>
  <c r="M160" i="1"/>
  <c r="J160" i="1"/>
  <c r="G160" i="1"/>
  <c r="O159" i="1"/>
  <c r="N159" i="1"/>
  <c r="L159" i="1"/>
  <c r="K159" i="1"/>
  <c r="I159" i="1"/>
  <c r="H159" i="1"/>
  <c r="M158" i="1"/>
  <c r="J158" i="1"/>
  <c r="G158" i="1"/>
  <c r="M157" i="1"/>
  <c r="J157" i="1"/>
  <c r="G157" i="1"/>
  <c r="M156" i="1"/>
  <c r="J156" i="1"/>
  <c r="G156" i="1"/>
  <c r="O155" i="1"/>
  <c r="N155" i="1"/>
  <c r="L155" i="1"/>
  <c r="K155" i="1"/>
  <c r="I155" i="1"/>
  <c r="H155" i="1"/>
  <c r="M94" i="1"/>
  <c r="J94" i="1"/>
  <c r="G94" i="1"/>
  <c r="M93" i="1"/>
  <c r="J93" i="1"/>
  <c r="G93" i="1"/>
  <c r="O91" i="1"/>
  <c r="M92" i="1"/>
  <c r="J92" i="1"/>
  <c r="I91" i="1"/>
  <c r="G92" i="1"/>
  <c r="N91" i="1"/>
  <c r="L91" i="1"/>
  <c r="K91" i="1"/>
  <c r="H91" i="1"/>
  <c r="M90" i="1"/>
  <c r="J90" i="1"/>
  <c r="G90" i="1"/>
  <c r="M89" i="1"/>
  <c r="J89" i="1"/>
  <c r="G89" i="1"/>
  <c r="M88" i="1"/>
  <c r="J88" i="1"/>
  <c r="G88" i="1"/>
  <c r="O87" i="1"/>
  <c r="N87" i="1"/>
  <c r="L87" i="1"/>
  <c r="K87" i="1"/>
  <c r="I87" i="1"/>
  <c r="H87" i="1"/>
  <c r="M86" i="1"/>
  <c r="J86" i="1"/>
  <c r="G86" i="1"/>
  <c r="M85" i="1"/>
  <c r="J85" i="1"/>
  <c r="G85" i="1"/>
  <c r="N83" i="1"/>
  <c r="H72" i="1"/>
  <c r="O74" i="1"/>
  <c r="N74" i="1"/>
  <c r="O73" i="1"/>
  <c r="N73" i="1"/>
  <c r="N72" i="1"/>
  <c r="N11" i="1" s="1"/>
  <c r="L74" i="1"/>
  <c r="K74" i="1"/>
  <c r="L73" i="1"/>
  <c r="K73" i="1"/>
  <c r="K72" i="1"/>
  <c r="H73" i="1"/>
  <c r="I73" i="1"/>
  <c r="H74" i="1"/>
  <c r="I74" i="1"/>
  <c r="O17" i="1"/>
  <c r="N18" i="1"/>
  <c r="O18" i="1"/>
  <c r="K17" i="1"/>
  <c r="K18" i="1"/>
  <c r="L18" i="1"/>
  <c r="I17" i="1"/>
  <c r="I18" i="1"/>
  <c r="M82" i="1"/>
  <c r="J82" i="1"/>
  <c r="G82" i="1"/>
  <c r="M81" i="1"/>
  <c r="J81" i="1"/>
  <c r="G81" i="1"/>
  <c r="M80" i="1"/>
  <c r="L79" i="1"/>
  <c r="G80" i="1"/>
  <c r="N79" i="1"/>
  <c r="K79" i="1"/>
  <c r="H79" i="1"/>
  <c r="M78" i="1"/>
  <c r="J78" i="1"/>
  <c r="G78" i="1"/>
  <c r="M77" i="1"/>
  <c r="J77" i="1"/>
  <c r="G77" i="1"/>
  <c r="J76" i="1"/>
  <c r="O75" i="1"/>
  <c r="N75" i="1"/>
  <c r="K75" i="1"/>
  <c r="I75" i="1"/>
  <c r="H75" i="1"/>
  <c r="N9" i="1" l="1"/>
  <c r="M9" i="1" s="1"/>
  <c r="M11" i="1"/>
  <c r="J73" i="1"/>
  <c r="M159" i="1"/>
  <c r="G199" i="5" s="1"/>
  <c r="G201" i="5" s="1"/>
  <c r="G73" i="1"/>
  <c r="J74" i="1"/>
  <c r="M74" i="1"/>
  <c r="G159" i="1"/>
  <c r="E199" i="5" s="1"/>
  <c r="E201" i="5" s="1"/>
  <c r="M18" i="1"/>
  <c r="J87" i="1"/>
  <c r="F114" i="5" s="1"/>
  <c r="M73" i="1"/>
  <c r="M155" i="1"/>
  <c r="G195" i="5" s="1"/>
  <c r="G182" i="5" s="1"/>
  <c r="G155" i="1"/>
  <c r="E195" i="5" s="1"/>
  <c r="J159" i="1"/>
  <c r="F199" i="5" s="1"/>
  <c r="F201" i="5" s="1"/>
  <c r="G74" i="1"/>
  <c r="J91" i="1"/>
  <c r="F119" i="5" s="1"/>
  <c r="F122" i="5" s="1"/>
  <c r="J18" i="1"/>
  <c r="N71" i="1"/>
  <c r="J155" i="1"/>
  <c r="F195" i="5" s="1"/>
  <c r="M79" i="1"/>
  <c r="G107" i="5" s="1"/>
  <c r="G109" i="5" s="1"/>
  <c r="G91" i="1"/>
  <c r="E119" i="5" s="1"/>
  <c r="E122" i="5" s="1"/>
  <c r="M91" i="1"/>
  <c r="G119" i="5" s="1"/>
  <c r="G122" i="5" s="1"/>
  <c r="M87" i="1"/>
  <c r="G114" i="5" s="1"/>
  <c r="G87" i="1"/>
  <c r="E114" i="5" s="1"/>
  <c r="I83" i="1"/>
  <c r="J84" i="1"/>
  <c r="J83" i="1" s="1"/>
  <c r="K83" i="1"/>
  <c r="H83" i="1"/>
  <c r="L83" i="1"/>
  <c r="I72" i="1"/>
  <c r="I71" i="1" s="1"/>
  <c r="O72" i="1"/>
  <c r="O71" i="1" s="1"/>
  <c r="L72" i="1"/>
  <c r="K71" i="1"/>
  <c r="J75" i="1"/>
  <c r="G76" i="1"/>
  <c r="G75" i="1" s="1"/>
  <c r="E91" i="5" s="1"/>
  <c r="M76" i="1"/>
  <c r="J80" i="1"/>
  <c r="J79" i="1" s="1"/>
  <c r="F107" i="5" s="1"/>
  <c r="F109" i="5" s="1"/>
  <c r="G79" i="1"/>
  <c r="E107" i="5" s="1"/>
  <c r="E109" i="5" s="1"/>
  <c r="H71" i="1"/>
  <c r="I79" i="1"/>
  <c r="O79" i="1"/>
  <c r="L75" i="1"/>
  <c r="M66" i="1"/>
  <c r="J66" i="1"/>
  <c r="G66" i="1"/>
  <c r="M65" i="1"/>
  <c r="J65" i="1"/>
  <c r="G65" i="1"/>
  <c r="M64" i="1"/>
  <c r="J64" i="1"/>
  <c r="G64" i="1"/>
  <c r="O63" i="1"/>
  <c r="N63" i="1"/>
  <c r="L63" i="1"/>
  <c r="K63" i="1"/>
  <c r="I63" i="1"/>
  <c r="H63" i="1"/>
  <c r="M62" i="1"/>
  <c r="J62" i="1"/>
  <c r="G62" i="1"/>
  <c r="M61" i="1"/>
  <c r="J61" i="1"/>
  <c r="G61" i="1"/>
  <c r="M60" i="1"/>
  <c r="J60" i="1"/>
  <c r="G60" i="1"/>
  <c r="O59" i="1"/>
  <c r="N59" i="1"/>
  <c r="L59" i="1"/>
  <c r="K59" i="1"/>
  <c r="I59" i="1"/>
  <c r="H59" i="1"/>
  <c r="M58" i="1"/>
  <c r="J58" i="1"/>
  <c r="G58" i="1"/>
  <c r="M57" i="1"/>
  <c r="J57" i="1"/>
  <c r="G57" i="1"/>
  <c r="M56" i="1"/>
  <c r="J56" i="1"/>
  <c r="G56" i="1"/>
  <c r="O55" i="1"/>
  <c r="N55" i="1"/>
  <c r="L55" i="1"/>
  <c r="K55" i="1"/>
  <c r="I55" i="1"/>
  <c r="H55" i="1"/>
  <c r="M54" i="1"/>
  <c r="J54" i="1"/>
  <c r="G54" i="1"/>
  <c r="M53" i="1"/>
  <c r="J53" i="1"/>
  <c r="G53" i="1"/>
  <c r="M52" i="1"/>
  <c r="J52" i="1"/>
  <c r="G52" i="1"/>
  <c r="O51" i="1"/>
  <c r="N51" i="1"/>
  <c r="L51" i="1"/>
  <c r="K51" i="1"/>
  <c r="I51" i="1"/>
  <c r="H51" i="1"/>
  <c r="M50" i="1"/>
  <c r="J50" i="1"/>
  <c r="G50" i="1"/>
  <c r="M49" i="1"/>
  <c r="J49" i="1"/>
  <c r="G49" i="1"/>
  <c r="M48" i="1"/>
  <c r="G57" i="5" s="1"/>
  <c r="G60" i="5" s="1"/>
  <c r="J48" i="1"/>
  <c r="F57" i="5" s="1"/>
  <c r="F60" i="5" s="1"/>
  <c r="G48" i="1"/>
  <c r="E57" i="5" s="1"/>
  <c r="E60" i="5" s="1"/>
  <c r="O47" i="1"/>
  <c r="N47" i="1"/>
  <c r="L47" i="1"/>
  <c r="K47" i="1"/>
  <c r="I47" i="1"/>
  <c r="H47" i="1"/>
  <c r="M46" i="1"/>
  <c r="J46" i="1"/>
  <c r="G46" i="1"/>
  <c r="M45" i="1"/>
  <c r="J45" i="1"/>
  <c r="G45" i="1"/>
  <c r="M44" i="1"/>
  <c r="J44" i="1"/>
  <c r="G44" i="1"/>
  <c r="O43" i="1"/>
  <c r="N43" i="1"/>
  <c r="L43" i="1"/>
  <c r="K43" i="1"/>
  <c r="I43" i="1"/>
  <c r="H43" i="1"/>
  <c r="M42" i="1"/>
  <c r="M41" i="1"/>
  <c r="M40" i="1"/>
  <c r="G48" i="5" s="1"/>
  <c r="G51" i="5" s="1"/>
  <c r="J42" i="1"/>
  <c r="J41" i="1"/>
  <c r="J40" i="1"/>
  <c r="F48" i="5" s="1"/>
  <c r="F51" i="5" s="1"/>
  <c r="G42" i="1"/>
  <c r="G41" i="1"/>
  <c r="G40" i="1"/>
  <c r="E48" i="5" s="1"/>
  <c r="E51" i="5" s="1"/>
  <c r="M38" i="1"/>
  <c r="M37" i="1"/>
  <c r="M36" i="1"/>
  <c r="J38" i="1"/>
  <c r="J37" i="1"/>
  <c r="J36" i="1"/>
  <c r="G38" i="1"/>
  <c r="G37" i="1"/>
  <c r="G36" i="1"/>
  <c r="I31" i="1"/>
  <c r="M34" i="1"/>
  <c r="M33" i="1"/>
  <c r="J34" i="1"/>
  <c r="J33" i="1"/>
  <c r="G33" i="1"/>
  <c r="G34" i="1"/>
  <c r="N31" i="1"/>
  <c r="J32" i="1"/>
  <c r="F40" i="5" s="1"/>
  <c r="F42" i="5" s="1"/>
  <c r="G32" i="1"/>
  <c r="E40" i="5" s="1"/>
  <c r="E42" i="5" s="1"/>
  <c r="N27" i="1"/>
  <c r="K27" i="1"/>
  <c r="O39" i="1"/>
  <c r="N39" i="1"/>
  <c r="L39" i="1"/>
  <c r="K39" i="1"/>
  <c r="I39" i="1"/>
  <c r="H39" i="1"/>
  <c r="O35" i="1"/>
  <c r="N35" i="1"/>
  <c r="L35" i="1"/>
  <c r="K35" i="1"/>
  <c r="I35" i="1"/>
  <c r="H35" i="1"/>
  <c r="O31" i="1"/>
  <c r="L31" i="1"/>
  <c r="O27" i="1"/>
  <c r="L27" i="1"/>
  <c r="I27" i="1"/>
  <c r="O23" i="1"/>
  <c r="I23" i="1"/>
  <c r="J21" i="1"/>
  <c r="N19" i="1"/>
  <c r="K19" i="1"/>
  <c r="H19" i="1"/>
  <c r="G113" i="5" l="1"/>
  <c r="G111" i="5" s="1"/>
  <c r="F113" i="5"/>
  <c r="F111" i="5" s="1"/>
  <c r="E113" i="5"/>
  <c r="E111" i="5" s="1"/>
  <c r="G197" i="5"/>
  <c r="G180" i="5"/>
  <c r="L71" i="1"/>
  <c r="F197" i="5"/>
  <c r="F182" i="5"/>
  <c r="F180" i="5" s="1"/>
  <c r="F117" i="5"/>
  <c r="F90" i="5"/>
  <c r="F88" i="5" s="1"/>
  <c r="F6" i="5" s="1"/>
  <c r="E197" i="5"/>
  <c r="E182" i="5"/>
  <c r="E180" i="5" s="1"/>
  <c r="E90" i="5"/>
  <c r="E88" i="5" s="1"/>
  <c r="E117" i="5"/>
  <c r="G117" i="5"/>
  <c r="J72" i="1"/>
  <c r="J71" i="1" s="1"/>
  <c r="G84" i="1"/>
  <c r="O83" i="1"/>
  <c r="M84" i="1"/>
  <c r="G72" i="1"/>
  <c r="G71" i="1" s="1"/>
  <c r="H31" i="1"/>
  <c r="M72" i="1"/>
  <c r="M71" i="1" s="1"/>
  <c r="G31" i="1"/>
  <c r="G51" i="1"/>
  <c r="E62" i="5" s="1"/>
  <c r="E64" i="5" s="1"/>
  <c r="M75" i="1"/>
  <c r="J31" i="1"/>
  <c r="J35" i="1"/>
  <c r="F44" i="5" s="1"/>
  <c r="F46" i="5" s="1"/>
  <c r="M35" i="1"/>
  <c r="G44" i="5" s="1"/>
  <c r="G46" i="5" s="1"/>
  <c r="G63" i="1"/>
  <c r="E79" i="5" s="1"/>
  <c r="E82" i="5" s="1"/>
  <c r="M63" i="1"/>
  <c r="G79" i="5" s="1"/>
  <c r="M59" i="1"/>
  <c r="G75" i="5" s="1"/>
  <c r="G77" i="5" s="1"/>
  <c r="K31" i="1"/>
  <c r="M32" i="1"/>
  <c r="J51" i="1"/>
  <c r="F62" i="5" s="1"/>
  <c r="F64" i="5" s="1"/>
  <c r="G39" i="1"/>
  <c r="J39" i="1"/>
  <c r="M43" i="1"/>
  <c r="G53" i="5" s="1"/>
  <c r="J47" i="1"/>
  <c r="J59" i="1"/>
  <c r="F75" i="5" s="1"/>
  <c r="F77" i="5" s="1"/>
  <c r="J63" i="1"/>
  <c r="F79" i="5" s="1"/>
  <c r="F82" i="5" s="1"/>
  <c r="J55" i="1"/>
  <c r="F72" i="5" s="1"/>
  <c r="G59" i="1"/>
  <c r="E75" i="5" s="1"/>
  <c r="J43" i="1"/>
  <c r="F53" i="5" s="1"/>
  <c r="M47" i="1"/>
  <c r="M55" i="1"/>
  <c r="G66" i="5" s="1"/>
  <c r="G72" i="5" s="1"/>
  <c r="G55" i="1"/>
  <c r="E66" i="5" s="1"/>
  <c r="E72" i="5" s="1"/>
  <c r="M51" i="1"/>
  <c r="G62" i="5" s="1"/>
  <c r="G64" i="5" s="1"/>
  <c r="G47" i="1"/>
  <c r="G43" i="1"/>
  <c r="E53" i="5" s="1"/>
  <c r="M39" i="1"/>
  <c r="G35" i="1"/>
  <c r="E44" i="5" s="1"/>
  <c r="E46" i="5" s="1"/>
  <c r="M30" i="1"/>
  <c r="M29" i="1"/>
  <c r="M28" i="1"/>
  <c r="J30" i="1"/>
  <c r="J29" i="1"/>
  <c r="J28" i="1"/>
  <c r="G30" i="1"/>
  <c r="G29" i="1"/>
  <c r="N17" i="1"/>
  <c r="M12" i="1" s="1"/>
  <c r="L17" i="1"/>
  <c r="K16" i="1"/>
  <c r="J11" i="1" s="1"/>
  <c r="H26" i="1"/>
  <c r="H18" i="1" s="1"/>
  <c r="H17" i="1"/>
  <c r="M26" i="1"/>
  <c r="M25" i="1"/>
  <c r="M24" i="1"/>
  <c r="G27" i="5" s="1"/>
  <c r="G30" i="5" s="1"/>
  <c r="J26" i="1"/>
  <c r="M22" i="1"/>
  <c r="M21" i="1"/>
  <c r="J22" i="1"/>
  <c r="G22" i="1"/>
  <c r="G21" i="1"/>
  <c r="O16" i="1"/>
  <c r="I16" i="1"/>
  <c r="M83" i="1" l="1"/>
  <c r="L15" i="1"/>
  <c r="M31" i="1"/>
  <c r="G40" i="5"/>
  <c r="G42" i="5" s="1"/>
  <c r="G90" i="5"/>
  <c r="G88" i="5" s="1"/>
  <c r="I15" i="1"/>
  <c r="M17" i="1"/>
  <c r="O15" i="1"/>
  <c r="K15" i="1"/>
  <c r="J17" i="1"/>
  <c r="G83" i="1"/>
  <c r="N15" i="1"/>
  <c r="H16" i="1"/>
  <c r="G25" i="1"/>
  <c r="K23" i="1"/>
  <c r="J27" i="1"/>
  <c r="F32" i="5" s="1"/>
  <c r="G26" i="1"/>
  <c r="J25" i="1"/>
  <c r="L23" i="1"/>
  <c r="G28" i="1"/>
  <c r="H27" i="1"/>
  <c r="M23" i="1"/>
  <c r="N23" i="1"/>
  <c r="M27" i="1"/>
  <c r="G32" i="5" s="1"/>
  <c r="G24" i="1"/>
  <c r="E27" i="5" s="1"/>
  <c r="E30" i="5" s="1"/>
  <c r="H23" i="1"/>
  <c r="J24" i="1"/>
  <c r="F27" i="5" s="1"/>
  <c r="F30" i="5" s="1"/>
  <c r="J20" i="1"/>
  <c r="J19" i="1" s="1"/>
  <c r="F22" i="5" s="1"/>
  <c r="F25" i="5" s="1"/>
  <c r="L19" i="1"/>
  <c r="G20" i="1"/>
  <c r="I19" i="1"/>
  <c r="M20" i="1"/>
  <c r="M19" i="1" s="1"/>
  <c r="G22" i="5" s="1"/>
  <c r="G9" i="5" s="1"/>
  <c r="O19" i="1"/>
  <c r="F21" i="5" l="1"/>
  <c r="F19" i="5" s="1"/>
  <c r="G25" i="5"/>
  <c r="G21" i="5"/>
  <c r="G19" i="5" s="1"/>
  <c r="H15" i="1"/>
  <c r="G19" i="1"/>
  <c r="G23" i="1"/>
  <c r="G27" i="1"/>
  <c r="J23" i="1"/>
  <c r="M16" i="1"/>
  <c r="J16" i="1"/>
  <c r="G17" i="1"/>
  <c r="G18" i="1"/>
  <c r="G16" i="1"/>
  <c r="G6" i="5" l="1"/>
  <c r="G8" i="5" s="1"/>
  <c r="M15" i="1"/>
  <c r="P11" i="1"/>
  <c r="F8" i="5"/>
  <c r="E32" i="5"/>
  <c r="E22" i="5"/>
  <c r="G11" i="1"/>
  <c r="G15" i="1"/>
  <c r="J12" i="1"/>
  <c r="K9" i="1"/>
  <c r="H9" i="1"/>
  <c r="M13" i="1"/>
  <c r="L9" i="1"/>
  <c r="I9" i="1"/>
  <c r="G13" i="1"/>
  <c r="J13" i="1"/>
  <c r="J15" i="1"/>
  <c r="G12" i="1"/>
  <c r="J9" i="1" l="1"/>
  <c r="E25" i="5"/>
  <c r="E21" i="5"/>
  <c r="C11" i="1"/>
  <c r="C12" i="1"/>
  <c r="C13" i="1"/>
  <c r="G9" i="1"/>
  <c r="E19" i="5" l="1"/>
  <c r="E8" i="5" s="1"/>
  <c r="C10" i="1"/>
  <c r="C7" i="5" l="1"/>
</calcChain>
</file>

<file path=xl/sharedStrings.xml><?xml version="1.0" encoding="utf-8"?>
<sst xmlns="http://schemas.openxmlformats.org/spreadsheetml/2006/main" count="2175" uniqueCount="706">
  <si>
    <t>№ оперативної цілі</t>
  </si>
  <si>
    <t xml:space="preserve">Назва завдання та заходу </t>
  </si>
  <si>
    <t>КПКВК</t>
  </si>
  <si>
    <t>Джерела фінансування</t>
  </si>
  <si>
    <t>Обсяги фінансування програми, тис грн</t>
  </si>
  <si>
    <t>Усього</t>
  </si>
  <si>
    <t>загал. фонд</t>
  </si>
  <si>
    <t>спец. фонд</t>
  </si>
  <si>
    <t xml:space="preserve">
</t>
  </si>
  <si>
    <t xml:space="preserve">Виконавець
ГРБК
</t>
  </si>
  <si>
    <t xml:space="preserve">2024 рік (план) </t>
  </si>
  <si>
    <t>Всього на виконання програми, у т.ч.</t>
  </si>
  <si>
    <t>Бюджет ТГ</t>
  </si>
  <si>
    <t>Державний бюджет</t>
  </si>
  <si>
    <t>Інші джерела</t>
  </si>
  <si>
    <t xml:space="preserve">Перелік завдань і заходів 
Комплексної цільової програми реформування і розвитку житлово-комунального господарства Сумської міської територіальної громади на 2022 - 2024 роки </t>
  </si>
  <si>
    <t xml:space="preserve">2022 рік (план) </t>
  </si>
  <si>
    <t xml:space="preserve">2023 рік (план) </t>
  </si>
  <si>
    <t>6030, 7461, 7462</t>
  </si>
  <si>
    <t>Департамент інфраструктури міста Сумської міської ради, Управління капітального будівництва та дорожнього господарства Сумської міської ради</t>
  </si>
  <si>
    <t>Департамент інфраструктури міста Сумської міської ради, Управління капітального будівництва та дорожнього господарства, Департамент забезпечення ресурсних платежів СМР, Управління архітектури та містобудування СМР та інші суб'єкти господарювання</t>
  </si>
  <si>
    <t>Всього:</t>
  </si>
  <si>
    <t>Завдання 1.1. "Забезпечення проведення капітального ремонту вулично-дорожньої мережі та штучних споруд, внутрішньоквартальних проїзних доріг"</t>
  </si>
  <si>
    <t>Завдання 1.2. "Забезпечення проведення поточного ремонту вулично-дорожньої мережі та штучних споруд"</t>
  </si>
  <si>
    <t>Завдання 1.3. "Забезпечення проведення утримання вулично-дорожньої мережі та штучних споруд (чищення доріг, замітання вулиць, прибирання снігу, посипання піском тощо.)"</t>
  </si>
  <si>
    <t>Департамент інфраструктури міста СМР  та інші суб'єкти господарювання</t>
  </si>
  <si>
    <t>Завдання 1.5. "Поточний та капітальний ремонт зупинок громадського транспорту"</t>
  </si>
  <si>
    <t>Завдання 1. "Проведення ремонту та утримання об'єктів транспортної інфраструктури  Сумської міської територіальної громади на 2022 - 2024 роки, в тому числі в приватному секторі", у т.ч.</t>
  </si>
  <si>
    <t>Завдання 1.6. "Забезпечення проведення поточного ремонту проїздів, тротуарів, велосипедних доріжок"</t>
  </si>
  <si>
    <t>Департамент інфраструктури міста Сумської міської ради, Управління капітального будівництва та дорожнього господарства Сумської міської ради та інші суб'єкти господарювання</t>
  </si>
  <si>
    <t>Завдання 1.4. "Забезпечення проведення поточного ремонту та улаштування огорож"</t>
  </si>
  <si>
    <t>Завдання 1.7. "Забезпечення проведення  утримання та обслуговування технічних засобів регулювання дорожнім рухом"</t>
  </si>
  <si>
    <t>Завдання 1.8. "Забезпечення проведення ремонту мостів,  шляхопроводів та пішохідних мостів "</t>
  </si>
  <si>
    <t>Завдання 1.9. "Забезпечення встановлення, проведення поточного та капітального ремонтів технічних засобів регулювання дорожнім рухом"</t>
  </si>
  <si>
    <t>Завдання 1.10. "Забезпечення улаштування нових та розширення існуючих тротуарів, пішохідних та велосипедних доріжок"</t>
  </si>
  <si>
    <t>Завдання 1.11. "Забезпечення проведення капітального ремонту об'єктів транспортної інфраструктури"</t>
  </si>
  <si>
    <t>Завдання 1.12. "Забезпечення проведення благоустрою населених пунктів вулично-дорожньої мережі та штучних споруд"</t>
  </si>
  <si>
    <t>Завдання 2. "Забезпечення функціонування мереж зовнішнього освітлення Сумської міської територіальної громади на 2022 - 2024 роки, в тому числі в приватному секторі", у т.ч.</t>
  </si>
  <si>
    <t>Департамент інфраструктури міста Сумської міської ради  та інші суб'єкти господарювання</t>
  </si>
  <si>
    <t>Завдання 2.1. "Забезпечення проведення технічного обслуговування, поточного та капітального ремонту  мереж зовнішнього освітлення"</t>
  </si>
  <si>
    <t>Завдання 2.2. "Освітлення вулиць (оплата електроенергії вуличного освітлення), в тому числі судовий збір, сплата по судовому рішенню"</t>
  </si>
  <si>
    <t>Завдання 3. "Збереження та утримання на належному рівні зеленої зони Сумської міської територіальної громади  та поліпшення її екологічних умов, організація громадських робіт, в тому числі в приватному секторі", у т.ч.</t>
  </si>
  <si>
    <t>Завдання 3.1. "Догляд за деревами та кущами (видалення сухостійних (порослі) та аварійних дерев з навантаженням та вивезенням деревени, обрізання крон дерев і кущів, вирубування пристовбурової порослі, полив та підживлення дерев і кущів, корчування пнів, в парках і садах, прополювання пристовбурових ямок)"</t>
  </si>
  <si>
    <t>Завдання 3.2. "Поточний ремонт та утримання парків, скверів міста, зелених зон та пляжів на території територіальної громади (систематичне очищення (прибирання) доріжок, алей, сходів на обєктах благоустрою, збирання та вивезення сміття та опалого листя, систематичне очищення урн від сміття в парках та скверах міста)"</t>
  </si>
  <si>
    <t>Завдання 3.4. "Садіння нових дерев і кущів "</t>
  </si>
  <si>
    <t>Завдання 3.5. "Садіння квіткових рослин (цибулинних)(у тому числі і багаторічних) у квітках з усіма попередніми супровідними роботами"</t>
  </si>
  <si>
    <t>Завдання 3.6. "Догляд за трояндами"</t>
  </si>
  <si>
    <t>Завдання 3.7. "Організація та проведення оплачуваних громадських робіт на умовах співфінансування з Сумським міським центром зайнятості (50 %/ 50 %)"</t>
  </si>
  <si>
    <t>Завдання 3.8. "Утримання дитячого парку "Казка""</t>
  </si>
  <si>
    <t>Завдання 3.9. "Прополювання трави (амброзії) "</t>
  </si>
  <si>
    <t>Завдання 3.3. "Догляд за газонами (косіння (викошування) та прибирання скошеної трави на газонах, підсів трави на газонах, просічування газонів, поливання та підживлення газонів у скверах та парках міста збирання та вивезення сміття та опалого листя по загальних обєктах міста, водопостачання газонів), створення та відновлення газонів по місту"</t>
  </si>
  <si>
    <t>Завдання 3.10. "Утримання майданчику для складування відходів по вул. М.Лукаша"</t>
  </si>
  <si>
    <t xml:space="preserve"> Завдання 4. Забезпечення благоустрою кладовищ, діяльності спецслужби, поховання безрідних Сумської міської територіальної громади та організація громадських робіт</t>
  </si>
  <si>
    <t>6030, 3210</t>
  </si>
  <si>
    <t>6030,3210</t>
  </si>
  <si>
    <t>Завдання 4.1. "Забезпечення утримання кладовищ"</t>
  </si>
  <si>
    <t>Завдання 4.2. "Забезпечення поточного ремонту, утримання місць поховань та елементів благоустрою"</t>
  </si>
  <si>
    <t>Завдання 4.3. "Забезпечення діяльності спецслужби"</t>
  </si>
  <si>
    <t>Завдання 4.4. "Забезпечення поховання безрідних"</t>
  </si>
  <si>
    <t>Завдання 4.5. "Забезпечення сервісного обслуговування водогонів"</t>
  </si>
  <si>
    <t>Завдання 4.6. "Забезпечення поховання  тіл (останків) загиблих військовослужбовців збройних сил Російської Федерації, осіб, які входили до складу незаконних збройних формувань, що вчинили збройну агресію проти України"</t>
  </si>
  <si>
    <t>Завдання 4.7. "Організація та проведення оплачуваних громадських робіт на умовах співфінансування з Сумським міським центром зайнятості (50 %/ 50 %)"</t>
  </si>
  <si>
    <t xml:space="preserve"> Завдання 5. Забезпечення санітарної очистки території Сумської міської територіальної громади, в тому числі в приватному секторі</t>
  </si>
  <si>
    <t>6030</t>
  </si>
  <si>
    <t>Завдання 5.1. "Забезпечення санітарної очистки території міста Суми (послуги зі збирання безпечних відходів, непридатних для вторинного використовування (прибирання урн від сміття по місту)"</t>
  </si>
  <si>
    <t>Завдання 5.2. "Забезпечення утримання в належному стані об'єктів благоустрою міста Суми (утримання зупинок громадського транспорту)"</t>
  </si>
  <si>
    <t>Завдання 5.3. "Забезпечення придбання та встановлення урн "</t>
  </si>
  <si>
    <t>Завдання 5.4. "Забезпечення збирання та вивезення сміття на території Сумської міської територіальної громади (після проведення місячника благоустрою), в тому числі в приватному секторі"</t>
  </si>
  <si>
    <t>Завдання 5.5. "Догляд за об'єктами благоустрою загального користування: ліквідація несанкціонованих і неконтрольованих звалищ відходів , в тому числі в приватному секторі"</t>
  </si>
  <si>
    <t>Завдання 5.7. "Перевезення тимчасово складованих побутових відходів на полігон для складування твердих побутових відходів"</t>
  </si>
  <si>
    <t>6030, 6014</t>
  </si>
  <si>
    <t xml:space="preserve"> Завдання 6. Поточний ремонт та утримання в належному стані об'єктів благоустрою </t>
  </si>
  <si>
    <t>Завдання 6.1. "Технічне обслуговування насосної станції по вул.Круговій та по провул.Тихоріченський"</t>
  </si>
  <si>
    <t>Завдання 6.2. "Спостереження, технічне обслуговування та поточний ремонт системи санкціонованого проїзду на перехресті провул. Монастирський та вул. Воскресенської в м.Суми"</t>
  </si>
  <si>
    <t>Завдання 6.3. "Оплата за спожиту електроенергію насосною станцією по провул.Тихоріченський, фонтан площа Театральна,3 та пішохідного переходу на перехресті вул.Харківська та Героїв Сумщини"</t>
  </si>
  <si>
    <t>Завдання 6.4. "Поточний ремонт, утримання об'єктів та елементів благоустрою"</t>
  </si>
  <si>
    <t>Завдання 6.5. "Технічне обслуговування та поточний ремонт фонтанів"</t>
  </si>
  <si>
    <t>Завдання 6.6. "Забезпечення водопостачання фонтанів"</t>
  </si>
  <si>
    <t>Завдання 6.7. "Забезпечення утримання та поточного ремонту дитячих та спортивних майданчиків"</t>
  </si>
  <si>
    <t>Завдання 6.8. "Придбання та встановлення нових лавок"</t>
  </si>
  <si>
    <t>Завдання 6.9. "Забезпечення функціонування громадських вбиралень"</t>
  </si>
  <si>
    <t>Завдання 6.10. "Забезпечення поточного ремонту малих архітектурних форм на території Сумської міської територіальної громади"</t>
  </si>
  <si>
    <t xml:space="preserve"> Завдання 7. Забезпечення сприятливих умов для співіснування людей та тварин</t>
  </si>
  <si>
    <t xml:space="preserve"> Завдання 8. Капітальний ремонт об'єктів та елементів благоустрою на загальних об'єктах</t>
  </si>
  <si>
    <t>Завдання 9.1. "Проведення капітального ремонту житлових будинків"</t>
  </si>
  <si>
    <t>Завдання 9.2. "Співфінансування капітального ремонту житлового фонду"</t>
  </si>
  <si>
    <t>6011</t>
  </si>
  <si>
    <t xml:space="preserve"> Завдання 10.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</si>
  <si>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Завдання 11.1. "Оплата податку на земельну ділянку за адресою: м.Суми, вул.Привокзальна, 4/13 (каналізаційно-насосна станція)"</t>
  </si>
  <si>
    <t>Завдання 11.2. "Забезпечення оплати за видачу сертифікату, який видається у разі прийняття в експлуатацію об'єкта"</t>
  </si>
  <si>
    <t>Завдання 11.3. "Забезпечення постачання природного газу монументу "Вічна Слава""</t>
  </si>
  <si>
    <t>Завдання 11.4. "Проведення санації шахтних колодязів, в тому числі в приватному секторі"</t>
  </si>
  <si>
    <t>Завдання 11.5. "Проведення поточного ремонту шахтних колодязів, в тому числі в приватному секторі"</t>
  </si>
  <si>
    <t>Завдання 11.6. "Реалізація проєкту «Circular-based waste management» («Управління відходами на основі замкненого циклу»)в тому числі придбання спеціалізованої техніки (подрібнювач для будівельних та ремонтних відходів – шредер)"</t>
  </si>
  <si>
    <t>Завдання 11.7. "Орендна плата за користування земельною ділянкою полігону для розміщення твердих побутових відходів III черги (кадастровий номер 5922380800:06:001:0206, розташованої за межами населених пунктів на території Верхньосироватської сільської ради Сумського району (Великобобрицького старостинського округу Краснопільського району) Сумської області)"</t>
  </si>
  <si>
    <t>Завдання 11.8. "Надання послуги з розробки проекту: організація дорожнього руху "</t>
  </si>
  <si>
    <t>Завдання 11.9. "Забезпечення технічного обслуговування  камер відеоспостереження "</t>
  </si>
  <si>
    <t>Завдання 11.10. "Інші видатки у сфері житлово-комунального господарства "</t>
  </si>
  <si>
    <t>Завдання 11.11. "Придбання гусеничного бульдозеру"</t>
  </si>
  <si>
    <t>Завдання 11.12. "Демонтаж будівлі Ритуального залу на Ново – Центральному Баранівському  кладовищі  м.Суми"</t>
  </si>
  <si>
    <t>Департамент забезпечення ресурсних платежів СМР, Управління архітектури та містобудування СМР та інші суб'єкти господарювання</t>
  </si>
  <si>
    <t>6090</t>
  </si>
  <si>
    <t>7691</t>
  </si>
  <si>
    <t xml:space="preserve"> Завдання 14.  Забезпечення функціонування об'єктів житлово-комунального господарства</t>
  </si>
  <si>
    <t>6020</t>
  </si>
  <si>
    <t>6013</t>
  </si>
  <si>
    <t>7640</t>
  </si>
  <si>
    <t>7670</t>
  </si>
  <si>
    <t>9770</t>
  </si>
  <si>
    <t>6017</t>
  </si>
  <si>
    <t>Департамент інфраструктури міста СМР, КП "Сумижитло" СМР,                                                                                                                 КП "Сумитеплоенергоцентраль" СМР</t>
  </si>
  <si>
    <t>Виконавчий комітет СМР,                                                       КП "Міськводоканал" СМР</t>
  </si>
  <si>
    <t>8862, 7691</t>
  </si>
  <si>
    <t>6072</t>
  </si>
  <si>
    <t xml:space="preserve"> Департамент фінансів, економіки та інвестицій Сумської міської ради,  Департамент інфраструктури міста Сумської міської ради, суб'єкти господарювання</t>
  </si>
  <si>
    <t>Департамент інфраструктури міста СМР та інші суб'єкти господарювання</t>
  </si>
  <si>
    <t>6086, 7375</t>
  </si>
  <si>
    <t xml:space="preserve"> Завдання 11.13.  Регулювання діяльності у сфері розміщення зовнішньої реклами на території Сумської міської об'єднаної територіальної громади</t>
  </si>
  <si>
    <t>Завдання 11.13.1. "Придбання та виготовлення рекламних матеріалів  соціального характеру, рекламних матеріалів до святкових та урочистих подій "</t>
  </si>
  <si>
    <t>Завдання 11.13.2.  "Демонтаж  рекламних засобів, розміщених самовільно та з порушенням порядку розміщення зовнішньої реклами на території Сумської міської об'єднаної територіальної громади"</t>
  </si>
  <si>
    <t>Завдання 11.13.3. "Демонтаж незаконно (самовільно) встановлених елементів благоустрою, тимчасових збірно-розбірних індивідуальних гаражів, тимчасових споруд для здійснення підприємницької діяльності, побутового, соціально-культурного чи іншого призначення на території Сумської міської об'єднаної територіальної громади"</t>
  </si>
  <si>
    <t>Завдання 11.13.4. "Зберігання демонтованих елементів благоустрою, тимчасових збірно-розбірних індивідуальних гаражів, тимчасових споруд та рекламних засобів"</t>
  </si>
  <si>
    <t xml:space="preserve"> Завдання 12.  Виконання заходів за рахунок цільових фондів </t>
  </si>
  <si>
    <t>Завдання 12.1. "Садіння нових дерев і кущів за рахунок цільового фонду "</t>
  </si>
  <si>
    <t>Завдання 12.2. "Кошти ОСББ/співвласників передбачені на співфінансування капітального ремонту житлового фонду"</t>
  </si>
  <si>
    <t xml:space="preserve"> Завдання 13.   Забезпечення функціонування водопровідно-каналізаційного господарства, в тому числі в приватному секторі         </t>
  </si>
  <si>
    <t>Завдання 13.1. "Забезпечення охорони  каналізаційно-насосної станції за адресою м.Суми вул.Привокзальна 4/13"</t>
  </si>
  <si>
    <t>Завдання 13.2. "Фінансова підтримка  КП «Міськводоканал» СМР (придбання та заміна пожежних гідрантів, оновленння показчиків, ПГ )"</t>
  </si>
  <si>
    <t>Завдання 13.3. "Фінансова підтримка  КП «Міськводоканал» СМР (придбання водопровідних та каналізаційних люків)"</t>
  </si>
  <si>
    <t>Завдання 13.4. "Проведення капітального та поточного ремонту колекторів, водопровідних  та каналізаційних мереж"</t>
  </si>
  <si>
    <t>Завдання 13.5. "Надання послуг по обстеженню води на території старостинських округів, промивка та знезараження води"</t>
  </si>
  <si>
    <t>Завдання 13.6. "Поточний ремонт, утримання та технічне обслуговування водонапірних башт та свердловин"</t>
  </si>
  <si>
    <t>Завдання 13.7. "Поточний ремонт інших об'єктів - заміна насосного обладнання (придбання)"</t>
  </si>
  <si>
    <t xml:space="preserve"> Завдання 15.   Впровадження енергозберігаючих заходів</t>
  </si>
  <si>
    <t>Завдання 15.1. "Відшкодування з бюджету Сумської міської територіальної громади відсотків за кредитами, залученими населенням (фізичними особами), на впровадження енергозберігаючих заходів"</t>
  </si>
  <si>
    <t>Завдання 15.2.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житлово-будівельними кооперативами на впровадження енергозберігаючих заходів (програма "Енергодім")"</t>
  </si>
  <si>
    <t>Завдання 15.3.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на впровадження заходів енергоефективності"</t>
  </si>
  <si>
    <t xml:space="preserve"> Завдання 16.   Забезпечення зміцнення матеріально-технічної бази підприємств комунальної форми власності</t>
  </si>
  <si>
    <t xml:space="preserve"> Завдання 17.   Створення сприятливих умов проживання населення та забезпечення надання життєво необхідних послуг</t>
  </si>
  <si>
    <t xml:space="preserve"> Завдання 18.    Забезпечення надійного та безперебійного функціонування житлово-експлуатаційного господарства</t>
  </si>
  <si>
    <t xml:space="preserve"> Завдання 19.   Заходи з будівництва, реставрації та реконструкції </t>
  </si>
  <si>
    <t>Завдання 19.1. "Заходи з будівництва об'єктів житлово-комунального господарства"</t>
  </si>
  <si>
    <t>Завдання 19.2. "Заходи з будівництва, реставрації  та реконструкції  інших об'єктів комунальної власності "</t>
  </si>
  <si>
    <t>Завдання 19.3. "Заходи з будівництва, реставрації  та реконструкції пам'яток архітектури"</t>
  </si>
  <si>
    <t xml:space="preserve"> Завдання 20.   Надання та повернення бюджетних позичок на поворотній основі </t>
  </si>
  <si>
    <t>Завдання 20.1. "Повернення бюджетних позичок на поворотній основі"</t>
  </si>
  <si>
    <t>Завдання 20.2. "Повернення бюджетних позичок на поворотній основі"</t>
  </si>
  <si>
    <t xml:space="preserve"> Завдання 21.  Погашення заборгованості з різниці в тарифах, що підлягає урегулюванню згідно із Законом України «Про заходи,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 на 2022 рік</t>
  </si>
  <si>
    <r>
      <rPr>
        <b/>
        <sz val="16"/>
        <color theme="1"/>
        <rFont val="Times New Roman"/>
        <family val="1"/>
        <charset val="204"/>
      </rPr>
      <t>Мета програми</t>
    </r>
    <r>
      <rPr>
        <sz val="16"/>
        <color theme="1"/>
        <rFont val="Times New Roman"/>
        <family val="1"/>
        <charset val="204"/>
      </rPr>
      <t>: Здійснення заходів щодо підвищення ефективності та надійного функціонування житлово-комунального господарства, забезпечення сталого розвитку для задоволення потреб населення міста в житлово-комунальних послугах належної якості, що відповідає встановленим нормативам та стандартам</t>
    </r>
  </si>
  <si>
    <t>Завдання 22.1.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t>
  </si>
  <si>
    <t>Завдання 22.2. "Інша діяльність щодо забезпечення житлом громадян"</t>
  </si>
  <si>
    <t>Завдання 1.13. "Забезпечення проведення обстеження та експертизи мостів та шляхопроводів"</t>
  </si>
  <si>
    <t xml:space="preserve">Департамент інфраструктури міста Сумської міської ради, Департамент забезпечення ресурсних платежів СМР, Управління архітектури та містобудування СМР та інші суб'єкти господарювання </t>
  </si>
  <si>
    <t>Департамент інфраструктури міста Сумської міської ради</t>
  </si>
  <si>
    <t>7310, 7383, 7384</t>
  </si>
  <si>
    <t>7310, 7330, 7340, 7383, 7384</t>
  </si>
  <si>
    <t>Завдання 14.  Забезпечення функціонування об'єктів житлово-комунального господарства</t>
  </si>
  <si>
    <t xml:space="preserve"> Завдання 9. Капітальний ремонт обєктів житлового господарства Сумської міської територіальної громади на 2022 - 2024 роки</t>
  </si>
  <si>
    <t>тис. грн</t>
  </si>
  <si>
    <t>Оперативна ціль В.4 Комфортна громада</t>
  </si>
  <si>
    <t>Євген БРОВЕНКО</t>
  </si>
  <si>
    <t xml:space="preserve">Результативні показники/ індікатори 
Комплексної цільової  програми  реформування і розвитку житлово- комунального господарства Сумської міської територіальної громади на 2022- 2024 роки
</t>
  </si>
  <si>
    <t>Назва індикатора, завдання, заходу, відповідального виконавця, головного розпорядника бюджетних коштів*, найменування КПКВК</t>
  </si>
  <si>
    <t>Група результативних показників</t>
  </si>
  <si>
    <t>Назва результативного показника/індикатора програми</t>
  </si>
  <si>
    <t>Одиниця виміру</t>
  </si>
  <si>
    <t xml:space="preserve">2022 рік </t>
  </si>
  <si>
    <t xml:space="preserve">2023 рік </t>
  </si>
  <si>
    <t>2024 рік</t>
  </si>
  <si>
    <t>Всього по програмі:</t>
  </si>
  <si>
    <t>Продукту</t>
  </si>
  <si>
    <t>Якості</t>
  </si>
  <si>
    <t>Відповідальні виконавці: Департамент інфраструктури міста Сумської міської ради, Управління капітального будівництва та дорожнього господарства</t>
  </si>
  <si>
    <t>Завдання 1. Проведення ремонту  та утримання об'єктів транспортної інфраструктури, в тому числі в приватному секторі</t>
  </si>
  <si>
    <t xml:space="preserve">  Завдання: 1.1. Забезпечення проведення капітального ремонту вулично-дорожньої мережі та штучних споруд, внутрішньоквартальних проїзних доріг, в тому числі в приватному секторі</t>
  </si>
  <si>
    <t>Витрат</t>
  </si>
  <si>
    <t>Витрати на проведення капітального ремонту вулично-дорожньої мережі та штучних споруд, внутрішньоквартальних проїзних доріг, в тому числі в приватному секторі</t>
  </si>
  <si>
    <t>Загальна площа вулично-дорожньої мережі, що потребує капітального ремонту</t>
  </si>
  <si>
    <t>кв.м</t>
  </si>
  <si>
    <t>Площа вуличної-дорожньої мережі, яка охоплена капітальним ремонтом</t>
  </si>
  <si>
    <t>Ефективності</t>
  </si>
  <si>
    <t>Середня вартість капітального ремонту 1 кв. м вулично-дорожньої мережі</t>
  </si>
  <si>
    <t>% доріг з проведеним капітальним ремонтом від потребуючих ремонту</t>
  </si>
  <si>
    <t>%</t>
  </si>
  <si>
    <t xml:space="preserve">  Завдання: 1.2. Забезпечення проведення поточного ремонту вулично-дорожньої мережі та штучних споруд, в тому числі в приватному секторі</t>
  </si>
  <si>
    <t>Витрати на проведення поточного ремонту вулично-дорожньої мережі та штучних споруд, в тому числі в приватному секторі</t>
  </si>
  <si>
    <t>Загальна площа вулично-дорожньої мережі, що потребує поточного ремонту</t>
  </si>
  <si>
    <t>Площа вуличної-дорожньої мережі, яка охоплена поточним ремонтом</t>
  </si>
  <si>
    <t>Середня вартість поточного ремонту 1 кв. м вулично-дорожньої мережі</t>
  </si>
  <si>
    <t xml:space="preserve">  Завдання 1.4. "Забезпечення проведення поточного ремонту та улаштування огорож"</t>
  </si>
  <si>
    <t xml:space="preserve">  Завдання 1.6. "Забезпечення проведення поточного ремонту проїздів, тротуарів, велосипедних доріжок"</t>
  </si>
  <si>
    <t xml:space="preserve">  Завдання 1.7. "Забезпечення проведення  утримання та обслуговування технічних засобів регулювання дорожнім рухом"</t>
  </si>
  <si>
    <t xml:space="preserve">КПКВК 6030 «Організація благоустрою населених пунктів», </t>
  </si>
  <si>
    <t xml:space="preserve">  Завдання 2.2. "Освітлення вулиць (оплата електроенергії вуличного освітлення), в тому числі судовий збір, сплата по судовому рішенню"</t>
  </si>
  <si>
    <t>КПКВК 6030 «Організація благоустрою населених пунктів», 3210 "Організація та проведення громадських робіт»</t>
  </si>
  <si>
    <t xml:space="preserve">  Завдання 3.2. "Поточний ремонт та утримання парків, скверів міста, зелених зон та пляжів на території територіальної громади (систематичне очищення (прибирання) доріжок, алей, сходів на обєктах благоустрою, збирання та вивезення сміття та опалого листя, систематичне очищення урн від сміття в парках та скверах міста)"</t>
  </si>
  <si>
    <t xml:space="preserve"> Завдання 3.7. "Організація та проведення оплачуваних громадських робіт на умовах співфінансування з Сумським міським центром зайнятості (50 %/ 50 %)"</t>
  </si>
  <si>
    <t>Відповідальні виконавці: Департамент інфраструктури міста Сумської міської ради, інші суб'єкти господарювання</t>
  </si>
  <si>
    <t>Завдання 4. Забезпечення благоустрою кладовищ, діяльності спецслужби, поховання безрідних Сумської міської територіальної громади та організація громадських робіт</t>
  </si>
  <si>
    <t xml:space="preserve"> Завдання 4.2. "Забезпечення поточного ремонту, утримання місць поховань та елементів благоустрою"</t>
  </si>
  <si>
    <t>Обсяг електроенергії передбаченої для безперебійної роботи вуличного освітлення, кВт/год</t>
  </si>
  <si>
    <t xml:space="preserve">    Показник: середня вартість 1 кВт/год електроенергії необхідної для безперебійної роботи вуличного освітлення, грн</t>
  </si>
  <si>
    <t>%  використання електричної енергії</t>
  </si>
  <si>
    <t>Витрати на безперебійну роботу вуличного освітлення</t>
  </si>
  <si>
    <t xml:space="preserve"> кВт/год</t>
  </si>
  <si>
    <t xml:space="preserve"> грн</t>
  </si>
  <si>
    <t>загальна площа вулично-дорожньої мережі з асфальтобетонним покриттям</t>
  </si>
  <si>
    <t>площа вулично-дорожньої мережі, на якій  проведено роботи з очищення (утримання)</t>
  </si>
  <si>
    <t>Середня вартість очищення (утримання) 1 кв. м  вулично-дорожньої мережі</t>
  </si>
  <si>
    <t>% доріг з проведеним поточним ремонтом від потребуючих ремонту</t>
  </si>
  <si>
    <t xml:space="preserve"> % охоплення вулично-дорожньої мережі очищенням (утриманням) до їх загальної площі</t>
  </si>
  <si>
    <t>загальна площа тротуарів з асфальтобетонним покриттям та фігурними елиментами мощення, які визначені для чищення</t>
  </si>
  <si>
    <t>площа тротуарів з асфальтобетонним покриттям та фігурними елиментами мощення, на якій  проведено роботи з очищення (утримання)</t>
  </si>
  <si>
    <t>Середня вартість очищення (утримання) 1 кв. м  тротуарів з асфальтобетонним покриттям та фігурними елиментами мощення</t>
  </si>
  <si>
    <t>Витрати на проведення утримання вулично-дорожньої мережі та штучних споруд (чищення доріг, замітання вулиць, прибирання снігу, посипання піском тощо.)</t>
  </si>
  <si>
    <t>Витрати на проведення поточного ремонту та улаштування огорож</t>
  </si>
  <si>
    <t>площа огорож</t>
  </si>
  <si>
    <t>середні витрати на поточний ремонт та улаштування 1 м.кв.</t>
  </si>
  <si>
    <t>% виконаного поточного ремонту та улаштування огорож</t>
  </si>
  <si>
    <t>Витрати на проведення поточного та капітального ремонту зупинок громадського транспорту</t>
  </si>
  <si>
    <t xml:space="preserve"> кількість зупинок громадського транспорту, на яких плануються провести поточний та капітаальний ремонт</t>
  </si>
  <si>
    <t>од</t>
  </si>
  <si>
    <t>Середня вартість поточного та капітального ремонту зупинок громадського транспорту</t>
  </si>
  <si>
    <t>% виконаного поточного та капітального ремонту зупинок громадського транспорту</t>
  </si>
  <si>
    <t>Витрати на проведення поточного ремонту проїздів, тротуарів, велосипедних доріжок</t>
  </si>
  <si>
    <t>площа проїздів, тротуарів, велосипедних доріжок</t>
  </si>
  <si>
    <t>площа проїздів, тротуарів, велосипедних доріжок, на якій планується провести поточний ремонт</t>
  </si>
  <si>
    <t>середня вартість поточного ремонту 1 кв. м проїздів, тротуарів, велосипедних доріжок</t>
  </si>
  <si>
    <t>% питома вага проїздів, тротуарів і велосипедних доріжок, що зазнала поточного ремонту до площі, що потребувала поточного ремонту</t>
  </si>
  <si>
    <t>Витрати на проведення технічного обслуговування, поточного та капітального ремонту  мереж зовнішнього освітлення</t>
  </si>
  <si>
    <t>км</t>
  </si>
  <si>
    <t>од.</t>
  </si>
  <si>
    <t xml:space="preserve"> протяжність мереж зовнішнього освітлення</t>
  </si>
  <si>
    <t>протяжність мереж зовнішнього освітлення, яка потребує капітального ремонту</t>
  </si>
  <si>
    <t xml:space="preserve"> кількість світлоточок, що підлягають утриманню</t>
  </si>
  <si>
    <t>кількість світлоточок, що підлягають заміні</t>
  </si>
  <si>
    <t>протяжність мережі зовнішнього освітлення, на якій планується провести поточний ремонт</t>
  </si>
  <si>
    <t>кількість світлоточок, які планується замінити</t>
  </si>
  <si>
    <t>протяжність мереж зовнішнього освітлення, яка потребує поточного ремонту</t>
  </si>
  <si>
    <t>протяжність мережі зовнішнього освітлення, на якій планується провести капітальний ремонт</t>
  </si>
  <si>
    <t xml:space="preserve">    Показник: середні витрати на проведення  поточного ремонту 1 км мережі зовнішнього освітлення</t>
  </si>
  <si>
    <t xml:space="preserve">    Показник: середні витрати на проведення  капітального ремонту 1 км мережі зовнішнього освітлення</t>
  </si>
  <si>
    <t xml:space="preserve">    Показник:  середні витрати на заміну 1 світлоточки</t>
  </si>
  <si>
    <t xml:space="preserve">    Показник: середні витрати на утримання 1 світлоточки</t>
  </si>
  <si>
    <t xml:space="preserve">    Показник: Питома вага відремонтованих за рахунок капітального ремонту мереж зовнішнього освітлення до загальної потреби, %</t>
  </si>
  <si>
    <t xml:space="preserve">    Показник: Питома вага відремонтованих за рахунок поточного ремонту мереж зовнішнього освітлення до загальної потреби, %</t>
  </si>
  <si>
    <t xml:space="preserve">    Показник: питома вага замінених світлоточок до загальної потреби, %</t>
  </si>
  <si>
    <t>Витрати на догляд за деревами та кущами (видалення сухостійних (порослі) та аварійних дерев з навантаженням та вивезенням деревени, обрізання крон дерев і кущів, вирубування пристовбурової порослі, полив та підживлення дерев і кущів, корчування пнів, в парках і садах, прополювання пристовбурових ямок)</t>
  </si>
  <si>
    <t>Витрати на проведення поточного ремонту та утримання парків, скверів міста, зелених зон та пляжів на території територіальної громади (систематичне очищення (прибирання) доріжок, алей, сходів на обєктах благоустрою, збирання та вивезення сміття та опалого листя, систематичне очищення урн від сміття в парках та скверах міста)</t>
  </si>
  <si>
    <t>Витрати на догляд за газонами (косіння (викошування) та прибирання скошеної трави на газонах, підсів трави на газонах, просічування газонів, поливання та підживлення газонів у скверах та парках міста збирання та вивезення сміття та опалого листя по загальних обєктах міста, водопостачання газонів), створення та відновлення газонів по місту</t>
  </si>
  <si>
    <t>Витрати на садіння нових дерев і кущів</t>
  </si>
  <si>
    <t>Витрати на садіння квіткових рослин (цибулинних)(у тому числі і багаторічних) у квітках з усіма попередніми супровідними роботами</t>
  </si>
  <si>
    <t>Витрати на догляд за трояндами</t>
  </si>
  <si>
    <t xml:space="preserve">    Показник: кількість дерев та кущів, які потребують догляду, од.</t>
  </si>
  <si>
    <t xml:space="preserve">    Показник: кількість парків, скверів міста, зелених зон та пляжів, на якій планується поточний ремонт та утримання, од.</t>
  </si>
  <si>
    <t xml:space="preserve">    Показник: кількість дерев, що потребують висадженню, од.</t>
  </si>
  <si>
    <t xml:space="preserve">    Показник: кількість квіткової розсади, яку необхідно висадити, тис. од.</t>
  </si>
  <si>
    <t xml:space="preserve">    Показник: Площа газонів, яку необхідно утримувати, га</t>
  </si>
  <si>
    <t xml:space="preserve">    Показник: площа дитячого парку "Казка", що підлягає прибиранню,  га</t>
  </si>
  <si>
    <t>Показник: площа газонів, які планується відновити (створити), га</t>
  </si>
  <si>
    <t>Показник: площа трави (амброзії), що підлягає прополюванню,  га</t>
  </si>
  <si>
    <t xml:space="preserve">    Показник: територія парків, скверів міста, зелених зон та пляжів, на якій планується поточний ремонт та  утримання, од.</t>
  </si>
  <si>
    <t xml:space="preserve">    Показник: кількість дерев та кущів, за якими планується догляд од.</t>
  </si>
  <si>
    <t xml:space="preserve">    Показник: кількість зелених насаджень (дерев та кущів), що планується висадити , од.</t>
  </si>
  <si>
    <t xml:space="preserve">    Показник: кількість квіткової розсади, яку планується висадити, тис.од.</t>
  </si>
  <si>
    <t xml:space="preserve">    Показник: площа газонів, яку планується утримувати, га</t>
  </si>
  <si>
    <t xml:space="preserve">    Показник: кількість троянд, за якими планується провести догляд,. од.</t>
  </si>
  <si>
    <t>Показник: кількість туалетів на території дитячого "Казка, які планується утримувати, од</t>
  </si>
  <si>
    <t xml:space="preserve">    Показник: площа дитячого парку "Казка", яку планується прибирати, га</t>
  </si>
  <si>
    <t xml:space="preserve">    Показник: кількість дерев на території дитячого парку "Казка", які планується доглянути,од</t>
  </si>
  <si>
    <t xml:space="preserve">    Показник: кількість дерев на території дитячого парку "Казка", які планується висадити,од</t>
  </si>
  <si>
    <t xml:space="preserve">    Показник: кількість квіткової розсади на території дитячого парку "Казка", які планується висадити,од</t>
  </si>
  <si>
    <t xml:space="preserve">    Показник: площа   доріжок в дитячому парку "Казка", на якій планується провести поточний  ремонт кв. м </t>
  </si>
  <si>
    <t>га</t>
  </si>
  <si>
    <t xml:space="preserve">    Показник: середні витрати на догляд за деревами та кущами, грн.</t>
  </si>
  <si>
    <t>Показник: середні витрати на  відновлення  (створення) 1 га газонів,грн.</t>
  </si>
  <si>
    <t xml:space="preserve">    Показник: середні витрати на  висадження одного дерева та посадку куща, грн.</t>
  </si>
  <si>
    <t xml:space="preserve">    Показник: середні витрати на  висадження 1 тис. од. квіткової розсади, грн.</t>
  </si>
  <si>
    <t xml:space="preserve">    Показник: середні витрати на утримання 1 га газонів, грн.</t>
  </si>
  <si>
    <t>Показник: середні витрати на догляд за 1 од. троянди</t>
  </si>
  <si>
    <t>Показник: середні витрати на утримання  дитячого парку "Казка"</t>
  </si>
  <si>
    <t xml:space="preserve">    Показник:середні витрати на прополювання трави (амброзії), грн</t>
  </si>
  <si>
    <t xml:space="preserve">    Показник: Питома вага дерев та кущів, які потребують догляду до загальної їх кількості , %,</t>
  </si>
  <si>
    <t xml:space="preserve">    Показник: Питома вага утриманої териорії до території, що підлягає утриманню, %</t>
  </si>
  <si>
    <t xml:space="preserve">    Показник: середні витрати на поточний ремонт та утримання парків, скверів міста, зелених зон та пляжів</t>
  </si>
  <si>
    <t>грн</t>
  </si>
  <si>
    <t>%  площі газонів, які планується утримувати</t>
  </si>
  <si>
    <t>% кількості зелених насаджень (дерев та кущів), що планується висадити</t>
  </si>
  <si>
    <t>тис. од</t>
  </si>
  <si>
    <t>% кількості квіткової розсади, що планується висадити</t>
  </si>
  <si>
    <t>% виконання по проведенню догляду за трояндами</t>
  </si>
  <si>
    <t>Показник: кількість малих архітектурних форм та споруд благоустрою у парках, скверах та зелених зонах, що потребують поточного ремонту, од</t>
  </si>
  <si>
    <t>Показник: середні витрати на проведення поточного ремонту малих архітектурних форм та споруд благоустрою у парках, скверах та зелених зонах , грн.</t>
  </si>
  <si>
    <t>кв м</t>
  </si>
  <si>
    <t xml:space="preserve">Витрати на прополювання трави (амброзії) </t>
  </si>
  <si>
    <t>Витрати на утримання дитячого парку "Казка"</t>
  </si>
  <si>
    <t>Витрати на організацію та проведення оплачуваних громадських робіт на умовах співфінансування з Сумським міським центром зайнятості (50 %/ 50 %)</t>
  </si>
  <si>
    <t xml:space="preserve">% площі дитячого парку "Казка", які прибираються </t>
  </si>
  <si>
    <t xml:space="preserve">    Показник: площа трави (амброзії), яку планується прополювати,  га</t>
  </si>
  <si>
    <t>% площі прополювання трави (амброзії)</t>
  </si>
  <si>
    <t>Витрати на утримання майданчику для складування відходів по вул. М.Лукаша</t>
  </si>
  <si>
    <t>Показник: середні витрати на утримання 1 місяця майданчику для складування відходів по вул. М.Лукаша , грн.</t>
  </si>
  <si>
    <t>% місяців утримання</t>
  </si>
  <si>
    <t xml:space="preserve">Кількість місяців проведення оплачуваних громадських робіт </t>
  </si>
  <si>
    <t>міс</t>
  </si>
  <si>
    <t>Середня вартість проведення оплачуваних громадських робіт в місяць</t>
  </si>
  <si>
    <t>% проведення оплачуваних громадських робіт в місяць</t>
  </si>
  <si>
    <t>Витрати на проведення поточного ремонту малих архітектурних форм та споруд благоустрою у парках, скверах та зелених зонах</t>
  </si>
  <si>
    <t>% виконання ремонту</t>
  </si>
  <si>
    <t>Показник:кількість парків, скверів тощо , що потребують капітального ремонту, од</t>
  </si>
  <si>
    <t>Витрати на проведення капітального ремонту парків, скверів тощо</t>
  </si>
  <si>
    <t>Показник: середні витрати на проведення капітального ремонту парків, скверів тощо , грн.</t>
  </si>
  <si>
    <t>Завдання 5.6. "Проведення санітарних заходів у прибережних смугах озера Чеха "</t>
  </si>
  <si>
    <t>6090, 7691</t>
  </si>
  <si>
    <t>Витрати на утримання кладовищ</t>
  </si>
  <si>
    <t>Показник: кількість кладовищ, які  планується утримувати, од</t>
  </si>
  <si>
    <t>Показник: середньорічні витрати на утримання 1 кладовища</t>
  </si>
  <si>
    <t>% утримання кладовищ</t>
  </si>
  <si>
    <t>Витрати на проведення поточного ремонту, утримання місць поховань та елементів благоустрою"</t>
  </si>
  <si>
    <t>Показник: кількість кладовищ, на яких планується  проводити поточний ремонт, утримання місць поховань та елементів благоустрою , од</t>
  </si>
  <si>
    <t>Показник: середньорічні витрати на поточний ремонт, утримання місць поховань та елементів благоустрою на  1 кладовищі</t>
  </si>
  <si>
    <t>% проведення ремонтів</t>
  </si>
  <si>
    <t>Показник: кількість виїздів спецслужби за викликами</t>
  </si>
  <si>
    <t xml:space="preserve">% виїздів спецслужби </t>
  </si>
  <si>
    <t>Витрати на забезпечення поховання безрідних</t>
  </si>
  <si>
    <t>Показник: кількість похованих безрідних, чол.</t>
  </si>
  <si>
    <t>чол.</t>
  </si>
  <si>
    <t>Показник: середня вартість поховання 1 безрідного, грн.</t>
  </si>
  <si>
    <t>% похованих безрідних</t>
  </si>
  <si>
    <t>Показник: середні витрати на один виїзд спецслужби</t>
  </si>
  <si>
    <t>Витрати на забезпечення сервісного обслуговування водогонів</t>
  </si>
  <si>
    <t>Кількість водогонів</t>
  </si>
  <si>
    <t>Середня вартість сервісного обслуговування водогонів</t>
  </si>
  <si>
    <t>% сервісного обслуговування водогонів</t>
  </si>
  <si>
    <t>Витрати на поховання  тіл (останків) загиблих військовослужбовців збройних сил Російської Федерації, осіб, які входили до складу незаконних збройних формувань, що вчинили збройну агресію проти України</t>
  </si>
  <si>
    <t>Показник: кількість похованих тіл, чол.</t>
  </si>
  <si>
    <t>Середня вартість поховання тіл</t>
  </si>
  <si>
    <t>% похованих тіл</t>
  </si>
  <si>
    <t xml:space="preserve"> Завдання 4.7. "Організація та проведення оплачуваних громадських робіт на умовах співфінансування з Сумським міським центром зайнятості (50 %/ 50 %)"</t>
  </si>
  <si>
    <t>Витрати на проведення оплачуваних громадських робіт на умовах співфінансування з Сумським міським центром зайнятості (50 %/ 50 %)</t>
  </si>
  <si>
    <t>Витрати на проведення санітарної очистки території міста Суми (послуги зі збирання безпечних відходів, непридатних для вторинного використовування (прибирання урн від сміття по місту)</t>
  </si>
  <si>
    <t xml:space="preserve">    Показник: кількість заходів із збирання безпечних відходів, непридатних для вторинного використання (прибирання урн від сміття по місту), од.</t>
  </si>
  <si>
    <t xml:space="preserve">    Показник: середня вартість одного заходу із збирання безпечних відходів, непридатних для вторинного використання (прибирання урн від сміття по місту)</t>
  </si>
  <si>
    <t>% прибирання урн від сміття по місту</t>
  </si>
  <si>
    <t xml:space="preserve"> Завдання 5.2. "Забезпечення утримання в належному стані об'єктів благоустрою міста Суми (утримання зупинок громадського транспорту)"</t>
  </si>
  <si>
    <t>Витрати на утримання в належному стані об'єктів благоустрою міста Суми (утримання зупинок громадського транспорту)</t>
  </si>
  <si>
    <t>Показник: кількість зупинок громадського транспорту, од.</t>
  </si>
  <si>
    <t>% утримання зупинок громадського транспорту</t>
  </si>
  <si>
    <t>Середня вартість утримання зупинок громадського транспорту</t>
  </si>
  <si>
    <t>Витрати на придбання та встановлення урн</t>
  </si>
  <si>
    <t>% придбання та встановлення урн</t>
  </si>
  <si>
    <t>Середня вартість придбання та встановлення урн</t>
  </si>
  <si>
    <t>Кількість урн, які планується придбати та встановити</t>
  </si>
  <si>
    <t>Витрати на збирання та вивезення сміття на території Сумської міської територіальної громади (після проведення місячника благоустрою), в тому числі в приватному секторі</t>
  </si>
  <si>
    <t>Показник: об'єм сміття, який планується зібрати та вивезти</t>
  </si>
  <si>
    <t>куб м</t>
  </si>
  <si>
    <t xml:space="preserve">    Показник: середня вартість збирання та вивезення 1 м3 сміття</t>
  </si>
  <si>
    <t>% збирання та вивезення сміття</t>
  </si>
  <si>
    <t>Витрати на ліквідацію несанкціонованих і неконтрольованих звалищ відходів , в тому числі в приватному секторі</t>
  </si>
  <si>
    <t>Витрати на проведення санітарних заходів у прибережних смугах озера Чеха</t>
  </si>
  <si>
    <t>Показник: площа території, на якій проводиться благоустрій</t>
  </si>
  <si>
    <t>тис. кв.м</t>
  </si>
  <si>
    <t>тис. грн/кв.м</t>
  </si>
  <si>
    <t xml:space="preserve">    Показник: витрати на одиницю показника продукту</t>
  </si>
  <si>
    <t>% санітарних заходів</t>
  </si>
  <si>
    <t>Кількість відходів</t>
  </si>
  <si>
    <t>Середня вартість перевезення</t>
  </si>
  <si>
    <t>% вивезених відходів</t>
  </si>
  <si>
    <t>КПКВК 6030 «Організація благоустрою населених пунктів», 6014"Забезпечення збору та вивезення сміття і відходів»</t>
  </si>
  <si>
    <t xml:space="preserve">  Завдання 6. Поточний ремонт та утримання в належному стані об'єктів благоустрою </t>
  </si>
  <si>
    <t>КПКВК 6030 «Організація благоустрою населених пунктів»</t>
  </si>
  <si>
    <t>Витрати на технічне обслуговування насосної станції по вул.Круговій та по провул.Тихоріченський</t>
  </si>
  <si>
    <t>Показник: кількість місяців передбачених для безперебійної роботи насосних станцій по вул. Тихорецька та вул. Кругова</t>
  </si>
  <si>
    <t xml:space="preserve">    Показник: середні витрати на один місяць безперебійної роботи насосних станцій по вул. Тихорецька та вул. Кругова
</t>
  </si>
  <si>
    <t>% обслуговування</t>
  </si>
  <si>
    <t>Показник: кількість місяців передбачених для безперебійної роботи  системи санкціонованого проїзду на перехресті провул. Терезова та вул. Воскресенської в м.Суми</t>
  </si>
  <si>
    <t>Витрати на спостереження, технічне обслуговування та поточний ремонт системи санкціонованого проїзду</t>
  </si>
  <si>
    <t xml:space="preserve">    Показник: середні витрати на один місяць безперебійної роботи  системи санкціонованого проїзду на перехресті провул. Терезова та вул. Воскресенської в м.Суми
</t>
  </si>
  <si>
    <t>Витрати на оплату за спожиту електроенергію насосною станцією по провул.Тихоріченський, фонтан площа Театральна,3 та пішохідного переходу на перехресті вул.Харківська та Героїв Сумщини</t>
  </si>
  <si>
    <t>Показник: кількість кіловат спожитої електроенергії насосною станцією по провул.Тихоріченський, фонтан площа Театральна,3 та пішохідного переходу на перехресті вул.Харківська та Героїв Сумщини</t>
  </si>
  <si>
    <t>кВТ</t>
  </si>
  <si>
    <t>Середні витрати на один кіловат спожитої електроенергії</t>
  </si>
  <si>
    <t>% оплати</t>
  </si>
  <si>
    <t>Витрати на поточний ремонт, утримання об'єктів та елементів благоустрою</t>
  </si>
  <si>
    <t xml:space="preserve">    Показник: кількість заходів з утримання об'єктів благоустрою</t>
  </si>
  <si>
    <t xml:space="preserve">    Показник: середня вартість одного заходу з утримання об'єктів та елементів благоустрою на рік</t>
  </si>
  <si>
    <t>Витрати на технічне обслуговування та поточний ремонт фонтанів</t>
  </si>
  <si>
    <t>% технічного обслуговування та поточного ремонту фонтанів</t>
  </si>
  <si>
    <t xml:space="preserve">  Показник: кількість фонтанів</t>
  </si>
  <si>
    <t>Показник: середня вартість технічного обслуговування та поточного ремонту 1 фонтану</t>
  </si>
  <si>
    <t>Витрати на забезпечення водопостачання фонтанів</t>
  </si>
  <si>
    <t>Показник: об'єм води, необхідний для забезпечення фонтанів</t>
  </si>
  <si>
    <t>тис. куб.м</t>
  </si>
  <si>
    <t>Показник: середня вартість 1м3 води</t>
  </si>
  <si>
    <t>грн/куб.м</t>
  </si>
  <si>
    <t>% забезпечення водопостачання фонтанів</t>
  </si>
  <si>
    <t>Витрати на утримання та поточного ремонту дитячих та спортивних майданчиків</t>
  </si>
  <si>
    <t>Показник: кількість дитячих та спортивних майданчиків, що підлягають утриманню та поточному ремонту</t>
  </si>
  <si>
    <t>Показник: середня вартість утримання та поточного ремонту дитячого та спортивного майданчику</t>
  </si>
  <si>
    <t>% охоплених утриманням та ремонтом</t>
  </si>
  <si>
    <t xml:space="preserve">    Показник: кількість нових лавок які планується придбати і встановити  по місту Суми</t>
  </si>
  <si>
    <t>Витрати на придбання та встановлення нових лавок</t>
  </si>
  <si>
    <t>Показник: середня вартість однієї нової лавки яку планується придбати і встановити по місту Суми на рік</t>
  </si>
  <si>
    <t>% придбання та встановлення нових лавок</t>
  </si>
  <si>
    <t>Витрати на забезпечення функціонування громадських вбиралень</t>
  </si>
  <si>
    <t>Показник: кількість туалетів, які планується утримувати</t>
  </si>
  <si>
    <t>Показник: середні витрати на утримання 1 туалету на  місяць</t>
  </si>
  <si>
    <t>Витрати на забезпечення поточного ремонту малих архітектурних форм на території Сумської міської територіальної громади"</t>
  </si>
  <si>
    <t>Показник: кількість малих архітектурних форм, що потребують поточного ремонту</t>
  </si>
  <si>
    <t>Показник: середні витрати на проведення поточного ремонту 1 малої архітектурної форми</t>
  </si>
  <si>
    <t>% охоплених  ремонтом</t>
  </si>
  <si>
    <t xml:space="preserve">  Завдання 7. Забезпечення сприятливих умов для співіснування людей та тварин</t>
  </si>
  <si>
    <t xml:space="preserve">    Показник: кількість безпритульних тварин, які планується виловити (утримувати в притулку, стерилізувати)</t>
  </si>
  <si>
    <t>Витрати на забезпечення сприятливих умов для співіснування людей та тварин</t>
  </si>
  <si>
    <t xml:space="preserve">    Показник: середні витрати на проведення утримання в притулку, стерилізації тварини та їх виловлення
</t>
  </si>
  <si>
    <t xml:space="preserve">  Завдання 8. Капітальний ремонт об'єктів та елементів благоустрою на загальних об'єктах</t>
  </si>
  <si>
    <t>Темп зростання середніх витрат на регулювання однієї тварини порівняно з попереднім роком</t>
  </si>
  <si>
    <t>Витрати на проведення капітального ремонту об'єктів та елементів благоустрою на загальних об'єктах</t>
  </si>
  <si>
    <t xml:space="preserve">    Показник: кількість заходів з капітального ремонту об'єктів благоустрою</t>
  </si>
  <si>
    <t xml:space="preserve">  Показник: середня вартість одного заходу з капітального ремонту об'єктів благоустрою
</t>
  </si>
  <si>
    <t>темп зростання середніх витрат на один захід із капітального ремонту об'єктів благоустрою порівняно з попереднім роком</t>
  </si>
  <si>
    <t>КПКВК 6011 «Експлуатація та технічне обслуговування житлового фонду»</t>
  </si>
  <si>
    <t xml:space="preserve">  Завдання 9.1. "Проведення капітального ремонту житлових будинків"</t>
  </si>
  <si>
    <t xml:space="preserve">   Завдання 9. Капітальний ремонт обєктів житлового господарства Сумської міської територіальної громади на 2022 - 2024 роки</t>
  </si>
  <si>
    <t xml:space="preserve"> Завдання 11.  Інша діяльність у сфері житлово-комунального господарства, в тому числі в приватному секторі, та за рахунок цільових фондів, всього:</t>
  </si>
  <si>
    <t>Інша діяльність у сфері житлово-комунального господарства, в тому числі в приватному секторі</t>
  </si>
  <si>
    <t>Завдання 3.11. "Забезпечення благоустрою майданчику для складування відходів по вул. М.Лукаша"</t>
  </si>
  <si>
    <t>Завдання 3.12. "Поточний ремонт малих архітектурних форм та споруд благоустрою у парках, скверах та зелених зонах"</t>
  </si>
  <si>
    <t>Завдання 3.13. "Капітальний ремонт парків, скверів тощо"</t>
  </si>
  <si>
    <t>Витрати на благоустрій майданчику для складування відходів по вул. М.Лукаша</t>
  </si>
  <si>
    <t>Показник: кількість заходів із благоустрою майданчику для складування відходів по вул. М.Лукаша, од</t>
  </si>
  <si>
    <t>Показник: кількість місяців, протягом яких планується утримувати майданчик для складування відходів по вул. М.Лукаша, од</t>
  </si>
  <si>
    <t>Показник: середні витрати на заходи з благоустрою майданчику для складування відходів по вул. М.Лукаша , грн.</t>
  </si>
  <si>
    <t>% виконання заходів</t>
  </si>
  <si>
    <t xml:space="preserve">    Показник: кількість об'єктів житлового фонду (будинків), що планується відремонтувати</t>
  </si>
  <si>
    <t xml:space="preserve">    Показник: середня вартість капітального ремонту одного об'єкта житлового фонду (будинку)</t>
  </si>
  <si>
    <t>Показник: кількість об'єктів житлового фонду (будинків), що потребують ремонту</t>
  </si>
  <si>
    <t xml:space="preserve">Питома вага кількості об'єктів житлового фонду (будинків), на яких планується проведення капітального ремонту, до кількості об'єктів (будинків), що потребують капітального ремонту </t>
  </si>
  <si>
    <t xml:space="preserve">   Завдання 10.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</si>
  <si>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 xml:space="preserve">  Завдання 10.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</si>
  <si>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 xml:space="preserve">    Показник: загальна кількість святкових заходів, які підлягають святковому оформленню</t>
  </si>
  <si>
    <t xml:space="preserve">    Показник: обсяг видатків на святкове оформлення та ремонт</t>
  </si>
  <si>
    <t xml:space="preserve">    Показник: середня вартість 1 святкового заходу та ремонту</t>
  </si>
  <si>
    <t>темп зростання середніх витрат на один святковий захід та ремонт порівняно з попереднім роком</t>
  </si>
  <si>
    <t xml:space="preserve">Відповідальні виконавці: Департамент інфраструктури міста Сумської міської ради, Департамент забезпечення ресурсних платежів СМР, Управління архітектури та містобудування СМР та інші суб'єкти господарювання </t>
  </si>
  <si>
    <t xml:space="preserve">  Завдання 11.  Інша діяльність у сфері житлово-комунального господарства, в тому числі в приватному секторі, та за рахунок цільових фондів, всього:</t>
  </si>
  <si>
    <t>Завдання 11.13.  Регулювання діяльності у сфері розміщення зовнішньої реклами на території Сумської міської об'єднаної територіальної громади</t>
  </si>
  <si>
    <t>КПКВК 6090 «Інша діяльність у сфері житлово-комунального господарства», КПКВК 7691 «Інші фонди»</t>
  </si>
  <si>
    <t xml:space="preserve">Департамент забезпечення ресурсних платежів СМР, Управління архітектури та містобудування СМР та інші суб'єкти господарювання </t>
  </si>
  <si>
    <t xml:space="preserve">Оперативна ціль В.4 Комфортна громада
</t>
  </si>
  <si>
    <t xml:space="preserve">   Завдання 12.  Виконання заходів за рахунок цільових фондів </t>
  </si>
  <si>
    <t xml:space="preserve"> Завдання 12.1. "Садіння нових дерев і кущів за рахунок цільового фонду "</t>
  </si>
  <si>
    <t xml:space="preserve">Витрати на садіння нових дерев і кущів за рахунок цільового фонду </t>
  </si>
  <si>
    <t xml:space="preserve">% забезпечення садіння нових дерев і кущів за рахунок цільового фонду </t>
  </si>
  <si>
    <t xml:space="preserve">    Показник: кількість дерев та кущів, які планується висадити</t>
  </si>
  <si>
    <t xml:space="preserve">    Показник: середні витрати на садіння 1 дерева/ куща</t>
  </si>
  <si>
    <t>Витрати на на співфінансування капітального ремонту житлового фонду</t>
  </si>
  <si>
    <t xml:space="preserve">    Показник: середня вартість робіт по співфінансуванню робіт з капітального ремонту житлового фонду (будинку)</t>
  </si>
  <si>
    <t>КПКВК 7691  "Інші фонди"</t>
  </si>
  <si>
    <t xml:space="preserve">    Показник: обсяг видатків на придбання та виготовлення  рекламних матеріалів до святкових та урочистих подій</t>
  </si>
  <si>
    <t xml:space="preserve">    Показник: обсяг видатків на придбання та виготовлення рекламних матеріалів  соціального характеру</t>
  </si>
  <si>
    <t xml:space="preserve"> Показник: обсяг видатків на розробку/коригування макетів для друку рекламного матеріалу</t>
  </si>
  <si>
    <t xml:space="preserve">    Показник: загальна кількість заходів з розміщення соціальної реклами </t>
  </si>
  <si>
    <t xml:space="preserve">Показник: загальна кількість розробки/коригування макетів для друку рекламного матеріалу </t>
  </si>
  <si>
    <t xml:space="preserve">    Показник: загальна кількість святкових та урочистих подій, які підлягають святковому оформленню</t>
  </si>
  <si>
    <t xml:space="preserve">    Показник: середня вартість розробка/коригування одного макету для друку рекламного матеріалу </t>
  </si>
  <si>
    <t xml:space="preserve">    Показник: середня вартість проведення одного заходу з розміщення рекламних матеріалів до святкових та урочистих подій</t>
  </si>
  <si>
    <t xml:space="preserve">    Показник: середня вартість проведення одного заходу з розміщення соціальної реклами</t>
  </si>
  <si>
    <t>% охоплених  заходів</t>
  </si>
  <si>
    <t>Показник: кількість місяців, за які сплачується податок на земельну ділянку за адресою: м.Суми, вул.Привокзальна, 4/13 (каналізаційно-насосна станція), міс</t>
  </si>
  <si>
    <t>% оплати податку</t>
  </si>
  <si>
    <t xml:space="preserve"> Показник: середня вартість податку на земельну ділянку</t>
  </si>
  <si>
    <t>Витрати на оплату податку на земельну ділянку за адресою: м.Суми, вул.Привокзальна, 4/13 (каналізаційно-насосна станція)</t>
  </si>
  <si>
    <t>Витрати на оплату за за видачу сертифікату, який видається у разі прийняття в експлуатацію об'єкта</t>
  </si>
  <si>
    <t>Показник: Кількість сертифікатів для введення в експлуатацію обєктів</t>
  </si>
  <si>
    <t>Показник: середня вартість видачі одного сертифікату</t>
  </si>
  <si>
    <t>Витрати на постачання природного газу монументу "Вічна Слава"</t>
  </si>
  <si>
    <t>куб.м/рік</t>
  </si>
  <si>
    <t>Обсяг природного газу необхідної для безперебійної роботи Монументу "Вічна Слава"</t>
  </si>
  <si>
    <t>Показник: середня вартість1 куб.м. спожитотого прородного газу</t>
  </si>
  <si>
    <t>Витрати на проведення санації шахтних колодязів, в тому числі в приватному секторі</t>
  </si>
  <si>
    <t>Показник: кількість колодязів, по яких буде проведена санація</t>
  </si>
  <si>
    <t xml:space="preserve">    Показник: середня вартість проведення санації</t>
  </si>
  <si>
    <t>Витрати на проведення поточного ремонту шахтних колодязів, в тому числі в приватному секторі"</t>
  </si>
  <si>
    <t>Показник: кількість колодязів, по яких буде проведений поточний ремонт</t>
  </si>
  <si>
    <t>Показник:  середня вартість проведення поточного ремонту</t>
  </si>
  <si>
    <t>Витрати на реалізацію проєкту «Circular-based waste management» («Управління відходами на основі замкненого циклу»)</t>
  </si>
  <si>
    <t>Показник: кількість проєктів</t>
  </si>
  <si>
    <t>Показник: середня вартість проєкту</t>
  </si>
  <si>
    <t>Витрати на орендну плату</t>
  </si>
  <si>
    <t xml:space="preserve">    Показник: кількість місяців</t>
  </si>
  <si>
    <t>Показник: середня вартість орендної плати</t>
  </si>
  <si>
    <t>Показник: середні витрати на 1 проєкт</t>
  </si>
  <si>
    <t xml:space="preserve">Витрати на  послуги з розробки проекту: організація дорожнього руху </t>
  </si>
  <si>
    <t>Витрати на забезпечення технічного обслуговування  камер відеоспостереження</t>
  </si>
  <si>
    <t>Показник: кількість місяців передбачених для технічного обслуговування камер відеоспостереження</t>
  </si>
  <si>
    <t>Показник: середні витрати на 1 міс технічного обслуговування  камер відеоспостереження</t>
  </si>
  <si>
    <t>% охоплених  обслуговуванням</t>
  </si>
  <si>
    <t>Витрати на інші видатки у сфері житлово-комунального господарства</t>
  </si>
  <si>
    <t>Показник: кількість інших видатків у сфері житлово-комунального господарства</t>
  </si>
  <si>
    <t>Показник: середня вартість 1 заходу у сфері житлово-комунального господарства</t>
  </si>
  <si>
    <t>% охоплених заходів</t>
  </si>
  <si>
    <t>Витрати на придбання гусеничного бульдозеру</t>
  </si>
  <si>
    <t xml:space="preserve">    Показник: кількість придбаних гусеничних бульдозерів</t>
  </si>
  <si>
    <t>Показник: середня вартість придбання</t>
  </si>
  <si>
    <t>Витрати на демонтаж будівлі Ритуального залу на Ново – Центральному Баранівському  кладовищі  м.Суми</t>
  </si>
  <si>
    <t>Показник: кількість будівель, які планується демонтувати</t>
  </si>
  <si>
    <t>Показник: середні витрати на демонтаж</t>
  </si>
  <si>
    <t>тис.грн</t>
  </si>
  <si>
    <t xml:space="preserve">    Завдання 13.   Забезпечення функціонування водопровідно-каналізаційного господарства, в тому числі в приватному секторі         </t>
  </si>
  <si>
    <t>КПКВК 6013 «Забезпечення діяльності водопровідно-каналізаційного господарства»</t>
  </si>
  <si>
    <t xml:space="preserve">    Показник: кількість місяців, в яких плануються видатки на забезпечення функціонування водопровідно-каналізаційне господарство</t>
  </si>
  <si>
    <t xml:space="preserve">    Показник: середня сума   видатків на забезпечення функціонування водопровідно-каналізаційне господарство</t>
  </si>
  <si>
    <t xml:space="preserve">Витрати на забезпечення охорони  каналізаційно-насосної станції </t>
  </si>
  <si>
    <t xml:space="preserve">Витрати на придбання та заміна пожежних гідрантів, оновленння показчиків, ПГ </t>
  </si>
  <si>
    <t xml:space="preserve">    Показник: кількість знаків "Пожежний гідрант"</t>
  </si>
  <si>
    <t xml:space="preserve">    Показник: середня вартість заміни одного пожежного гідранту</t>
  </si>
  <si>
    <t>% заміни</t>
  </si>
  <si>
    <t>Питома вага місяців охорони</t>
  </si>
  <si>
    <t>Витрати на придбання водопровідних та каналізаційних люків</t>
  </si>
  <si>
    <t xml:space="preserve">    Показник: кількість водопровідних та каналізаційних люків, які планується придбати</t>
  </si>
  <si>
    <t>% придбаних</t>
  </si>
  <si>
    <t>Витрати на проведення капітального та поточного ремонту колекторів, водопровідних  та каналізаційних мереж</t>
  </si>
  <si>
    <t>Показник: кількість об'єктів, що планується відремонтувати</t>
  </si>
  <si>
    <t xml:space="preserve">    Показник: середня вартість капітального та поточного ремонту колекторів та каналізаційних мереж</t>
  </si>
  <si>
    <t xml:space="preserve">Питома вага відремонтованих від запланованих </t>
  </si>
  <si>
    <t>Витрати на надання послуг по обстеженню води на території старостинських округів, промивка та знезараження води</t>
  </si>
  <si>
    <t xml:space="preserve">    Показник: кількість об'єктів </t>
  </si>
  <si>
    <t xml:space="preserve">    Показник: середня вартість послуг по обстеженню води на території старостинських округів, промивки та знезараження води</t>
  </si>
  <si>
    <t>% охоплених  заходом</t>
  </si>
  <si>
    <t>Витрати на проведення поточного ремонту, утримання та технічне обслуговування водонапірних башт та свердловин</t>
  </si>
  <si>
    <t xml:space="preserve">Показник: кількість об'єктів </t>
  </si>
  <si>
    <t xml:space="preserve">    Показник: середня вартість заходу</t>
  </si>
  <si>
    <t>Витрати на проведення ремонту інших об'єктів - заміна насосного обладнання (придбання)"</t>
  </si>
  <si>
    <t xml:space="preserve">    Показник: середня вартість  ремонту одного об'єкта </t>
  </si>
  <si>
    <t>Витрати на фінансову підтримку КП «Міськводоканал» СМР</t>
  </si>
  <si>
    <t xml:space="preserve">    Показник: кількість підприємств, яким надається фінансова підтримка</t>
  </si>
  <si>
    <t xml:space="preserve">    Показник: середня вартість однієї фінансової підтримки</t>
  </si>
  <si>
    <t xml:space="preserve">  Завдання 14.  Забезпечення функціонування об'єктів житлово-комунального господарства</t>
  </si>
  <si>
    <t>КПКВК 6020  "Забезпечення функціонування підприємств, установ та організацій, що виробляють, виконують та/або надають житлово-комунальні послуги"</t>
  </si>
  <si>
    <t>КПКВК 7640  "Заходи з енергозбереження"</t>
  </si>
  <si>
    <t xml:space="preserve">   Завдання 15.   Впровадження енергозберігаючих заходів</t>
  </si>
  <si>
    <t xml:space="preserve">    Завдання 16.   Забезпечення зміцнення матеріально-технічної бази підприємств комунальної форми власності</t>
  </si>
  <si>
    <t>КПКВК 7670  "Внески до статутного капіталу суб'єктів господарювання"</t>
  </si>
  <si>
    <t xml:space="preserve">     Завдання 17.   Створення сприятливих умов проживання населення та забезпечення надання життєво необхідних послуг</t>
  </si>
  <si>
    <t>КПКВК 9770  "Інші субвенції з місцевого бюджету"</t>
  </si>
  <si>
    <t xml:space="preserve">    Завдання 18.    Забезпечення надійного та безперебійного функціонування житлово-експлуатаційного господарства</t>
  </si>
  <si>
    <t>Завдання 18.    Забезпечення надійного та безперебійного функціонування житлово-експлуатаційного господарства</t>
  </si>
  <si>
    <t>КПКВК 6017  "Інша діяльність, пов'язана з експлуатацією об'єктів житлово-комунального господарства"</t>
  </si>
  <si>
    <t xml:space="preserve">    Завдання 19.   Заходи з будівництва, реставрації та реконструкції </t>
  </si>
  <si>
    <t>КПКВК 7300_7310 "Будівництво об'єктів житлово-комунального господарства", 7330 "Будівництво інших об'єктів комунальної власності", 7340 "Проектування, реставрація та охорона пам'яток архітектури"</t>
  </si>
  <si>
    <t xml:space="preserve">  Завдання 20.   Надання та повернення бюджетних позичок на поворотній основі </t>
  </si>
  <si>
    <t>КПКВК 7691 "Інші фонди", 8862 "Повернення бюджетних позичок, наданих суб'єктам господарювання"</t>
  </si>
  <si>
    <t>Відповідальні виконавці: Департамент інфраструктури міста Сумської міської ради, КП "Сумижитло" СМР,                                                                                                                 КП "Сумитеплоенергоцентраль" СМР, Виконавчий комітет СМР,  КП "Міськводоканал" СМР</t>
  </si>
  <si>
    <t xml:space="preserve">  Завдання 21.  Погашення заборгованості з різниці в тарифах, що підлягає урегулюванню згідно із Законом України «Про заходи,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 на 2022 рік</t>
  </si>
  <si>
    <t>Завдання 21.  Погашення заборгованості з різниці в тарифах, що підлягає урегулюванню згідно із Законом України «Про заходи,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 на 2022 рік</t>
  </si>
  <si>
    <t xml:space="preserve">    Завдання 22.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 на 2023 рік</t>
  </si>
  <si>
    <t>КПКВК 6086"Інша діяльність щодо забезпечення житлом громадян", 7375 "Реалізація проектів (заходів) з відновлення об'єктів житлового фонду, пошкоджених / знищених внаслідок збройної агресії, за рахунок коштів місцевих бюджетів"</t>
  </si>
  <si>
    <t>КПКВК 6072 "Компенсація різниці в тарифах на теплову енергію, послуги з постачання теплової енергії та постачання гарячої води згідно із Законом України "Про особливості регулювання відносин на ринку природного газу та у сфері теплопостачання під час дії воєнного стану та подальшого відновлення їх функціонування", послуги з централізованого постачання холодної води та водовідведення (з використанням внутрішньобудинкових систем), послуги з централізованого водопостачання і централізованого водовідведення згідно із Законом України "Про заходи,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 за рахунок субвенції з державного бюджету"</t>
  </si>
  <si>
    <t>Відповідальні виконавці:  Департамент фінансів, економіки та інвестицій Сумської міської ради,  Департамент інфраструктури міста Сумської міської ради, суб'єкти господарювання</t>
  </si>
  <si>
    <t>КПКВК 6030 «Організація благоустрою населених пунктів», КПКВК 7461 «Утримання та розвиток автомобільних доріг та дорожньої
інфраструктури за рахунок коштів місцевого бюджету»</t>
  </si>
  <si>
    <t>КПКВК 7462 «Утримання та розвиток автомобільних доріг та дорожньої інфраструктури за рахунок субвенції з державного бюджету»</t>
  </si>
  <si>
    <t>Витрати на проведення поточного ремонту вулично-дорожньої мережі та штучних споруд за рахунок субвенції з державного бюджету</t>
  </si>
  <si>
    <t xml:space="preserve">    Завдання 23.  Утримання та розвиток автомобільних доріг та дорожньої інфраструктури за рахунок субвенції з державного бюджету</t>
  </si>
  <si>
    <t>Завдання 23. "Утримання та розвиток автомобільних доріг та дорожньої інфраструктури за рахунок субвенції з державного бюджету"</t>
  </si>
  <si>
    <t xml:space="preserve">    Показник: кількість об'єктів, які будуть відремонтовані  за рахунок коштів субвенції з державного бюджету</t>
  </si>
  <si>
    <t xml:space="preserve">    Показник: середня вартість проведення  робіт  за рахунок коштів субвенції з державного бюджету</t>
  </si>
  <si>
    <t>КПКВК 7384 «Реалізація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</si>
  <si>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 xml:space="preserve">    Показник: обсяг видатків за послуги з прибирання території (від сміття, що залишилось після демонтажу), в т.ч. вивезення на полігон та утилізація, грн.</t>
  </si>
  <si>
    <t xml:space="preserve">    Показник: кількість куб.м. прибраного на території сміття</t>
  </si>
  <si>
    <t xml:space="preserve">    Показник: обсяг видатків на  проведення демонтажу об'єктів без відключення від мережі електропостачання, грн.</t>
  </si>
  <si>
    <t xml:space="preserve">    Показник: обсяг видатків за послуги із відключення об'єктів від мережі електропостачання , грн.</t>
  </si>
  <si>
    <t xml:space="preserve">    Показник: обсяг видатків за послуги із доставки демонтованих об'єктів на майданчик тимчасового зберігання , грн.</t>
  </si>
  <si>
    <t xml:space="preserve">    Показник: кількість часу витраченого на демонтаж об'єктів без відключення від мережі електропостачання, год.</t>
  </si>
  <si>
    <t xml:space="preserve">    Показник: кількість часу витраченого на відключення об'єктів від мережі електропостачання , год.</t>
  </si>
  <si>
    <t xml:space="preserve">    Показник: кількість часу витраченого на доставку демонтованих об'єктів на майданчик тимчасового зберігання , год.</t>
  </si>
  <si>
    <t xml:space="preserve">    Показник: кількість куб.м. прибраного на території сміття </t>
  </si>
  <si>
    <t xml:space="preserve">    Показник: середня вартість однієї години демонтажу об'єктів без відключення від мережі електропостачання , грн.</t>
  </si>
  <si>
    <t xml:space="preserve">    Показник: середня вартість однієї години послуги з відключення об'єктів від мережі електропостачання , грн.</t>
  </si>
  <si>
    <t xml:space="preserve">    Показник: середня вартість однієї години послуги з доставки демонтованих об'єктів на майданчик тимчасового зберігання , грн.</t>
  </si>
  <si>
    <t xml:space="preserve">    Показник: середня вартість прибирання , вивезення на полігон та утилізації одного куб.м. сміття на території  , грн.</t>
  </si>
  <si>
    <t xml:space="preserve">    Показник: обсяг видатків на оплату послуги зберігання об'єктів, грн.</t>
  </si>
  <si>
    <t xml:space="preserve">    Показник: термін зберігання, міс.</t>
  </si>
  <si>
    <t xml:space="preserve">    Показник: середньомісячна вартість послуги зберігання, грн.</t>
  </si>
  <si>
    <t>КПКВК 7383 «Реалізація проектів (об'єктів, заходів) за рахунок коштів фонду ліквідації наслідків збройної агресії»</t>
  </si>
  <si>
    <t xml:space="preserve">    Завдання 24.  Реалізація проектів (об'єктів, заходів) за рахунок коштів фонду ліквідації наслідків збройної агресії</t>
  </si>
  <si>
    <t xml:space="preserve">    Завдання 25.  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</si>
  <si>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Завдання 25. "Реалізація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</si>
  <si>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 xml:space="preserve">    Показник: кількість об'єктів, які будуть відремонтовані  за рахунок коштів фонду ліквідації наслідків збройної агресії</t>
  </si>
  <si>
    <t xml:space="preserve">    Показник: середня вартість проведення  робіт  за рахунок коштів фонду ліквідації наслідків збройної агресії</t>
  </si>
  <si>
    <t>Завдання 24. "Реалізація проектів (об'єктів, заходів) за рахунок коштів фонду ліквідації наслідків збройної агресії"</t>
  </si>
  <si>
    <t>Витрати на проведення реалізація проектів (об'єктів, заходів) за рахунок коштів фонду ліквідації наслідків збройної агресії</t>
  </si>
  <si>
    <t>,</t>
  </si>
  <si>
    <t xml:space="preserve">Департамент інфраструктури міста Сумської міської ради  та інші суб'єкти господарювання </t>
  </si>
  <si>
    <t>Управління капітального будівництва та дорожнього господарства</t>
  </si>
  <si>
    <t>Департамент забезпечення ресурсних платежів СМР, Управління архітектури та містобудування СМР</t>
  </si>
  <si>
    <t xml:space="preserve">    Показник: обсяг видатків</t>
  </si>
  <si>
    <t xml:space="preserve">    Показник: обсяг видатків на придбання об'єктів щодо забезпечення житлом громадян</t>
  </si>
  <si>
    <t xml:space="preserve">    Показник: кількість об'єктів щодо забезпечення житлом громадян</t>
  </si>
  <si>
    <t xml:space="preserve">    Показник: середня вартість забезпечення житлом громадян</t>
  </si>
  <si>
    <t xml:space="preserve">    Показник: обсяг видатків на проведення ремонтно-відновлювальних робіт</t>
  </si>
  <si>
    <t xml:space="preserve">    Показник:кількість суб'єктів господарювання</t>
  </si>
  <si>
    <t>Витрати на погашення заборгованості з різниці в тарифах</t>
  </si>
  <si>
    <t xml:space="preserve">    Показник: середній обсяг компенсації, який буде погашатися</t>
  </si>
  <si>
    <t>6030, 7363</t>
  </si>
  <si>
    <t>КПКВК 6030 «Організація благоустрою населених пунктів», 7363 "Виконання інвестиційних проектів в рамках здійснення заходів щодо соціально-економічного розвитку окремих територій"</t>
  </si>
  <si>
    <t xml:space="preserve">  Завдання 8.1. Капітальний ремонт об'єктів та елементів благоустрою на загальних об'єктах</t>
  </si>
  <si>
    <t xml:space="preserve"> Завдання 8.2. Капітальний ремонт об'єктів та елементів благоустрою на загальних об'єктах на виконання інвестиційних проектів в рамках здійснення заходів щодо соціально-економічного розвитку окремих територій</t>
  </si>
  <si>
    <t>Витрати на проведення капітального ремонту об'єктів та елементів благоустрою на загальних об'єктах на виконання інвестиційних проектів в рамках здійснення заходів щодо соціально-економічного розвитку окремих територій</t>
  </si>
  <si>
    <t xml:space="preserve">  Показник: середня вартість одного заходу з капітального ремонту об'єктів благоустрою на виконання інвестиційних проектів в рамках здійснення заходів щодо соціально-економічного розвитку окремих територій
</t>
  </si>
  <si>
    <t>% виконання заходу</t>
  </si>
  <si>
    <t xml:space="preserve">    Показник: обсяг бюджетної позички, який підлягає поверненню</t>
  </si>
  <si>
    <t xml:space="preserve">    Показник:кількість підприємств, яким надана бюджетна позичка</t>
  </si>
  <si>
    <t xml:space="preserve">    Показник: середня обсяг бюджетної позички, який підлягає поверненню</t>
  </si>
  <si>
    <t>Витрати на заходи з будівництва об'єктів житлово-комунального господарства</t>
  </si>
  <si>
    <t xml:space="preserve">Витрати на заходи з будівництва, реставрації  та реконструкції  інших об'єктів комунальної власності </t>
  </si>
  <si>
    <t>Витрати на заходи з будівництва, реставрації  та реконструкції пам'яток архітектури</t>
  </si>
  <si>
    <t xml:space="preserve">    Показник: середня вартість будівництва, реконструкції та реставрації для одного об'єкта пам'ятки архітектури</t>
  </si>
  <si>
    <t xml:space="preserve">    Показник: середня вартість захода з будівництва, реставрації  та реконструкції  інших об'єктів комунальної власності </t>
  </si>
  <si>
    <t xml:space="preserve">    Показник: середня вартість  захода з будівництва об'єктів житлово-комунального господарства</t>
  </si>
  <si>
    <t>Витрати на забезпечення надійного та безперебійного функціонування житлово-експлуатаційного господарства</t>
  </si>
  <si>
    <t xml:space="preserve">    Показник: кількість  проведених експертиз оцінки шкоди, спричиненої власникам (користувачам, володільцям тощо) нерухомого майна на території Сумської міської територіальної громади внаслідок збройної агресії Російської Федерації проти України та з обстеження технічного стану житлових будинків на території Сумської міської територіальної громади внаслідок збройної агресії Російської Федерації проти України</t>
  </si>
  <si>
    <t>шт.</t>
  </si>
  <si>
    <t xml:space="preserve">    Показник:кількість технічних паспортів,</t>
  </si>
  <si>
    <t xml:space="preserve">    Показник: вартість проведення експертизи оцінки шкод та обстеження технічного стану житлових будинків</t>
  </si>
  <si>
    <t xml:space="preserve">    Показник: кількість бюджетів, яким планується надання субвенції</t>
  </si>
  <si>
    <t xml:space="preserve">    Показник: середня сума  надання субвенції одному бюджету</t>
  </si>
  <si>
    <t>Витрати на надання субвенції</t>
  </si>
  <si>
    <t>Витрати на забезпечення зміцнення матеріально-технічної бази підприємств комунальної форми власності</t>
  </si>
  <si>
    <t xml:space="preserve">    Показник: кількість підприємств комунальної форми власності яким планується поповнення статутного капіталу</t>
  </si>
  <si>
    <t xml:space="preserve">    Показник: середня сума  поповнення статутного капіталу  одного підприємства</t>
  </si>
  <si>
    <t xml:space="preserve">    Показник:кількість позичальників, що отримали кредит на впровадження енергозберігаючих заходів</t>
  </si>
  <si>
    <t>Обсяг витрат на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на впровадження заходів енергоефективності</t>
  </si>
  <si>
    <t xml:space="preserve">    Показник: середні витрати на одного позичальника</t>
  </si>
  <si>
    <t>% охоплених заходом</t>
  </si>
  <si>
    <t xml:space="preserve">    Показник:кількість позичальників, що отримали відшкодування відсоткових ставок</t>
  </si>
  <si>
    <t xml:space="preserve">    Показник: середні витрати на одного позичальника,</t>
  </si>
  <si>
    <t>Витрати на проведення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житлово-будівельними кооперативами на впровадження енергозберігаючих заходів (програма "Енергодім")</t>
  </si>
  <si>
    <t>Витрати на відшкодування з бюджету Сумської міської територіальної громади відсотків за кредитами, залученими населенням (фізичними особами), на впровадження енергозберігаючих заходів</t>
  </si>
  <si>
    <t xml:space="preserve">    Показник: обсяг видатків, передбачений на забезпечення функціонування об'єктів житлово-комунального господарства</t>
  </si>
  <si>
    <t xml:space="preserve">    Показник: середня сума  видатків на забезпечення функціонування об'єктів житлово-комунального господарства</t>
  </si>
  <si>
    <t xml:space="preserve">    Показник: кількість підприємств, яким плануються видатки на забезпечення функціонування об'єктів житлово-комунального господарства</t>
  </si>
  <si>
    <t>Витрати на проведення обстеження та експертизи мостів та шляхопроводів</t>
  </si>
  <si>
    <t>Показник: кількість обстежень та екпертиз мостів та шляхопроводів</t>
  </si>
  <si>
    <t>Показник: середні витрати на  проведення обстеження та екпертизи мостів та шляхопроводів</t>
  </si>
  <si>
    <t xml:space="preserve">    Показник: площа вуличної-дорожньої мережі, яка охоплена проведенням благоустрою</t>
  </si>
  <si>
    <t xml:space="preserve">    Показник: загальна площа вулично-дорожньої мережі, що потребує проведення благоустрою</t>
  </si>
  <si>
    <t xml:space="preserve">    Показник: % доріг з проведеним благоустроєм від потребуючих </t>
  </si>
  <si>
    <t>Витрати на проведення благоустрою населених пунктів вулично-дорожньої мережі та штучних споруд</t>
  </si>
  <si>
    <t>Витрати на проведення капітального ремонту об'єктів транспортної інфраструктури"</t>
  </si>
  <si>
    <t>Показник: кількість об'єктів транспортної інфраструктури, що потребують капітального ремонту</t>
  </si>
  <si>
    <t xml:space="preserve">Показник: середні витрати на проведення капітального ремонту об'єктів транспортної інфраструктури </t>
  </si>
  <si>
    <t xml:space="preserve">    Показник: загальна площа пішохідних та велосипедних доріжок, що потребує капітального ремонту</t>
  </si>
  <si>
    <t xml:space="preserve">    Показник: загальна площа тротуарів, що потребує капітального ремонту</t>
  </si>
  <si>
    <t xml:space="preserve">    Показник: площа  пішохідних та велосипедних доріжок, на якій планується провести капітальний ремонт</t>
  </si>
  <si>
    <t xml:space="preserve">    Показник: площа тротуарів, на якій планується провести капітальний ремонт</t>
  </si>
  <si>
    <t xml:space="preserve">    Показник: питома вага тротуарів, що зазнала капітального ремонту до площі, що потребувала капітального ремонту</t>
  </si>
  <si>
    <t xml:space="preserve">    Показник: питома вага  пішохідних та велосипедних доріжок, що зазнала капітального ремонту до площі, що потребувала капітального ремонту</t>
  </si>
  <si>
    <t xml:space="preserve">    Показник: середня вартість капітального ремонту 1 кв. м  пішохідних та велосипедних доріжок</t>
  </si>
  <si>
    <t xml:space="preserve">    Показник: середня вартість капітального ремонту 1 кв. м тротуарів</t>
  </si>
  <si>
    <t>Витрати на забезпечення улаштування нових та розширення існуючих тротуарів, пішохідних та велосипедних доріжок</t>
  </si>
  <si>
    <t xml:space="preserve">    Показник: обсяг видатків на демонтаж (розбирання, знесення) рекламних засобів на висоті до 3 метрів</t>
  </si>
  <si>
    <t xml:space="preserve">    Показник: обсяг видатків на демонтаж (розбирання, знесення) рекламних засобів на висоті вище 3 метрів</t>
  </si>
  <si>
    <t xml:space="preserve">    Показник: обсяг видатків на демонтаж (розбирання, знесення) великоформатних рекламних засобів (типу «біг-борд» та ін.) </t>
  </si>
  <si>
    <t xml:space="preserve">    Показник: обсяг видатків за послуги із доставки демонтованих рекламних засобів на майданчик тимчасового зберігання </t>
  </si>
  <si>
    <t xml:space="preserve">    Показник: обсяг видатків за послуги із відключення від мережі електропостачання </t>
  </si>
  <si>
    <t xml:space="preserve">    Показник: обсяг видатків за послуги з прибирання території (від сміття, що залишилось після демонтажу), в т.ч. вивезення на полігон та утилізація</t>
  </si>
  <si>
    <t xml:space="preserve">    Показник: кількість часу витраченого на демонтаж (розбирання, знесення) рекламних засобів на висоті до 3 метрів</t>
  </si>
  <si>
    <t xml:space="preserve">    Показник: кількість часу витраченого на демонтаж (розбирання, знесення) рекламних засобів на висоті вище 3 метрів</t>
  </si>
  <si>
    <t xml:space="preserve">    Показник: кількість часу витраченого на демонтаж (розбирання, знесення) великоформатних рекламних засобів (типу «біг-борд» та ін.) </t>
  </si>
  <si>
    <t xml:space="preserve">    Показник: кількість часу витраченого на доставку демонтованих рекламних засобів на майданчик тимчасового зберігання </t>
  </si>
  <si>
    <t xml:space="preserve">    Показник: кількість часу витраченого на відключення від мережі електропостачання </t>
  </si>
  <si>
    <t>год</t>
  </si>
  <si>
    <t xml:space="preserve">    Показник: середня вартість прибирання, вивезення на полігон та утилізації одного куб.м. сміття на території  </t>
  </si>
  <si>
    <t xml:space="preserve">    Показник: середня вартість однієї години послуги з відключення від мережі електропостачання </t>
  </si>
  <si>
    <t xml:space="preserve">    Показник: середня вартість однієї години послуги з доставки демонтованих рекламних засобів на майданчик тимчасового зберігання </t>
  </si>
  <si>
    <t xml:space="preserve">    Показник: середня вартість однієї години демонтажу (розбирання, знесення) великоформатних рекламних засобів (типу «біг-борд» та ін.)</t>
  </si>
  <si>
    <t xml:space="preserve">    Показник: середня вартість однієї години демонтажу (розбирання, знесення) рекламних засобів на висоті вище 3 метрів</t>
  </si>
  <si>
    <t xml:space="preserve">    Показник: середня вартість однієї години демонтажу (розбирання, знесення) рекламних засобів на висоті до 3 метрів </t>
  </si>
  <si>
    <t>Витрати на проведення роведення ремонту мостів,  шляхопроводів та пішохідних мостів</t>
  </si>
  <si>
    <t xml:space="preserve">    Показник: загальна кількість об'єктів, що потребує поточного та капітального ремонту</t>
  </si>
  <si>
    <t xml:space="preserve">    Показник: кількість об'єктів, яка охоплена поточним та капітальним ремонтом</t>
  </si>
  <si>
    <t>Середня вартість ремонту 1 об'єкта</t>
  </si>
  <si>
    <t>% проведених ремонтів  до  потребуючих ремонту</t>
  </si>
  <si>
    <t>Витрати на проведення утримання та обслуговування технічних засобів регулювання дорожнім рухом</t>
  </si>
  <si>
    <t>Кількість технічних засобів регулювання дорожнім рухом</t>
  </si>
  <si>
    <t>Середня вартість утримання та обслуговування технічних засобів регулювання дорожнім рухом</t>
  </si>
  <si>
    <t>Витрати на встановлення, проведення поточного та капітального ремонтів технічних засобів регулювання дорожнім рухом</t>
  </si>
  <si>
    <t>Показник: кількість засобів регулювання дорожнім рухом</t>
  </si>
  <si>
    <t>Показник: середні витрати на проведення поточного та капітального ремонту  (встановлення) технічних засобів регулювання дорожнім рухом</t>
  </si>
  <si>
    <t>Збільшення протяжності мережі зовнішнього освітлення, на якій планується провести поточний ремонт</t>
  </si>
  <si>
    <t>Збільшення протяжності мережі зовнішнього освітлення, на якій планується провести капітальний ремонт</t>
  </si>
  <si>
    <t>Збільшення площі вуличної-дорожньої мережі,, на якій планується провести капітальний ремонт</t>
  </si>
  <si>
    <t>Збільшення площі вуличної-дорожньої мережі,, на якій планується провести поточний ремонт</t>
  </si>
  <si>
    <t>Директор Департаменту інфраструктури міста</t>
  </si>
  <si>
    <t>Завдання 13.8. "Фінансова підтримка КП «Міськводоканал» СМР (оплата заробітної плати разом з нарахуваннями, придбання запасних частин, матеріалів  та паливно-мастильних матеріалів, придбання автозапчастин, автоколес,  проведення державної експертизи та оцінки запасів корисних копалин, погашення податкового боргу по сплаті рентної плати за користування надрами, погашення заборгованості за спожиту електроенергію перед ТОВ "УКР ГАЗ РЕСУРС"; придбання кабелів силових, автоматичних вимикачів та рубильників, наконечників до кабелів, труби гофровані; погашення заборгованості за спожиту електроенергію перед ТОВ «НЬЮ СТРІМ ЕНЕРДЖІ», ДПЗД «Укрінтеренерго», "Енергопрод-Сервіс" та розподіл електричної енергії перед  АТ «Сумиобленерго», МРЕМ АТ "Сумиобленерго"; погашення податкового боргу з рентної плати за спеціальне використання води; оплата різниці між вартістю  електроенергії за 1 кВт/год, яка врахована в тарифі на послуги з водопостачання й водовідведення, та фактичною вартістю електроенергії за 1 кВт/год, використаної у 2024 році, оплаа послуг з розробки проектно-кошторисної документації для поточного ремонту, монтажу обладнання та устаткування (монтаж обладнання та устаткування системи резервного електропостачання (контейнерного (блочного) типу дизельної електростанції) за адресою: вул.Лихвинська стінка, 40 в м.Суми та вул.Василя Симоненка, 29 А в м.Суми)"</t>
  </si>
  <si>
    <t xml:space="preserve"> Завдання 22.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 на 2023-2024 роки</t>
  </si>
  <si>
    <t xml:space="preserve"> Завдання 23. Здійснення заходів із землеустрою на 2023-2024 роки</t>
  </si>
  <si>
    <t>7130</t>
  </si>
  <si>
    <t>КПКВК 7130 «Здійснення заходів із землеустрою»</t>
  </si>
  <si>
    <t xml:space="preserve">    Завдання 26.  Здійснення заходів із землеустрою</t>
  </si>
  <si>
    <t>Завдання 26. "Здійснення заходів із землеустрою"</t>
  </si>
  <si>
    <t xml:space="preserve">    Показник: Кількість земельних ділянок, що потребують здійснення заходів із землеустрою, од.</t>
  </si>
  <si>
    <t xml:space="preserve">    Показник: витрати на розробку однієї документації із землеустрою</t>
  </si>
  <si>
    <r>
      <rPr>
        <sz val="16"/>
        <rFont val="Times New Roman"/>
        <family val="1"/>
        <charset val="204"/>
      </rPr>
      <t xml:space="preserve">
Додаток 1
до наказу Сумської міської військової адміністрації                                                                              від 10.10.2024  №321 -СМР 
</t>
    </r>
    <r>
      <rPr>
        <sz val="16"/>
        <color theme="1"/>
        <rFont val="Times New Roman"/>
        <family val="1"/>
        <charset val="204"/>
      </rPr>
      <t xml:space="preserve">
</t>
    </r>
  </si>
  <si>
    <t xml:space="preserve">Додаток 2
до наказу Сумської міської військової адміністрації                                                                              від 10.10.2024  №321 -СМР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</si>
</sst>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 _₴_-;\-* #,##0.00\ _₴_-;_-* &quot;-&quot;??\ _₴_-;_-@_-"/>
    <numFmt numFmtId="165" formatCode="_(* #,##0.00_);_(* \(#,##0.00\);_(* &quot;-&quot;??_);_(@_)"/>
    <numFmt numFmtId="166" formatCode="_-* #,##0_-;\-* #,##0_-;_-* &quot;-&quot;??_-;_-@_-"/>
    <numFmt numFmtId="167" formatCode="_-* #,##0.0_-;\-* #,##0.0_-;_-* &quot;-&quot;??_-;_-@_-"/>
    <numFmt numFmtId="168" formatCode="_-* #,##0.000_-;\-* #,##0.000_-;_-* &quot;-&quot;??_-;_-@_-"/>
    <numFmt numFmtId="169" formatCode="#,##0.000"/>
  </numFmts>
  <fonts count="28" x14ac:knownFonts="1">
    <font>
      <sz val="11"/>
      <color theme="1"/>
      <name val="Calibri"/>
      <family val="2"/>
      <scheme val="minor"/>
    </font>
    <font>
      <sz val="10"/>
      <color theme="1"/>
      <name val="Calibri"/>
      <family val="2"/>
      <charset val="204"/>
      <scheme val="minor"/>
    </font>
    <font>
      <sz val="11"/>
      <color theme="1"/>
      <name val="Calibri"/>
      <family val="2"/>
      <scheme val="minor"/>
    </font>
    <font>
      <sz val="14"/>
      <color theme="1"/>
      <name val="Times New Roman"/>
      <family val="1"/>
      <charset val="204"/>
    </font>
    <font>
      <sz val="14"/>
      <color rgb="FFFF0000"/>
      <name val="Times New Roman"/>
      <family val="1"/>
      <charset val="204"/>
    </font>
    <font>
      <sz val="10"/>
      <name val="Arial"/>
      <family val="2"/>
      <charset val="204"/>
    </font>
    <font>
      <sz val="10"/>
      <name val="Arial"/>
      <family val="2"/>
      <charset val="204"/>
    </font>
    <font>
      <b/>
      <sz val="11"/>
      <color theme="1"/>
      <name val="Calibri"/>
      <family val="2"/>
      <charset val="204"/>
      <scheme val="minor"/>
    </font>
    <font>
      <b/>
      <sz val="12"/>
      <color theme="1"/>
      <name val="Calibri"/>
      <family val="2"/>
      <charset val="204"/>
      <scheme val="minor"/>
    </font>
    <font>
      <sz val="11"/>
      <color rgb="FFFF0000"/>
      <name val="Times New Roman"/>
      <family val="1"/>
      <charset val="204"/>
    </font>
    <font>
      <sz val="11"/>
      <color rgb="FFFF0000"/>
      <name val="Calibri"/>
      <family val="2"/>
      <scheme val="minor"/>
    </font>
    <font>
      <sz val="16"/>
      <color theme="1"/>
      <name val="Times New Roman"/>
      <family val="1"/>
      <charset val="204"/>
    </font>
    <font>
      <b/>
      <sz val="16"/>
      <color theme="1"/>
      <name val="Times New Roman"/>
      <family val="1"/>
      <charset val="204"/>
    </font>
    <font>
      <sz val="16"/>
      <name val="Times New Roman"/>
      <family val="1"/>
      <charset val="204"/>
    </font>
    <font>
      <b/>
      <sz val="16"/>
      <name val="Times New Roman"/>
      <family val="1"/>
      <charset val="204"/>
    </font>
    <font>
      <sz val="16"/>
      <color theme="1"/>
      <name val="Calibri"/>
      <family val="2"/>
      <scheme val="minor"/>
    </font>
    <font>
      <b/>
      <sz val="14"/>
      <name val="Times New Roman"/>
      <family val="1"/>
      <charset val="204"/>
    </font>
    <font>
      <sz val="14"/>
      <name val="Times New Roman"/>
      <family val="1"/>
      <charset val="204"/>
    </font>
    <font>
      <b/>
      <sz val="16"/>
      <color theme="1"/>
      <name val="Calibri"/>
      <family val="2"/>
      <charset val="204"/>
      <scheme val="minor"/>
    </font>
    <font>
      <b/>
      <sz val="14"/>
      <color theme="1"/>
      <name val="Times New Roman"/>
      <family val="1"/>
      <charset val="204"/>
    </font>
    <font>
      <b/>
      <i/>
      <sz val="14"/>
      <color theme="1"/>
      <name val="Times New Roman"/>
      <family val="1"/>
      <charset val="204"/>
    </font>
    <font>
      <b/>
      <i/>
      <sz val="14"/>
      <name val="Times New Roman"/>
      <family val="1"/>
      <charset val="204"/>
    </font>
    <font>
      <sz val="11"/>
      <color theme="1"/>
      <name val="Times New Roman"/>
      <family val="1"/>
      <charset val="204"/>
    </font>
    <font>
      <i/>
      <sz val="14"/>
      <name val="Times New Roman"/>
      <family val="1"/>
      <charset val="204"/>
    </font>
    <font>
      <sz val="10"/>
      <name val="Times New Roman"/>
      <family val="1"/>
      <charset val="204"/>
    </font>
    <font>
      <sz val="10"/>
      <name val="Arial"/>
      <family val="2"/>
      <charset val="204"/>
    </font>
    <font>
      <sz val="18"/>
      <color theme="1"/>
      <name val="Times New Roman"/>
      <family val="1"/>
      <charset val="204"/>
    </font>
    <font>
      <sz val="18"/>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s>
  <cellStyleXfs count="9">
    <xf numFmtId="0" fontId="0" fillId="0" borderId="0"/>
    <xf numFmtId="43" fontId="2" fillId="0" borderId="0" applyFont="0" applyFill="0" applyBorder="0" applyAlignment="0" applyProtection="0"/>
    <xf numFmtId="0" fontId="5" fillId="0" borderId="0"/>
    <xf numFmtId="0" fontId="6" fillId="0" borderId="0"/>
    <xf numFmtId="165" fontId="5" fillId="0" borderId="0" applyFont="0" applyFill="0" applyBorder="0" applyAlignment="0" applyProtection="0"/>
    <xf numFmtId="165" fontId="6" fillId="0" borderId="0" applyFont="0" applyFill="0" applyBorder="0" applyAlignment="0" applyProtection="0"/>
    <xf numFmtId="0" fontId="1" fillId="0" borderId="0"/>
    <xf numFmtId="0" fontId="25" fillId="0" borderId="0"/>
    <xf numFmtId="165" fontId="25" fillId="0" borderId="0" applyFont="0" applyFill="0" applyBorder="0" applyAlignment="0" applyProtection="0"/>
  </cellStyleXfs>
  <cellXfs count="374">
    <xf numFmtId="0" fontId="0" fillId="0" borderId="0" xfId="0"/>
    <xf numFmtId="0" fontId="0" fillId="0" borderId="0" xfId="0" applyAlignment="1">
      <alignment wrapText="1"/>
    </xf>
    <xf numFmtId="0" fontId="3" fillId="0" borderId="0" xfId="0" applyFont="1" applyBorder="1"/>
    <xf numFmtId="0" fontId="0" fillId="0" borderId="0" xfId="0" applyBorder="1"/>
    <xf numFmtId="0" fontId="7" fillId="0" borderId="0" xfId="0" applyFont="1"/>
    <xf numFmtId="0" fontId="7" fillId="0" borderId="0" xfId="0" applyFont="1" applyAlignment="1">
      <alignment wrapText="1"/>
    </xf>
    <xf numFmtId="164" fontId="8" fillId="0" borderId="0" xfId="0" applyNumberFormat="1" applyFont="1"/>
    <xf numFmtId="164" fontId="8" fillId="0" borderId="0" xfId="0" applyNumberFormat="1" applyFont="1" applyAlignment="1">
      <alignment horizontal="right"/>
    </xf>
    <xf numFmtId="0" fontId="4" fillId="0" borderId="0" xfId="0" applyFont="1" applyBorder="1"/>
    <xf numFmtId="0" fontId="9" fillId="0" borderId="0" xfId="0" applyFont="1" applyBorder="1"/>
    <xf numFmtId="0" fontId="10" fillId="0" borderId="0" xfId="0" applyFont="1"/>
    <xf numFmtId="0" fontId="11" fillId="0" borderId="0" xfId="0" applyFont="1"/>
    <xf numFmtId="0" fontId="11" fillId="0" borderId="1" xfId="0" applyFont="1" applyBorder="1" applyAlignment="1">
      <alignment vertical="center" wrapText="1"/>
    </xf>
    <xf numFmtId="0" fontId="11" fillId="0" borderId="1" xfId="0" applyFont="1" applyBorder="1" applyAlignment="1">
      <alignment horizontal="center" vertical="center"/>
    </xf>
    <xf numFmtId="0" fontId="11" fillId="0" borderId="1" xfId="0" applyFont="1" applyBorder="1"/>
    <xf numFmtId="0" fontId="12" fillId="0" borderId="1" xfId="0" applyFont="1" applyBorder="1" applyAlignment="1">
      <alignment vertical="center" wrapText="1"/>
    </xf>
    <xf numFmtId="0" fontId="12" fillId="0" borderId="1" xfId="0" applyFont="1" applyBorder="1"/>
    <xf numFmtId="43" fontId="12" fillId="3" borderId="1" xfId="1" applyFont="1" applyFill="1" applyBorder="1" applyAlignment="1">
      <alignment horizontal="center" vertical="center"/>
    </xf>
    <xf numFmtId="164" fontId="12" fillId="3" borderId="1" xfId="0" applyNumberFormat="1" applyFont="1" applyFill="1" applyBorder="1" applyAlignment="1">
      <alignment horizontal="center" vertical="center"/>
    </xf>
    <xf numFmtId="43" fontId="12" fillId="3" borderId="1" xfId="1" applyFont="1" applyFill="1" applyBorder="1" applyAlignment="1">
      <alignment horizontal="left" vertical="center"/>
    </xf>
    <xf numFmtId="0" fontId="12" fillId="2" borderId="1" xfId="0" applyFont="1" applyFill="1" applyBorder="1" applyAlignment="1">
      <alignment horizontal="center" wrapText="1"/>
    </xf>
    <xf numFmtId="164" fontId="12" fillId="2" borderId="5" xfId="0" applyNumberFormat="1" applyFont="1" applyFill="1" applyBorder="1" applyAlignment="1">
      <alignment vertical="center" wrapText="1"/>
    </xf>
    <xf numFmtId="164" fontId="13" fillId="3" borderId="5" xfId="0" applyNumberFormat="1" applyFont="1" applyFill="1" applyBorder="1"/>
    <xf numFmtId="0" fontId="11" fillId="0" borderId="5" xfId="0" applyFont="1" applyBorder="1" applyAlignment="1">
      <alignment vertical="center" wrapText="1"/>
    </xf>
    <xf numFmtId="164" fontId="12" fillId="0" borderId="1" xfId="0" applyNumberFormat="1" applyFont="1" applyBorder="1"/>
    <xf numFmtId="0" fontId="12" fillId="2" borderId="1" xfId="0" applyFont="1" applyFill="1" applyBorder="1"/>
    <xf numFmtId="164" fontId="12" fillId="2" borderId="1" xfId="0" applyNumberFormat="1" applyFont="1" applyFill="1" applyBorder="1" applyAlignment="1"/>
    <xf numFmtId="43" fontId="12" fillId="3" borderId="1" xfId="0" applyNumberFormat="1" applyFont="1" applyFill="1" applyBorder="1" applyAlignment="1">
      <alignment horizontal="center" vertical="center"/>
    </xf>
    <xf numFmtId="43" fontId="14" fillId="3" borderId="1" xfId="1" applyFont="1" applyFill="1" applyBorder="1" applyAlignment="1">
      <alignment horizontal="center" vertical="center"/>
    </xf>
    <xf numFmtId="0" fontId="12" fillId="2" borderId="1" xfId="0" applyFont="1" applyFill="1" applyBorder="1" applyAlignment="1">
      <alignment wrapText="1"/>
    </xf>
    <xf numFmtId="0" fontId="12" fillId="0" borderId="1" xfId="0" applyFont="1" applyBorder="1" applyAlignment="1">
      <alignment wrapText="1"/>
    </xf>
    <xf numFmtId="43" fontId="12" fillId="0" borderId="1" xfId="1" applyFont="1" applyBorder="1" applyAlignment="1">
      <alignment horizontal="center" vertical="center"/>
    </xf>
    <xf numFmtId="0" fontId="12" fillId="0" borderId="1" xfId="0" applyFont="1" applyBorder="1" applyAlignment="1">
      <alignment horizontal="center" vertical="center"/>
    </xf>
    <xf numFmtId="0" fontId="12" fillId="3" borderId="5" xfId="0" applyFont="1" applyFill="1" applyBorder="1" applyAlignment="1"/>
    <xf numFmtId="43" fontId="12" fillId="3" borderId="5" xfId="1" applyFont="1" applyFill="1" applyBorder="1" applyAlignment="1">
      <alignment vertical="center"/>
    </xf>
    <xf numFmtId="0" fontId="12" fillId="3" borderId="1" xfId="0" applyFont="1" applyFill="1" applyBorder="1"/>
    <xf numFmtId="0" fontId="12" fillId="3" borderId="1" xfId="0" applyFont="1" applyFill="1" applyBorder="1" applyAlignment="1">
      <alignment wrapText="1"/>
    </xf>
    <xf numFmtId="0" fontId="11" fillId="0" borderId="6" xfId="0" applyFont="1" applyBorder="1" applyAlignment="1">
      <alignment horizontal="center"/>
    </xf>
    <xf numFmtId="0" fontId="11" fillId="3" borderId="5" xfId="0" applyFont="1" applyFill="1" applyBorder="1"/>
    <xf numFmtId="43" fontId="11" fillId="3" borderId="5" xfId="1" applyFont="1" applyFill="1" applyBorder="1" applyAlignment="1">
      <alignment horizontal="center" vertical="center"/>
    </xf>
    <xf numFmtId="0" fontId="11" fillId="3" borderId="1" xfId="0" applyFont="1" applyFill="1" applyBorder="1"/>
    <xf numFmtId="43" fontId="11" fillId="3" borderId="1" xfId="1" applyFont="1" applyFill="1" applyBorder="1" applyAlignment="1">
      <alignment horizontal="center" vertical="center"/>
    </xf>
    <xf numFmtId="0" fontId="11" fillId="3" borderId="1" xfId="0" applyFont="1" applyFill="1" applyBorder="1" applyAlignment="1">
      <alignment wrapText="1"/>
    </xf>
    <xf numFmtId="0" fontId="15" fillId="0" borderId="1" xfId="0" applyFont="1" applyBorder="1"/>
    <xf numFmtId="0" fontId="11" fillId="0" borderId="0" xfId="0" applyFont="1" applyBorder="1" applyAlignment="1">
      <alignment horizontal="center"/>
    </xf>
    <xf numFmtId="0" fontId="14" fillId="3" borderId="5" xfId="0" applyFont="1" applyFill="1" applyBorder="1" applyAlignment="1"/>
    <xf numFmtId="43" fontId="14" fillId="3" borderId="5" xfId="1" applyFont="1" applyFill="1" applyBorder="1" applyAlignment="1">
      <alignment vertical="center"/>
    </xf>
    <xf numFmtId="0" fontId="14" fillId="3" borderId="1" xfId="0" applyFont="1" applyFill="1" applyBorder="1"/>
    <xf numFmtId="0" fontId="14" fillId="3" borderId="1" xfId="0" applyFont="1" applyFill="1" applyBorder="1" applyAlignment="1">
      <alignment wrapText="1"/>
    </xf>
    <xf numFmtId="0" fontId="13" fillId="3" borderId="1" xfId="0" applyFont="1" applyFill="1" applyBorder="1"/>
    <xf numFmtId="43" fontId="13" fillId="3" borderId="1" xfId="1" applyFont="1" applyFill="1" applyBorder="1" applyAlignment="1">
      <alignment horizontal="center" vertical="center"/>
    </xf>
    <xf numFmtId="0" fontId="13" fillId="3" borderId="1" xfId="0" applyFont="1" applyFill="1" applyBorder="1" applyAlignment="1">
      <alignment wrapText="1"/>
    </xf>
    <xf numFmtId="0" fontId="13" fillId="3" borderId="5" xfId="0" applyFont="1" applyFill="1" applyBorder="1"/>
    <xf numFmtId="43" fontId="13" fillId="3" borderId="5" xfId="1" applyFont="1" applyFill="1" applyBorder="1" applyAlignment="1">
      <alignment horizontal="center" vertical="center"/>
    </xf>
    <xf numFmtId="2" fontId="14" fillId="3" borderId="5" xfId="1" applyNumberFormat="1" applyFont="1" applyFill="1" applyBorder="1" applyAlignment="1">
      <alignment vertical="center"/>
    </xf>
    <xf numFmtId="2" fontId="11" fillId="3" borderId="1" xfId="1" applyNumberFormat="1" applyFont="1" applyFill="1" applyBorder="1" applyAlignment="1">
      <alignment horizontal="center" vertical="center"/>
    </xf>
    <xf numFmtId="2" fontId="13" fillId="3" borderId="7" xfId="0" applyNumberFormat="1" applyFont="1" applyFill="1" applyBorder="1" applyAlignment="1">
      <alignment horizontal="center" vertical="center" wrapText="1"/>
    </xf>
    <xf numFmtId="2" fontId="11" fillId="3" borderId="5" xfId="1" applyNumberFormat="1" applyFont="1" applyFill="1" applyBorder="1" applyAlignment="1">
      <alignment horizontal="center" vertical="center"/>
    </xf>
    <xf numFmtId="4" fontId="14" fillId="3" borderId="1" xfId="0" applyNumberFormat="1" applyFont="1" applyFill="1" applyBorder="1" applyAlignment="1">
      <alignment horizontal="center" vertical="center"/>
    </xf>
    <xf numFmtId="164" fontId="8" fillId="0" borderId="0" xfId="0" applyNumberFormat="1" applyFont="1" applyAlignment="1">
      <alignment horizontal="right" vertical="center"/>
    </xf>
    <xf numFmtId="0" fontId="14" fillId="3" borderId="0" xfId="0" applyFont="1" applyFill="1" applyBorder="1" applyAlignment="1">
      <alignment horizontal="center" vertical="center" wrapText="1"/>
    </xf>
    <xf numFmtId="49" fontId="14" fillId="3" borderId="0" xfId="0" applyNumberFormat="1" applyFont="1" applyFill="1" applyBorder="1" applyAlignment="1">
      <alignment horizontal="center" vertical="center" wrapText="1"/>
    </xf>
    <xf numFmtId="0" fontId="14" fillId="3" borderId="0" xfId="0" applyFont="1" applyFill="1" applyBorder="1"/>
    <xf numFmtId="43" fontId="14" fillId="3" borderId="0" xfId="1" applyFont="1" applyFill="1" applyBorder="1" applyAlignment="1">
      <alignment horizontal="center" vertical="center"/>
    </xf>
    <xf numFmtId="2" fontId="13" fillId="3" borderId="1" xfId="0" applyNumberFormat="1" applyFont="1" applyFill="1" applyBorder="1" applyAlignment="1">
      <alignment horizontal="center" vertical="center" wrapText="1"/>
    </xf>
    <xf numFmtId="4" fontId="13" fillId="3" borderId="1" xfId="0" applyNumberFormat="1" applyFont="1" applyFill="1" applyBorder="1" applyAlignment="1">
      <alignment horizontal="center" vertical="center" wrapText="1"/>
    </xf>
    <xf numFmtId="43" fontId="14" fillId="0" borderId="5" xfId="1" applyFont="1" applyFill="1" applyBorder="1" applyAlignment="1">
      <alignment vertical="center"/>
    </xf>
    <xf numFmtId="43" fontId="14" fillId="0" borderId="1" xfId="1" applyFont="1" applyFill="1" applyBorder="1" applyAlignment="1">
      <alignment horizontal="center" vertical="center"/>
    </xf>
    <xf numFmtId="43" fontId="11" fillId="0" borderId="1" xfId="1" applyFont="1" applyFill="1" applyBorder="1" applyAlignment="1">
      <alignment horizontal="center" vertical="center"/>
    </xf>
    <xf numFmtId="43" fontId="13" fillId="0" borderId="7" xfId="1" applyFont="1" applyFill="1" applyBorder="1" applyAlignment="1">
      <alignment horizontal="center" vertical="center" wrapText="1"/>
    </xf>
    <xf numFmtId="43" fontId="11" fillId="0" borderId="5" xfId="1" applyFont="1" applyFill="1" applyBorder="1" applyAlignment="1">
      <alignment horizontal="center" vertical="center"/>
    </xf>
    <xf numFmtId="43" fontId="13" fillId="0" borderId="1" xfId="1" applyFont="1" applyFill="1" applyBorder="1" applyAlignment="1">
      <alignment horizontal="center" vertical="center" wrapText="1"/>
    </xf>
    <xf numFmtId="164" fontId="0" fillId="0" borderId="0" xfId="0" applyNumberFormat="1"/>
    <xf numFmtId="164" fontId="18" fillId="0" borderId="0" xfId="0" applyNumberFormat="1" applyFont="1" applyAlignment="1">
      <alignment horizontal="right"/>
    </xf>
    <xf numFmtId="0" fontId="17" fillId="0" borderId="0" xfId="0" applyFont="1" applyBorder="1"/>
    <xf numFmtId="43" fontId="13" fillId="3" borderId="7" xfId="1" applyFont="1" applyFill="1" applyBorder="1" applyAlignment="1">
      <alignment horizontal="center" vertical="center" wrapText="1"/>
    </xf>
    <xf numFmtId="0" fontId="17" fillId="0" borderId="0" xfId="0" applyFont="1" applyBorder="1" applyAlignment="1"/>
    <xf numFmtId="164" fontId="11" fillId="3" borderId="0" xfId="0" applyNumberFormat="1" applyFont="1" applyFill="1"/>
    <xf numFmtId="0" fontId="3" fillId="0" borderId="0" xfId="0" applyFont="1"/>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20" fillId="0" borderId="5" xfId="0" applyFont="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3"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7" xfId="0" applyFont="1" applyBorder="1" applyAlignment="1">
      <alignment horizontal="center"/>
    </xf>
    <xf numFmtId="0" fontId="3" fillId="0" borderId="1" xfId="0" applyFont="1" applyBorder="1" applyAlignment="1"/>
    <xf numFmtId="0" fontId="3" fillId="0" borderId="5"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22" fillId="0" borderId="0" xfId="0" applyFont="1" applyBorder="1"/>
    <xf numFmtId="0" fontId="20" fillId="2" borderId="1" xfId="0" applyFont="1" applyFill="1" applyBorder="1" applyAlignment="1">
      <alignment horizontal="left" wrapText="1"/>
    </xf>
    <xf numFmtId="0" fontId="3" fillId="2" borderId="1" xfId="0" applyFont="1" applyFill="1" applyBorder="1" applyAlignment="1">
      <alignment horizontal="left" vertical="center" wrapText="1"/>
    </xf>
    <xf numFmtId="0" fontId="20" fillId="3" borderId="5"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17"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14" fillId="3" borderId="8" xfId="0" applyFont="1" applyFill="1" applyBorder="1" applyAlignment="1">
      <alignment vertical="center" wrapText="1"/>
    </xf>
    <xf numFmtId="0" fontId="14" fillId="3" borderId="10" xfId="0" applyFont="1" applyFill="1" applyBorder="1" applyAlignment="1">
      <alignment vertical="center" wrapText="1"/>
    </xf>
    <xf numFmtId="0" fontId="14" fillId="3" borderId="12" xfId="0" applyFont="1" applyFill="1" applyBorder="1" applyAlignment="1">
      <alignment vertical="center" wrapText="1"/>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xf>
    <xf numFmtId="0" fontId="3" fillId="3" borderId="1" xfId="0" applyFont="1" applyFill="1" applyBorder="1" applyAlignment="1"/>
    <xf numFmtId="43" fontId="12" fillId="5" borderId="5" xfId="1" applyFont="1" applyFill="1" applyBorder="1" applyAlignment="1">
      <alignment vertical="center"/>
    </xf>
    <xf numFmtId="0" fontId="21" fillId="2" borderId="1" xfId="0" applyFont="1" applyFill="1" applyBorder="1" applyAlignment="1">
      <alignment horizontal="left"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164" fontId="14" fillId="5" borderId="1" xfId="0" applyNumberFormat="1" applyFont="1" applyFill="1" applyBorder="1" applyAlignment="1">
      <alignment horizontal="center" vertical="center"/>
    </xf>
    <xf numFmtId="0" fontId="11" fillId="0" borderId="6" xfId="0" applyFont="1" applyBorder="1" applyAlignment="1">
      <alignment horizontal="center" vertical="center"/>
    </xf>
    <xf numFmtId="0" fontId="12" fillId="5" borderId="1" xfId="0" applyFont="1" applyFill="1" applyBorder="1" applyAlignment="1">
      <alignment horizontal="center" vertical="center"/>
    </xf>
    <xf numFmtId="0" fontId="12" fillId="5" borderId="1" xfId="0" applyFont="1" applyFill="1" applyBorder="1" applyAlignment="1">
      <alignment horizontal="center" wrapText="1"/>
    </xf>
    <xf numFmtId="0" fontId="12" fillId="5" borderId="5" xfId="0" applyFont="1" applyFill="1" applyBorder="1" applyAlignment="1">
      <alignment horizontal="center" vertical="center"/>
    </xf>
    <xf numFmtId="0" fontId="3" fillId="2" borderId="0" xfId="0" applyFont="1" applyFill="1" applyAlignment="1">
      <alignment wrapText="1"/>
    </xf>
    <xf numFmtId="0" fontId="3" fillId="3"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4" fontId="17" fillId="4" borderId="1" xfId="0" applyNumberFormat="1" applyFont="1" applyFill="1" applyBorder="1" applyAlignment="1">
      <alignment horizontal="righ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wrapText="1"/>
    </xf>
    <xf numFmtId="0" fontId="17" fillId="3" borderId="0" xfId="0" applyFont="1" applyFill="1" applyBorder="1" applyAlignment="1">
      <alignment horizontal="left" vertical="center" wrapText="1"/>
    </xf>
    <xf numFmtId="0" fontId="3" fillId="3" borderId="5" xfId="0" applyFont="1" applyFill="1" applyBorder="1" applyAlignment="1">
      <alignment vertical="center"/>
    </xf>
    <xf numFmtId="0" fontId="24" fillId="3" borderId="1" xfId="0" applyFont="1" applyFill="1" applyBorder="1" applyAlignment="1">
      <alignment horizontal="left" vertical="center" wrapText="1"/>
    </xf>
    <xf numFmtId="0" fontId="3" fillId="3" borderId="7" xfId="0" applyFont="1" applyFill="1" applyBorder="1" applyAlignment="1">
      <alignment horizontal="center" vertical="center"/>
    </xf>
    <xf numFmtId="0" fontId="17" fillId="3" borderId="1" xfId="0" applyFont="1" applyFill="1" applyBorder="1" applyAlignment="1">
      <alignment horizontal="left" wrapText="1"/>
    </xf>
    <xf numFmtId="0" fontId="17" fillId="3" borderId="1" xfId="0" applyFont="1" applyFill="1" applyBorder="1" applyAlignment="1">
      <alignment horizontal="left" vertical="top" wrapText="1"/>
    </xf>
    <xf numFmtId="0" fontId="21" fillId="3" borderId="6" xfId="0" applyFont="1" applyFill="1" applyBorder="1" applyAlignment="1">
      <alignment horizontal="center" vertical="center" wrapText="1"/>
    </xf>
    <xf numFmtId="0" fontId="17" fillId="3" borderId="5" xfId="0" applyFont="1" applyFill="1" applyBorder="1" applyAlignment="1">
      <alignment horizontal="left" vertical="center" wrapText="1"/>
    </xf>
    <xf numFmtId="0" fontId="17" fillId="3" borderId="0" xfId="0" applyFont="1" applyFill="1" applyBorder="1" applyAlignment="1">
      <alignment horizontal="left" wrapText="1"/>
    </xf>
    <xf numFmtId="0" fontId="17" fillId="3" borderId="15" xfId="0" applyFont="1" applyFill="1" applyBorder="1" applyAlignment="1">
      <alignment horizontal="left" wrapText="1"/>
    </xf>
    <xf numFmtId="0" fontId="17" fillId="3" borderId="16" xfId="0" applyFont="1" applyFill="1" applyBorder="1" applyAlignment="1">
      <alignment horizontal="left" wrapText="1"/>
    </xf>
    <xf numFmtId="0" fontId="17" fillId="3" borderId="14" xfId="0" applyFont="1" applyFill="1" applyBorder="1" applyAlignment="1">
      <alignment horizontal="left" wrapText="1"/>
    </xf>
    <xf numFmtId="0" fontId="21" fillId="2" borderId="7" xfId="0" applyFont="1" applyFill="1" applyBorder="1" applyAlignment="1">
      <alignment horizontal="right" vertical="center" wrapText="1"/>
    </xf>
    <xf numFmtId="0" fontId="17" fillId="3" borderId="5" xfId="0" applyFont="1" applyFill="1" applyBorder="1" applyAlignment="1">
      <alignment horizontal="left" wrapText="1"/>
    </xf>
    <xf numFmtId="0" fontId="17" fillId="3" borderId="1" xfId="0" applyFont="1" applyFill="1" applyBorder="1" applyAlignment="1">
      <alignment wrapText="1"/>
    </xf>
    <xf numFmtId="0" fontId="21" fillId="3" borderId="5" xfId="0" applyFont="1" applyFill="1" applyBorder="1" applyAlignment="1">
      <alignment horizontal="center" vertical="center" wrapText="1"/>
    </xf>
    <xf numFmtId="0" fontId="11" fillId="3" borderId="0" xfId="0" applyFont="1" applyFill="1" applyBorder="1" applyAlignment="1">
      <alignment horizontal="center"/>
    </xf>
    <xf numFmtId="0" fontId="23" fillId="3" borderId="5" xfId="0" applyFont="1" applyFill="1" applyBorder="1" applyAlignment="1">
      <alignment vertical="center" wrapText="1"/>
    </xf>
    <xf numFmtId="0" fontId="23" fillId="3" borderId="0" xfId="0" applyFont="1" applyFill="1" applyBorder="1" applyAlignment="1">
      <alignment vertical="center" wrapText="1"/>
    </xf>
    <xf numFmtId="43" fontId="12" fillId="5" borderId="7" xfId="1" applyFont="1" applyFill="1" applyBorder="1" applyAlignment="1">
      <alignment horizontal="right" vertical="center"/>
    </xf>
    <xf numFmtId="43" fontId="14" fillId="5" borderId="7" xfId="1" applyFont="1" applyFill="1" applyBorder="1" applyAlignment="1">
      <alignment horizontal="right" vertical="center"/>
    </xf>
    <xf numFmtId="164" fontId="19" fillId="0" borderId="1" xfId="0" applyNumberFormat="1" applyFont="1" applyBorder="1" applyAlignment="1">
      <alignment horizontal="right" vertical="center"/>
    </xf>
    <xf numFmtId="166" fontId="3" fillId="0" borderId="1" xfId="0" applyNumberFormat="1" applyFont="1" applyBorder="1" applyAlignment="1">
      <alignment horizontal="right" vertical="center"/>
    </xf>
    <xf numFmtId="43" fontId="19" fillId="2" borderId="7" xfId="0" applyNumberFormat="1" applyFont="1" applyFill="1" applyBorder="1" applyAlignment="1">
      <alignment horizontal="right" vertical="center"/>
    </xf>
    <xf numFmtId="43" fontId="3" fillId="2" borderId="7" xfId="1" applyNumberFormat="1" applyFont="1" applyFill="1" applyBorder="1" applyAlignment="1">
      <alignment horizontal="right" vertical="center"/>
    </xf>
    <xf numFmtId="43" fontId="17" fillId="2" borderId="7" xfId="1" applyNumberFormat="1" applyFont="1" applyFill="1" applyBorder="1" applyAlignment="1">
      <alignment horizontal="right" vertical="center"/>
    </xf>
    <xf numFmtId="167" fontId="3" fillId="0" borderId="7" xfId="1" applyNumberFormat="1" applyFont="1" applyBorder="1" applyAlignment="1">
      <alignment horizontal="right" vertical="center"/>
    </xf>
    <xf numFmtId="43" fontId="3" fillId="0" borderId="7" xfId="1" applyFont="1" applyBorder="1" applyAlignment="1">
      <alignment horizontal="right" vertical="center"/>
    </xf>
    <xf numFmtId="168" fontId="3" fillId="0" borderId="1" xfId="1" applyNumberFormat="1" applyFont="1" applyBorder="1" applyAlignment="1">
      <alignment horizontal="right" vertical="center"/>
    </xf>
    <xf numFmtId="43" fontId="3" fillId="0" borderId="1" xfId="1" applyFont="1" applyBorder="1" applyAlignment="1">
      <alignment horizontal="right" vertical="center"/>
    </xf>
    <xf numFmtId="166" fontId="3" fillId="0" borderId="1" xfId="1" applyNumberFormat="1" applyFont="1" applyBorder="1" applyAlignment="1">
      <alignment horizontal="right" vertical="center"/>
    </xf>
    <xf numFmtId="43" fontId="3" fillId="0" borderId="1" xfId="1" applyNumberFormat="1" applyFont="1" applyBorder="1" applyAlignment="1">
      <alignment horizontal="right" vertical="center"/>
    </xf>
    <xf numFmtId="4" fontId="17" fillId="0" borderId="1" xfId="0" applyNumberFormat="1" applyFont="1" applyFill="1" applyBorder="1" applyAlignment="1">
      <alignment horizontal="right" vertical="center" wrapText="1"/>
    </xf>
    <xf numFmtId="0" fontId="17" fillId="4" borderId="1" xfId="0" applyNumberFormat="1" applyFont="1" applyFill="1" applyBorder="1" applyAlignment="1">
      <alignment horizontal="right" vertical="center" wrapText="1"/>
    </xf>
    <xf numFmtId="43" fontId="3" fillId="0" borderId="7" xfId="1" applyNumberFormat="1" applyFont="1" applyBorder="1" applyAlignment="1">
      <alignment horizontal="right" vertical="center"/>
    </xf>
    <xf numFmtId="166" fontId="3" fillId="0" borderId="7" xfId="1" applyNumberFormat="1" applyFont="1" applyBorder="1" applyAlignment="1">
      <alignment horizontal="right" vertical="center"/>
    </xf>
    <xf numFmtId="168" fontId="3" fillId="2" borderId="1" xfId="1" applyNumberFormat="1" applyFont="1" applyFill="1" applyBorder="1" applyAlignment="1">
      <alignment horizontal="right" vertical="center"/>
    </xf>
    <xf numFmtId="43" fontId="3" fillId="2" borderId="1" xfId="1" applyNumberFormat="1" applyFont="1" applyFill="1" applyBorder="1" applyAlignment="1">
      <alignment horizontal="right" vertical="center"/>
    </xf>
    <xf numFmtId="43" fontId="3" fillId="2" borderId="1" xfId="1" applyFont="1" applyFill="1" applyBorder="1" applyAlignment="1">
      <alignment horizontal="right" vertical="center"/>
    </xf>
    <xf numFmtId="166" fontId="3" fillId="2" borderId="1" xfId="1" applyNumberFormat="1" applyFont="1" applyFill="1" applyBorder="1" applyAlignment="1">
      <alignment horizontal="right" vertical="center"/>
    </xf>
    <xf numFmtId="4" fontId="17" fillId="2" borderId="1" xfId="0" applyNumberFormat="1" applyFont="1" applyFill="1" applyBorder="1" applyAlignment="1">
      <alignment horizontal="right" vertical="center" wrapText="1"/>
    </xf>
    <xf numFmtId="167" fontId="3" fillId="0" borderId="1" xfId="1" applyNumberFormat="1" applyFont="1" applyBorder="1" applyAlignment="1">
      <alignment horizontal="right" vertical="center"/>
    </xf>
    <xf numFmtId="4" fontId="17" fillId="3" borderId="1" xfId="0" applyNumberFormat="1" applyFont="1" applyFill="1" applyBorder="1" applyAlignment="1">
      <alignment horizontal="right" vertical="center" wrapText="1"/>
    </xf>
    <xf numFmtId="169" fontId="17" fillId="4" borderId="1" xfId="0" applyNumberFormat="1" applyFont="1" applyFill="1" applyBorder="1" applyAlignment="1">
      <alignment horizontal="right" vertical="center" wrapText="1"/>
    </xf>
    <xf numFmtId="3" fontId="17" fillId="4" borderId="1" xfId="0" applyNumberFormat="1" applyFont="1" applyFill="1" applyBorder="1" applyAlignment="1">
      <alignment horizontal="right" vertical="center" wrapText="1"/>
    </xf>
    <xf numFmtId="166" fontId="3" fillId="3" borderId="7" xfId="1" applyNumberFormat="1" applyFont="1" applyFill="1" applyBorder="1" applyAlignment="1">
      <alignment horizontal="right" vertical="center"/>
    </xf>
    <xf numFmtId="43" fontId="19" fillId="6" borderId="7" xfId="0" applyNumberFormat="1" applyFont="1" applyFill="1" applyBorder="1" applyAlignment="1">
      <alignment horizontal="right" vertical="center"/>
    </xf>
    <xf numFmtId="43" fontId="19" fillId="3" borderId="1" xfId="1" applyFont="1" applyFill="1" applyBorder="1" applyAlignment="1">
      <alignment horizontal="right" vertical="center"/>
    </xf>
    <xf numFmtId="43" fontId="19" fillId="2" borderId="1" xfId="1" applyFont="1" applyFill="1" applyBorder="1" applyAlignment="1">
      <alignment horizontal="right" vertical="center"/>
    </xf>
    <xf numFmtId="43" fontId="3" fillId="2" borderId="7" xfId="1" applyFont="1" applyFill="1" applyBorder="1" applyAlignment="1">
      <alignment horizontal="right" vertical="center"/>
    </xf>
    <xf numFmtId="43" fontId="3" fillId="3" borderId="7" xfId="1" applyNumberFormat="1" applyFont="1" applyFill="1" applyBorder="1" applyAlignment="1">
      <alignment horizontal="right" vertical="center"/>
    </xf>
    <xf numFmtId="164" fontId="19" fillId="3" borderId="1" xfId="0" applyNumberFormat="1" applyFont="1" applyFill="1" applyBorder="1" applyAlignment="1">
      <alignment horizontal="right" vertical="center"/>
    </xf>
    <xf numFmtId="166" fontId="3" fillId="3" borderId="1" xfId="0" applyNumberFormat="1" applyFont="1" applyFill="1" applyBorder="1" applyAlignment="1">
      <alignment horizontal="right" vertical="center"/>
    </xf>
    <xf numFmtId="167" fontId="3" fillId="3" borderId="1" xfId="1" applyNumberFormat="1" applyFont="1" applyFill="1" applyBorder="1" applyAlignment="1">
      <alignment horizontal="right" vertical="center"/>
    </xf>
    <xf numFmtId="43" fontId="3" fillId="3" borderId="1" xfId="1" applyFont="1" applyFill="1" applyBorder="1" applyAlignment="1">
      <alignment horizontal="right" vertical="center"/>
    </xf>
    <xf numFmtId="4" fontId="17" fillId="3" borderId="1" xfId="0" applyNumberFormat="1" applyFont="1" applyFill="1" applyBorder="1" applyAlignment="1">
      <alignment horizontal="right" vertical="center"/>
    </xf>
    <xf numFmtId="4" fontId="17" fillId="2" borderId="1" xfId="0" applyNumberFormat="1" applyFont="1" applyFill="1" applyBorder="1" applyAlignment="1">
      <alignment horizontal="right" vertical="center"/>
    </xf>
    <xf numFmtId="0" fontId="13" fillId="3" borderId="1" xfId="0" applyFont="1" applyFill="1" applyBorder="1" applyAlignment="1">
      <alignment horizontal="left" vertical="center" wrapText="1"/>
    </xf>
    <xf numFmtId="166" fontId="11" fillId="0" borderId="7" xfId="1" applyNumberFormat="1" applyFont="1" applyBorder="1" applyAlignment="1">
      <alignment horizontal="center" vertical="center"/>
    </xf>
    <xf numFmtId="43" fontId="11" fillId="0" borderId="7" xfId="1" applyNumberFormat="1" applyFont="1" applyBorder="1" applyAlignment="1">
      <alignment horizontal="center" vertical="center"/>
    </xf>
    <xf numFmtId="43" fontId="11" fillId="0" borderId="7" xfId="1" applyFont="1" applyBorder="1" applyAlignment="1">
      <alignment horizontal="right" vertical="center"/>
    </xf>
    <xf numFmtId="43" fontId="11" fillId="0" borderId="1" xfId="1" applyNumberFormat="1" applyFont="1" applyBorder="1" applyAlignment="1">
      <alignment horizontal="right" vertical="center"/>
    </xf>
    <xf numFmtId="0" fontId="11" fillId="3" borderId="5" xfId="0" applyFont="1" applyFill="1" applyBorder="1" applyAlignment="1">
      <alignment horizontal="left" vertical="center" wrapText="1"/>
    </xf>
    <xf numFmtId="166" fontId="11" fillId="3" borderId="7" xfId="1" applyNumberFormat="1" applyFont="1" applyFill="1" applyBorder="1" applyAlignment="1">
      <alignment horizontal="center" vertical="center"/>
    </xf>
    <xf numFmtId="0" fontId="3" fillId="3" borderId="5"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21" fillId="3" borderId="5"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3" fillId="3" borderId="0" xfId="0" applyFont="1" applyFill="1" applyBorder="1" applyAlignment="1">
      <alignment horizontal="center" vertical="center"/>
    </xf>
    <xf numFmtId="0" fontId="3" fillId="3" borderId="0" xfId="0" applyFont="1" applyFill="1" applyBorder="1" applyAlignment="1">
      <alignment horizontal="left" vertical="center" wrapText="1"/>
    </xf>
    <xf numFmtId="43" fontId="3" fillId="3" borderId="0" xfId="1" applyFont="1" applyFill="1" applyBorder="1" applyAlignment="1">
      <alignment horizontal="right" vertical="center"/>
    </xf>
    <xf numFmtId="164" fontId="0" fillId="0" borderId="0" xfId="0" applyNumberFormat="1" applyBorder="1"/>
    <xf numFmtId="164" fontId="3" fillId="0" borderId="0" xfId="0" applyNumberFormat="1" applyFont="1" applyBorder="1" applyAlignment="1">
      <alignment horizontal="center" vertical="center"/>
    </xf>
    <xf numFmtId="43" fontId="26" fillId="0" borderId="6" xfId="1" applyNumberFormat="1" applyFont="1" applyFill="1" applyBorder="1" applyAlignment="1">
      <alignment horizontal="right" vertical="center"/>
    </xf>
    <xf numFmtId="0" fontId="27" fillId="0" borderId="0" xfId="0" applyFont="1"/>
    <xf numFmtId="0" fontId="11" fillId="3" borderId="1" xfId="0" applyFont="1" applyFill="1" applyBorder="1" applyAlignment="1">
      <alignment horizontal="right" vertical="center" wrapText="1"/>
    </xf>
    <xf numFmtId="0" fontId="11" fillId="3" borderId="1" xfId="0" applyFont="1" applyFill="1" applyBorder="1" applyAlignment="1">
      <alignment horizontal="center"/>
    </xf>
    <xf numFmtId="0" fontId="13" fillId="3" borderId="1" xfId="0" applyFont="1" applyFill="1" applyBorder="1" applyAlignment="1">
      <alignment horizontal="center" vertical="center" wrapText="1"/>
    </xf>
    <xf numFmtId="0" fontId="13" fillId="3" borderId="1" xfId="0" applyFont="1" applyFill="1" applyBorder="1" applyAlignment="1">
      <alignment horizontal="right"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49" fontId="14" fillId="3" borderId="5" xfId="0" applyNumberFormat="1" applyFont="1" applyFill="1" applyBorder="1" applyAlignment="1">
      <alignment horizontal="center" vertical="center" wrapText="1"/>
    </xf>
    <xf numFmtId="49" fontId="14" fillId="3" borderId="6" xfId="0" applyNumberFormat="1" applyFont="1" applyFill="1" applyBorder="1" applyAlignment="1">
      <alignment horizontal="center" vertical="center" wrapText="1"/>
    </xf>
    <xf numFmtId="49" fontId="14" fillId="3" borderId="7"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5" fillId="0" borderId="0" xfId="0" applyFont="1" applyAlignment="1">
      <alignment horizontal="center" wrapText="1"/>
    </xf>
    <xf numFmtId="0" fontId="11" fillId="3" borderId="1" xfId="0" applyFont="1" applyFill="1" applyBorder="1" applyAlignment="1">
      <alignment horizontal="center" vertical="center"/>
    </xf>
    <xf numFmtId="0" fontId="13" fillId="3" borderId="1" xfId="0" applyFont="1" applyFill="1" applyBorder="1" applyAlignment="1">
      <alignment horizontal="center"/>
    </xf>
    <xf numFmtId="0" fontId="13" fillId="3" borderId="5" xfId="2" applyFont="1" applyFill="1" applyBorder="1" applyAlignment="1">
      <alignment horizontal="center" vertical="center" wrapText="1"/>
    </xf>
    <xf numFmtId="0" fontId="13" fillId="3" borderId="6"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49" fontId="12" fillId="3" borderId="5" xfId="0" applyNumberFormat="1" applyFont="1" applyFill="1" applyBorder="1" applyAlignment="1">
      <alignment horizontal="center" vertical="center" wrapText="1"/>
    </xf>
    <xf numFmtId="49" fontId="12" fillId="3" borderId="6" xfId="0" applyNumberFormat="1" applyFont="1" applyFill="1" applyBorder="1" applyAlignment="1">
      <alignment horizontal="center" vertical="center" wrapText="1"/>
    </xf>
    <xf numFmtId="49" fontId="12" fillId="3" borderId="7"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right" vertical="center" wrapText="1"/>
    </xf>
    <xf numFmtId="0" fontId="11" fillId="3" borderId="9" xfId="0" applyFont="1" applyFill="1" applyBorder="1" applyAlignment="1">
      <alignment horizontal="right" vertical="center" wrapText="1"/>
    </xf>
    <xf numFmtId="0" fontId="11" fillId="3" borderId="10" xfId="0" applyFont="1" applyFill="1" applyBorder="1" applyAlignment="1">
      <alignment horizontal="right" vertical="center" wrapText="1"/>
    </xf>
    <xf numFmtId="0" fontId="11" fillId="3" borderId="11" xfId="0" applyFont="1" applyFill="1" applyBorder="1" applyAlignment="1">
      <alignment horizontal="right" vertical="center" wrapText="1"/>
    </xf>
    <xf numFmtId="0" fontId="11" fillId="3" borderId="12" xfId="0" applyFont="1" applyFill="1" applyBorder="1" applyAlignment="1">
      <alignment horizontal="right" vertical="center" wrapText="1"/>
    </xf>
    <xf numFmtId="0" fontId="11" fillId="3" borderId="13" xfId="0" applyFont="1" applyFill="1" applyBorder="1" applyAlignment="1">
      <alignment horizontal="right" vertical="center" wrapText="1"/>
    </xf>
    <xf numFmtId="0" fontId="13" fillId="3" borderId="8" xfId="0" applyFont="1" applyFill="1" applyBorder="1" applyAlignment="1">
      <alignment horizontal="right" vertical="center" wrapText="1"/>
    </xf>
    <xf numFmtId="0" fontId="13" fillId="3" borderId="9" xfId="0" applyFont="1" applyFill="1" applyBorder="1" applyAlignment="1">
      <alignment horizontal="right" vertical="center" wrapText="1"/>
    </xf>
    <xf numFmtId="0" fontId="13" fillId="3" borderId="10" xfId="0" applyFont="1" applyFill="1" applyBorder="1" applyAlignment="1">
      <alignment horizontal="right" vertical="center" wrapText="1"/>
    </xf>
    <xf numFmtId="0" fontId="13" fillId="3" borderId="11" xfId="0" applyFont="1" applyFill="1" applyBorder="1" applyAlignment="1">
      <alignment horizontal="right" vertical="center" wrapText="1"/>
    </xf>
    <xf numFmtId="0" fontId="13" fillId="3" borderId="12" xfId="0" applyFont="1" applyFill="1" applyBorder="1" applyAlignment="1">
      <alignment horizontal="right" vertical="center" wrapText="1"/>
    </xf>
    <xf numFmtId="0" fontId="13" fillId="3" borderId="13" xfId="0" applyFont="1" applyFill="1" applyBorder="1" applyAlignment="1">
      <alignment horizontal="right"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1" fillId="3" borderId="5" xfId="0" applyFont="1" applyFill="1" applyBorder="1" applyAlignment="1">
      <alignment horizontal="center"/>
    </xf>
    <xf numFmtId="0" fontId="11" fillId="3" borderId="6" xfId="0" applyFont="1" applyFill="1" applyBorder="1" applyAlignment="1">
      <alignment horizontal="center"/>
    </xf>
    <xf numFmtId="0" fontId="11" fillId="3" borderId="7" xfId="0" applyFont="1" applyFill="1" applyBorder="1" applyAlignment="1">
      <alignment horizontal="center"/>
    </xf>
    <xf numFmtId="0" fontId="13" fillId="0" borderId="5"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7" xfId="2" applyFont="1" applyBorder="1" applyAlignment="1">
      <alignment horizontal="center" vertical="center" wrapText="1"/>
    </xf>
    <xf numFmtId="1" fontId="12" fillId="3" borderId="5" xfId="0" applyNumberFormat="1" applyFont="1" applyFill="1" applyBorder="1" applyAlignment="1">
      <alignment horizontal="center" vertical="center" wrapText="1"/>
    </xf>
    <xf numFmtId="1" fontId="12" fillId="3" borderId="6"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xf>
    <xf numFmtId="0" fontId="12" fillId="0" borderId="3" xfId="0" applyFont="1" applyBorder="1" applyAlignment="1">
      <alignment horizontal="center"/>
    </xf>
    <xf numFmtId="0" fontId="12" fillId="0" borderId="4" xfId="0" applyFont="1" applyBorder="1" applyAlignment="1">
      <alignment horizontal="center"/>
    </xf>
    <xf numFmtId="0" fontId="3" fillId="0" borderId="0" xfId="0" applyFont="1" applyAlignment="1">
      <alignment horizontal="left" vertical="top" wrapText="1"/>
    </xf>
    <xf numFmtId="0" fontId="12" fillId="0" borderId="0" xfId="0" applyFont="1" applyAlignment="1">
      <alignment horizont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left" vertical="top" wrapText="1"/>
    </xf>
    <xf numFmtId="0" fontId="11" fillId="0" borderId="2" xfId="0" applyFont="1" applyBorder="1" applyAlignment="1">
      <alignment horizontal="left" wrapText="1"/>
    </xf>
    <xf numFmtId="0" fontId="11" fillId="0" borderId="3" xfId="0" applyFont="1" applyBorder="1" applyAlignment="1">
      <alignment horizontal="left" wrapText="1"/>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3" fillId="0" borderId="0" xfId="0" applyFont="1" applyBorder="1" applyAlignment="1">
      <alignment horizontal="left"/>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23" fillId="3" borderId="1" xfId="0" applyFont="1" applyFill="1" applyBorder="1" applyAlignment="1">
      <alignment horizontal="right" vertical="center" wrapText="1"/>
    </xf>
    <xf numFmtId="0" fontId="23"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3" fillId="3" borderId="1" xfId="0" applyFont="1" applyFill="1" applyBorder="1" applyAlignment="1">
      <alignment horizontal="center" vertical="top" wrapText="1"/>
    </xf>
    <xf numFmtId="0" fontId="3" fillId="3" borderId="1" xfId="0" applyFont="1" applyFill="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164" fontId="12" fillId="5" borderId="5" xfId="0" applyNumberFormat="1" applyFont="1" applyFill="1" applyBorder="1" applyAlignment="1">
      <alignment horizontal="right" vertical="center"/>
    </xf>
    <xf numFmtId="0" fontId="12" fillId="5" borderId="7" xfId="0" applyFont="1" applyFill="1" applyBorder="1" applyAlignment="1">
      <alignment horizontal="right" vertical="center"/>
    </xf>
    <xf numFmtId="0" fontId="23" fillId="3" borderId="5" xfId="0" applyFont="1" applyFill="1" applyBorder="1" applyAlignment="1">
      <alignment horizontal="right" vertical="center" wrapText="1"/>
    </xf>
    <xf numFmtId="0" fontId="23" fillId="3" borderId="6" xfId="0" applyFont="1" applyFill="1" applyBorder="1" applyAlignment="1">
      <alignment horizontal="right" vertical="center" wrapText="1"/>
    </xf>
    <xf numFmtId="0" fontId="23" fillId="3" borderId="7" xfId="0" applyFont="1" applyFill="1" applyBorder="1" applyAlignment="1">
      <alignment horizontal="right" vertical="center" wrapText="1"/>
    </xf>
    <xf numFmtId="0" fontId="21" fillId="3" borderId="2"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0" fillId="3" borderId="2" xfId="0" applyFont="1" applyFill="1" applyBorder="1" applyAlignment="1">
      <alignment horizontal="center" wrapText="1"/>
    </xf>
    <xf numFmtId="0" fontId="20" fillId="3" borderId="4" xfId="0" applyFont="1" applyFill="1" applyBorder="1" applyAlignment="1">
      <alignment horizontal="center" wrapText="1"/>
    </xf>
    <xf numFmtId="0" fontId="11" fillId="3" borderId="5" xfId="0" applyFont="1" applyFill="1" applyBorder="1" applyAlignment="1">
      <alignment horizontal="center" vertical="top"/>
    </xf>
    <xf numFmtId="0" fontId="11" fillId="3" borderId="7" xfId="0" applyFont="1" applyFill="1" applyBorder="1" applyAlignment="1">
      <alignment horizontal="center" vertical="top"/>
    </xf>
    <xf numFmtId="0" fontId="11" fillId="3" borderId="5" xfId="0" applyFont="1" applyFill="1" applyBorder="1" applyAlignment="1">
      <alignment horizontal="center" vertical="center"/>
    </xf>
    <xf numFmtId="0" fontId="11" fillId="3" borderId="7" xfId="0" applyFont="1" applyFill="1" applyBorder="1" applyAlignment="1">
      <alignment horizontal="center" vertical="center"/>
    </xf>
    <xf numFmtId="0" fontId="11" fillId="0" borderId="6" xfId="0" applyFont="1" applyBorder="1" applyAlignment="1">
      <alignment horizontal="center" vertical="center"/>
    </xf>
    <xf numFmtId="0" fontId="11" fillId="3" borderId="6" xfId="0" applyFont="1" applyFill="1" applyBorder="1" applyAlignment="1">
      <alignment horizontal="center" vertical="center"/>
    </xf>
    <xf numFmtId="164" fontId="16" fillId="3" borderId="5" xfId="0" applyNumberFormat="1" applyFont="1" applyFill="1" applyBorder="1" applyAlignment="1">
      <alignment horizontal="center" vertical="center"/>
    </xf>
    <xf numFmtId="164" fontId="16" fillId="3" borderId="6" xfId="0" applyNumberFormat="1" applyFont="1" applyFill="1" applyBorder="1" applyAlignment="1">
      <alignment horizontal="center" vertical="center"/>
    </xf>
    <xf numFmtId="164" fontId="16" fillId="3" borderId="7" xfId="0" applyNumberFormat="1" applyFont="1" applyFill="1" applyBorder="1" applyAlignment="1">
      <alignment horizontal="center" vertical="center"/>
    </xf>
    <xf numFmtId="0" fontId="3" fillId="3" borderId="9" xfId="0" applyFont="1" applyFill="1" applyBorder="1" applyAlignment="1">
      <alignment horizontal="center" vertical="center" wrapText="1"/>
    </xf>
    <xf numFmtId="0" fontId="3" fillId="0" borderId="1" xfId="0" applyFont="1" applyBorder="1" applyAlignment="1">
      <alignment horizontal="center" vertical="center"/>
    </xf>
  </cellXfs>
  <cellStyles count="9">
    <cellStyle name="Обычный" xfId="0" builtinId="0"/>
    <cellStyle name="Обычный 2" xfId="2"/>
    <cellStyle name="Обычный 3" xfId="3"/>
    <cellStyle name="Обычный 3 2" xfId="6"/>
    <cellStyle name="Обычный 4" xfId="7"/>
    <cellStyle name="Финансовый" xfId="1" builtinId="3"/>
    <cellStyle name="Финансовый 2" xfId="5"/>
    <cellStyle name="Финансовый 3" xfId="4"/>
    <cellStyle name="Финансовый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79"/>
  <sheetViews>
    <sheetView view="pageBreakPreview" topLeftCell="B1" zoomScale="62" zoomScaleNormal="100" zoomScaleSheetLayoutView="62" workbookViewId="0">
      <pane ySplit="7" topLeftCell="A8" activePane="bottomLeft" state="frozen"/>
      <selection pane="bottomLeft" activeCell="A8" sqref="A8:O8"/>
    </sheetView>
  </sheetViews>
  <sheetFormatPr defaultRowHeight="15" x14ac:dyDescent="0.25"/>
  <cols>
    <col min="1" max="2" width="19" customWidth="1"/>
    <col min="3" max="3" width="107.7109375" customWidth="1"/>
    <col min="4" max="4" width="20" customWidth="1"/>
    <col min="5" max="5" width="65.85546875" customWidth="1"/>
    <col min="6" max="6" width="21.85546875" customWidth="1"/>
    <col min="7" max="7" width="18.42578125" customWidth="1"/>
    <col min="8" max="8" width="21.140625" customWidth="1"/>
    <col min="9" max="9" width="23.42578125" customWidth="1"/>
    <col min="10" max="10" width="19.85546875" customWidth="1"/>
    <col min="11" max="11" width="18.42578125" bestFit="1" customWidth="1"/>
    <col min="12" max="12" width="22.42578125" customWidth="1"/>
    <col min="13" max="13" width="20.28515625" bestFit="1" customWidth="1"/>
    <col min="14" max="14" width="18.140625" customWidth="1"/>
    <col min="15" max="15" width="19.5703125" customWidth="1"/>
    <col min="16" max="16" width="17.85546875" style="4" bestFit="1" customWidth="1"/>
    <col min="17" max="17" width="11.85546875" bestFit="1" customWidth="1"/>
  </cols>
  <sheetData>
    <row r="1" spans="1:32" ht="112.5" customHeight="1" x14ac:dyDescent="0.3">
      <c r="A1" s="11"/>
      <c r="B1" s="11"/>
      <c r="C1" s="11"/>
      <c r="D1" s="11"/>
      <c r="E1" s="11"/>
      <c r="F1" s="11"/>
      <c r="G1" s="11"/>
      <c r="H1" s="11"/>
      <c r="I1" s="11"/>
      <c r="J1" s="11"/>
      <c r="K1" s="302" t="s">
        <v>704</v>
      </c>
      <c r="L1" s="302"/>
      <c r="M1" s="302"/>
      <c r="N1" s="302"/>
      <c r="O1" s="302"/>
      <c r="Y1" s="294" t="s">
        <v>8</v>
      </c>
      <c r="Z1" s="294"/>
      <c r="AA1" s="294"/>
      <c r="AB1" s="294"/>
      <c r="AC1" s="294"/>
      <c r="AD1" s="294"/>
      <c r="AE1" s="294"/>
      <c r="AF1" s="294"/>
    </row>
    <row r="2" spans="1:32" ht="82.5" customHeight="1" x14ac:dyDescent="0.3">
      <c r="A2" s="295" t="s">
        <v>15</v>
      </c>
      <c r="B2" s="295"/>
      <c r="C2" s="295"/>
      <c r="D2" s="295"/>
      <c r="E2" s="295"/>
      <c r="F2" s="295"/>
      <c r="G2" s="295"/>
      <c r="H2" s="295"/>
      <c r="I2" s="295"/>
      <c r="J2" s="295"/>
      <c r="K2" s="295"/>
      <c r="L2" s="295"/>
      <c r="M2" s="295"/>
      <c r="N2" s="295"/>
      <c r="O2" s="295"/>
    </row>
    <row r="3" spans="1:32" ht="20.25" x14ac:dyDescent="0.3">
      <c r="A3" s="11"/>
      <c r="B3" s="11"/>
      <c r="C3" s="11"/>
      <c r="D3" s="11"/>
      <c r="E3" s="11"/>
      <c r="F3" s="11"/>
      <c r="G3" s="11"/>
      <c r="H3" s="11"/>
      <c r="I3" s="11"/>
      <c r="J3" s="11"/>
      <c r="K3" s="11"/>
      <c r="L3" s="77"/>
      <c r="M3" s="77"/>
      <c r="N3" s="11"/>
      <c r="O3" s="11"/>
    </row>
    <row r="4" spans="1:32" ht="56.25" customHeight="1" x14ac:dyDescent="0.25">
      <c r="A4" s="299" t="s">
        <v>0</v>
      </c>
      <c r="B4" s="281" t="s">
        <v>1</v>
      </c>
      <c r="C4" s="282"/>
      <c r="D4" s="299" t="s">
        <v>2</v>
      </c>
      <c r="E4" s="299" t="s">
        <v>9</v>
      </c>
      <c r="F4" s="299" t="s">
        <v>3</v>
      </c>
      <c r="G4" s="296" t="s">
        <v>4</v>
      </c>
      <c r="H4" s="297"/>
      <c r="I4" s="297"/>
      <c r="J4" s="297"/>
      <c r="K4" s="297"/>
      <c r="L4" s="297"/>
      <c r="M4" s="297"/>
      <c r="N4" s="297"/>
      <c r="O4" s="297"/>
      <c r="P4" s="5"/>
      <c r="Q4" s="1"/>
      <c r="R4" s="1"/>
      <c r="S4" s="1"/>
      <c r="T4" s="1"/>
    </row>
    <row r="5" spans="1:32" ht="20.25" x14ac:dyDescent="0.25">
      <c r="A5" s="300"/>
      <c r="B5" s="283"/>
      <c r="C5" s="284"/>
      <c r="D5" s="300"/>
      <c r="E5" s="300"/>
      <c r="F5" s="300"/>
      <c r="G5" s="287" t="s">
        <v>16</v>
      </c>
      <c r="H5" s="298"/>
      <c r="I5" s="288"/>
      <c r="J5" s="287" t="s">
        <v>17</v>
      </c>
      <c r="K5" s="298"/>
      <c r="L5" s="288"/>
      <c r="M5" s="287" t="s">
        <v>10</v>
      </c>
      <c r="N5" s="298"/>
      <c r="O5" s="288"/>
    </row>
    <row r="6" spans="1:32" ht="20.25" x14ac:dyDescent="0.25">
      <c r="A6" s="301"/>
      <c r="B6" s="285"/>
      <c r="C6" s="286"/>
      <c r="D6" s="301"/>
      <c r="E6" s="301"/>
      <c r="F6" s="301"/>
      <c r="G6" s="12" t="s">
        <v>5</v>
      </c>
      <c r="H6" s="12" t="s">
        <v>6</v>
      </c>
      <c r="I6" s="12" t="s">
        <v>7</v>
      </c>
      <c r="J6" s="12" t="s">
        <v>5</v>
      </c>
      <c r="K6" s="12" t="s">
        <v>6</v>
      </c>
      <c r="L6" s="12" t="s">
        <v>7</v>
      </c>
      <c r="M6" s="12" t="s">
        <v>5</v>
      </c>
      <c r="N6" s="12" t="s">
        <v>6</v>
      </c>
      <c r="O6" s="12" t="s">
        <v>7</v>
      </c>
    </row>
    <row r="7" spans="1:32" ht="20.25" x14ac:dyDescent="0.25">
      <c r="A7" s="13">
        <v>1</v>
      </c>
      <c r="B7" s="287">
        <v>2</v>
      </c>
      <c r="C7" s="288"/>
      <c r="D7" s="13">
        <v>3</v>
      </c>
      <c r="E7" s="13">
        <v>4</v>
      </c>
      <c r="F7" s="13">
        <v>5</v>
      </c>
      <c r="G7" s="13">
        <v>6</v>
      </c>
      <c r="H7" s="13">
        <v>7</v>
      </c>
      <c r="I7" s="13">
        <v>8</v>
      </c>
      <c r="J7" s="13">
        <v>9</v>
      </c>
      <c r="K7" s="13">
        <v>10</v>
      </c>
      <c r="L7" s="13">
        <v>11</v>
      </c>
      <c r="M7" s="13">
        <v>12</v>
      </c>
      <c r="N7" s="13">
        <v>13</v>
      </c>
      <c r="O7" s="13">
        <v>14</v>
      </c>
    </row>
    <row r="8" spans="1:32" ht="44.25" customHeight="1" x14ac:dyDescent="0.3">
      <c r="A8" s="303" t="s">
        <v>148</v>
      </c>
      <c r="B8" s="304"/>
      <c r="C8" s="304"/>
      <c r="D8" s="304"/>
      <c r="E8" s="304"/>
      <c r="F8" s="304"/>
      <c r="G8" s="304"/>
      <c r="H8" s="304"/>
      <c r="I8" s="304"/>
      <c r="J8" s="304"/>
      <c r="K8" s="304"/>
      <c r="L8" s="304"/>
      <c r="M8" s="304"/>
      <c r="N8" s="304"/>
      <c r="O8" s="304"/>
    </row>
    <row r="9" spans="1:32" ht="141.75" x14ac:dyDescent="0.3">
      <c r="A9" s="278" t="s">
        <v>159</v>
      </c>
      <c r="B9" s="289" t="s">
        <v>11</v>
      </c>
      <c r="C9" s="290"/>
      <c r="D9" s="14"/>
      <c r="E9" s="15" t="s">
        <v>20</v>
      </c>
      <c r="F9" s="16"/>
      <c r="G9" s="17">
        <f>H9+I9</f>
        <v>624363.63</v>
      </c>
      <c r="H9" s="18">
        <f>H11+H12+H13</f>
        <v>256227.68999999997</v>
      </c>
      <c r="I9" s="18">
        <f>I11+I12+I13</f>
        <v>368135.94</v>
      </c>
      <c r="J9" s="28">
        <f>K9+L9</f>
        <v>672430.21299999999</v>
      </c>
      <c r="K9" s="19">
        <f>K11+K12+K13</f>
        <v>352319.886</v>
      </c>
      <c r="L9" s="17">
        <f>L11+L12+L13</f>
        <v>320110.32700000005</v>
      </c>
      <c r="M9" s="17">
        <f>N9+O9</f>
        <v>1090866.8500000001</v>
      </c>
      <c r="N9" s="17">
        <f>N11+N12+N13</f>
        <v>703042.80000000016</v>
      </c>
      <c r="O9" s="17">
        <f>O11+O12+O13</f>
        <v>387824.05</v>
      </c>
      <c r="P9" s="59"/>
    </row>
    <row r="10" spans="1:32" ht="21" x14ac:dyDescent="0.35">
      <c r="A10" s="279"/>
      <c r="B10" s="20" t="s">
        <v>21</v>
      </c>
      <c r="C10" s="21">
        <f>G9+J9+M9</f>
        <v>2387660.693</v>
      </c>
      <c r="D10" s="22"/>
      <c r="E10" s="23"/>
      <c r="F10" s="24"/>
      <c r="G10" s="17"/>
      <c r="H10" s="18"/>
      <c r="I10" s="18"/>
      <c r="J10" s="17"/>
      <c r="K10" s="19"/>
      <c r="L10" s="18"/>
      <c r="M10" s="17"/>
      <c r="N10" s="17"/>
      <c r="O10" s="17"/>
      <c r="P10" s="73"/>
    </row>
    <row r="11" spans="1:32" ht="20.25" x14ac:dyDescent="0.3">
      <c r="A11" s="279"/>
      <c r="B11" s="25" t="s">
        <v>12</v>
      </c>
      <c r="C11" s="26">
        <f>G11+J11+M11</f>
        <v>1869613.473</v>
      </c>
      <c r="D11" s="305"/>
      <c r="E11" s="305"/>
      <c r="F11" s="16" t="s">
        <v>12</v>
      </c>
      <c r="G11" s="17">
        <f>H11+I11</f>
        <v>360362.92999999993</v>
      </c>
      <c r="H11" s="27">
        <f>H16+H72+H84+H140+H172+H204+H248+H252+H256+H268+H272+H348+H396+H360+H400+H416+H420+H424+H428+H444+H456+H460+H472</f>
        <v>256103.68999999997</v>
      </c>
      <c r="I11" s="27">
        <f>I16+I72+I84+I140+I172+I204+I248+I252+I256+I268+I272+I348+I396+I360+I400+I416+I420+I424+I428+I444+I456+I460+I472</f>
        <v>104259.23999999999</v>
      </c>
      <c r="J11" s="17">
        <f>K11+L11</f>
        <v>434261.973</v>
      </c>
      <c r="K11" s="27">
        <f>K16+K72+K84+K140+K172+K204+K248+K252+K256+K268+K272+K348+K396+K360+K400+K416+K420+K424+K428+K444+K456+K460+K472</f>
        <v>352319.886</v>
      </c>
      <c r="L11" s="27">
        <f>L16+L72+L84+L140+L172+L204+L248+L252+L256+L268+L272+L348+L396+L360+L400+L416+L420+L424+L428+L444+L456+L460+L472</f>
        <v>81942.087</v>
      </c>
      <c r="M11" s="28">
        <f>N11+O11</f>
        <v>1074988.57</v>
      </c>
      <c r="N11" s="27">
        <f>N16+N72+N84+N140+N172+N204+N248+N252+N256+N268+N272+N348+N396+N360+N400+N416+N420+N424+N428+N444+N456+N460+N472</f>
        <v>702787.50000000012</v>
      </c>
      <c r="O11" s="27">
        <f>O16+O72+O84+O140+O172+O204+O248+O252+O256+O268+O272+O348+O396+O360+O400+O416+O420+O424+O428+O444+O456+O460+O472</f>
        <v>372201.07</v>
      </c>
      <c r="P11" s="7">
        <f>M16+M72+M84+M140+M172+M204+M248+M252+M256+M268+M272+M348+M360+M396+M400+M416+M420+M424+M428+M444+M460</f>
        <v>1074888.5700000003</v>
      </c>
    </row>
    <row r="12" spans="1:32" ht="41.25" customHeight="1" x14ac:dyDescent="0.3">
      <c r="A12" s="279"/>
      <c r="B12" s="29" t="s">
        <v>13</v>
      </c>
      <c r="C12" s="26">
        <f>G12+J12+M12</f>
        <v>512831.66000000003</v>
      </c>
      <c r="D12" s="306"/>
      <c r="E12" s="306"/>
      <c r="F12" s="30" t="s">
        <v>13</v>
      </c>
      <c r="G12" s="17">
        <f t="shared" ref="G12:G13" si="0">H12+I12</f>
        <v>263876.7</v>
      </c>
      <c r="H12" s="27">
        <f t="shared" ref="H12:H13" si="1">H17+H73+H85+H141+H173+H205+H249+H253+H257+H269+H273+H349+H397+H361+H401+H417+H421+H425+H429+H445+H457+H461+H473</f>
        <v>0</v>
      </c>
      <c r="I12" s="27">
        <f t="shared" ref="I12:I13" si="2">I17+I73+I85+I141+I173+I205+I249+I253+I257+I269+I273+I349+I397+I361+I401+I417+I421+I425+I429+I445+I457+I461+I473</f>
        <v>263876.7</v>
      </c>
      <c r="J12" s="17">
        <f t="shared" ref="J12:J13" si="3">K12+L12</f>
        <v>233331.98</v>
      </c>
      <c r="K12" s="27">
        <f t="shared" ref="K12:L13" si="4">K17+K73+K85+K141+K173+K205+K249+K253+K257+K269+K273+K349+K397+K361+K401+K417+K421+K425+K429+K445+K457+K461+K473</f>
        <v>0</v>
      </c>
      <c r="L12" s="27">
        <f t="shared" si="4"/>
        <v>233331.98</v>
      </c>
      <c r="M12" s="18">
        <f>N12+O12</f>
        <v>15622.98</v>
      </c>
      <c r="N12" s="27">
        <f t="shared" ref="N12:O12" si="5">N17+N73+N85+N141+N173+N205+N249+N253+N257+N269+N273+N349+N397+N361+N401+N417+N421+N425+N429+N445+N457+N461+N473</f>
        <v>0</v>
      </c>
      <c r="O12" s="27">
        <f t="shared" si="5"/>
        <v>15622.98</v>
      </c>
      <c r="P12" s="7"/>
    </row>
    <row r="13" spans="1:32" ht="20.25" x14ac:dyDescent="0.3">
      <c r="A13" s="280"/>
      <c r="B13" s="25" t="s">
        <v>14</v>
      </c>
      <c r="C13" s="26">
        <f>G13+J13+M13</f>
        <v>5215.5600000000004</v>
      </c>
      <c r="D13" s="307"/>
      <c r="E13" s="307"/>
      <c r="F13" s="16" t="s">
        <v>14</v>
      </c>
      <c r="G13" s="31">
        <f t="shared" si="0"/>
        <v>124</v>
      </c>
      <c r="H13" s="27">
        <f t="shared" si="1"/>
        <v>124</v>
      </c>
      <c r="I13" s="27">
        <f t="shared" si="2"/>
        <v>0</v>
      </c>
      <c r="J13" s="31">
        <f t="shared" si="3"/>
        <v>4836.26</v>
      </c>
      <c r="K13" s="27">
        <f t="shared" si="4"/>
        <v>0</v>
      </c>
      <c r="L13" s="27">
        <f t="shared" si="4"/>
        <v>4836.26</v>
      </c>
      <c r="M13" s="32">
        <f t="shared" ref="M13" si="6">N13+O13</f>
        <v>255.3</v>
      </c>
      <c r="N13" s="27">
        <f t="shared" ref="N13:O13" si="7">N18+N74+N86+N142+N174+N206+N250+N254+N258+N270+N274+N350+N398+N362+N402+N418+N422+N426+N430+N446+N458+N462+N474</f>
        <v>255.3</v>
      </c>
      <c r="O13" s="27">
        <f t="shared" si="7"/>
        <v>0</v>
      </c>
      <c r="P13" s="7"/>
    </row>
    <row r="14" spans="1:32" ht="20.25" x14ac:dyDescent="0.3">
      <c r="A14" s="291"/>
      <c r="B14" s="292"/>
      <c r="C14" s="292"/>
      <c r="D14" s="292"/>
      <c r="E14" s="292"/>
      <c r="F14" s="292"/>
      <c r="G14" s="292"/>
      <c r="H14" s="292"/>
      <c r="I14" s="292"/>
      <c r="J14" s="292"/>
      <c r="K14" s="292"/>
      <c r="L14" s="292"/>
      <c r="M14" s="292"/>
      <c r="N14" s="292"/>
      <c r="O14" s="293"/>
      <c r="P14" s="7"/>
    </row>
    <row r="15" spans="1:32" ht="76.5" customHeight="1" x14ac:dyDescent="0.3">
      <c r="A15" s="305"/>
      <c r="B15" s="245" t="s">
        <v>27</v>
      </c>
      <c r="C15" s="246"/>
      <c r="D15" s="275" t="s">
        <v>18</v>
      </c>
      <c r="E15" s="238" t="s">
        <v>19</v>
      </c>
      <c r="F15" s="33"/>
      <c r="G15" s="34">
        <f t="shared" ref="G15:O15" si="8">G16+G17+G18</f>
        <v>174237</v>
      </c>
      <c r="H15" s="34">
        <f t="shared" si="8"/>
        <v>110898.59999999999</v>
      </c>
      <c r="I15" s="34">
        <f t="shared" si="8"/>
        <v>63338.400000000001</v>
      </c>
      <c r="J15" s="34">
        <f t="shared" si="8"/>
        <v>203812.32</v>
      </c>
      <c r="K15" s="34">
        <f t="shared" si="8"/>
        <v>180603.32</v>
      </c>
      <c r="L15" s="34">
        <f>L16+L17+L18</f>
        <v>23209</v>
      </c>
      <c r="M15" s="34">
        <f>M16+M17+M18</f>
        <v>450450</v>
      </c>
      <c r="N15" s="34">
        <f t="shared" si="8"/>
        <v>355805</v>
      </c>
      <c r="O15" s="34">
        <f t="shared" si="8"/>
        <v>94645</v>
      </c>
      <c r="P15" s="7"/>
    </row>
    <row r="16" spans="1:32" ht="30" customHeight="1" x14ac:dyDescent="0.3">
      <c r="A16" s="306"/>
      <c r="B16" s="247"/>
      <c r="C16" s="248"/>
      <c r="D16" s="276"/>
      <c r="E16" s="239"/>
      <c r="F16" s="35" t="s">
        <v>12</v>
      </c>
      <c r="G16" s="17">
        <f>H16+I16</f>
        <v>174237</v>
      </c>
      <c r="H16" s="17">
        <f>H20+H24+H28+H32+H36+H40+H44+H48+H52+H56+H60+H64</f>
        <v>110898.59999999999</v>
      </c>
      <c r="I16" s="17">
        <f>I20+I24+I28+I32+I36+I40+I44+I48+I52+I56+I60+I64</f>
        <v>63338.400000000001</v>
      </c>
      <c r="J16" s="17">
        <f>K16+L16</f>
        <v>186103.32</v>
      </c>
      <c r="K16" s="17">
        <f>K20+K24+K28+K32+K36+K40+K44+K48+K52+K56+K60+K64</f>
        <v>180603.32</v>
      </c>
      <c r="L16" s="17">
        <f>L20+L24+L28+L32+L36+L40+L44+L48+L52+L56+L60+L64</f>
        <v>5500</v>
      </c>
      <c r="M16" s="17">
        <f>N16+O16</f>
        <v>450450</v>
      </c>
      <c r="N16" s="17">
        <f>N20+N24+N28+N32+N36+N40+N44+N48+N52+N56+N60+N64+N67</f>
        <v>355805</v>
      </c>
      <c r="O16" s="17">
        <f>O20+O24+O28+O32+O36+O40+O44+O48+O52+O56+O60+O64</f>
        <v>94645</v>
      </c>
      <c r="P16" s="6"/>
    </row>
    <row r="17" spans="1:16" ht="38.25" customHeight="1" x14ac:dyDescent="0.3">
      <c r="A17" s="306"/>
      <c r="B17" s="247"/>
      <c r="C17" s="248"/>
      <c r="D17" s="276"/>
      <c r="E17" s="239"/>
      <c r="F17" s="36" t="s">
        <v>13</v>
      </c>
      <c r="G17" s="17">
        <f t="shared" ref="G17:G18" si="9">H17+I17</f>
        <v>0</v>
      </c>
      <c r="H17" s="17">
        <f t="shared" ref="H17:I17" si="10">H21+H25+H29+H33+H37+H41+H45+H49+H53+H57+H61+H65</f>
        <v>0</v>
      </c>
      <c r="I17" s="17">
        <f t="shared" si="10"/>
        <v>0</v>
      </c>
      <c r="J17" s="17">
        <f t="shared" ref="J17:J18" si="11">K17+L17</f>
        <v>17709</v>
      </c>
      <c r="K17" s="17">
        <f t="shared" ref="K17:L17" si="12">K21+K25+K29+K33+K37+K41+K45+K49+K53+K57+K61+K65</f>
        <v>0</v>
      </c>
      <c r="L17" s="17">
        <f t="shared" si="12"/>
        <v>17709</v>
      </c>
      <c r="M17" s="17">
        <f t="shared" ref="M17:M18" si="13">N17+O17</f>
        <v>0</v>
      </c>
      <c r="N17" s="17">
        <f t="shared" ref="N17:O17" si="14">N21+N25+N29+N33+N37+N41+N45+N49+N53+N57+N61+N65</f>
        <v>0</v>
      </c>
      <c r="O17" s="17">
        <f t="shared" si="14"/>
        <v>0</v>
      </c>
      <c r="P17" s="6"/>
    </row>
    <row r="18" spans="1:16" ht="24.75" customHeight="1" x14ac:dyDescent="0.3">
      <c r="A18" s="307"/>
      <c r="B18" s="249"/>
      <c r="C18" s="250"/>
      <c r="D18" s="277"/>
      <c r="E18" s="240"/>
      <c r="F18" s="35" t="s">
        <v>14</v>
      </c>
      <c r="G18" s="17">
        <f t="shared" si="9"/>
        <v>0</v>
      </c>
      <c r="H18" s="17">
        <f t="shared" ref="H18:I18" si="15">H22+H26+H30+H34+H38+H42+H46+H50+H54+H58+H62+H66</f>
        <v>0</v>
      </c>
      <c r="I18" s="17">
        <f t="shared" si="15"/>
        <v>0</v>
      </c>
      <c r="J18" s="17">
        <f t="shared" si="11"/>
        <v>0</v>
      </c>
      <c r="K18" s="17">
        <f t="shared" ref="K18:L18" si="16">K22+K26+K30+K34+K38+K42+K46+K50+K54+K58+K62+K66</f>
        <v>0</v>
      </c>
      <c r="L18" s="17">
        <f t="shared" si="16"/>
        <v>0</v>
      </c>
      <c r="M18" s="17">
        <f t="shared" si="13"/>
        <v>0</v>
      </c>
      <c r="N18" s="17">
        <f t="shared" ref="N18:O18" si="17">N22+N26+N30+N34+N38+N42+N46+N50+N54+N58+N62+N66</f>
        <v>0</v>
      </c>
      <c r="O18" s="17">
        <f t="shared" si="17"/>
        <v>0</v>
      </c>
      <c r="P18" s="6"/>
    </row>
    <row r="19" spans="1:16" ht="61.5" customHeight="1" x14ac:dyDescent="0.3">
      <c r="A19" s="37"/>
      <c r="B19" s="254" t="s">
        <v>22</v>
      </c>
      <c r="C19" s="255"/>
      <c r="D19" s="269"/>
      <c r="E19" s="251" t="s">
        <v>29</v>
      </c>
      <c r="F19" s="38"/>
      <c r="G19" s="39">
        <f>G20+G21+G22</f>
        <v>57950</v>
      </c>
      <c r="H19" s="39">
        <f t="shared" ref="H19:I19" si="18">H20+H21+H22</f>
        <v>0</v>
      </c>
      <c r="I19" s="39">
        <f t="shared" si="18"/>
        <v>57950</v>
      </c>
      <c r="J19" s="39">
        <f>J20+J21+J22</f>
        <v>3000</v>
      </c>
      <c r="K19" s="39">
        <f t="shared" ref="K19" si="19">K20+K21+K22</f>
        <v>0</v>
      </c>
      <c r="L19" s="39">
        <f t="shared" ref="L19" si="20">L20+L21+L22</f>
        <v>3000</v>
      </c>
      <c r="M19" s="39">
        <f>M20+M21+M22</f>
        <v>30000</v>
      </c>
      <c r="N19" s="39">
        <f t="shared" ref="N19" si="21">N20+N21+N22</f>
        <v>0</v>
      </c>
      <c r="O19" s="39">
        <f t="shared" ref="O19" si="22">O20+O21+O22</f>
        <v>30000</v>
      </c>
      <c r="P19" s="6"/>
    </row>
    <row r="20" spans="1:16" ht="24.75" customHeight="1" x14ac:dyDescent="0.3">
      <c r="A20" s="37"/>
      <c r="B20" s="256"/>
      <c r="C20" s="257"/>
      <c r="D20" s="270"/>
      <c r="E20" s="252"/>
      <c r="F20" s="40" t="s">
        <v>12</v>
      </c>
      <c r="G20" s="41">
        <f>H20+I20</f>
        <v>57950</v>
      </c>
      <c r="H20" s="39"/>
      <c r="I20" s="39">
        <v>57950</v>
      </c>
      <c r="J20" s="41">
        <f>K20+L20</f>
        <v>3000</v>
      </c>
      <c r="K20" s="39"/>
      <c r="L20" s="39">
        <f>101791.8-98791.8</f>
        <v>3000</v>
      </c>
      <c r="M20" s="41">
        <f>N20+O20</f>
        <v>30000</v>
      </c>
      <c r="N20" s="39"/>
      <c r="O20" s="39">
        <v>30000</v>
      </c>
      <c r="P20" s="6"/>
    </row>
    <row r="21" spans="1:16" ht="40.5" x14ac:dyDescent="0.3">
      <c r="A21" s="37"/>
      <c r="B21" s="256"/>
      <c r="C21" s="257"/>
      <c r="D21" s="270"/>
      <c r="E21" s="252"/>
      <c r="F21" s="42" t="s">
        <v>13</v>
      </c>
      <c r="G21" s="41">
        <f t="shared" ref="G21:G22" si="23">H21+I21</f>
        <v>0</v>
      </c>
      <c r="H21" s="39"/>
      <c r="I21" s="39"/>
      <c r="J21" s="41">
        <f>K21+L21</f>
        <v>0</v>
      </c>
      <c r="K21" s="39"/>
      <c r="L21" s="39"/>
      <c r="M21" s="41">
        <f t="shared" ref="M21:M22" si="24">N21+O21</f>
        <v>0</v>
      </c>
      <c r="N21" s="39"/>
      <c r="O21" s="39"/>
      <c r="P21" s="6"/>
    </row>
    <row r="22" spans="1:16" ht="24.75" customHeight="1" x14ac:dyDescent="0.3">
      <c r="A22" s="37"/>
      <c r="B22" s="258"/>
      <c r="C22" s="259"/>
      <c r="D22" s="271"/>
      <c r="E22" s="253"/>
      <c r="F22" s="40" t="s">
        <v>14</v>
      </c>
      <c r="G22" s="41">
        <f t="shared" si="23"/>
        <v>0</v>
      </c>
      <c r="H22" s="39"/>
      <c r="I22" s="39"/>
      <c r="J22" s="41">
        <f t="shared" ref="J22" si="25">K22+L22</f>
        <v>0</v>
      </c>
      <c r="K22" s="39"/>
      <c r="L22" s="39"/>
      <c r="M22" s="41">
        <f t="shared" si="24"/>
        <v>0</v>
      </c>
      <c r="N22" s="39"/>
      <c r="O22" s="39"/>
      <c r="P22" s="6"/>
    </row>
    <row r="23" spans="1:16" ht="41.25" customHeight="1" x14ac:dyDescent="0.3">
      <c r="A23" s="37"/>
      <c r="B23" s="254" t="s">
        <v>23</v>
      </c>
      <c r="C23" s="255"/>
      <c r="D23" s="269"/>
      <c r="E23" s="272" t="s">
        <v>25</v>
      </c>
      <c r="F23" s="38"/>
      <c r="G23" s="39">
        <f>G24+G25+G26</f>
        <v>2700</v>
      </c>
      <c r="H23" s="39">
        <f t="shared" ref="H23" si="26">H24+H25+H26</f>
        <v>2700</v>
      </c>
      <c r="I23" s="39">
        <f t="shared" ref="I23" si="27">I24+I25+I26</f>
        <v>0</v>
      </c>
      <c r="J23" s="39">
        <f>J24+J25+J26</f>
        <v>124215</v>
      </c>
      <c r="K23" s="39">
        <f>K24+K25+K26</f>
        <v>106506</v>
      </c>
      <c r="L23" s="39">
        <f>L24+L25+L26</f>
        <v>17709</v>
      </c>
      <c r="M23" s="39">
        <f>M24+M25+M26</f>
        <v>189375</v>
      </c>
      <c r="N23" s="39">
        <f t="shared" ref="N23" si="28">N24+N25+N26</f>
        <v>189375</v>
      </c>
      <c r="O23" s="39">
        <f t="shared" ref="O23" si="29">O24+O25+O26</f>
        <v>0</v>
      </c>
      <c r="P23" s="6"/>
    </row>
    <row r="24" spans="1:16" ht="24.75" customHeight="1" x14ac:dyDescent="0.3">
      <c r="A24" s="37"/>
      <c r="B24" s="256"/>
      <c r="C24" s="257"/>
      <c r="D24" s="270"/>
      <c r="E24" s="273"/>
      <c r="F24" s="40" t="s">
        <v>12</v>
      </c>
      <c r="G24" s="41">
        <f>H24+I24</f>
        <v>2700</v>
      </c>
      <c r="H24" s="39">
        <v>2700</v>
      </c>
      <c r="I24" s="39"/>
      <c r="J24" s="41">
        <f>K24+L24</f>
        <v>106506</v>
      </c>
      <c r="K24" s="41">
        <f>104500+2006</f>
        <v>106506</v>
      </c>
      <c r="L24" s="39"/>
      <c r="M24" s="41">
        <f>N24+O24</f>
        <v>189375</v>
      </c>
      <c r="N24" s="39">
        <f>190575-1200</f>
        <v>189375</v>
      </c>
      <c r="O24" s="39"/>
      <c r="P24" s="6"/>
    </row>
    <row r="25" spans="1:16" ht="40.5" customHeight="1" x14ac:dyDescent="0.35">
      <c r="A25" s="37"/>
      <c r="B25" s="256"/>
      <c r="C25" s="257"/>
      <c r="D25" s="270"/>
      <c r="E25" s="273"/>
      <c r="F25" s="42" t="s">
        <v>13</v>
      </c>
      <c r="G25" s="41">
        <f t="shared" ref="G25:G26" si="30">H25+I25</f>
        <v>0</v>
      </c>
      <c r="H25" s="39">
        <v>0</v>
      </c>
      <c r="I25" s="39"/>
      <c r="J25" s="41">
        <f>K25+L25</f>
        <v>17709</v>
      </c>
      <c r="K25" s="43"/>
      <c r="L25" s="39">
        <v>17709</v>
      </c>
      <c r="M25" s="41">
        <f t="shared" ref="M25:M26" si="31">N25+O25</f>
        <v>0</v>
      </c>
      <c r="N25" s="39">
        <v>0</v>
      </c>
      <c r="O25" s="39">
        <v>0</v>
      </c>
      <c r="P25" s="6"/>
    </row>
    <row r="26" spans="1:16" ht="24.75" customHeight="1" x14ac:dyDescent="0.3">
      <c r="A26" s="37"/>
      <c r="B26" s="258"/>
      <c r="C26" s="259"/>
      <c r="D26" s="271"/>
      <c r="E26" s="274"/>
      <c r="F26" s="40" t="s">
        <v>14</v>
      </c>
      <c r="G26" s="41">
        <f t="shared" si="30"/>
        <v>0</v>
      </c>
      <c r="H26" s="39">
        <f>0</f>
        <v>0</v>
      </c>
      <c r="I26" s="39"/>
      <c r="J26" s="41">
        <f t="shared" ref="J26" si="32">K26+L26</f>
        <v>0</v>
      </c>
      <c r="K26" s="39">
        <v>0</v>
      </c>
      <c r="L26" s="39"/>
      <c r="M26" s="41">
        <f t="shared" si="31"/>
        <v>0</v>
      </c>
      <c r="N26" s="39">
        <v>0</v>
      </c>
      <c r="O26" s="39"/>
      <c r="P26" s="6"/>
    </row>
    <row r="27" spans="1:16" ht="75.75" customHeight="1" x14ac:dyDescent="0.3">
      <c r="A27" s="37"/>
      <c r="B27" s="254" t="s">
        <v>24</v>
      </c>
      <c r="C27" s="255"/>
      <c r="D27" s="269"/>
      <c r="E27" s="272" t="s">
        <v>25</v>
      </c>
      <c r="F27" s="38"/>
      <c r="G27" s="39">
        <f>G28+G29+G30</f>
        <v>61774.8</v>
      </c>
      <c r="H27" s="39">
        <f t="shared" ref="H27" si="33">H28+H29+H30</f>
        <v>61774.8</v>
      </c>
      <c r="I27" s="39">
        <f t="shared" ref="I27" si="34">I28+I29+I30</f>
        <v>0</v>
      </c>
      <c r="J27" s="39">
        <f>J28+J29+J30</f>
        <v>66697.320000000007</v>
      </c>
      <c r="K27" s="39">
        <f t="shared" ref="K27" si="35">K28+K29+K30</f>
        <v>66697.320000000007</v>
      </c>
      <c r="L27" s="39">
        <f t="shared" ref="L27" si="36">L28+L29+L30</f>
        <v>0</v>
      </c>
      <c r="M27" s="39">
        <f>M28+M29+M30</f>
        <v>142000</v>
      </c>
      <c r="N27" s="39">
        <f t="shared" ref="N27" si="37">N28+N29+N30</f>
        <v>142000</v>
      </c>
      <c r="O27" s="39">
        <f t="shared" ref="O27" si="38">O28+O29+O30</f>
        <v>0</v>
      </c>
      <c r="P27" s="6"/>
    </row>
    <row r="28" spans="1:16" ht="24.75" customHeight="1" x14ac:dyDescent="0.3">
      <c r="A28" s="37"/>
      <c r="B28" s="256"/>
      <c r="C28" s="257"/>
      <c r="D28" s="270"/>
      <c r="E28" s="273"/>
      <c r="F28" s="40" t="s">
        <v>12</v>
      </c>
      <c r="G28" s="41">
        <f>H28+I28</f>
        <v>61774.8</v>
      </c>
      <c r="H28" s="39">
        <v>61774.8</v>
      </c>
      <c r="I28" s="39"/>
      <c r="J28" s="41">
        <f>K28+L28</f>
        <v>66697.320000000007</v>
      </c>
      <c r="K28" s="39">
        <f>100045.7-38545.7+5197.32</f>
        <v>66697.320000000007</v>
      </c>
      <c r="L28" s="39"/>
      <c r="M28" s="41">
        <f>N28+O28</f>
        <v>142000</v>
      </c>
      <c r="N28" s="39">
        <f>105048+36952</f>
        <v>142000</v>
      </c>
      <c r="O28" s="39"/>
      <c r="P28" s="6"/>
    </row>
    <row r="29" spans="1:16" ht="35.25" customHeight="1" x14ac:dyDescent="0.3">
      <c r="A29" s="37"/>
      <c r="B29" s="256"/>
      <c r="C29" s="257"/>
      <c r="D29" s="270"/>
      <c r="E29" s="273"/>
      <c r="F29" s="42" t="s">
        <v>13</v>
      </c>
      <c r="G29" s="41">
        <f t="shared" ref="G29:G30" si="39">H29+I29</f>
        <v>0</v>
      </c>
      <c r="H29" s="39"/>
      <c r="I29" s="39"/>
      <c r="J29" s="41">
        <f t="shared" ref="J29:J30" si="40">K29+L29</f>
        <v>0</v>
      </c>
      <c r="K29" s="39"/>
      <c r="L29" s="39"/>
      <c r="M29" s="41">
        <f t="shared" ref="M29:M30" si="41">N29+O29</f>
        <v>0</v>
      </c>
      <c r="N29" s="39"/>
      <c r="O29" s="39"/>
      <c r="P29" s="6"/>
    </row>
    <row r="30" spans="1:16" ht="24.75" customHeight="1" x14ac:dyDescent="0.3">
      <c r="A30" s="37"/>
      <c r="B30" s="258"/>
      <c r="C30" s="259"/>
      <c r="D30" s="271"/>
      <c r="E30" s="274"/>
      <c r="F30" s="40" t="s">
        <v>14</v>
      </c>
      <c r="G30" s="41">
        <f t="shared" si="39"/>
        <v>0</v>
      </c>
      <c r="H30" s="39"/>
      <c r="I30" s="39"/>
      <c r="J30" s="41">
        <f t="shared" si="40"/>
        <v>0</v>
      </c>
      <c r="K30" s="39"/>
      <c r="L30" s="39"/>
      <c r="M30" s="41">
        <f t="shared" si="41"/>
        <v>0</v>
      </c>
      <c r="N30" s="39"/>
      <c r="O30" s="39"/>
      <c r="P30" s="6"/>
    </row>
    <row r="31" spans="1:16" ht="43.5" customHeight="1" x14ac:dyDescent="0.3">
      <c r="A31" s="37"/>
      <c r="B31" s="260" t="s">
        <v>30</v>
      </c>
      <c r="C31" s="261"/>
      <c r="D31" s="269"/>
      <c r="E31" s="272" t="s">
        <v>25</v>
      </c>
      <c r="F31" s="38"/>
      <c r="G31" s="39">
        <f>G32+G33+G34</f>
        <v>204.2</v>
      </c>
      <c r="H31" s="39">
        <f t="shared" ref="H31" si="42">H32+H33+H34</f>
        <v>204.2</v>
      </c>
      <c r="I31" s="39">
        <f>I32+I33+I34</f>
        <v>0</v>
      </c>
      <c r="J31" s="39">
        <f>J32+J33+J34</f>
        <v>100</v>
      </c>
      <c r="K31" s="39">
        <f t="shared" ref="K31" si="43">K32+K33+K34</f>
        <v>100</v>
      </c>
      <c r="L31" s="39">
        <f t="shared" ref="L31" si="44">L32+L33+L34</f>
        <v>0</v>
      </c>
      <c r="M31" s="39">
        <f>M32+M33+M34</f>
        <v>1700</v>
      </c>
      <c r="N31" s="39">
        <f t="shared" ref="N31" si="45">N32+N33+N34</f>
        <v>1700</v>
      </c>
      <c r="O31" s="39">
        <f t="shared" ref="O31" si="46">O32+O33+O34</f>
        <v>0</v>
      </c>
      <c r="P31" s="6"/>
    </row>
    <row r="32" spans="1:16" ht="24.75" customHeight="1" x14ac:dyDescent="0.3">
      <c r="A32" s="37"/>
      <c r="B32" s="262"/>
      <c r="C32" s="263"/>
      <c r="D32" s="270"/>
      <c r="E32" s="273"/>
      <c r="F32" s="40" t="s">
        <v>12</v>
      </c>
      <c r="G32" s="39">
        <f>H32+I32</f>
        <v>204.2</v>
      </c>
      <c r="H32" s="39">
        <v>204.2</v>
      </c>
      <c r="I32" s="39"/>
      <c r="J32" s="39">
        <f>K32+L32</f>
        <v>100</v>
      </c>
      <c r="K32" s="39">
        <f>1600-1500</f>
        <v>100</v>
      </c>
      <c r="L32" s="39"/>
      <c r="M32" s="39">
        <f>N32+O32</f>
        <v>1700</v>
      </c>
      <c r="N32" s="39">
        <v>1700</v>
      </c>
      <c r="O32" s="39"/>
      <c r="P32" s="6"/>
    </row>
    <row r="33" spans="1:16" ht="40.5" customHeight="1" x14ac:dyDescent="0.3">
      <c r="A33" s="37"/>
      <c r="B33" s="262"/>
      <c r="C33" s="263"/>
      <c r="D33" s="270"/>
      <c r="E33" s="273"/>
      <c r="F33" s="42" t="s">
        <v>13</v>
      </c>
      <c r="G33" s="39">
        <f>H33+I33</f>
        <v>0</v>
      </c>
      <c r="H33" s="39"/>
      <c r="I33" s="39"/>
      <c r="J33" s="39">
        <f>K33+L33</f>
        <v>0</v>
      </c>
      <c r="K33" s="39"/>
      <c r="L33" s="39"/>
      <c r="M33" s="39">
        <f>N33+O33</f>
        <v>0</v>
      </c>
      <c r="N33" s="39"/>
      <c r="O33" s="39"/>
      <c r="P33" s="6"/>
    </row>
    <row r="34" spans="1:16" ht="24.75" customHeight="1" x14ac:dyDescent="0.3">
      <c r="A34" s="37"/>
      <c r="B34" s="264"/>
      <c r="C34" s="265"/>
      <c r="D34" s="271"/>
      <c r="E34" s="274"/>
      <c r="F34" s="40" t="s">
        <v>14</v>
      </c>
      <c r="G34" s="39">
        <f t="shared" ref="G34" si="47">H34+I34</f>
        <v>0</v>
      </c>
      <c r="H34" s="39"/>
      <c r="I34" s="39"/>
      <c r="J34" s="39">
        <f t="shared" ref="J34" si="48">K34+L34</f>
        <v>0</v>
      </c>
      <c r="K34" s="39"/>
      <c r="L34" s="39"/>
      <c r="M34" s="39">
        <f t="shared" ref="M34" si="49">N34+O34</f>
        <v>0</v>
      </c>
      <c r="N34" s="39"/>
      <c r="O34" s="39"/>
      <c r="P34" s="6"/>
    </row>
    <row r="35" spans="1:16" ht="50.25" customHeight="1" x14ac:dyDescent="0.3">
      <c r="A35" s="37"/>
      <c r="B35" s="260" t="s">
        <v>26</v>
      </c>
      <c r="C35" s="261"/>
      <c r="D35" s="269"/>
      <c r="E35" s="272" t="s">
        <v>25</v>
      </c>
      <c r="F35" s="38"/>
      <c r="G35" s="39">
        <f>G36+G37+G38</f>
        <v>1855</v>
      </c>
      <c r="H35" s="39">
        <f t="shared" ref="H35" si="50">H36+H37+H38</f>
        <v>855</v>
      </c>
      <c r="I35" s="39">
        <f t="shared" ref="I35" si="51">I36+I37+I38</f>
        <v>1000</v>
      </c>
      <c r="J35" s="39">
        <f>J36+J37+J38</f>
        <v>2200</v>
      </c>
      <c r="K35" s="39">
        <f t="shared" ref="K35" si="52">K36+K37+K38</f>
        <v>1200</v>
      </c>
      <c r="L35" s="39">
        <f t="shared" ref="L35" si="53">L36+L37+L38</f>
        <v>1000</v>
      </c>
      <c r="M35" s="39">
        <f>M36+M37+M38</f>
        <v>11902</v>
      </c>
      <c r="N35" s="39">
        <f t="shared" ref="N35" si="54">N36+N37+N38</f>
        <v>3200</v>
      </c>
      <c r="O35" s="39">
        <f t="shared" ref="O35" si="55">O36+O37+O38</f>
        <v>8702</v>
      </c>
      <c r="P35" s="6"/>
    </row>
    <row r="36" spans="1:16" ht="24.75" customHeight="1" x14ac:dyDescent="0.3">
      <c r="A36" s="37"/>
      <c r="B36" s="262"/>
      <c r="C36" s="263"/>
      <c r="D36" s="270"/>
      <c r="E36" s="273"/>
      <c r="F36" s="40" t="s">
        <v>12</v>
      </c>
      <c r="G36" s="39">
        <f>H36+I36</f>
        <v>1855</v>
      </c>
      <c r="H36" s="39">
        <v>855</v>
      </c>
      <c r="I36" s="39">
        <v>1000</v>
      </c>
      <c r="J36" s="39">
        <f>K36+L36</f>
        <v>2200</v>
      </c>
      <c r="K36" s="39">
        <f>2700-1500</f>
        <v>1200</v>
      </c>
      <c r="L36" s="39">
        <f>8287.4-7287.4</f>
        <v>1000</v>
      </c>
      <c r="M36" s="39">
        <f>N36+O36</f>
        <v>11902</v>
      </c>
      <c r="N36" s="39">
        <f>1775.5+1424.5</f>
        <v>3200</v>
      </c>
      <c r="O36" s="39">
        <v>8702</v>
      </c>
      <c r="P36" s="6"/>
    </row>
    <row r="37" spans="1:16" ht="33.75" customHeight="1" x14ac:dyDescent="0.3">
      <c r="A37" s="37"/>
      <c r="B37" s="262"/>
      <c r="C37" s="263"/>
      <c r="D37" s="270"/>
      <c r="E37" s="273"/>
      <c r="F37" s="42" t="s">
        <v>13</v>
      </c>
      <c r="G37" s="39">
        <f>H37+I37</f>
        <v>0</v>
      </c>
      <c r="H37" s="39"/>
      <c r="I37" s="39"/>
      <c r="J37" s="39">
        <f>K37+L37</f>
        <v>0</v>
      </c>
      <c r="K37" s="39"/>
      <c r="L37" s="39"/>
      <c r="M37" s="39">
        <f>N37+O37</f>
        <v>0</v>
      </c>
      <c r="N37" s="39"/>
      <c r="O37" s="39"/>
      <c r="P37" s="6"/>
    </row>
    <row r="38" spans="1:16" ht="24.75" customHeight="1" x14ac:dyDescent="0.3">
      <c r="A38" s="37"/>
      <c r="B38" s="264"/>
      <c r="C38" s="265"/>
      <c r="D38" s="271"/>
      <c r="E38" s="274"/>
      <c r="F38" s="40" t="s">
        <v>14</v>
      </c>
      <c r="G38" s="39">
        <f t="shared" ref="G38" si="56">H38+I38</f>
        <v>0</v>
      </c>
      <c r="H38" s="39"/>
      <c r="I38" s="39"/>
      <c r="J38" s="39">
        <f t="shared" ref="J38" si="57">K38+L38</f>
        <v>0</v>
      </c>
      <c r="K38" s="39"/>
      <c r="L38" s="39"/>
      <c r="M38" s="39">
        <f t="shared" ref="M38" si="58">N38+O38</f>
        <v>0</v>
      </c>
      <c r="N38" s="39"/>
      <c r="O38" s="39"/>
      <c r="P38" s="6"/>
    </row>
    <row r="39" spans="1:16" ht="51.75" customHeight="1" x14ac:dyDescent="0.3">
      <c r="A39" s="37"/>
      <c r="B39" s="260" t="s">
        <v>28</v>
      </c>
      <c r="C39" s="261"/>
      <c r="D39" s="269"/>
      <c r="E39" s="272" t="s">
        <v>25</v>
      </c>
      <c r="F39" s="38"/>
      <c r="G39" s="39">
        <f>G40+G41+G42</f>
        <v>1701.9</v>
      </c>
      <c r="H39" s="39">
        <f t="shared" ref="H39" si="59">H40+H41+H42</f>
        <v>1701.9</v>
      </c>
      <c r="I39" s="39">
        <f t="shared" ref="I39" si="60">I40+I41+I42</f>
        <v>0</v>
      </c>
      <c r="J39" s="39">
        <f>J40+J41+J42</f>
        <v>4300</v>
      </c>
      <c r="K39" s="39">
        <f t="shared" ref="K39" si="61">K40+K41+K42</f>
        <v>4300</v>
      </c>
      <c r="L39" s="39">
        <f t="shared" ref="L39" si="62">L40+L41+L42</f>
        <v>0</v>
      </c>
      <c r="M39" s="39">
        <f>M40+M41+M42</f>
        <v>15000</v>
      </c>
      <c r="N39" s="39">
        <f t="shared" ref="N39" si="63">N40+N41+N42</f>
        <v>15000</v>
      </c>
      <c r="O39" s="39">
        <f t="shared" ref="O39" si="64">O40+O41+O42</f>
        <v>0</v>
      </c>
      <c r="P39" s="6"/>
    </row>
    <row r="40" spans="1:16" ht="24.75" customHeight="1" x14ac:dyDescent="0.3">
      <c r="A40" s="37"/>
      <c r="B40" s="262"/>
      <c r="C40" s="263"/>
      <c r="D40" s="270"/>
      <c r="E40" s="273"/>
      <c r="F40" s="40" t="s">
        <v>12</v>
      </c>
      <c r="G40" s="39">
        <f>H40+I40</f>
        <v>1701.9</v>
      </c>
      <c r="H40" s="39">
        <v>1701.9</v>
      </c>
      <c r="I40" s="39"/>
      <c r="J40" s="39">
        <f>K40+L40</f>
        <v>4300</v>
      </c>
      <c r="K40" s="39">
        <f>11917-7617</f>
        <v>4300</v>
      </c>
      <c r="L40" s="39"/>
      <c r="M40" s="39">
        <f>N40+O40</f>
        <v>15000</v>
      </c>
      <c r="N40" s="39">
        <f>12513+2487</f>
        <v>15000</v>
      </c>
      <c r="O40" s="39"/>
      <c r="P40" s="6"/>
    </row>
    <row r="41" spans="1:16" ht="38.25" customHeight="1" x14ac:dyDescent="0.3">
      <c r="A41" s="37"/>
      <c r="B41" s="262"/>
      <c r="C41" s="263"/>
      <c r="D41" s="270"/>
      <c r="E41" s="273"/>
      <c r="F41" s="42" t="s">
        <v>13</v>
      </c>
      <c r="G41" s="39">
        <f>H41+I41</f>
        <v>0</v>
      </c>
      <c r="H41" s="39"/>
      <c r="I41" s="39"/>
      <c r="J41" s="39">
        <f>K41+L41</f>
        <v>0</v>
      </c>
      <c r="K41" s="39"/>
      <c r="L41" s="39"/>
      <c r="M41" s="39">
        <f>N41+O41</f>
        <v>0</v>
      </c>
      <c r="N41" s="39"/>
      <c r="O41" s="39"/>
      <c r="P41" s="6"/>
    </row>
    <row r="42" spans="1:16" ht="24.75" customHeight="1" x14ac:dyDescent="0.3">
      <c r="A42" s="37"/>
      <c r="B42" s="264"/>
      <c r="C42" s="265"/>
      <c r="D42" s="271"/>
      <c r="E42" s="274"/>
      <c r="F42" s="40" t="s">
        <v>14</v>
      </c>
      <c r="G42" s="39">
        <f t="shared" ref="G42" si="65">H42+I42</f>
        <v>0</v>
      </c>
      <c r="H42" s="39"/>
      <c r="I42" s="39"/>
      <c r="J42" s="39">
        <f t="shared" ref="J42" si="66">K42+L42</f>
        <v>0</v>
      </c>
      <c r="K42" s="39"/>
      <c r="L42" s="39"/>
      <c r="M42" s="39">
        <f t="shared" ref="M42" si="67">N42+O42</f>
        <v>0</v>
      </c>
      <c r="N42" s="39"/>
      <c r="O42" s="39"/>
      <c r="P42" s="6"/>
    </row>
    <row r="43" spans="1:16" ht="33.75" customHeight="1" x14ac:dyDescent="0.3">
      <c r="A43" s="37"/>
      <c r="B43" s="260" t="s">
        <v>31</v>
      </c>
      <c r="C43" s="261"/>
      <c r="D43" s="269"/>
      <c r="E43" s="272" t="s">
        <v>25</v>
      </c>
      <c r="F43" s="38"/>
      <c r="G43" s="39">
        <f>G44+G45+G46</f>
        <v>0</v>
      </c>
      <c r="H43" s="39">
        <f t="shared" ref="H43" si="68">H44+H45+H46</f>
        <v>0</v>
      </c>
      <c r="I43" s="39">
        <f t="shared" ref="I43" si="69">I44+I45+I46</f>
        <v>0</v>
      </c>
      <c r="J43" s="39">
        <f>J44+J45+J46</f>
        <v>0</v>
      </c>
      <c r="K43" s="39">
        <f t="shared" ref="K43" si="70">K44+K45+K46</f>
        <v>0</v>
      </c>
      <c r="L43" s="39">
        <f t="shared" ref="L43" si="71">L44+L45+L46</f>
        <v>0</v>
      </c>
      <c r="M43" s="39">
        <f>M44+M45+M46</f>
        <v>0</v>
      </c>
      <c r="N43" s="39">
        <f t="shared" ref="N43" si="72">N44+N45+N46</f>
        <v>0</v>
      </c>
      <c r="O43" s="39">
        <f t="shared" ref="O43" si="73">O44+O45+O46</f>
        <v>0</v>
      </c>
      <c r="P43" s="6"/>
    </row>
    <row r="44" spans="1:16" ht="30" customHeight="1" x14ac:dyDescent="0.3">
      <c r="A44" s="37"/>
      <c r="B44" s="262"/>
      <c r="C44" s="263"/>
      <c r="D44" s="270"/>
      <c r="E44" s="273"/>
      <c r="F44" s="40" t="s">
        <v>12</v>
      </c>
      <c r="G44" s="39">
        <f>H44+I44</f>
        <v>0</v>
      </c>
      <c r="H44" s="39">
        <v>0</v>
      </c>
      <c r="I44" s="39"/>
      <c r="J44" s="39">
        <f>K44+L44</f>
        <v>0</v>
      </c>
      <c r="K44" s="39">
        <v>0</v>
      </c>
      <c r="L44" s="39"/>
      <c r="M44" s="39">
        <f>N44+O44</f>
        <v>0</v>
      </c>
      <c r="N44" s="39">
        <v>0</v>
      </c>
      <c r="O44" s="39"/>
      <c r="P44" s="6"/>
    </row>
    <row r="45" spans="1:16" ht="38.25" customHeight="1" x14ac:dyDescent="0.3">
      <c r="A45" s="37"/>
      <c r="B45" s="262"/>
      <c r="C45" s="263"/>
      <c r="D45" s="270"/>
      <c r="E45" s="273"/>
      <c r="F45" s="42" t="s">
        <v>13</v>
      </c>
      <c r="G45" s="39">
        <f>H45+I45</f>
        <v>0</v>
      </c>
      <c r="H45" s="39"/>
      <c r="I45" s="39"/>
      <c r="J45" s="39">
        <f>K45+L45</f>
        <v>0</v>
      </c>
      <c r="K45" s="39"/>
      <c r="L45" s="39"/>
      <c r="M45" s="39">
        <f>N45+O45</f>
        <v>0</v>
      </c>
      <c r="N45" s="39"/>
      <c r="O45" s="39"/>
      <c r="P45" s="6"/>
    </row>
    <row r="46" spans="1:16" ht="24.75" customHeight="1" x14ac:dyDescent="0.3">
      <c r="A46" s="37"/>
      <c r="B46" s="264"/>
      <c r="C46" s="265"/>
      <c r="D46" s="271"/>
      <c r="E46" s="274"/>
      <c r="F46" s="40" t="s">
        <v>14</v>
      </c>
      <c r="G46" s="39">
        <f t="shared" ref="G46" si="74">H46+I46</f>
        <v>0</v>
      </c>
      <c r="H46" s="39"/>
      <c r="I46" s="39"/>
      <c r="J46" s="39">
        <f t="shared" ref="J46" si="75">K46+L46</f>
        <v>0</v>
      </c>
      <c r="K46" s="39"/>
      <c r="L46" s="39"/>
      <c r="M46" s="39">
        <f t="shared" ref="M46" si="76">N46+O46</f>
        <v>0</v>
      </c>
      <c r="N46" s="39"/>
      <c r="O46" s="39"/>
      <c r="P46" s="6"/>
    </row>
    <row r="47" spans="1:16" ht="35.25" customHeight="1" x14ac:dyDescent="0.3">
      <c r="A47" s="37"/>
      <c r="B47" s="260" t="s">
        <v>32</v>
      </c>
      <c r="C47" s="261"/>
      <c r="D47" s="269"/>
      <c r="E47" s="272" t="s">
        <v>25</v>
      </c>
      <c r="F47" s="38"/>
      <c r="G47" s="39">
        <f>G48+G49+G50</f>
        <v>3167.7</v>
      </c>
      <c r="H47" s="39">
        <f t="shared" ref="H47" si="77">H48+H49+H50</f>
        <v>367.7</v>
      </c>
      <c r="I47" s="39">
        <f t="shared" ref="I47" si="78">I48+I49+I50</f>
        <v>2800</v>
      </c>
      <c r="J47" s="39">
        <f>J48+J49+J50</f>
        <v>500</v>
      </c>
      <c r="K47" s="39">
        <f t="shared" ref="K47" si="79">K48+K49+K50</f>
        <v>500</v>
      </c>
      <c r="L47" s="39">
        <f t="shared" ref="L47" si="80">L48+L49+L50</f>
        <v>0</v>
      </c>
      <c r="M47" s="39">
        <f>M48+M49+M50</f>
        <v>27751</v>
      </c>
      <c r="N47" s="39">
        <f t="shared" ref="N47" si="81">N48+N49+N50</f>
        <v>4000</v>
      </c>
      <c r="O47" s="39">
        <f t="shared" ref="O47" si="82">O48+O49+O50</f>
        <v>23751</v>
      </c>
      <c r="P47" s="6"/>
    </row>
    <row r="48" spans="1:16" ht="24.75" customHeight="1" x14ac:dyDescent="0.3">
      <c r="A48" s="37"/>
      <c r="B48" s="262"/>
      <c r="C48" s="263"/>
      <c r="D48" s="270"/>
      <c r="E48" s="273"/>
      <c r="F48" s="40" t="s">
        <v>12</v>
      </c>
      <c r="G48" s="39">
        <f>H48+I48</f>
        <v>3167.7</v>
      </c>
      <c r="H48" s="39">
        <v>367.7</v>
      </c>
      <c r="I48" s="39">
        <v>2800</v>
      </c>
      <c r="J48" s="39">
        <f>K48+L48</f>
        <v>500</v>
      </c>
      <c r="K48" s="39">
        <f>2323.1-1823.1</f>
        <v>500</v>
      </c>
      <c r="L48" s="39">
        <f>22620-22620</f>
        <v>0</v>
      </c>
      <c r="M48" s="39">
        <f>N48+O48</f>
        <v>27751</v>
      </c>
      <c r="N48" s="39">
        <f>2440+1560</f>
        <v>4000</v>
      </c>
      <c r="O48" s="39">
        <v>23751</v>
      </c>
      <c r="P48" s="6"/>
    </row>
    <row r="49" spans="1:16" ht="57.75" customHeight="1" x14ac:dyDescent="0.3">
      <c r="A49" s="37"/>
      <c r="B49" s="262"/>
      <c r="C49" s="263"/>
      <c r="D49" s="270"/>
      <c r="E49" s="273"/>
      <c r="F49" s="42" t="s">
        <v>13</v>
      </c>
      <c r="G49" s="39">
        <f>H49+I49</f>
        <v>0</v>
      </c>
      <c r="H49" s="39"/>
      <c r="I49" s="39"/>
      <c r="J49" s="39">
        <f>K49+L49</f>
        <v>0</v>
      </c>
      <c r="K49" s="39"/>
      <c r="L49" s="39"/>
      <c r="M49" s="39">
        <f>N49+O49</f>
        <v>0</v>
      </c>
      <c r="N49" s="39"/>
      <c r="O49" s="39"/>
      <c r="P49" s="6"/>
    </row>
    <row r="50" spans="1:16" ht="24.75" customHeight="1" x14ac:dyDescent="0.3">
      <c r="A50" s="37"/>
      <c r="B50" s="264"/>
      <c r="C50" s="265"/>
      <c r="D50" s="271"/>
      <c r="E50" s="274"/>
      <c r="F50" s="40" t="s">
        <v>14</v>
      </c>
      <c r="G50" s="39">
        <f t="shared" ref="G50" si="83">H50+I50</f>
        <v>0</v>
      </c>
      <c r="H50" s="39"/>
      <c r="I50" s="39"/>
      <c r="J50" s="39">
        <f t="shared" ref="J50" si="84">K50+L50</f>
        <v>0</v>
      </c>
      <c r="K50" s="39"/>
      <c r="L50" s="39"/>
      <c r="M50" s="39">
        <f t="shared" ref="M50" si="85">N50+O50</f>
        <v>0</v>
      </c>
      <c r="N50" s="39"/>
      <c r="O50" s="39"/>
      <c r="P50" s="6"/>
    </row>
    <row r="51" spans="1:16" ht="24.75" customHeight="1" x14ac:dyDescent="0.3">
      <c r="A51" s="37"/>
      <c r="B51" s="260" t="s">
        <v>33</v>
      </c>
      <c r="C51" s="261"/>
      <c r="D51" s="269"/>
      <c r="E51" s="272" t="s">
        <v>25</v>
      </c>
      <c r="F51" s="38"/>
      <c r="G51" s="39">
        <f>G52+G53+G54</f>
        <v>1195</v>
      </c>
      <c r="H51" s="39">
        <f t="shared" ref="H51" si="86">H52+H53+H54</f>
        <v>1195</v>
      </c>
      <c r="I51" s="39">
        <f t="shared" ref="I51" si="87">I52+I53+I54</f>
        <v>0</v>
      </c>
      <c r="J51" s="39">
        <f>J52+J53+J54</f>
        <v>300.00000000000023</v>
      </c>
      <c r="K51" s="39">
        <f t="shared" ref="K51" si="88">K52+K53+K54</f>
        <v>300.00000000000023</v>
      </c>
      <c r="L51" s="39">
        <f t="shared" ref="L51" si="89">L52+L53+L54</f>
        <v>0</v>
      </c>
      <c r="M51" s="39">
        <f>M52+M53+M54</f>
        <v>4669</v>
      </c>
      <c r="N51" s="39">
        <f t="shared" ref="N51" si="90">N52+N53+N54</f>
        <v>400</v>
      </c>
      <c r="O51" s="39">
        <f t="shared" ref="O51" si="91">O52+O53+O54</f>
        <v>4269</v>
      </c>
      <c r="P51" s="6"/>
    </row>
    <row r="52" spans="1:16" ht="44.25" customHeight="1" x14ac:dyDescent="0.3">
      <c r="A52" s="37"/>
      <c r="B52" s="262"/>
      <c r="C52" s="263"/>
      <c r="D52" s="270"/>
      <c r="E52" s="273"/>
      <c r="F52" s="40" t="s">
        <v>12</v>
      </c>
      <c r="G52" s="39">
        <f>H52+I52</f>
        <v>1195</v>
      </c>
      <c r="H52" s="39">
        <v>1195</v>
      </c>
      <c r="I52" s="39"/>
      <c r="J52" s="39">
        <f>K52+L52</f>
        <v>300.00000000000023</v>
      </c>
      <c r="K52" s="39">
        <f>2136.3-1836.3</f>
        <v>300.00000000000023</v>
      </c>
      <c r="L52" s="39">
        <f>2827.6-2827.6</f>
        <v>0</v>
      </c>
      <c r="M52" s="39">
        <f>N52+O52</f>
        <v>4669</v>
      </c>
      <c r="N52" s="39">
        <v>400</v>
      </c>
      <c r="O52" s="39">
        <f>2969+1300</f>
        <v>4269</v>
      </c>
      <c r="P52" s="6"/>
    </row>
    <row r="53" spans="1:16" ht="38.25" customHeight="1" x14ac:dyDescent="0.3">
      <c r="A53" s="37"/>
      <c r="B53" s="262"/>
      <c r="C53" s="263"/>
      <c r="D53" s="270"/>
      <c r="E53" s="273"/>
      <c r="F53" s="42" t="s">
        <v>13</v>
      </c>
      <c r="G53" s="39">
        <f>H53+I53</f>
        <v>0</v>
      </c>
      <c r="H53" s="39"/>
      <c r="I53" s="39"/>
      <c r="J53" s="39">
        <f>K53+L53</f>
        <v>0</v>
      </c>
      <c r="K53" s="39"/>
      <c r="L53" s="39"/>
      <c r="M53" s="39">
        <f>N53+O53</f>
        <v>0</v>
      </c>
      <c r="N53" s="39"/>
      <c r="O53" s="39"/>
      <c r="P53" s="6"/>
    </row>
    <row r="54" spans="1:16" ht="24.75" customHeight="1" x14ac:dyDescent="0.3">
      <c r="A54" s="37"/>
      <c r="B54" s="264"/>
      <c r="C54" s="265"/>
      <c r="D54" s="271"/>
      <c r="E54" s="274"/>
      <c r="F54" s="40" t="s">
        <v>14</v>
      </c>
      <c r="G54" s="39">
        <f t="shared" ref="G54" si="92">H54+I54</f>
        <v>0</v>
      </c>
      <c r="H54" s="39"/>
      <c r="I54" s="39"/>
      <c r="J54" s="39">
        <f t="shared" ref="J54" si="93">K54+L54</f>
        <v>0</v>
      </c>
      <c r="K54" s="39"/>
      <c r="L54" s="39"/>
      <c r="M54" s="39">
        <f t="shared" ref="M54" si="94">N54+O54</f>
        <v>0</v>
      </c>
      <c r="N54" s="39"/>
      <c r="O54" s="39"/>
      <c r="P54" s="6"/>
    </row>
    <row r="55" spans="1:16" ht="24.75" customHeight="1" x14ac:dyDescent="0.3">
      <c r="A55" s="37"/>
      <c r="B55" s="260" t="s">
        <v>34</v>
      </c>
      <c r="C55" s="261"/>
      <c r="D55" s="269"/>
      <c r="E55" s="272" t="s">
        <v>25</v>
      </c>
      <c r="F55" s="38"/>
      <c r="G55" s="39">
        <f>G56+G57+G58</f>
        <v>1588.4</v>
      </c>
      <c r="H55" s="39">
        <f t="shared" ref="H55" si="95">H56+H57+H58</f>
        <v>0</v>
      </c>
      <c r="I55" s="39">
        <f t="shared" ref="I55" si="96">I56+I57+I58</f>
        <v>1588.4</v>
      </c>
      <c r="J55" s="39">
        <f>J56+J57+J58</f>
        <v>0</v>
      </c>
      <c r="K55" s="39">
        <f t="shared" ref="K55" si="97">K56+K57+K58</f>
        <v>0</v>
      </c>
      <c r="L55" s="39">
        <f t="shared" ref="L55" si="98">L56+L57+L58</f>
        <v>0</v>
      </c>
      <c r="M55" s="39">
        <f>M56+M57+M58</f>
        <v>21923</v>
      </c>
      <c r="N55" s="39">
        <f t="shared" ref="N55" si="99">N56+N57+N58</f>
        <v>0</v>
      </c>
      <c r="O55" s="39">
        <f t="shared" ref="O55" si="100">O56+O57+O58</f>
        <v>21923</v>
      </c>
      <c r="P55" s="6"/>
    </row>
    <row r="56" spans="1:16" ht="24.75" customHeight="1" x14ac:dyDescent="0.3">
      <c r="A56" s="37"/>
      <c r="B56" s="262"/>
      <c r="C56" s="263"/>
      <c r="D56" s="270"/>
      <c r="E56" s="273"/>
      <c r="F56" s="40" t="s">
        <v>12</v>
      </c>
      <c r="G56" s="39">
        <f>H56+I56</f>
        <v>1588.4</v>
      </c>
      <c r="H56" s="39"/>
      <c r="I56" s="39">
        <v>1588.4</v>
      </c>
      <c r="J56" s="39">
        <f>K56+L56</f>
        <v>0</v>
      </c>
      <c r="K56" s="39"/>
      <c r="L56" s="39">
        <f>21117-21117</f>
        <v>0</v>
      </c>
      <c r="M56" s="39">
        <f>N56+O56</f>
        <v>21923</v>
      </c>
      <c r="N56" s="39"/>
      <c r="O56" s="39">
        <v>21923</v>
      </c>
      <c r="P56" s="6"/>
    </row>
    <row r="57" spans="1:16" ht="36.75" customHeight="1" x14ac:dyDescent="0.3">
      <c r="A57" s="37"/>
      <c r="B57" s="262"/>
      <c r="C57" s="263"/>
      <c r="D57" s="270"/>
      <c r="E57" s="273"/>
      <c r="F57" s="42" t="s">
        <v>13</v>
      </c>
      <c r="G57" s="39">
        <f>H57+I57</f>
        <v>0</v>
      </c>
      <c r="H57" s="39"/>
      <c r="I57" s="39"/>
      <c r="J57" s="39">
        <f>K57+L57</f>
        <v>0</v>
      </c>
      <c r="K57" s="39"/>
      <c r="L57" s="39"/>
      <c r="M57" s="39">
        <f>N57+O57</f>
        <v>0</v>
      </c>
      <c r="N57" s="39"/>
      <c r="O57" s="39"/>
      <c r="P57" s="6"/>
    </row>
    <row r="58" spans="1:16" ht="24.75" customHeight="1" x14ac:dyDescent="0.3">
      <c r="A58" s="37"/>
      <c r="B58" s="264"/>
      <c r="C58" s="265"/>
      <c r="D58" s="271"/>
      <c r="E58" s="274"/>
      <c r="F58" s="40" t="s">
        <v>14</v>
      </c>
      <c r="G58" s="39">
        <f t="shared" ref="G58" si="101">H58+I58</f>
        <v>0</v>
      </c>
      <c r="H58" s="39"/>
      <c r="I58" s="39"/>
      <c r="J58" s="39">
        <f t="shared" ref="J58" si="102">K58+L58</f>
        <v>0</v>
      </c>
      <c r="K58" s="39"/>
      <c r="L58" s="39"/>
      <c r="M58" s="39">
        <f t="shared" ref="M58" si="103">N58+O58</f>
        <v>0</v>
      </c>
      <c r="N58" s="39"/>
      <c r="O58" s="39"/>
      <c r="P58" s="6"/>
    </row>
    <row r="59" spans="1:16" ht="24.75" customHeight="1" x14ac:dyDescent="0.3">
      <c r="A59" s="37"/>
      <c r="B59" s="260" t="s">
        <v>35</v>
      </c>
      <c r="C59" s="261"/>
      <c r="D59" s="269"/>
      <c r="E59" s="272" t="s">
        <v>25</v>
      </c>
      <c r="F59" s="38"/>
      <c r="G59" s="39">
        <f>G60+G61+G62</f>
        <v>0</v>
      </c>
      <c r="H59" s="39">
        <f t="shared" ref="H59" si="104">H60+H61+H62</f>
        <v>0</v>
      </c>
      <c r="I59" s="39">
        <f t="shared" ref="I59" si="105">I60+I61+I62</f>
        <v>0</v>
      </c>
      <c r="J59" s="39">
        <f>J60+J61+J62</f>
        <v>1500</v>
      </c>
      <c r="K59" s="39">
        <f t="shared" ref="K59" si="106">K60+K61+K62</f>
        <v>0</v>
      </c>
      <c r="L59" s="39">
        <f t="shared" ref="L59" si="107">L60+L61+L62</f>
        <v>1500</v>
      </c>
      <c r="M59" s="39">
        <f>M60+M61+M62</f>
        <v>6000</v>
      </c>
      <c r="N59" s="39">
        <f t="shared" ref="N59" si="108">N60+N61+N62</f>
        <v>0</v>
      </c>
      <c r="O59" s="39">
        <f t="shared" ref="O59" si="109">O60+O61+O62</f>
        <v>6000</v>
      </c>
      <c r="P59" s="6"/>
    </row>
    <row r="60" spans="1:16" ht="24.75" customHeight="1" x14ac:dyDescent="0.3">
      <c r="A60" s="37"/>
      <c r="B60" s="262"/>
      <c r="C60" s="263"/>
      <c r="D60" s="270"/>
      <c r="E60" s="273"/>
      <c r="F60" s="40" t="s">
        <v>12</v>
      </c>
      <c r="G60" s="39">
        <f>H60+I60</f>
        <v>0</v>
      </c>
      <c r="H60" s="39">
        <v>0</v>
      </c>
      <c r="I60" s="39"/>
      <c r="J60" s="39">
        <f>K60+L60</f>
        <v>1500</v>
      </c>
      <c r="K60" s="39">
        <v>0</v>
      </c>
      <c r="L60" s="39">
        <f>7500-6000</f>
        <v>1500</v>
      </c>
      <c r="M60" s="39">
        <f>N60+O60</f>
        <v>6000</v>
      </c>
      <c r="N60" s="39">
        <v>0</v>
      </c>
      <c r="O60" s="39">
        <v>6000</v>
      </c>
      <c r="P60" s="6"/>
    </row>
    <row r="61" spans="1:16" ht="34.5" customHeight="1" x14ac:dyDescent="0.3">
      <c r="A61" s="37"/>
      <c r="B61" s="262"/>
      <c r="C61" s="263"/>
      <c r="D61" s="270"/>
      <c r="E61" s="273"/>
      <c r="F61" s="42" t="s">
        <v>13</v>
      </c>
      <c r="G61" s="39">
        <f>H61+I61</f>
        <v>0</v>
      </c>
      <c r="H61" s="39"/>
      <c r="I61" s="39"/>
      <c r="J61" s="39">
        <f>K61+L61</f>
        <v>0</v>
      </c>
      <c r="K61" s="39"/>
      <c r="L61" s="39"/>
      <c r="M61" s="39">
        <f>N61+O61</f>
        <v>0</v>
      </c>
      <c r="N61" s="39"/>
      <c r="O61" s="39"/>
      <c r="P61" s="6"/>
    </row>
    <row r="62" spans="1:16" ht="24.75" customHeight="1" x14ac:dyDescent="0.3">
      <c r="A62" s="37"/>
      <c r="B62" s="264"/>
      <c r="C62" s="265"/>
      <c r="D62" s="271"/>
      <c r="E62" s="274"/>
      <c r="F62" s="40" t="s">
        <v>14</v>
      </c>
      <c r="G62" s="39">
        <f t="shared" ref="G62" si="110">H62+I62</f>
        <v>0</v>
      </c>
      <c r="H62" s="39"/>
      <c r="I62" s="39"/>
      <c r="J62" s="39">
        <f t="shared" ref="J62" si="111">K62+L62</f>
        <v>0</v>
      </c>
      <c r="K62" s="39"/>
      <c r="L62" s="39"/>
      <c r="M62" s="39">
        <f t="shared" ref="M62" si="112">N62+O62</f>
        <v>0</v>
      </c>
      <c r="N62" s="39"/>
      <c r="O62" s="39"/>
      <c r="P62" s="6"/>
    </row>
    <row r="63" spans="1:16" ht="24.75" customHeight="1" x14ac:dyDescent="0.3">
      <c r="A63" s="37"/>
      <c r="B63" s="260" t="s">
        <v>36</v>
      </c>
      <c r="C63" s="261"/>
      <c r="D63" s="269"/>
      <c r="E63" s="272" t="s">
        <v>25</v>
      </c>
      <c r="F63" s="38"/>
      <c r="G63" s="39">
        <f>G64+G65+G66</f>
        <v>42100</v>
      </c>
      <c r="H63" s="39">
        <f t="shared" ref="H63" si="113">H64+H65+H66</f>
        <v>42100</v>
      </c>
      <c r="I63" s="39">
        <f t="shared" ref="I63" si="114">I64+I65+I66</f>
        <v>0</v>
      </c>
      <c r="J63" s="39">
        <f>J64+J65+J66</f>
        <v>1000</v>
      </c>
      <c r="K63" s="39">
        <f t="shared" ref="K63" si="115">K64+K65+K66</f>
        <v>1000</v>
      </c>
      <c r="L63" s="39">
        <f t="shared" ref="L63" si="116">L64+L65+L66</f>
        <v>0</v>
      </c>
      <c r="M63" s="39">
        <f>M64+M65+M66</f>
        <v>0</v>
      </c>
      <c r="N63" s="39">
        <f t="shared" ref="N63" si="117">N64+N65+N66</f>
        <v>0</v>
      </c>
      <c r="O63" s="39">
        <f t="shared" ref="O63" si="118">O64+O65+O66</f>
        <v>0</v>
      </c>
      <c r="P63" s="6"/>
    </row>
    <row r="64" spans="1:16" ht="24.75" customHeight="1" x14ac:dyDescent="0.3">
      <c r="A64" s="37"/>
      <c r="B64" s="262"/>
      <c r="C64" s="263"/>
      <c r="D64" s="270"/>
      <c r="E64" s="273"/>
      <c r="F64" s="40" t="s">
        <v>12</v>
      </c>
      <c r="G64" s="39">
        <f>H64+I64</f>
        <v>42100</v>
      </c>
      <c r="H64" s="39">
        <v>42100</v>
      </c>
      <c r="I64" s="39"/>
      <c r="J64" s="39">
        <f>K64+L64</f>
        <v>1000</v>
      </c>
      <c r="K64" s="39">
        <v>1000</v>
      </c>
      <c r="L64" s="39"/>
      <c r="M64" s="39">
        <f>N64+O64</f>
        <v>0</v>
      </c>
      <c r="N64" s="39">
        <v>0</v>
      </c>
      <c r="O64" s="39"/>
      <c r="P64" s="6"/>
    </row>
    <row r="65" spans="1:16" ht="39" customHeight="1" x14ac:dyDescent="0.3">
      <c r="A65" s="37"/>
      <c r="B65" s="262"/>
      <c r="C65" s="263"/>
      <c r="D65" s="270"/>
      <c r="E65" s="273"/>
      <c r="F65" s="42" t="s">
        <v>13</v>
      </c>
      <c r="G65" s="39">
        <f>H65+I65</f>
        <v>0</v>
      </c>
      <c r="H65" s="39"/>
      <c r="I65" s="39"/>
      <c r="J65" s="39">
        <f>K65+L65</f>
        <v>0</v>
      </c>
      <c r="K65" s="39"/>
      <c r="L65" s="39"/>
      <c r="M65" s="39">
        <f>N65+O65</f>
        <v>0</v>
      </c>
      <c r="N65" s="39"/>
      <c r="O65" s="39"/>
      <c r="P65" s="6"/>
    </row>
    <row r="66" spans="1:16" ht="24.75" customHeight="1" x14ac:dyDescent="0.3">
      <c r="A66" s="37"/>
      <c r="B66" s="264"/>
      <c r="C66" s="265"/>
      <c r="D66" s="271"/>
      <c r="E66" s="274"/>
      <c r="F66" s="40" t="s">
        <v>14</v>
      </c>
      <c r="G66" s="39">
        <f t="shared" ref="G66" si="119">H66+I66</f>
        <v>0</v>
      </c>
      <c r="H66" s="39"/>
      <c r="I66" s="39"/>
      <c r="J66" s="39">
        <f t="shared" ref="J66" si="120">K66+L66</f>
        <v>0</v>
      </c>
      <c r="K66" s="39"/>
      <c r="L66" s="39"/>
      <c r="M66" s="39">
        <f t="shared" ref="M66" si="121">N66+O66</f>
        <v>0</v>
      </c>
      <c r="N66" s="39"/>
      <c r="O66" s="39"/>
      <c r="P66" s="6"/>
    </row>
    <row r="67" spans="1:16" ht="24.75" customHeight="1" x14ac:dyDescent="0.3">
      <c r="A67" s="44"/>
      <c r="B67" s="260" t="s">
        <v>151</v>
      </c>
      <c r="C67" s="261"/>
      <c r="D67" s="269"/>
      <c r="E67" s="235" t="s">
        <v>25</v>
      </c>
      <c r="F67" s="38"/>
      <c r="G67" s="39">
        <f>G68+G69+G70</f>
        <v>0</v>
      </c>
      <c r="H67" s="39">
        <f t="shared" ref="H67:I67" si="122">H68+H69+H70</f>
        <v>0</v>
      </c>
      <c r="I67" s="39">
        <f t="shared" si="122"/>
        <v>0</v>
      </c>
      <c r="J67" s="39">
        <f>J68+J69+J70</f>
        <v>0</v>
      </c>
      <c r="K67" s="39">
        <f t="shared" ref="K67:L67" si="123">K68+K69+K70</f>
        <v>0</v>
      </c>
      <c r="L67" s="39">
        <f t="shared" si="123"/>
        <v>0</v>
      </c>
      <c r="M67" s="39">
        <f>M68+M69+M70</f>
        <v>130</v>
      </c>
      <c r="N67" s="39">
        <f t="shared" ref="N67:O67" si="124">N68+N69+N70</f>
        <v>130</v>
      </c>
      <c r="O67" s="39">
        <f t="shared" si="124"/>
        <v>0</v>
      </c>
      <c r="P67" s="6"/>
    </row>
    <row r="68" spans="1:16" ht="24.75" customHeight="1" x14ac:dyDescent="0.3">
      <c r="A68" s="44"/>
      <c r="B68" s="262"/>
      <c r="C68" s="263"/>
      <c r="D68" s="270"/>
      <c r="E68" s="236"/>
      <c r="F68" s="40" t="s">
        <v>12</v>
      </c>
      <c r="G68" s="39">
        <f>H68+I68</f>
        <v>0</v>
      </c>
      <c r="H68" s="39">
        <v>0</v>
      </c>
      <c r="I68" s="39"/>
      <c r="J68" s="39">
        <f>K68+L68</f>
        <v>0</v>
      </c>
      <c r="K68" s="39">
        <v>0</v>
      </c>
      <c r="L68" s="39"/>
      <c r="M68" s="39">
        <f>N68+O68</f>
        <v>130</v>
      </c>
      <c r="N68" s="39">
        <f>1000-870</f>
        <v>130</v>
      </c>
      <c r="O68" s="39"/>
      <c r="P68" s="6"/>
    </row>
    <row r="69" spans="1:16" ht="40.5" x14ac:dyDescent="0.3">
      <c r="A69" s="44"/>
      <c r="B69" s="262"/>
      <c r="C69" s="263"/>
      <c r="D69" s="270"/>
      <c r="E69" s="236"/>
      <c r="F69" s="42" t="s">
        <v>13</v>
      </c>
      <c r="G69" s="39">
        <f>H69+I69</f>
        <v>0</v>
      </c>
      <c r="H69" s="39"/>
      <c r="I69" s="39"/>
      <c r="J69" s="39">
        <f>K69+L69</f>
        <v>0</v>
      </c>
      <c r="K69" s="39"/>
      <c r="L69" s="39"/>
      <c r="M69" s="39">
        <f>N69+O69</f>
        <v>0</v>
      </c>
      <c r="N69" s="39"/>
      <c r="O69" s="39"/>
      <c r="P69" s="6"/>
    </row>
    <row r="70" spans="1:16" ht="24.75" customHeight="1" x14ac:dyDescent="0.3">
      <c r="A70" s="44"/>
      <c r="B70" s="264"/>
      <c r="C70" s="265"/>
      <c r="D70" s="271"/>
      <c r="E70" s="237"/>
      <c r="F70" s="40" t="s">
        <v>14</v>
      </c>
      <c r="G70" s="39">
        <f t="shared" ref="G70" si="125">H70+I70</f>
        <v>0</v>
      </c>
      <c r="H70" s="39"/>
      <c r="I70" s="39"/>
      <c r="J70" s="39">
        <f t="shared" ref="J70" si="126">K70+L70</f>
        <v>0</v>
      </c>
      <c r="K70" s="39"/>
      <c r="L70" s="39"/>
      <c r="M70" s="39">
        <f t="shared" ref="M70" si="127">N70+O70</f>
        <v>0</v>
      </c>
      <c r="N70" s="39"/>
      <c r="O70" s="39"/>
      <c r="P70" s="6"/>
    </row>
    <row r="71" spans="1:16" ht="35.25" customHeight="1" x14ac:dyDescent="0.3">
      <c r="A71" s="44"/>
      <c r="B71" s="245" t="s">
        <v>37</v>
      </c>
      <c r="C71" s="246"/>
      <c r="D71" s="275">
        <v>6030</v>
      </c>
      <c r="E71" s="238" t="s">
        <v>38</v>
      </c>
      <c r="F71" s="33"/>
      <c r="G71" s="34">
        <f t="shared" ref="G71:O71" si="128">G72+G73+G74</f>
        <v>62954</v>
      </c>
      <c r="H71" s="34">
        <f t="shared" si="128"/>
        <v>57664</v>
      </c>
      <c r="I71" s="34">
        <f t="shared" si="128"/>
        <v>5290</v>
      </c>
      <c r="J71" s="34">
        <f t="shared" si="128"/>
        <v>32277.100000000002</v>
      </c>
      <c r="K71" s="34">
        <f t="shared" si="128"/>
        <v>29536.100000000002</v>
      </c>
      <c r="L71" s="34">
        <f t="shared" si="128"/>
        <v>2741</v>
      </c>
      <c r="M71" s="34">
        <f t="shared" si="128"/>
        <v>115447.4</v>
      </c>
      <c r="N71" s="34">
        <f t="shared" si="128"/>
        <v>95115.4</v>
      </c>
      <c r="O71" s="34">
        <f t="shared" si="128"/>
        <v>20332</v>
      </c>
      <c r="P71" s="6"/>
    </row>
    <row r="72" spans="1:16" ht="35.25" customHeight="1" x14ac:dyDescent="0.3">
      <c r="A72" s="44"/>
      <c r="B72" s="247"/>
      <c r="C72" s="248"/>
      <c r="D72" s="276"/>
      <c r="E72" s="239"/>
      <c r="F72" s="35" t="s">
        <v>12</v>
      </c>
      <c r="G72" s="17">
        <f>H72+I72</f>
        <v>62954</v>
      </c>
      <c r="H72" s="17">
        <f>H76+H80</f>
        <v>57664</v>
      </c>
      <c r="I72" s="17">
        <f>I76+I80</f>
        <v>5290</v>
      </c>
      <c r="J72" s="17">
        <f>K72+L72</f>
        <v>32277.100000000002</v>
      </c>
      <c r="K72" s="17">
        <f>K76+K80</f>
        <v>29536.100000000002</v>
      </c>
      <c r="L72" s="17">
        <f>L76+L80</f>
        <v>2741</v>
      </c>
      <c r="M72" s="17">
        <f>N72+O72</f>
        <v>115447.4</v>
      </c>
      <c r="N72" s="17">
        <f>N76+N80</f>
        <v>95115.4</v>
      </c>
      <c r="O72" s="17">
        <f>O76+O80</f>
        <v>20332</v>
      </c>
      <c r="P72" s="6"/>
    </row>
    <row r="73" spans="1:16" ht="35.25" customHeight="1" x14ac:dyDescent="0.3">
      <c r="A73" s="44"/>
      <c r="B73" s="247"/>
      <c r="C73" s="248"/>
      <c r="D73" s="276"/>
      <c r="E73" s="239"/>
      <c r="F73" s="36" t="s">
        <v>13</v>
      </c>
      <c r="G73" s="17">
        <f t="shared" ref="G73:G74" si="129">H73+I73</f>
        <v>0</v>
      </c>
      <c r="H73" s="17">
        <f t="shared" ref="H73:I73" si="130">H77+H81</f>
        <v>0</v>
      </c>
      <c r="I73" s="17">
        <f t="shared" si="130"/>
        <v>0</v>
      </c>
      <c r="J73" s="17">
        <f t="shared" ref="J73:J74" si="131">K73+L73</f>
        <v>0</v>
      </c>
      <c r="K73" s="17">
        <f t="shared" ref="K73:L73" si="132">K77+K81</f>
        <v>0</v>
      </c>
      <c r="L73" s="17">
        <f t="shared" si="132"/>
        <v>0</v>
      </c>
      <c r="M73" s="17">
        <f t="shared" ref="M73:M74" si="133">N73+O73</f>
        <v>0</v>
      </c>
      <c r="N73" s="17">
        <f t="shared" ref="N73:O73" si="134">N77+N81</f>
        <v>0</v>
      </c>
      <c r="O73" s="17">
        <f t="shared" si="134"/>
        <v>0</v>
      </c>
      <c r="P73" s="6"/>
    </row>
    <row r="74" spans="1:16" ht="35.25" customHeight="1" x14ac:dyDescent="0.3">
      <c r="A74" s="44"/>
      <c r="B74" s="249"/>
      <c r="C74" s="250"/>
      <c r="D74" s="277"/>
      <c r="E74" s="240"/>
      <c r="F74" s="35" t="s">
        <v>14</v>
      </c>
      <c r="G74" s="17">
        <f t="shared" si="129"/>
        <v>0</v>
      </c>
      <c r="H74" s="17">
        <f t="shared" ref="H74:I74" si="135">H78+H82</f>
        <v>0</v>
      </c>
      <c r="I74" s="17">
        <f t="shared" si="135"/>
        <v>0</v>
      </c>
      <c r="J74" s="17">
        <f t="shared" si="131"/>
        <v>0</v>
      </c>
      <c r="K74" s="17">
        <f t="shared" ref="K74:L74" si="136">K78+K82</f>
        <v>0</v>
      </c>
      <c r="L74" s="17">
        <f t="shared" si="136"/>
        <v>0</v>
      </c>
      <c r="M74" s="17">
        <f t="shared" si="133"/>
        <v>0</v>
      </c>
      <c r="N74" s="17">
        <f t="shared" ref="N74:O74" si="137">N78+N82</f>
        <v>0</v>
      </c>
      <c r="O74" s="17">
        <f t="shared" si="137"/>
        <v>0</v>
      </c>
      <c r="P74" s="6"/>
    </row>
    <row r="75" spans="1:16" ht="35.25" customHeight="1" x14ac:dyDescent="0.3">
      <c r="A75" s="44"/>
      <c r="B75" s="254" t="s">
        <v>39</v>
      </c>
      <c r="C75" s="255"/>
      <c r="D75" s="269"/>
      <c r="E75" s="251" t="s">
        <v>38</v>
      </c>
      <c r="F75" s="38"/>
      <c r="G75" s="39">
        <f>G76+G77+G78</f>
        <v>19154</v>
      </c>
      <c r="H75" s="39">
        <f t="shared" ref="H75:I75" si="138">H76+H77+H78</f>
        <v>13864</v>
      </c>
      <c r="I75" s="39">
        <f t="shared" si="138"/>
        <v>5290</v>
      </c>
      <c r="J75" s="39">
        <f>J76+J77+J78</f>
        <v>15586.000000000004</v>
      </c>
      <c r="K75" s="39">
        <f t="shared" ref="K75:L75" si="139">K76+K77+K78</f>
        <v>12845.000000000004</v>
      </c>
      <c r="L75" s="39">
        <f t="shared" si="139"/>
        <v>2741</v>
      </c>
      <c r="M75" s="39">
        <f>M76+M77+M78</f>
        <v>38947.4</v>
      </c>
      <c r="N75" s="39">
        <f t="shared" ref="N75:O75" si="140">N76+N77+N78</f>
        <v>18615.400000000001</v>
      </c>
      <c r="O75" s="39">
        <f t="shared" si="140"/>
        <v>20332</v>
      </c>
      <c r="P75" s="6"/>
    </row>
    <row r="76" spans="1:16" ht="35.25" customHeight="1" x14ac:dyDescent="0.3">
      <c r="A76" s="44"/>
      <c r="B76" s="256"/>
      <c r="C76" s="257"/>
      <c r="D76" s="270"/>
      <c r="E76" s="252"/>
      <c r="F76" s="40" t="s">
        <v>12</v>
      </c>
      <c r="G76" s="41">
        <f>H76+I76</f>
        <v>19154</v>
      </c>
      <c r="H76" s="39">
        <v>13864</v>
      </c>
      <c r="I76" s="39">
        <v>5290</v>
      </c>
      <c r="J76" s="41">
        <f>K76+L76</f>
        <v>15586.000000000004</v>
      </c>
      <c r="K76" s="39">
        <f>40062.3-27217.3</f>
        <v>12845.000000000004</v>
      </c>
      <c r="L76" s="39">
        <f>19363-16622</f>
        <v>2741</v>
      </c>
      <c r="M76" s="41">
        <f>N76+O76</f>
        <v>38947.4</v>
      </c>
      <c r="N76" s="39">
        <f>42115.4-10000-3500-10000</f>
        <v>18615.400000000001</v>
      </c>
      <c r="O76" s="39">
        <v>20332</v>
      </c>
      <c r="P76" s="6"/>
    </row>
    <row r="77" spans="1:16" ht="35.25" customHeight="1" x14ac:dyDescent="0.3">
      <c r="A77" s="44"/>
      <c r="B77" s="256"/>
      <c r="C77" s="257"/>
      <c r="D77" s="270"/>
      <c r="E77" s="252"/>
      <c r="F77" s="42" t="s">
        <v>13</v>
      </c>
      <c r="G77" s="41">
        <f t="shared" ref="G77:G78" si="141">H77+I77</f>
        <v>0</v>
      </c>
      <c r="H77" s="39"/>
      <c r="I77" s="39"/>
      <c r="J77" s="41">
        <f>K77+L77</f>
        <v>0</v>
      </c>
      <c r="K77" s="39"/>
      <c r="L77" s="39"/>
      <c r="M77" s="41">
        <f t="shared" ref="M77:M78" si="142">N77+O77</f>
        <v>0</v>
      </c>
      <c r="N77" s="39"/>
      <c r="O77" s="39"/>
      <c r="P77" s="6"/>
    </row>
    <row r="78" spans="1:16" ht="35.25" customHeight="1" x14ac:dyDescent="0.3">
      <c r="A78" s="44"/>
      <c r="B78" s="258"/>
      <c r="C78" s="259"/>
      <c r="D78" s="271"/>
      <c r="E78" s="253"/>
      <c r="F78" s="40" t="s">
        <v>14</v>
      </c>
      <c r="G78" s="41">
        <f t="shared" si="141"/>
        <v>0</v>
      </c>
      <c r="H78" s="39"/>
      <c r="I78" s="39"/>
      <c r="J78" s="41">
        <f t="shared" ref="J78" si="143">K78+L78</f>
        <v>0</v>
      </c>
      <c r="K78" s="39"/>
      <c r="L78" s="39"/>
      <c r="M78" s="41">
        <f t="shared" si="142"/>
        <v>0</v>
      </c>
      <c r="N78" s="39"/>
      <c r="O78" s="39"/>
      <c r="P78" s="6"/>
    </row>
    <row r="79" spans="1:16" ht="35.25" customHeight="1" x14ac:dyDescent="0.3">
      <c r="A79" s="44"/>
      <c r="B79" s="217" t="s">
        <v>40</v>
      </c>
      <c r="C79" s="217"/>
      <c r="D79" s="218"/>
      <c r="E79" s="231" t="s">
        <v>38</v>
      </c>
      <c r="F79" s="40"/>
      <c r="G79" s="41">
        <f>G80+G81+G82</f>
        <v>43800</v>
      </c>
      <c r="H79" s="41">
        <f t="shared" ref="H79:I79" si="144">H80+H81+H82</f>
        <v>43800</v>
      </c>
      <c r="I79" s="41">
        <f t="shared" si="144"/>
        <v>0</v>
      </c>
      <c r="J79" s="41">
        <f>J80+J81+J82</f>
        <v>16691.099999999999</v>
      </c>
      <c r="K79" s="41">
        <f t="shared" ref="K79:L79" si="145">K80+K81+K82</f>
        <v>16691.099999999999</v>
      </c>
      <c r="L79" s="41">
        <f t="shared" si="145"/>
        <v>0</v>
      </c>
      <c r="M79" s="41">
        <f>M80+M81+M82</f>
        <v>76500</v>
      </c>
      <c r="N79" s="41">
        <f t="shared" ref="N79:O79" si="146">N80+N81+N82</f>
        <v>76500</v>
      </c>
      <c r="O79" s="41">
        <f t="shared" si="146"/>
        <v>0</v>
      </c>
      <c r="P79" s="6"/>
    </row>
    <row r="80" spans="1:16" ht="35.25" customHeight="1" x14ac:dyDescent="0.3">
      <c r="A80" s="44"/>
      <c r="B80" s="217"/>
      <c r="C80" s="217"/>
      <c r="D80" s="218"/>
      <c r="E80" s="231"/>
      <c r="F80" s="40" t="s">
        <v>12</v>
      </c>
      <c r="G80" s="41">
        <f>H80+I80</f>
        <v>43800</v>
      </c>
      <c r="H80" s="41">
        <v>43800</v>
      </c>
      <c r="I80" s="41">
        <v>0</v>
      </c>
      <c r="J80" s="41">
        <f>K80+L80</f>
        <v>16691.099999999999</v>
      </c>
      <c r="K80" s="41">
        <f>40140-24196+747.1</f>
        <v>16691.099999999999</v>
      </c>
      <c r="L80" s="41">
        <v>0</v>
      </c>
      <c r="M80" s="41">
        <f>N80+O80</f>
        <v>76500</v>
      </c>
      <c r="N80" s="41">
        <f>42097+37903-3500</f>
        <v>76500</v>
      </c>
      <c r="O80" s="41">
        <v>0</v>
      </c>
      <c r="P80" s="6"/>
    </row>
    <row r="81" spans="1:16" ht="35.25" customHeight="1" x14ac:dyDescent="0.3">
      <c r="A81" s="44"/>
      <c r="B81" s="217"/>
      <c r="C81" s="217"/>
      <c r="D81" s="218"/>
      <c r="E81" s="231"/>
      <c r="F81" s="42" t="s">
        <v>13</v>
      </c>
      <c r="G81" s="41">
        <f t="shared" ref="G81:G82" si="147">H81+I81</f>
        <v>0</v>
      </c>
      <c r="H81" s="41"/>
      <c r="I81" s="41"/>
      <c r="J81" s="41">
        <f>K81+L81</f>
        <v>0</v>
      </c>
      <c r="K81" s="41"/>
      <c r="L81" s="41"/>
      <c r="M81" s="41">
        <f t="shared" ref="M81:M82" si="148">N81+O81</f>
        <v>0</v>
      </c>
      <c r="N81" s="41"/>
      <c r="O81" s="41"/>
      <c r="P81" s="6"/>
    </row>
    <row r="82" spans="1:16" ht="35.25" customHeight="1" x14ac:dyDescent="0.3">
      <c r="A82" s="44"/>
      <c r="B82" s="217"/>
      <c r="C82" s="217"/>
      <c r="D82" s="218"/>
      <c r="E82" s="231"/>
      <c r="F82" s="40" t="s">
        <v>14</v>
      </c>
      <c r="G82" s="41">
        <f t="shared" si="147"/>
        <v>0</v>
      </c>
      <c r="H82" s="41"/>
      <c r="I82" s="41"/>
      <c r="J82" s="41">
        <f t="shared" ref="J82" si="149">K82+L82</f>
        <v>0</v>
      </c>
      <c r="K82" s="41"/>
      <c r="L82" s="41"/>
      <c r="M82" s="41">
        <f t="shared" si="148"/>
        <v>0</v>
      </c>
      <c r="N82" s="41"/>
      <c r="O82" s="41"/>
      <c r="P82" s="6"/>
    </row>
    <row r="83" spans="1:16" ht="35.25" customHeight="1" x14ac:dyDescent="0.3">
      <c r="A83" s="44"/>
      <c r="B83" s="245" t="s">
        <v>41</v>
      </c>
      <c r="C83" s="246"/>
      <c r="D83" s="275" t="s">
        <v>53</v>
      </c>
      <c r="E83" s="238" t="s">
        <v>38</v>
      </c>
      <c r="F83" s="33"/>
      <c r="G83" s="34">
        <f t="shared" ref="G83:O83" si="150">G84+G85+G86</f>
        <v>29301.599999999999</v>
      </c>
      <c r="H83" s="34">
        <f t="shared" si="150"/>
        <v>25940.399999999998</v>
      </c>
      <c r="I83" s="34">
        <f t="shared" si="150"/>
        <v>3361.2</v>
      </c>
      <c r="J83" s="34">
        <f t="shared" si="150"/>
        <v>29766.720000000001</v>
      </c>
      <c r="K83" s="34">
        <f t="shared" si="150"/>
        <v>29766.720000000001</v>
      </c>
      <c r="L83" s="34">
        <f t="shared" si="150"/>
        <v>0</v>
      </c>
      <c r="M83" s="34">
        <f t="shared" si="150"/>
        <v>74632.3</v>
      </c>
      <c r="N83" s="34">
        <f t="shared" si="150"/>
        <v>47632.3</v>
      </c>
      <c r="O83" s="34">
        <f t="shared" si="150"/>
        <v>27000</v>
      </c>
      <c r="P83" s="6"/>
    </row>
    <row r="84" spans="1:16" ht="35.25" customHeight="1" x14ac:dyDescent="0.3">
      <c r="A84" s="44"/>
      <c r="B84" s="247"/>
      <c r="C84" s="248"/>
      <c r="D84" s="276"/>
      <c r="E84" s="239"/>
      <c r="F84" s="35" t="s">
        <v>12</v>
      </c>
      <c r="G84" s="17">
        <f>H84+I84</f>
        <v>29177.599999999999</v>
      </c>
      <c r="H84" s="17">
        <f>H88+H92+H96+H100+H104+H108+H112+H116+H120+H124+H128+H132+H136</f>
        <v>25816.399999999998</v>
      </c>
      <c r="I84" s="17">
        <f>I88+I92+I96+I100+I104+I108+I112+I116+I120+I124+I128+I132+I136</f>
        <v>3361.2</v>
      </c>
      <c r="J84" s="17">
        <f>K84+L84</f>
        <v>29766.720000000001</v>
      </c>
      <c r="K84" s="17">
        <f>K88+K92+K96+K100+K104+K108+K112+K116+K120+K124+K128+K132+K136</f>
        <v>29766.720000000001</v>
      </c>
      <c r="L84" s="17">
        <f>L88+L92+L96+L100+L104+L108+L112+L116+L120+L124+L128+L132+L136</f>
        <v>0</v>
      </c>
      <c r="M84" s="17">
        <f>N84+O84</f>
        <v>74432.3</v>
      </c>
      <c r="N84" s="17">
        <f>N88+N92+N96+N100+N104+N108+N112+N116+N120+N124+N128+N132+N136</f>
        <v>47432.3</v>
      </c>
      <c r="O84" s="17">
        <f>O88+O92+O96+O100+O104+O108+O112+O116+O120+O124+O128+O132+O136</f>
        <v>27000</v>
      </c>
      <c r="P84" s="6"/>
    </row>
    <row r="85" spans="1:16" ht="35.25" customHeight="1" x14ac:dyDescent="0.3">
      <c r="A85" s="44"/>
      <c r="B85" s="247"/>
      <c r="C85" s="248"/>
      <c r="D85" s="276"/>
      <c r="E85" s="239"/>
      <c r="F85" s="36" t="s">
        <v>13</v>
      </c>
      <c r="G85" s="17">
        <f t="shared" ref="G85:G86" si="151">H85+I85</f>
        <v>0</v>
      </c>
      <c r="H85" s="17">
        <f t="shared" ref="H85:I85" si="152">H89+H93+H97+H101+H105+H109+H113+H117+H121+H125+H129+H133+H137</f>
        <v>0</v>
      </c>
      <c r="I85" s="17">
        <f t="shared" si="152"/>
        <v>0</v>
      </c>
      <c r="J85" s="17">
        <f t="shared" ref="J85:J86" si="153">K85+L85</f>
        <v>0</v>
      </c>
      <c r="K85" s="17">
        <f t="shared" ref="K85:L85" si="154">K89+K93+K97+K101+K105+K109+K113+K117+K121+K125+K129+K133+K137</f>
        <v>0</v>
      </c>
      <c r="L85" s="17">
        <f t="shared" si="154"/>
        <v>0</v>
      </c>
      <c r="M85" s="17">
        <f t="shared" ref="M85:M86" si="155">N85+O85</f>
        <v>0</v>
      </c>
      <c r="N85" s="17">
        <f t="shared" ref="N85:O85" si="156">N89+N93+N97+N101+N105+N109+N113+N117+N121+N125+N129+N133+N137</f>
        <v>0</v>
      </c>
      <c r="O85" s="17">
        <f t="shared" si="156"/>
        <v>0</v>
      </c>
      <c r="P85" s="6"/>
    </row>
    <row r="86" spans="1:16" ht="35.25" customHeight="1" x14ac:dyDescent="0.3">
      <c r="A86" s="44"/>
      <c r="B86" s="249"/>
      <c r="C86" s="250"/>
      <c r="D86" s="277"/>
      <c r="E86" s="240"/>
      <c r="F86" s="35" t="s">
        <v>14</v>
      </c>
      <c r="G86" s="17">
        <f t="shared" si="151"/>
        <v>124</v>
      </c>
      <c r="H86" s="17">
        <f t="shared" ref="H86:I86" si="157">H90+H94+H98+H102+H106+H110+H114+H118+H122+H126+H130+H134+H138</f>
        <v>124</v>
      </c>
      <c r="I86" s="17">
        <f t="shared" si="157"/>
        <v>0</v>
      </c>
      <c r="J86" s="17">
        <f t="shared" si="153"/>
        <v>0</v>
      </c>
      <c r="K86" s="17">
        <f t="shared" ref="K86:L86" si="158">K90+K94+K98+K102+K106+K110+K114+K118+K122+K126+K130+K134+K138</f>
        <v>0</v>
      </c>
      <c r="L86" s="17">
        <f t="shared" si="158"/>
        <v>0</v>
      </c>
      <c r="M86" s="17">
        <f t="shared" si="155"/>
        <v>200</v>
      </c>
      <c r="N86" s="17">
        <f t="shared" ref="N86:O86" si="159">N90+N94+N98+N102+N106+N110+N114+N118+N122+N126+N130+N134+N138</f>
        <v>200</v>
      </c>
      <c r="O86" s="17">
        <f t="shared" si="159"/>
        <v>0</v>
      </c>
      <c r="P86" s="6"/>
    </row>
    <row r="87" spans="1:16" ht="35.25" customHeight="1" x14ac:dyDescent="0.3">
      <c r="A87" s="44"/>
      <c r="B87" s="254" t="s">
        <v>42</v>
      </c>
      <c r="C87" s="255"/>
      <c r="D87" s="269"/>
      <c r="E87" s="251" t="s">
        <v>38</v>
      </c>
      <c r="F87" s="38"/>
      <c r="G87" s="39">
        <f>G88+G89+G90</f>
        <v>4445</v>
      </c>
      <c r="H87" s="39">
        <f t="shared" ref="H87:I87" si="160">H88+H89+H90</f>
        <v>4445</v>
      </c>
      <c r="I87" s="39">
        <f t="shared" si="160"/>
        <v>0</v>
      </c>
      <c r="J87" s="39">
        <f>J88+J89+J90</f>
        <v>5536.22</v>
      </c>
      <c r="K87" s="39">
        <f t="shared" ref="K87:L87" si="161">K88+K89+K90</f>
        <v>5536.22</v>
      </c>
      <c r="L87" s="39">
        <f t="shared" si="161"/>
        <v>0</v>
      </c>
      <c r="M87" s="39">
        <f>M88+M89+M90</f>
        <v>6800</v>
      </c>
      <c r="N87" s="39">
        <f t="shared" ref="N87:O87" si="162">N88+N89+N90</f>
        <v>6800</v>
      </c>
      <c r="O87" s="39">
        <f t="shared" si="162"/>
        <v>0</v>
      </c>
      <c r="P87" s="6"/>
    </row>
    <row r="88" spans="1:16" ht="35.25" customHeight="1" x14ac:dyDescent="0.3">
      <c r="A88" s="44"/>
      <c r="B88" s="256"/>
      <c r="C88" s="257"/>
      <c r="D88" s="270"/>
      <c r="E88" s="252"/>
      <c r="F88" s="40" t="s">
        <v>12</v>
      </c>
      <c r="G88" s="41">
        <f>H88+I88</f>
        <v>4445</v>
      </c>
      <c r="H88" s="39">
        <v>4445</v>
      </c>
      <c r="I88" s="39">
        <v>0</v>
      </c>
      <c r="J88" s="41">
        <f>K88+L88</f>
        <v>5536.22</v>
      </c>
      <c r="K88" s="39">
        <f>5776-291+51.22</f>
        <v>5536.22</v>
      </c>
      <c r="L88" s="39">
        <v>0</v>
      </c>
      <c r="M88" s="41">
        <f>N88+O88</f>
        <v>6800</v>
      </c>
      <c r="N88" s="39">
        <f>5965+835</f>
        <v>6800</v>
      </c>
      <c r="O88" s="39">
        <v>0</v>
      </c>
      <c r="P88" s="6"/>
    </row>
    <row r="89" spans="1:16" ht="35.25" customHeight="1" x14ac:dyDescent="0.3">
      <c r="A89" s="44"/>
      <c r="B89" s="256"/>
      <c r="C89" s="257"/>
      <c r="D89" s="270"/>
      <c r="E89" s="252"/>
      <c r="F89" s="42" t="s">
        <v>13</v>
      </c>
      <c r="G89" s="41">
        <f t="shared" ref="G89:G90" si="163">H89+I89</f>
        <v>0</v>
      </c>
      <c r="H89" s="39"/>
      <c r="I89" s="39"/>
      <c r="J89" s="41">
        <f>K89+L89</f>
        <v>0</v>
      </c>
      <c r="K89" s="39"/>
      <c r="L89" s="39"/>
      <c r="M89" s="41">
        <f t="shared" ref="M89:M90" si="164">N89+O89</f>
        <v>0</v>
      </c>
      <c r="N89" s="39"/>
      <c r="O89" s="39"/>
      <c r="P89" s="6"/>
    </row>
    <row r="90" spans="1:16" ht="35.25" customHeight="1" x14ac:dyDescent="0.3">
      <c r="A90" s="44"/>
      <c r="B90" s="258"/>
      <c r="C90" s="259"/>
      <c r="D90" s="271"/>
      <c r="E90" s="253"/>
      <c r="F90" s="40" t="s">
        <v>14</v>
      </c>
      <c r="G90" s="41">
        <f t="shared" si="163"/>
        <v>0</v>
      </c>
      <c r="H90" s="39"/>
      <c r="I90" s="39"/>
      <c r="J90" s="41">
        <f t="shared" ref="J90" si="165">K90+L90</f>
        <v>0</v>
      </c>
      <c r="K90" s="39"/>
      <c r="L90" s="39"/>
      <c r="M90" s="41">
        <f t="shared" si="164"/>
        <v>0</v>
      </c>
      <c r="N90" s="39"/>
      <c r="O90" s="39"/>
      <c r="P90" s="6"/>
    </row>
    <row r="91" spans="1:16" ht="35.25" customHeight="1" x14ac:dyDescent="0.3">
      <c r="A91" s="44"/>
      <c r="B91" s="217" t="s">
        <v>43</v>
      </c>
      <c r="C91" s="217"/>
      <c r="D91" s="218"/>
      <c r="E91" s="231" t="s">
        <v>38</v>
      </c>
      <c r="F91" s="40"/>
      <c r="G91" s="41">
        <f>G92+G93+G94</f>
        <v>5890</v>
      </c>
      <c r="H91" s="41">
        <f t="shared" ref="H91:I91" si="166">H92+H93+H94</f>
        <v>5890</v>
      </c>
      <c r="I91" s="41">
        <f t="shared" si="166"/>
        <v>0</v>
      </c>
      <c r="J91" s="41">
        <f>J92+J93+J94</f>
        <v>7800</v>
      </c>
      <c r="K91" s="41">
        <f t="shared" ref="K91:L91" si="167">K92+K93+K94</f>
        <v>7800</v>
      </c>
      <c r="L91" s="41">
        <f t="shared" si="167"/>
        <v>0</v>
      </c>
      <c r="M91" s="41">
        <f>M92+M93+M94</f>
        <v>18100</v>
      </c>
      <c r="N91" s="41">
        <f t="shared" ref="N91:O91" si="168">N92+N93+N94</f>
        <v>18100</v>
      </c>
      <c r="O91" s="41">
        <f t="shared" si="168"/>
        <v>0</v>
      </c>
      <c r="P91" s="6"/>
    </row>
    <row r="92" spans="1:16" ht="35.25" customHeight="1" x14ac:dyDescent="0.3">
      <c r="A92" s="44"/>
      <c r="B92" s="217"/>
      <c r="C92" s="217"/>
      <c r="D92" s="218"/>
      <c r="E92" s="231"/>
      <c r="F92" s="40" t="s">
        <v>12</v>
      </c>
      <c r="G92" s="41">
        <f>H92+I92</f>
        <v>5890</v>
      </c>
      <c r="H92" s="41">
        <v>5890</v>
      </c>
      <c r="I92" s="41">
        <v>0</v>
      </c>
      <c r="J92" s="41">
        <f>K92+L92</f>
        <v>7800</v>
      </c>
      <c r="K92" s="41">
        <v>7800</v>
      </c>
      <c r="L92" s="41">
        <v>0</v>
      </c>
      <c r="M92" s="41">
        <f>N92+O92</f>
        <v>18100</v>
      </c>
      <c r="N92" s="41">
        <f>12040+6060</f>
        <v>18100</v>
      </c>
      <c r="O92" s="41">
        <v>0</v>
      </c>
      <c r="P92" s="6"/>
    </row>
    <row r="93" spans="1:16" ht="35.25" customHeight="1" x14ac:dyDescent="0.3">
      <c r="A93" s="44"/>
      <c r="B93" s="217"/>
      <c r="C93" s="217"/>
      <c r="D93" s="218"/>
      <c r="E93" s="231"/>
      <c r="F93" s="42" t="s">
        <v>13</v>
      </c>
      <c r="G93" s="41">
        <f t="shared" ref="G93:G94" si="169">H93+I93</f>
        <v>0</v>
      </c>
      <c r="H93" s="41"/>
      <c r="I93" s="41"/>
      <c r="J93" s="41">
        <f>K93+L93</f>
        <v>0</v>
      </c>
      <c r="K93" s="41"/>
      <c r="L93" s="41"/>
      <c r="M93" s="41">
        <f t="shared" ref="M93:M94" si="170">N93+O93</f>
        <v>0</v>
      </c>
      <c r="N93" s="41"/>
      <c r="O93" s="41"/>
      <c r="P93" s="6"/>
    </row>
    <row r="94" spans="1:16" ht="35.25" customHeight="1" x14ac:dyDescent="0.3">
      <c r="A94" s="44"/>
      <c r="B94" s="217"/>
      <c r="C94" s="217"/>
      <c r="D94" s="218"/>
      <c r="E94" s="231"/>
      <c r="F94" s="40" t="s">
        <v>14</v>
      </c>
      <c r="G94" s="41">
        <f t="shared" si="169"/>
        <v>0</v>
      </c>
      <c r="H94" s="41"/>
      <c r="I94" s="41"/>
      <c r="J94" s="41">
        <f t="shared" ref="J94" si="171">K94+L94</f>
        <v>0</v>
      </c>
      <c r="K94" s="41"/>
      <c r="L94" s="41"/>
      <c r="M94" s="41">
        <f t="shared" si="170"/>
        <v>0</v>
      </c>
      <c r="N94" s="41"/>
      <c r="O94" s="41"/>
      <c r="P94" s="6"/>
    </row>
    <row r="95" spans="1:16" ht="35.25" customHeight="1" x14ac:dyDescent="0.3">
      <c r="A95" s="44"/>
      <c r="B95" s="254" t="s">
        <v>50</v>
      </c>
      <c r="C95" s="255"/>
      <c r="D95" s="269"/>
      <c r="E95" s="251" t="s">
        <v>38</v>
      </c>
      <c r="F95" s="38"/>
      <c r="G95" s="39">
        <f>G96+G97+G98</f>
        <v>9635.1</v>
      </c>
      <c r="H95" s="39">
        <f t="shared" ref="H95:I95" si="172">H96+H97+H98</f>
        <v>9635.1</v>
      </c>
      <c r="I95" s="39">
        <f t="shared" si="172"/>
        <v>0</v>
      </c>
      <c r="J95" s="39">
        <f>J96+J97+J98</f>
        <v>10300</v>
      </c>
      <c r="K95" s="39">
        <f t="shared" ref="K95:L95" si="173">K96+K97+K98</f>
        <v>10300</v>
      </c>
      <c r="L95" s="39">
        <f t="shared" si="173"/>
        <v>0</v>
      </c>
      <c r="M95" s="39">
        <f>M96+M97+M98</f>
        <v>9200</v>
      </c>
      <c r="N95" s="39">
        <f t="shared" ref="N95:O95" si="174">N96+N97+N98</f>
        <v>9200</v>
      </c>
      <c r="O95" s="39">
        <f t="shared" si="174"/>
        <v>0</v>
      </c>
      <c r="P95" s="6"/>
    </row>
    <row r="96" spans="1:16" ht="35.25" customHeight="1" x14ac:dyDescent="0.3">
      <c r="A96" s="44"/>
      <c r="B96" s="256"/>
      <c r="C96" s="257"/>
      <c r="D96" s="270"/>
      <c r="E96" s="252"/>
      <c r="F96" s="40" t="s">
        <v>12</v>
      </c>
      <c r="G96" s="41">
        <f>H96+I96</f>
        <v>9635.1</v>
      </c>
      <c r="H96" s="39">
        <v>9635.1</v>
      </c>
      <c r="I96" s="39">
        <v>0</v>
      </c>
      <c r="J96" s="41">
        <f>K96+L96</f>
        <v>10300</v>
      </c>
      <c r="K96" s="39">
        <f>11112.2-486.6-325.6</f>
        <v>10300</v>
      </c>
      <c r="L96" s="39">
        <v>0</v>
      </c>
      <c r="M96" s="41">
        <f>N96+O96</f>
        <v>9200</v>
      </c>
      <c r="N96" s="39">
        <f>7306.8+1893.2</f>
        <v>9200</v>
      </c>
      <c r="O96" s="39">
        <v>0</v>
      </c>
      <c r="P96" s="6"/>
    </row>
    <row r="97" spans="1:16" ht="35.25" customHeight="1" x14ac:dyDescent="0.3">
      <c r="A97" s="44"/>
      <c r="B97" s="256"/>
      <c r="C97" s="257"/>
      <c r="D97" s="270"/>
      <c r="E97" s="252"/>
      <c r="F97" s="42" t="s">
        <v>13</v>
      </c>
      <c r="G97" s="41">
        <f t="shared" ref="G97:G98" si="175">H97+I97</f>
        <v>0</v>
      </c>
      <c r="H97" s="39"/>
      <c r="I97" s="39"/>
      <c r="J97" s="41">
        <f>K97+L97</f>
        <v>0</v>
      </c>
      <c r="K97" s="39"/>
      <c r="L97" s="39"/>
      <c r="M97" s="41">
        <f t="shared" ref="M97:M98" si="176">N97+O97</f>
        <v>0</v>
      </c>
      <c r="N97" s="39"/>
      <c r="O97" s="39"/>
      <c r="P97" s="6"/>
    </row>
    <row r="98" spans="1:16" ht="35.25" customHeight="1" x14ac:dyDescent="0.3">
      <c r="A98" s="44"/>
      <c r="B98" s="258"/>
      <c r="C98" s="259"/>
      <c r="D98" s="271"/>
      <c r="E98" s="253"/>
      <c r="F98" s="40" t="s">
        <v>14</v>
      </c>
      <c r="G98" s="41">
        <f t="shared" si="175"/>
        <v>0</v>
      </c>
      <c r="H98" s="39"/>
      <c r="I98" s="39"/>
      <c r="J98" s="41">
        <f t="shared" ref="J98" si="177">K98+L98</f>
        <v>0</v>
      </c>
      <c r="K98" s="39"/>
      <c r="L98" s="39"/>
      <c r="M98" s="41">
        <f t="shared" si="176"/>
        <v>0</v>
      </c>
      <c r="N98" s="39"/>
      <c r="O98" s="39"/>
      <c r="P98" s="6"/>
    </row>
    <row r="99" spans="1:16" ht="35.25" customHeight="1" x14ac:dyDescent="0.3">
      <c r="A99" s="44"/>
      <c r="B99" s="217" t="s">
        <v>44</v>
      </c>
      <c r="C99" s="217"/>
      <c r="D99" s="218"/>
      <c r="E99" s="231" t="s">
        <v>38</v>
      </c>
      <c r="F99" s="40"/>
      <c r="G99" s="41">
        <f>G100+G101+G102</f>
        <v>600</v>
      </c>
      <c r="H99" s="41">
        <f t="shared" ref="H99:I99" si="178">H100+H101+H102</f>
        <v>600</v>
      </c>
      <c r="I99" s="41">
        <f t="shared" si="178"/>
        <v>0</v>
      </c>
      <c r="J99" s="41">
        <f>J100+J101+J102</f>
        <v>700</v>
      </c>
      <c r="K99" s="41">
        <f t="shared" ref="K99:L99" si="179">K100+K101+K102</f>
        <v>700</v>
      </c>
      <c r="L99" s="41">
        <f t="shared" si="179"/>
        <v>0</v>
      </c>
      <c r="M99" s="41">
        <f>M100+M101+M102</f>
        <v>1905.8</v>
      </c>
      <c r="N99" s="41">
        <f t="shared" ref="N99:O99" si="180">N100+N101+N102</f>
        <v>1905.8</v>
      </c>
      <c r="O99" s="41">
        <f t="shared" si="180"/>
        <v>0</v>
      </c>
      <c r="P99" s="6"/>
    </row>
    <row r="100" spans="1:16" ht="35.25" customHeight="1" x14ac:dyDescent="0.3">
      <c r="A100" s="44"/>
      <c r="B100" s="217"/>
      <c r="C100" s="217"/>
      <c r="D100" s="218"/>
      <c r="E100" s="231"/>
      <c r="F100" s="40" t="s">
        <v>12</v>
      </c>
      <c r="G100" s="41">
        <f>H100+I100</f>
        <v>600</v>
      </c>
      <c r="H100" s="41">
        <v>600</v>
      </c>
      <c r="I100" s="41">
        <v>0</v>
      </c>
      <c r="J100" s="41">
        <f>K100+L100</f>
        <v>700</v>
      </c>
      <c r="K100" s="41">
        <f>1815-1115</f>
        <v>700</v>
      </c>
      <c r="L100" s="41">
        <v>0</v>
      </c>
      <c r="M100" s="41">
        <f>N100+O100</f>
        <v>1905.8</v>
      </c>
      <c r="N100" s="41">
        <v>1905.8</v>
      </c>
      <c r="O100" s="41">
        <v>0</v>
      </c>
      <c r="P100" s="6"/>
    </row>
    <row r="101" spans="1:16" ht="35.25" customHeight="1" x14ac:dyDescent="0.3">
      <c r="A101" s="44"/>
      <c r="B101" s="217"/>
      <c r="C101" s="217"/>
      <c r="D101" s="218"/>
      <c r="E101" s="231"/>
      <c r="F101" s="42" t="s">
        <v>13</v>
      </c>
      <c r="G101" s="41">
        <f t="shared" ref="G101:G102" si="181">H101+I101</f>
        <v>0</v>
      </c>
      <c r="H101" s="41"/>
      <c r="I101" s="41"/>
      <c r="J101" s="41">
        <f>K101+L101</f>
        <v>0</v>
      </c>
      <c r="K101" s="41"/>
      <c r="L101" s="41"/>
      <c r="M101" s="41">
        <f t="shared" ref="M101:M102" si="182">N101+O101</f>
        <v>0</v>
      </c>
      <c r="N101" s="41"/>
      <c r="O101" s="41"/>
      <c r="P101" s="6"/>
    </row>
    <row r="102" spans="1:16" ht="35.25" customHeight="1" x14ac:dyDescent="0.3">
      <c r="A102" s="44"/>
      <c r="B102" s="217"/>
      <c r="C102" s="217"/>
      <c r="D102" s="218"/>
      <c r="E102" s="231"/>
      <c r="F102" s="40" t="s">
        <v>14</v>
      </c>
      <c r="G102" s="41">
        <f t="shared" si="181"/>
        <v>0</v>
      </c>
      <c r="H102" s="41"/>
      <c r="I102" s="41"/>
      <c r="J102" s="41">
        <f t="shared" ref="J102" si="183">K102+L102</f>
        <v>0</v>
      </c>
      <c r="K102" s="41"/>
      <c r="L102" s="41"/>
      <c r="M102" s="41">
        <f t="shared" si="182"/>
        <v>0</v>
      </c>
      <c r="N102" s="41"/>
      <c r="O102" s="41"/>
      <c r="P102" s="6"/>
    </row>
    <row r="103" spans="1:16" ht="35.25" customHeight="1" x14ac:dyDescent="0.3">
      <c r="A103" s="44"/>
      <c r="B103" s="254" t="s">
        <v>45</v>
      </c>
      <c r="C103" s="255"/>
      <c r="D103" s="269"/>
      <c r="E103" s="251" t="s">
        <v>38</v>
      </c>
      <c r="F103" s="38"/>
      <c r="G103" s="39">
        <f>G104+G105+G106</f>
        <v>2297.3000000000002</v>
      </c>
      <c r="H103" s="39">
        <f t="shared" ref="H103:I103" si="184">H104+H105+H106</f>
        <v>2297.3000000000002</v>
      </c>
      <c r="I103" s="39">
        <f t="shared" si="184"/>
        <v>0</v>
      </c>
      <c r="J103" s="39">
        <f>J104+J105+J106</f>
        <v>2600</v>
      </c>
      <c r="K103" s="39">
        <f t="shared" ref="K103:L103" si="185">K104+K105+K106</f>
        <v>2600</v>
      </c>
      <c r="L103" s="39">
        <f t="shared" si="185"/>
        <v>0</v>
      </c>
      <c r="M103" s="39">
        <f>M104+M105+M106</f>
        <v>4380.3</v>
      </c>
      <c r="N103" s="39">
        <f t="shared" ref="N103:O103" si="186">N104+N105+N106</f>
        <v>4380.3</v>
      </c>
      <c r="O103" s="39">
        <f t="shared" si="186"/>
        <v>0</v>
      </c>
      <c r="P103" s="6"/>
    </row>
    <row r="104" spans="1:16" ht="35.25" customHeight="1" x14ac:dyDescent="0.3">
      <c r="A104" s="44"/>
      <c r="B104" s="256"/>
      <c r="C104" s="257"/>
      <c r="D104" s="270"/>
      <c r="E104" s="252"/>
      <c r="F104" s="40" t="s">
        <v>12</v>
      </c>
      <c r="G104" s="41">
        <f>H104+I104</f>
        <v>2297.3000000000002</v>
      </c>
      <c r="H104" s="39">
        <v>2297.3000000000002</v>
      </c>
      <c r="I104" s="39">
        <v>0</v>
      </c>
      <c r="J104" s="41">
        <f>K104+L104</f>
        <v>2600</v>
      </c>
      <c r="K104" s="39">
        <f>4171.7-1571.7</f>
        <v>2600</v>
      </c>
      <c r="L104" s="39">
        <v>0</v>
      </c>
      <c r="M104" s="41">
        <f>N104+O104</f>
        <v>4380.3</v>
      </c>
      <c r="N104" s="39">
        <v>4380.3</v>
      </c>
      <c r="O104" s="39">
        <v>0</v>
      </c>
      <c r="P104" s="6"/>
    </row>
    <row r="105" spans="1:16" ht="35.25" customHeight="1" x14ac:dyDescent="0.3">
      <c r="A105" s="44"/>
      <c r="B105" s="256"/>
      <c r="C105" s="257"/>
      <c r="D105" s="270"/>
      <c r="E105" s="252"/>
      <c r="F105" s="42" t="s">
        <v>13</v>
      </c>
      <c r="G105" s="41">
        <f t="shared" ref="G105:G106" si="187">H105+I105</f>
        <v>0</v>
      </c>
      <c r="H105" s="39"/>
      <c r="I105" s="39"/>
      <c r="J105" s="41">
        <f>K105+L105</f>
        <v>0</v>
      </c>
      <c r="K105" s="39"/>
      <c r="L105" s="39"/>
      <c r="M105" s="41">
        <f t="shared" ref="M105:M106" si="188">N105+O105</f>
        <v>0</v>
      </c>
      <c r="N105" s="39"/>
      <c r="O105" s="39"/>
      <c r="P105" s="6"/>
    </row>
    <row r="106" spans="1:16" ht="35.25" customHeight="1" x14ac:dyDescent="0.3">
      <c r="A106" s="44"/>
      <c r="B106" s="258"/>
      <c r="C106" s="259"/>
      <c r="D106" s="271"/>
      <c r="E106" s="253"/>
      <c r="F106" s="40" t="s">
        <v>14</v>
      </c>
      <c r="G106" s="41">
        <f t="shared" si="187"/>
        <v>0</v>
      </c>
      <c r="H106" s="39"/>
      <c r="I106" s="39"/>
      <c r="J106" s="41">
        <f t="shared" ref="J106" si="189">K106+L106</f>
        <v>0</v>
      </c>
      <c r="K106" s="39"/>
      <c r="L106" s="39"/>
      <c r="M106" s="41">
        <f t="shared" si="188"/>
        <v>0</v>
      </c>
      <c r="N106" s="39"/>
      <c r="O106" s="39"/>
      <c r="P106" s="6"/>
    </row>
    <row r="107" spans="1:16" ht="35.25" customHeight="1" x14ac:dyDescent="0.3">
      <c r="A107" s="44"/>
      <c r="B107" s="217" t="s">
        <v>46</v>
      </c>
      <c r="C107" s="217"/>
      <c r="D107" s="218"/>
      <c r="E107" s="231" t="s">
        <v>38</v>
      </c>
      <c r="F107" s="40"/>
      <c r="G107" s="41">
        <f>G108+G109+G110</f>
        <v>265</v>
      </c>
      <c r="H107" s="41">
        <f t="shared" ref="H107:I107" si="190">H108+H109+H110</f>
        <v>265</v>
      </c>
      <c r="I107" s="41">
        <f t="shared" si="190"/>
        <v>0</v>
      </c>
      <c r="J107" s="41">
        <f>J108+J109+J110</f>
        <v>320</v>
      </c>
      <c r="K107" s="41">
        <f t="shared" ref="K107:L107" si="191">K108+K109+K110</f>
        <v>320</v>
      </c>
      <c r="L107" s="41">
        <f t="shared" si="191"/>
        <v>0</v>
      </c>
      <c r="M107" s="41">
        <f>M108+M109+M110</f>
        <v>611.20000000000005</v>
      </c>
      <c r="N107" s="41">
        <f t="shared" ref="N107:O107" si="192">N108+N109+N110</f>
        <v>611.20000000000005</v>
      </c>
      <c r="O107" s="41">
        <f t="shared" si="192"/>
        <v>0</v>
      </c>
      <c r="P107" s="6"/>
    </row>
    <row r="108" spans="1:16" ht="35.25" customHeight="1" x14ac:dyDescent="0.3">
      <c r="A108" s="44"/>
      <c r="B108" s="217"/>
      <c r="C108" s="217"/>
      <c r="D108" s="218"/>
      <c r="E108" s="231"/>
      <c r="F108" s="40" t="s">
        <v>12</v>
      </c>
      <c r="G108" s="41">
        <f>H108+I108</f>
        <v>265</v>
      </c>
      <c r="H108" s="41">
        <v>265</v>
      </c>
      <c r="I108" s="41">
        <v>0</v>
      </c>
      <c r="J108" s="41">
        <f>K108+L108</f>
        <v>320</v>
      </c>
      <c r="K108" s="41">
        <f>582.1-262.1</f>
        <v>320</v>
      </c>
      <c r="L108" s="41">
        <v>0</v>
      </c>
      <c r="M108" s="41">
        <f>N108+O108</f>
        <v>611.20000000000005</v>
      </c>
      <c r="N108" s="41">
        <v>611.20000000000005</v>
      </c>
      <c r="O108" s="41">
        <v>0</v>
      </c>
      <c r="P108" s="6"/>
    </row>
    <row r="109" spans="1:16" ht="35.25" customHeight="1" x14ac:dyDescent="0.3">
      <c r="A109" s="44"/>
      <c r="B109" s="217"/>
      <c r="C109" s="217"/>
      <c r="D109" s="218"/>
      <c r="E109" s="231"/>
      <c r="F109" s="42" t="s">
        <v>13</v>
      </c>
      <c r="G109" s="41">
        <f t="shared" ref="G109:G110" si="193">H109+I109</f>
        <v>0</v>
      </c>
      <c r="H109" s="41"/>
      <c r="I109" s="41"/>
      <c r="J109" s="41">
        <f>K109+L109</f>
        <v>0</v>
      </c>
      <c r="K109" s="41"/>
      <c r="L109" s="41"/>
      <c r="M109" s="41">
        <f t="shared" ref="M109:M110" si="194">N109+O109</f>
        <v>0</v>
      </c>
      <c r="N109" s="41"/>
      <c r="O109" s="41"/>
      <c r="P109" s="6"/>
    </row>
    <row r="110" spans="1:16" ht="35.25" customHeight="1" x14ac:dyDescent="0.3">
      <c r="A110" s="44"/>
      <c r="B110" s="217"/>
      <c r="C110" s="217"/>
      <c r="D110" s="218"/>
      <c r="E110" s="231"/>
      <c r="F110" s="40" t="s">
        <v>14</v>
      </c>
      <c r="G110" s="41">
        <f t="shared" si="193"/>
        <v>0</v>
      </c>
      <c r="H110" s="41"/>
      <c r="I110" s="41"/>
      <c r="J110" s="41">
        <f t="shared" ref="J110" si="195">K110+L110</f>
        <v>0</v>
      </c>
      <c r="K110" s="41"/>
      <c r="L110" s="41"/>
      <c r="M110" s="41">
        <f t="shared" si="194"/>
        <v>0</v>
      </c>
      <c r="N110" s="41"/>
      <c r="O110" s="41"/>
      <c r="P110" s="6"/>
    </row>
    <row r="111" spans="1:16" ht="35.25" customHeight="1" x14ac:dyDescent="0.3">
      <c r="A111" s="44"/>
      <c r="B111" s="217" t="s">
        <v>47</v>
      </c>
      <c r="C111" s="217"/>
      <c r="D111" s="233">
        <v>3210</v>
      </c>
      <c r="E111" s="231" t="s">
        <v>38</v>
      </c>
      <c r="F111" s="40"/>
      <c r="G111" s="41">
        <f>G112+G113+G114</f>
        <v>248</v>
      </c>
      <c r="H111" s="41">
        <f t="shared" ref="H111:I111" si="196">H112+H113+H114</f>
        <v>248</v>
      </c>
      <c r="I111" s="41">
        <f t="shared" si="196"/>
        <v>0</v>
      </c>
      <c r="J111" s="41">
        <f>J112+J113+J114</f>
        <v>0</v>
      </c>
      <c r="K111" s="41">
        <f t="shared" ref="K111:L111" si="197">K112+K113+K114</f>
        <v>0</v>
      </c>
      <c r="L111" s="41">
        <f t="shared" si="197"/>
        <v>0</v>
      </c>
      <c r="M111" s="41">
        <f>M112+M113+M114</f>
        <v>400</v>
      </c>
      <c r="N111" s="41">
        <f t="shared" ref="N111:O111" si="198">N112+N113+N114</f>
        <v>400</v>
      </c>
      <c r="O111" s="41">
        <f t="shared" si="198"/>
        <v>0</v>
      </c>
      <c r="P111" s="6"/>
    </row>
    <row r="112" spans="1:16" ht="35.25" customHeight="1" x14ac:dyDescent="0.3">
      <c r="A112" s="44"/>
      <c r="B112" s="217"/>
      <c r="C112" s="217"/>
      <c r="D112" s="233"/>
      <c r="E112" s="231"/>
      <c r="F112" s="40" t="s">
        <v>12</v>
      </c>
      <c r="G112" s="41">
        <f>H112+I112</f>
        <v>124</v>
      </c>
      <c r="H112" s="41">
        <v>124</v>
      </c>
      <c r="I112" s="41">
        <v>0</v>
      </c>
      <c r="J112" s="41">
        <f>K112+L112</f>
        <v>0</v>
      </c>
      <c r="K112" s="41">
        <f>200-200</f>
        <v>0</v>
      </c>
      <c r="L112" s="41">
        <v>0</v>
      </c>
      <c r="M112" s="41">
        <f>N112+O112</f>
        <v>200</v>
      </c>
      <c r="N112" s="41">
        <v>200</v>
      </c>
      <c r="O112" s="41">
        <v>0</v>
      </c>
      <c r="P112" s="6"/>
    </row>
    <row r="113" spans="1:16" ht="35.25" customHeight="1" x14ac:dyDescent="0.3">
      <c r="A113" s="44"/>
      <c r="B113" s="217"/>
      <c r="C113" s="217"/>
      <c r="D113" s="233"/>
      <c r="E113" s="231"/>
      <c r="F113" s="42" t="s">
        <v>13</v>
      </c>
      <c r="G113" s="41">
        <f t="shared" ref="G113:G114" si="199">H113+I113</f>
        <v>0</v>
      </c>
      <c r="H113" s="41"/>
      <c r="I113" s="41"/>
      <c r="J113" s="41">
        <f>K113+L113</f>
        <v>0</v>
      </c>
      <c r="K113" s="41"/>
      <c r="L113" s="41"/>
      <c r="M113" s="41">
        <f t="shared" ref="M113:M114" si="200">N113+O113</f>
        <v>0</v>
      </c>
      <c r="N113" s="41"/>
      <c r="O113" s="41"/>
      <c r="P113" s="6"/>
    </row>
    <row r="114" spans="1:16" ht="35.25" customHeight="1" x14ac:dyDescent="0.3">
      <c r="A114" s="44"/>
      <c r="B114" s="217"/>
      <c r="C114" s="217"/>
      <c r="D114" s="233"/>
      <c r="E114" s="231"/>
      <c r="F114" s="40" t="s">
        <v>14</v>
      </c>
      <c r="G114" s="41">
        <f t="shared" si="199"/>
        <v>124</v>
      </c>
      <c r="H114" s="41">
        <v>124</v>
      </c>
      <c r="I114" s="41"/>
      <c r="J114" s="41">
        <f t="shared" ref="J114" si="201">K114+L114</f>
        <v>0</v>
      </c>
      <c r="K114" s="41">
        <f>200-200</f>
        <v>0</v>
      </c>
      <c r="L114" s="41"/>
      <c r="M114" s="41">
        <f t="shared" si="200"/>
        <v>200</v>
      </c>
      <c r="N114" s="41">
        <v>200</v>
      </c>
      <c r="O114" s="41"/>
      <c r="P114" s="6"/>
    </row>
    <row r="115" spans="1:16" ht="35.25" customHeight="1" x14ac:dyDescent="0.3">
      <c r="A115" s="44"/>
      <c r="B115" s="217" t="s">
        <v>48</v>
      </c>
      <c r="C115" s="217"/>
      <c r="D115" s="218"/>
      <c r="E115" s="231" t="s">
        <v>38</v>
      </c>
      <c r="F115" s="40"/>
      <c r="G115" s="41">
        <f>G116+G117+G118</f>
        <v>685</v>
      </c>
      <c r="H115" s="41">
        <f t="shared" ref="H115:I115" si="202">H116+H117+H118</f>
        <v>685</v>
      </c>
      <c r="I115" s="41">
        <f t="shared" si="202"/>
        <v>0</v>
      </c>
      <c r="J115" s="41">
        <f>J116+J117+J118</f>
        <v>769.5</v>
      </c>
      <c r="K115" s="41">
        <f t="shared" ref="K115:L115" si="203">K116+K117+K118</f>
        <v>769.5</v>
      </c>
      <c r="L115" s="41">
        <f t="shared" si="203"/>
        <v>0</v>
      </c>
      <c r="M115" s="41">
        <f>M116+M117+M118</f>
        <v>1142.5</v>
      </c>
      <c r="N115" s="41">
        <f t="shared" ref="N115:O115" si="204">N116+N117+N118</f>
        <v>1142.5</v>
      </c>
      <c r="O115" s="41">
        <f t="shared" si="204"/>
        <v>0</v>
      </c>
      <c r="P115" s="6"/>
    </row>
    <row r="116" spans="1:16" ht="35.25" customHeight="1" x14ac:dyDescent="0.3">
      <c r="A116" s="44"/>
      <c r="B116" s="217"/>
      <c r="C116" s="217"/>
      <c r="D116" s="218"/>
      <c r="E116" s="231"/>
      <c r="F116" s="40" t="s">
        <v>12</v>
      </c>
      <c r="G116" s="41">
        <f>H116+I116</f>
        <v>685</v>
      </c>
      <c r="H116" s="41">
        <v>685</v>
      </c>
      <c r="I116" s="41">
        <v>0</v>
      </c>
      <c r="J116" s="41">
        <f>K116+L116</f>
        <v>769.5</v>
      </c>
      <c r="K116" s="41">
        <v>769.5</v>
      </c>
      <c r="L116" s="41">
        <v>0</v>
      </c>
      <c r="M116" s="41">
        <f>N116+O116</f>
        <v>1142.5</v>
      </c>
      <c r="N116" s="41">
        <f>757.6+384.9</f>
        <v>1142.5</v>
      </c>
      <c r="O116" s="41">
        <v>0</v>
      </c>
      <c r="P116" s="6"/>
    </row>
    <row r="117" spans="1:16" ht="35.25" customHeight="1" x14ac:dyDescent="0.3">
      <c r="A117" s="44"/>
      <c r="B117" s="217"/>
      <c r="C117" s="217"/>
      <c r="D117" s="218"/>
      <c r="E117" s="231"/>
      <c r="F117" s="42" t="s">
        <v>13</v>
      </c>
      <c r="G117" s="41">
        <f t="shared" ref="G117:G118" si="205">H117+I117</f>
        <v>0</v>
      </c>
      <c r="H117" s="41"/>
      <c r="I117" s="41"/>
      <c r="J117" s="41">
        <f>K117+L117</f>
        <v>0</v>
      </c>
      <c r="K117" s="41"/>
      <c r="L117" s="41"/>
      <c r="M117" s="41">
        <f t="shared" ref="M117:M118" si="206">N117+O117</f>
        <v>0</v>
      </c>
      <c r="N117" s="41"/>
      <c r="O117" s="41"/>
      <c r="P117" s="6"/>
    </row>
    <row r="118" spans="1:16" ht="35.25" customHeight="1" x14ac:dyDescent="0.3">
      <c r="A118" s="44"/>
      <c r="B118" s="217"/>
      <c r="C118" s="217"/>
      <c r="D118" s="218"/>
      <c r="E118" s="231"/>
      <c r="F118" s="40" t="s">
        <v>14</v>
      </c>
      <c r="G118" s="41">
        <f t="shared" si="205"/>
        <v>0</v>
      </c>
      <c r="H118" s="41"/>
      <c r="I118" s="41"/>
      <c r="J118" s="41">
        <f t="shared" ref="J118" si="207">K118+L118</f>
        <v>0</v>
      </c>
      <c r="K118" s="41"/>
      <c r="L118" s="41"/>
      <c r="M118" s="41">
        <f t="shared" si="206"/>
        <v>0</v>
      </c>
      <c r="N118" s="41"/>
      <c r="O118" s="41"/>
      <c r="P118" s="6"/>
    </row>
    <row r="119" spans="1:16" ht="35.25" customHeight="1" x14ac:dyDescent="0.3">
      <c r="A119" s="44"/>
      <c r="B119" s="254" t="s">
        <v>49</v>
      </c>
      <c r="C119" s="255"/>
      <c r="D119" s="269"/>
      <c r="E119" s="251" t="s">
        <v>38</v>
      </c>
      <c r="F119" s="40"/>
      <c r="G119" s="41">
        <f>G120+G121+G122</f>
        <v>530.4</v>
      </c>
      <c r="H119" s="41">
        <f t="shared" ref="H119:I119" si="208">H120+H121+H122</f>
        <v>530.4</v>
      </c>
      <c r="I119" s="41">
        <f t="shared" si="208"/>
        <v>0</v>
      </c>
      <c r="J119" s="41">
        <f>J120+J121+J122</f>
        <v>607.00000000000011</v>
      </c>
      <c r="K119" s="41">
        <f t="shared" ref="K119:L119" si="209">K120+K121+K122</f>
        <v>607.00000000000011</v>
      </c>
      <c r="L119" s="41">
        <f t="shared" si="209"/>
        <v>0</v>
      </c>
      <c r="M119" s="41">
        <f>M120+M121+M122</f>
        <v>1700</v>
      </c>
      <c r="N119" s="41">
        <f t="shared" ref="N119:O119" si="210">N120+N121+N122</f>
        <v>1700</v>
      </c>
      <c r="O119" s="41">
        <f t="shared" si="210"/>
        <v>0</v>
      </c>
      <c r="P119" s="6"/>
    </row>
    <row r="120" spans="1:16" ht="35.25" customHeight="1" x14ac:dyDescent="0.3">
      <c r="A120" s="44"/>
      <c r="B120" s="256"/>
      <c r="C120" s="257"/>
      <c r="D120" s="270"/>
      <c r="E120" s="252"/>
      <c r="F120" s="40" t="s">
        <v>12</v>
      </c>
      <c r="G120" s="41">
        <f>H120+I120</f>
        <v>530.4</v>
      </c>
      <c r="H120" s="41">
        <v>530.4</v>
      </c>
      <c r="I120" s="41">
        <v>0</v>
      </c>
      <c r="J120" s="41">
        <f>K120+L120</f>
        <v>607.00000000000011</v>
      </c>
      <c r="K120" s="41">
        <f>1100.4-493.4</f>
        <v>607.00000000000011</v>
      </c>
      <c r="L120" s="41">
        <v>0</v>
      </c>
      <c r="M120" s="41">
        <f>N120+O120</f>
        <v>1700</v>
      </c>
      <c r="N120" s="41">
        <f>1155.4+544.6</f>
        <v>1700</v>
      </c>
      <c r="O120" s="41">
        <v>0</v>
      </c>
      <c r="P120" s="6"/>
    </row>
    <row r="121" spans="1:16" ht="35.25" customHeight="1" x14ac:dyDescent="0.3">
      <c r="A121" s="44"/>
      <c r="B121" s="256"/>
      <c r="C121" s="257"/>
      <c r="D121" s="270"/>
      <c r="E121" s="252"/>
      <c r="F121" s="42" t="s">
        <v>13</v>
      </c>
      <c r="G121" s="41">
        <f t="shared" ref="G121:G122" si="211">H121+I121</f>
        <v>0</v>
      </c>
      <c r="H121" s="41"/>
      <c r="I121" s="41"/>
      <c r="J121" s="41">
        <f>K121+L121</f>
        <v>0</v>
      </c>
      <c r="K121" s="41"/>
      <c r="L121" s="41"/>
      <c r="M121" s="41">
        <f t="shared" ref="M121:M122" si="212">N121+O121</f>
        <v>0</v>
      </c>
      <c r="N121" s="41"/>
      <c r="O121" s="41"/>
      <c r="P121" s="6"/>
    </row>
    <row r="122" spans="1:16" ht="35.25" customHeight="1" x14ac:dyDescent="0.3">
      <c r="A122" s="44"/>
      <c r="B122" s="258"/>
      <c r="C122" s="259"/>
      <c r="D122" s="271"/>
      <c r="E122" s="253"/>
      <c r="F122" s="40" t="s">
        <v>14</v>
      </c>
      <c r="G122" s="41">
        <f t="shared" si="211"/>
        <v>0</v>
      </c>
      <c r="H122" s="41"/>
      <c r="I122" s="41"/>
      <c r="J122" s="41">
        <f t="shared" ref="J122" si="213">K122+L122</f>
        <v>0</v>
      </c>
      <c r="K122" s="41"/>
      <c r="L122" s="41"/>
      <c r="M122" s="41">
        <f t="shared" si="212"/>
        <v>0</v>
      </c>
      <c r="N122" s="41"/>
      <c r="O122" s="41"/>
      <c r="P122" s="6"/>
    </row>
    <row r="123" spans="1:16" ht="35.25" customHeight="1" x14ac:dyDescent="0.3">
      <c r="A123" s="44"/>
      <c r="B123" s="217" t="s">
        <v>51</v>
      </c>
      <c r="C123" s="217"/>
      <c r="D123" s="218"/>
      <c r="E123" s="231" t="s">
        <v>38</v>
      </c>
      <c r="F123" s="40"/>
      <c r="G123" s="41">
        <f>G124+G125+G126</f>
        <v>920</v>
      </c>
      <c r="H123" s="41">
        <f t="shared" ref="H123:I123" si="214">H124+H125+H126</f>
        <v>920</v>
      </c>
      <c r="I123" s="41">
        <f t="shared" si="214"/>
        <v>0</v>
      </c>
      <c r="J123" s="41">
        <f>J124+J125+J126</f>
        <v>0</v>
      </c>
      <c r="K123" s="41">
        <f t="shared" ref="K123:L123" si="215">K124+K125+K126</f>
        <v>0</v>
      </c>
      <c r="L123" s="41">
        <f t="shared" si="215"/>
        <v>0</v>
      </c>
      <c r="M123" s="41">
        <f>M124+M125+M126</f>
        <v>500</v>
      </c>
      <c r="N123" s="41">
        <f t="shared" ref="N123:O123" si="216">N124+N125+N126</f>
        <v>500</v>
      </c>
      <c r="O123" s="41">
        <f t="shared" si="216"/>
        <v>0</v>
      </c>
      <c r="P123" s="6"/>
    </row>
    <row r="124" spans="1:16" ht="35.25" customHeight="1" x14ac:dyDescent="0.3">
      <c r="A124" s="44"/>
      <c r="B124" s="217"/>
      <c r="C124" s="217"/>
      <c r="D124" s="218"/>
      <c r="E124" s="231"/>
      <c r="F124" s="40" t="s">
        <v>12</v>
      </c>
      <c r="G124" s="41">
        <f>H124+I124</f>
        <v>920</v>
      </c>
      <c r="H124" s="41">
        <v>920</v>
      </c>
      <c r="I124" s="41">
        <v>0</v>
      </c>
      <c r="J124" s="41">
        <f>K124+L124</f>
        <v>0</v>
      </c>
      <c r="K124" s="41">
        <v>0</v>
      </c>
      <c r="L124" s="41">
        <v>0</v>
      </c>
      <c r="M124" s="41">
        <f>N124+O124</f>
        <v>500</v>
      </c>
      <c r="N124" s="41">
        <f>0+500</f>
        <v>500</v>
      </c>
      <c r="O124" s="41">
        <v>0</v>
      </c>
      <c r="P124" s="6"/>
    </row>
    <row r="125" spans="1:16" ht="35.25" customHeight="1" x14ac:dyDescent="0.3">
      <c r="A125" s="44"/>
      <c r="B125" s="217"/>
      <c r="C125" s="217"/>
      <c r="D125" s="218"/>
      <c r="E125" s="231"/>
      <c r="F125" s="42" t="s">
        <v>13</v>
      </c>
      <c r="G125" s="41">
        <f t="shared" ref="G125:G126" si="217">H125+I125</f>
        <v>0</v>
      </c>
      <c r="H125" s="41"/>
      <c r="I125" s="41"/>
      <c r="J125" s="41">
        <f>K125+L125</f>
        <v>0</v>
      </c>
      <c r="K125" s="41"/>
      <c r="L125" s="41"/>
      <c r="M125" s="41">
        <f t="shared" ref="M125:M126" si="218">N125+O125</f>
        <v>0</v>
      </c>
      <c r="N125" s="41"/>
      <c r="O125" s="41"/>
      <c r="P125" s="6"/>
    </row>
    <row r="126" spans="1:16" ht="35.25" customHeight="1" x14ac:dyDescent="0.3">
      <c r="A126" s="44"/>
      <c r="B126" s="217"/>
      <c r="C126" s="217"/>
      <c r="D126" s="218"/>
      <c r="E126" s="231"/>
      <c r="F126" s="40" t="s">
        <v>14</v>
      </c>
      <c r="G126" s="41">
        <f t="shared" si="217"/>
        <v>0</v>
      </c>
      <c r="H126" s="41"/>
      <c r="I126" s="41"/>
      <c r="J126" s="41">
        <f t="shared" ref="J126" si="219">K126+L126</f>
        <v>0</v>
      </c>
      <c r="K126" s="41"/>
      <c r="L126" s="41"/>
      <c r="M126" s="41">
        <f t="shared" si="218"/>
        <v>0</v>
      </c>
      <c r="N126" s="41"/>
      <c r="O126" s="41"/>
      <c r="P126" s="6"/>
    </row>
    <row r="127" spans="1:16" ht="35.25" customHeight="1" x14ac:dyDescent="0.3">
      <c r="A127" s="44"/>
      <c r="B127" s="217" t="s">
        <v>426</v>
      </c>
      <c r="C127" s="217"/>
      <c r="D127" s="218"/>
      <c r="E127" s="231" t="s">
        <v>38</v>
      </c>
      <c r="F127" s="40"/>
      <c r="G127" s="41">
        <f>G128+G129+G130</f>
        <v>0</v>
      </c>
      <c r="H127" s="41">
        <f t="shared" ref="H127:I127" si="220">H128+H129+H130</f>
        <v>0</v>
      </c>
      <c r="I127" s="41">
        <f t="shared" si="220"/>
        <v>0</v>
      </c>
      <c r="J127" s="41">
        <f>J128+J129+J130</f>
        <v>760</v>
      </c>
      <c r="K127" s="41">
        <f t="shared" ref="K127:L127" si="221">K128+K129+K130</f>
        <v>760</v>
      </c>
      <c r="L127" s="41">
        <f t="shared" si="221"/>
        <v>0</v>
      </c>
      <c r="M127" s="41">
        <f>M128+M129+M130</f>
        <v>892.5</v>
      </c>
      <c r="N127" s="41">
        <f t="shared" ref="N127:O127" si="222">N128+N129+N130</f>
        <v>892.5</v>
      </c>
      <c r="O127" s="41">
        <f t="shared" si="222"/>
        <v>0</v>
      </c>
      <c r="P127" s="6"/>
    </row>
    <row r="128" spans="1:16" ht="35.25" customHeight="1" x14ac:dyDescent="0.3">
      <c r="A128" s="44"/>
      <c r="B128" s="217"/>
      <c r="C128" s="217"/>
      <c r="D128" s="218"/>
      <c r="E128" s="231"/>
      <c r="F128" s="40" t="s">
        <v>12</v>
      </c>
      <c r="G128" s="41">
        <f>H128+I128</f>
        <v>0</v>
      </c>
      <c r="H128" s="41">
        <v>0</v>
      </c>
      <c r="I128" s="41">
        <v>0</v>
      </c>
      <c r="J128" s="41">
        <f>K128+L128</f>
        <v>760</v>
      </c>
      <c r="K128" s="41">
        <f>1075-315</f>
        <v>760</v>
      </c>
      <c r="L128" s="41">
        <v>0</v>
      </c>
      <c r="M128" s="41">
        <f>N128+O128</f>
        <v>892.5</v>
      </c>
      <c r="N128" s="41">
        <v>892.5</v>
      </c>
      <c r="O128" s="41">
        <v>0</v>
      </c>
      <c r="P128" s="6"/>
    </row>
    <row r="129" spans="1:16" ht="35.25" customHeight="1" x14ac:dyDescent="0.3">
      <c r="A129" s="44"/>
      <c r="B129" s="217"/>
      <c r="C129" s="217"/>
      <c r="D129" s="218"/>
      <c r="E129" s="231"/>
      <c r="F129" s="42" t="s">
        <v>13</v>
      </c>
      <c r="G129" s="41">
        <f t="shared" ref="G129:G130" si="223">H129+I129</f>
        <v>0</v>
      </c>
      <c r="H129" s="41"/>
      <c r="I129" s="41"/>
      <c r="J129" s="41">
        <f>K129+L129</f>
        <v>0</v>
      </c>
      <c r="K129" s="41"/>
      <c r="L129" s="41"/>
      <c r="M129" s="41">
        <f t="shared" ref="M129:M130" si="224">N129+O129</f>
        <v>0</v>
      </c>
      <c r="N129" s="41"/>
      <c r="O129" s="41"/>
      <c r="P129" s="6"/>
    </row>
    <row r="130" spans="1:16" ht="35.25" customHeight="1" x14ac:dyDescent="0.3">
      <c r="A130" s="44"/>
      <c r="B130" s="217"/>
      <c r="C130" s="217"/>
      <c r="D130" s="218"/>
      <c r="E130" s="231"/>
      <c r="F130" s="40" t="s">
        <v>14</v>
      </c>
      <c r="G130" s="41">
        <f t="shared" si="223"/>
        <v>0</v>
      </c>
      <c r="H130" s="41"/>
      <c r="I130" s="41"/>
      <c r="J130" s="41">
        <f t="shared" ref="J130" si="225">K130+L130</f>
        <v>0</v>
      </c>
      <c r="K130" s="41"/>
      <c r="L130" s="41"/>
      <c r="M130" s="41">
        <f t="shared" si="224"/>
        <v>0</v>
      </c>
      <c r="N130" s="41"/>
      <c r="O130" s="41"/>
      <c r="P130" s="6"/>
    </row>
    <row r="131" spans="1:16" ht="35.25" customHeight="1" x14ac:dyDescent="0.3">
      <c r="A131" s="44"/>
      <c r="B131" s="217" t="s">
        <v>427</v>
      </c>
      <c r="C131" s="217"/>
      <c r="D131" s="218"/>
      <c r="E131" s="231" t="s">
        <v>38</v>
      </c>
      <c r="F131" s="40"/>
      <c r="G131" s="41">
        <f>G132+G133+G134</f>
        <v>424.6</v>
      </c>
      <c r="H131" s="41">
        <f t="shared" ref="H131:I131" si="226">H132+H133+H134</f>
        <v>424.6</v>
      </c>
      <c r="I131" s="41">
        <f t="shared" si="226"/>
        <v>0</v>
      </c>
      <c r="J131" s="41">
        <f>J132+J133+J134</f>
        <v>374.00000000000006</v>
      </c>
      <c r="K131" s="41">
        <f t="shared" ref="K131:L131" si="227">K132+K133+K134</f>
        <v>374.00000000000006</v>
      </c>
      <c r="L131" s="41">
        <f t="shared" si="227"/>
        <v>0</v>
      </c>
      <c r="M131" s="41">
        <f>M132+M133+M134</f>
        <v>2000</v>
      </c>
      <c r="N131" s="41">
        <f t="shared" ref="N131:O131" si="228">N132+N133+N134</f>
        <v>2000</v>
      </c>
      <c r="O131" s="41">
        <f t="shared" si="228"/>
        <v>0</v>
      </c>
      <c r="P131" s="6"/>
    </row>
    <row r="132" spans="1:16" ht="35.25" customHeight="1" x14ac:dyDescent="0.3">
      <c r="A132" s="44"/>
      <c r="B132" s="217"/>
      <c r="C132" s="217"/>
      <c r="D132" s="218"/>
      <c r="E132" s="231"/>
      <c r="F132" s="40" t="s">
        <v>12</v>
      </c>
      <c r="G132" s="41">
        <f>H132+I132</f>
        <v>424.6</v>
      </c>
      <c r="H132" s="41">
        <v>424.6</v>
      </c>
      <c r="I132" s="41">
        <v>0</v>
      </c>
      <c r="J132" s="41">
        <f>K132+L132</f>
        <v>374.00000000000006</v>
      </c>
      <c r="K132" s="41">
        <f>735.2-361.2</f>
        <v>374.00000000000006</v>
      </c>
      <c r="L132" s="41">
        <v>0</v>
      </c>
      <c r="M132" s="41">
        <f>N132+O132</f>
        <v>2000</v>
      </c>
      <c r="N132" s="41">
        <f>772+1228</f>
        <v>2000</v>
      </c>
      <c r="O132" s="41">
        <v>0</v>
      </c>
      <c r="P132" s="6"/>
    </row>
    <row r="133" spans="1:16" ht="35.25" customHeight="1" x14ac:dyDescent="0.3">
      <c r="A133" s="44"/>
      <c r="B133" s="217"/>
      <c r="C133" s="217"/>
      <c r="D133" s="218"/>
      <c r="E133" s="231"/>
      <c r="F133" s="42" t="s">
        <v>13</v>
      </c>
      <c r="G133" s="41">
        <f t="shared" ref="G133:G134" si="229">H133+I133</f>
        <v>0</v>
      </c>
      <c r="H133" s="41"/>
      <c r="I133" s="41"/>
      <c r="J133" s="41">
        <f>K133+L133</f>
        <v>0</v>
      </c>
      <c r="K133" s="41"/>
      <c r="L133" s="41"/>
      <c r="M133" s="41">
        <f t="shared" ref="M133:M134" si="230">N133+O133</f>
        <v>0</v>
      </c>
      <c r="N133" s="41"/>
      <c r="O133" s="41"/>
      <c r="P133" s="6"/>
    </row>
    <row r="134" spans="1:16" ht="35.25" customHeight="1" x14ac:dyDescent="0.3">
      <c r="A134" s="44"/>
      <c r="B134" s="217"/>
      <c r="C134" s="217"/>
      <c r="D134" s="218"/>
      <c r="E134" s="231"/>
      <c r="F134" s="40" t="s">
        <v>14</v>
      </c>
      <c r="G134" s="41">
        <f t="shared" si="229"/>
        <v>0</v>
      </c>
      <c r="H134" s="41"/>
      <c r="I134" s="41"/>
      <c r="J134" s="41">
        <f t="shared" ref="J134" si="231">K134+L134</f>
        <v>0</v>
      </c>
      <c r="K134" s="41"/>
      <c r="L134" s="41"/>
      <c r="M134" s="41">
        <f t="shared" si="230"/>
        <v>0</v>
      </c>
      <c r="N134" s="41"/>
      <c r="O134" s="41"/>
      <c r="P134" s="6"/>
    </row>
    <row r="135" spans="1:16" ht="35.25" customHeight="1" x14ac:dyDescent="0.3">
      <c r="A135" s="44"/>
      <c r="B135" s="217" t="s">
        <v>428</v>
      </c>
      <c r="C135" s="217"/>
      <c r="D135" s="218"/>
      <c r="E135" s="231" t="s">
        <v>38</v>
      </c>
      <c r="F135" s="40"/>
      <c r="G135" s="41">
        <f>G136+G137+G138</f>
        <v>3361.2</v>
      </c>
      <c r="H135" s="41">
        <f t="shared" ref="H135:I135" si="232">H136+H137+H138</f>
        <v>0</v>
      </c>
      <c r="I135" s="41">
        <f t="shared" si="232"/>
        <v>3361.2</v>
      </c>
      <c r="J135" s="41">
        <f>J136+J137+J138</f>
        <v>0</v>
      </c>
      <c r="K135" s="41">
        <f t="shared" ref="K135:L135" si="233">K136+K137+K138</f>
        <v>0</v>
      </c>
      <c r="L135" s="41">
        <f t="shared" si="233"/>
        <v>0</v>
      </c>
      <c r="M135" s="41">
        <f>M136+M137+M138</f>
        <v>27000</v>
      </c>
      <c r="N135" s="41">
        <f t="shared" ref="N135:O135" si="234">N136+N137+N138</f>
        <v>0</v>
      </c>
      <c r="O135" s="41">
        <f t="shared" si="234"/>
        <v>27000</v>
      </c>
      <c r="P135" s="6"/>
    </row>
    <row r="136" spans="1:16" ht="35.25" customHeight="1" x14ac:dyDescent="0.3">
      <c r="A136" s="44"/>
      <c r="B136" s="217"/>
      <c r="C136" s="217"/>
      <c r="D136" s="218"/>
      <c r="E136" s="231"/>
      <c r="F136" s="40" t="s">
        <v>12</v>
      </c>
      <c r="G136" s="41">
        <f>H136+I136</f>
        <v>3361.2</v>
      </c>
      <c r="H136" s="41">
        <v>0</v>
      </c>
      <c r="I136" s="41">
        <v>3361.2</v>
      </c>
      <c r="J136" s="41">
        <f>K136+L136</f>
        <v>0</v>
      </c>
      <c r="K136" s="41">
        <v>0</v>
      </c>
      <c r="L136" s="41">
        <f>20530-20530</f>
        <v>0</v>
      </c>
      <c r="M136" s="41">
        <f>N136+O136</f>
        <v>27000</v>
      </c>
      <c r="N136" s="41">
        <v>0</v>
      </c>
      <c r="O136" s="41">
        <f>21056.5+5943.5</f>
        <v>27000</v>
      </c>
      <c r="P136" s="6"/>
    </row>
    <row r="137" spans="1:16" ht="35.25" customHeight="1" x14ac:dyDescent="0.3">
      <c r="A137" s="44"/>
      <c r="B137" s="217"/>
      <c r="C137" s="217"/>
      <c r="D137" s="218"/>
      <c r="E137" s="231"/>
      <c r="F137" s="42" t="s">
        <v>13</v>
      </c>
      <c r="G137" s="41">
        <f t="shared" ref="G137:G138" si="235">H137+I137</f>
        <v>0</v>
      </c>
      <c r="H137" s="41"/>
      <c r="I137" s="41"/>
      <c r="J137" s="41">
        <f>K137+L137</f>
        <v>0</v>
      </c>
      <c r="K137" s="41"/>
      <c r="L137" s="41"/>
      <c r="M137" s="41">
        <f t="shared" ref="M137:M138" si="236">N137+O137</f>
        <v>0</v>
      </c>
      <c r="N137" s="41"/>
      <c r="O137" s="41"/>
      <c r="P137" s="6"/>
    </row>
    <row r="138" spans="1:16" ht="35.25" customHeight="1" x14ac:dyDescent="0.3">
      <c r="A138" s="44"/>
      <c r="B138" s="217"/>
      <c r="C138" s="217"/>
      <c r="D138" s="218"/>
      <c r="E138" s="231"/>
      <c r="F138" s="40" t="s">
        <v>14</v>
      </c>
      <c r="G138" s="41">
        <f t="shared" si="235"/>
        <v>0</v>
      </c>
      <c r="H138" s="41"/>
      <c r="I138" s="41"/>
      <c r="J138" s="41">
        <f t="shared" ref="J138" si="237">K138+L138</f>
        <v>0</v>
      </c>
      <c r="K138" s="41"/>
      <c r="L138" s="41"/>
      <c r="M138" s="41">
        <f t="shared" si="236"/>
        <v>0</v>
      </c>
      <c r="N138" s="41"/>
      <c r="O138" s="41"/>
      <c r="P138" s="6"/>
    </row>
    <row r="139" spans="1:16" ht="35.25" customHeight="1" x14ac:dyDescent="0.3">
      <c r="A139" s="44"/>
      <c r="B139" s="221" t="s">
        <v>52</v>
      </c>
      <c r="C139" s="222"/>
      <c r="D139" s="241" t="s">
        <v>54</v>
      </c>
      <c r="E139" s="238" t="s">
        <v>38</v>
      </c>
      <c r="F139" s="33"/>
      <c r="G139" s="34">
        <f t="shared" ref="G139" si="238">G140+G141+G142</f>
        <v>17592.5</v>
      </c>
      <c r="H139" s="34">
        <f t="shared" ref="H139" si="239">H140+H141+H142</f>
        <v>17592.5</v>
      </c>
      <c r="I139" s="34">
        <f t="shared" ref="I139" si="240">I140+I141+I142</f>
        <v>0</v>
      </c>
      <c r="J139" s="34">
        <f t="shared" ref="J139" si="241">J140+J141+J142</f>
        <v>19393.7</v>
      </c>
      <c r="K139" s="34">
        <f t="shared" ref="K139" si="242">K140+K141+K142</f>
        <v>19393.7</v>
      </c>
      <c r="L139" s="34">
        <f t="shared" ref="L139" si="243">L140+L141+L142</f>
        <v>0</v>
      </c>
      <c r="M139" s="34">
        <f t="shared" ref="M139" si="244">M140+M141+M142</f>
        <v>31580.5</v>
      </c>
      <c r="N139" s="34">
        <f t="shared" ref="N139" si="245">N140+N141+N142</f>
        <v>31580.5</v>
      </c>
      <c r="O139" s="34">
        <f t="shared" ref="O139" si="246">O140+O141+O142</f>
        <v>0</v>
      </c>
      <c r="P139" s="6"/>
    </row>
    <row r="140" spans="1:16" ht="35.25" customHeight="1" x14ac:dyDescent="0.3">
      <c r="A140" s="44"/>
      <c r="B140" s="223"/>
      <c r="C140" s="224"/>
      <c r="D140" s="242"/>
      <c r="E140" s="239"/>
      <c r="F140" s="35" t="s">
        <v>12</v>
      </c>
      <c r="G140" s="17">
        <f>H140+I140</f>
        <v>17592.5</v>
      </c>
      <c r="H140" s="17">
        <f>H144+H148+H152+H156+H160+H164+H168</f>
        <v>17592.5</v>
      </c>
      <c r="I140" s="17">
        <f>I144+I148+I152+I156+I160+I164+I168</f>
        <v>0</v>
      </c>
      <c r="J140" s="17">
        <f>K140+L140</f>
        <v>19393.7</v>
      </c>
      <c r="K140" s="17">
        <f>K144+K148+K152+K156+K160+K164+K168</f>
        <v>19393.7</v>
      </c>
      <c r="L140" s="17">
        <f>L144+L148+L152+L156+L160+L164+L168</f>
        <v>0</v>
      </c>
      <c r="M140" s="17">
        <f>N140+O140</f>
        <v>31525.200000000001</v>
      </c>
      <c r="N140" s="17">
        <f>N144+N148+N152+N156+N160+N164+N168</f>
        <v>31525.200000000001</v>
      </c>
      <c r="O140" s="17">
        <f>O144+O148+O152+O156+O160+O164+O168</f>
        <v>0</v>
      </c>
      <c r="P140" s="6"/>
    </row>
    <row r="141" spans="1:16" ht="35.25" customHeight="1" x14ac:dyDescent="0.3">
      <c r="A141" s="44"/>
      <c r="B141" s="223"/>
      <c r="C141" s="224"/>
      <c r="D141" s="242"/>
      <c r="E141" s="239"/>
      <c r="F141" s="36" t="s">
        <v>13</v>
      </c>
      <c r="G141" s="17">
        <f t="shared" ref="G141:G142" si="247">H141+I141</f>
        <v>0</v>
      </c>
      <c r="H141" s="17">
        <f t="shared" ref="H141:I141" si="248">H145+H149+H153+H157+H161+H165+H169</f>
        <v>0</v>
      </c>
      <c r="I141" s="17">
        <f t="shared" si="248"/>
        <v>0</v>
      </c>
      <c r="J141" s="17">
        <f t="shared" ref="J141:J142" si="249">K141+L141</f>
        <v>0</v>
      </c>
      <c r="K141" s="17">
        <f t="shared" ref="K141:L141" si="250">K145+K149+K153+K157+K161+K165+K169</f>
        <v>0</v>
      </c>
      <c r="L141" s="17">
        <f t="shared" si="250"/>
        <v>0</v>
      </c>
      <c r="M141" s="17">
        <f t="shared" ref="M141:M142" si="251">N141+O141</f>
        <v>0</v>
      </c>
      <c r="N141" s="17">
        <f t="shared" ref="N141:O141" si="252">N145+N149+N153+N157+N161+N165+N169</f>
        <v>0</v>
      </c>
      <c r="O141" s="17">
        <f t="shared" si="252"/>
        <v>0</v>
      </c>
      <c r="P141" s="6"/>
    </row>
    <row r="142" spans="1:16" ht="35.25" customHeight="1" x14ac:dyDescent="0.3">
      <c r="A142" s="44"/>
      <c r="B142" s="225"/>
      <c r="C142" s="226"/>
      <c r="D142" s="243"/>
      <c r="E142" s="240"/>
      <c r="F142" s="35" t="s">
        <v>14</v>
      </c>
      <c r="G142" s="17">
        <f t="shared" si="247"/>
        <v>0</v>
      </c>
      <c r="H142" s="17">
        <f t="shared" ref="H142:I142" si="253">H146+H150+H154+H158+H162+H166+H170</f>
        <v>0</v>
      </c>
      <c r="I142" s="17">
        <f t="shared" si="253"/>
        <v>0</v>
      </c>
      <c r="J142" s="17">
        <f t="shared" si="249"/>
        <v>0</v>
      </c>
      <c r="K142" s="17">
        <f t="shared" ref="K142:L142" si="254">K146+K150+K154+K158+K162+K166+K170</f>
        <v>0</v>
      </c>
      <c r="L142" s="17">
        <f t="shared" si="254"/>
        <v>0</v>
      </c>
      <c r="M142" s="17">
        <f t="shared" si="251"/>
        <v>55.3</v>
      </c>
      <c r="N142" s="17">
        <f>N146+N150+N154+N158+N162+N166+N170</f>
        <v>55.3</v>
      </c>
      <c r="O142" s="17">
        <f t="shared" ref="O142" si="255">O146+O150+O154+O158+O162+O166+O170</f>
        <v>0</v>
      </c>
      <c r="P142" s="6"/>
    </row>
    <row r="143" spans="1:16" ht="35.25" customHeight="1" x14ac:dyDescent="0.3">
      <c r="A143" s="44"/>
      <c r="B143" s="254" t="s">
        <v>55</v>
      </c>
      <c r="C143" s="255"/>
      <c r="D143" s="269"/>
      <c r="E143" s="251" t="s">
        <v>38</v>
      </c>
      <c r="F143" s="38"/>
      <c r="G143" s="39">
        <f>G144+G145+G146</f>
        <v>10689</v>
      </c>
      <c r="H143" s="39">
        <f t="shared" ref="H143:I143" si="256">H144+H145+H146</f>
        <v>10689</v>
      </c>
      <c r="I143" s="39">
        <f t="shared" si="256"/>
        <v>0</v>
      </c>
      <c r="J143" s="39">
        <f>J144+J145+J146</f>
        <v>13000</v>
      </c>
      <c r="K143" s="39">
        <f t="shared" ref="K143:L143" si="257">K144+K145+K146</f>
        <v>13000</v>
      </c>
      <c r="L143" s="39">
        <f t="shared" si="257"/>
        <v>0</v>
      </c>
      <c r="M143" s="39">
        <f>M144+M145+M146</f>
        <v>18307</v>
      </c>
      <c r="N143" s="39">
        <f t="shared" ref="N143:O143" si="258">N144+N145+N146</f>
        <v>18307</v>
      </c>
      <c r="O143" s="39">
        <f t="shared" si="258"/>
        <v>0</v>
      </c>
      <c r="P143" s="6"/>
    </row>
    <row r="144" spans="1:16" ht="35.25" customHeight="1" x14ac:dyDescent="0.3">
      <c r="A144" s="44"/>
      <c r="B144" s="256"/>
      <c r="C144" s="257"/>
      <c r="D144" s="270"/>
      <c r="E144" s="252"/>
      <c r="F144" s="40" t="s">
        <v>12</v>
      </c>
      <c r="G144" s="41">
        <f>H144+I144</f>
        <v>10689</v>
      </c>
      <c r="H144" s="39">
        <v>10689</v>
      </c>
      <c r="I144" s="39">
        <v>0</v>
      </c>
      <c r="J144" s="41">
        <f>K144+L144</f>
        <v>13000</v>
      </c>
      <c r="K144" s="39">
        <f>17435-4435</f>
        <v>13000</v>
      </c>
      <c r="L144" s="39">
        <v>0</v>
      </c>
      <c r="M144" s="41">
        <f>N144+O144</f>
        <v>18307</v>
      </c>
      <c r="N144" s="39">
        <v>18307</v>
      </c>
      <c r="O144" s="39">
        <v>0</v>
      </c>
      <c r="P144" s="6"/>
    </row>
    <row r="145" spans="1:16" ht="35.25" customHeight="1" x14ac:dyDescent="0.3">
      <c r="A145" s="44"/>
      <c r="B145" s="256"/>
      <c r="C145" s="257"/>
      <c r="D145" s="270"/>
      <c r="E145" s="252"/>
      <c r="F145" s="42" t="s">
        <v>13</v>
      </c>
      <c r="G145" s="41">
        <f t="shared" ref="G145:G146" si="259">H145+I145</f>
        <v>0</v>
      </c>
      <c r="H145" s="39"/>
      <c r="I145" s="39">
        <v>0</v>
      </c>
      <c r="J145" s="41">
        <f>K145+L145</f>
        <v>0</v>
      </c>
      <c r="K145" s="39"/>
      <c r="L145" s="39"/>
      <c r="M145" s="41">
        <f t="shared" ref="M145:M146" si="260">N145+O145</f>
        <v>0</v>
      </c>
      <c r="N145" s="39"/>
      <c r="O145" s="39"/>
      <c r="P145" s="6"/>
    </row>
    <row r="146" spans="1:16" ht="35.25" customHeight="1" x14ac:dyDescent="0.3">
      <c r="A146" s="44"/>
      <c r="B146" s="258"/>
      <c r="C146" s="259"/>
      <c r="D146" s="271"/>
      <c r="E146" s="253"/>
      <c r="F146" s="40" t="s">
        <v>14</v>
      </c>
      <c r="G146" s="41">
        <f t="shared" si="259"/>
        <v>0</v>
      </c>
      <c r="H146" s="39"/>
      <c r="I146" s="39"/>
      <c r="J146" s="41">
        <f t="shared" ref="J146" si="261">K146+L146</f>
        <v>0</v>
      </c>
      <c r="K146" s="39"/>
      <c r="L146" s="39"/>
      <c r="M146" s="41">
        <f t="shared" si="260"/>
        <v>0</v>
      </c>
      <c r="N146" s="39"/>
      <c r="O146" s="39"/>
      <c r="P146" s="6"/>
    </row>
    <row r="147" spans="1:16" ht="35.25" customHeight="1" x14ac:dyDescent="0.3">
      <c r="A147" s="44"/>
      <c r="B147" s="217" t="s">
        <v>56</v>
      </c>
      <c r="C147" s="217"/>
      <c r="D147" s="218"/>
      <c r="E147" s="231" t="s">
        <v>38</v>
      </c>
      <c r="F147" s="40"/>
      <c r="G147" s="41">
        <f>G148+G149+G150</f>
        <v>1905.3</v>
      </c>
      <c r="H147" s="41">
        <f t="shared" ref="H147:I147" si="262">H148+H149+H150</f>
        <v>1905.3</v>
      </c>
      <c r="I147" s="41">
        <f t="shared" si="262"/>
        <v>0</v>
      </c>
      <c r="J147" s="41">
        <f>J148+J149+J150</f>
        <v>1300</v>
      </c>
      <c r="K147" s="41">
        <f t="shared" ref="K147:L147" si="263">K148+K149+K150</f>
        <v>1300</v>
      </c>
      <c r="L147" s="41">
        <f t="shared" si="263"/>
        <v>0</v>
      </c>
      <c r="M147" s="41">
        <f>M148+M149+M150</f>
        <v>5655</v>
      </c>
      <c r="N147" s="41">
        <f t="shared" ref="N147:O147" si="264">N148+N149+N150</f>
        <v>5655</v>
      </c>
      <c r="O147" s="41">
        <f t="shared" si="264"/>
        <v>0</v>
      </c>
      <c r="P147" s="6"/>
    </row>
    <row r="148" spans="1:16" ht="35.25" customHeight="1" x14ac:dyDescent="0.3">
      <c r="A148" s="44"/>
      <c r="B148" s="217"/>
      <c r="C148" s="217"/>
      <c r="D148" s="218"/>
      <c r="E148" s="231"/>
      <c r="F148" s="40" t="s">
        <v>12</v>
      </c>
      <c r="G148" s="41">
        <f>H148+I148</f>
        <v>1905.3</v>
      </c>
      <c r="H148" s="41">
        <v>1905.3</v>
      </c>
      <c r="I148" s="41">
        <v>0</v>
      </c>
      <c r="J148" s="41">
        <f>K148+L148</f>
        <v>1300</v>
      </c>
      <c r="K148" s="41">
        <f>5385.7-4085.7</f>
        <v>1300</v>
      </c>
      <c r="L148" s="41">
        <v>0</v>
      </c>
      <c r="M148" s="41">
        <f>N148+O148</f>
        <v>5655</v>
      </c>
      <c r="N148" s="41">
        <v>5655</v>
      </c>
      <c r="O148" s="41">
        <v>0</v>
      </c>
      <c r="P148" s="6"/>
    </row>
    <row r="149" spans="1:16" ht="35.25" customHeight="1" x14ac:dyDescent="0.3">
      <c r="A149" s="44"/>
      <c r="B149" s="217"/>
      <c r="C149" s="217"/>
      <c r="D149" s="218"/>
      <c r="E149" s="231"/>
      <c r="F149" s="42" t="s">
        <v>13</v>
      </c>
      <c r="G149" s="41">
        <f t="shared" ref="G149:G150" si="265">H149+I149</f>
        <v>0</v>
      </c>
      <c r="H149" s="41"/>
      <c r="I149" s="41"/>
      <c r="J149" s="41">
        <f>K149+L149</f>
        <v>0</v>
      </c>
      <c r="K149" s="41"/>
      <c r="L149" s="41"/>
      <c r="M149" s="41">
        <f t="shared" ref="M149:M150" si="266">N149+O149</f>
        <v>0</v>
      </c>
      <c r="N149" s="41"/>
      <c r="O149" s="41"/>
      <c r="P149" s="6"/>
    </row>
    <row r="150" spans="1:16" ht="35.25" customHeight="1" x14ac:dyDescent="0.3">
      <c r="A150" s="44"/>
      <c r="B150" s="217"/>
      <c r="C150" s="217"/>
      <c r="D150" s="218"/>
      <c r="E150" s="231"/>
      <c r="F150" s="40" t="s">
        <v>14</v>
      </c>
      <c r="G150" s="41">
        <f t="shared" si="265"/>
        <v>0</v>
      </c>
      <c r="H150" s="41"/>
      <c r="I150" s="41"/>
      <c r="J150" s="41">
        <f t="shared" ref="J150" si="267">K150+L150</f>
        <v>0</v>
      </c>
      <c r="K150" s="41"/>
      <c r="L150" s="41"/>
      <c r="M150" s="41">
        <f t="shared" si="266"/>
        <v>0</v>
      </c>
      <c r="N150" s="41"/>
      <c r="O150" s="41"/>
      <c r="P150" s="6"/>
    </row>
    <row r="151" spans="1:16" ht="35.25" customHeight="1" x14ac:dyDescent="0.3">
      <c r="A151" s="44"/>
      <c r="B151" s="217" t="s">
        <v>57</v>
      </c>
      <c r="C151" s="217"/>
      <c r="D151" s="218"/>
      <c r="E151" s="231" t="s">
        <v>38</v>
      </c>
      <c r="F151" s="40"/>
      <c r="G151" s="41">
        <f>G152+G153+G154</f>
        <v>4600</v>
      </c>
      <c r="H151" s="41">
        <f t="shared" ref="H151:I151" si="268">H152+H153+H154</f>
        <v>4600</v>
      </c>
      <c r="I151" s="41">
        <f t="shared" si="268"/>
        <v>0</v>
      </c>
      <c r="J151" s="41">
        <f>J152+J153+J154</f>
        <v>4800</v>
      </c>
      <c r="K151" s="41">
        <f t="shared" ref="K151:L151" si="269">K152+K153+K154</f>
        <v>4800</v>
      </c>
      <c r="L151" s="41">
        <f t="shared" si="269"/>
        <v>0</v>
      </c>
      <c r="M151" s="41">
        <f>M152+M153+M154</f>
        <v>6960</v>
      </c>
      <c r="N151" s="41">
        <f t="shared" ref="N151:O151" si="270">N152+N153+N154</f>
        <v>6960</v>
      </c>
      <c r="O151" s="41">
        <f t="shared" si="270"/>
        <v>0</v>
      </c>
      <c r="P151" s="6"/>
    </row>
    <row r="152" spans="1:16" ht="35.25" customHeight="1" x14ac:dyDescent="0.3">
      <c r="A152" s="44"/>
      <c r="B152" s="217"/>
      <c r="C152" s="217"/>
      <c r="D152" s="218"/>
      <c r="E152" s="231"/>
      <c r="F152" s="40" t="s">
        <v>12</v>
      </c>
      <c r="G152" s="41">
        <f>H152+I152</f>
        <v>4600</v>
      </c>
      <c r="H152" s="41">
        <v>4600</v>
      </c>
      <c r="I152" s="41">
        <v>0</v>
      </c>
      <c r="J152" s="41">
        <f>K152+L152</f>
        <v>4800</v>
      </c>
      <c r="K152" s="41">
        <f>6628.3-1828.3</f>
        <v>4800</v>
      </c>
      <c r="L152" s="41">
        <v>0</v>
      </c>
      <c r="M152" s="41">
        <f>N152+O152</f>
        <v>6960</v>
      </c>
      <c r="N152" s="41">
        <v>6960</v>
      </c>
      <c r="O152" s="41">
        <v>0</v>
      </c>
      <c r="P152" s="6"/>
    </row>
    <row r="153" spans="1:16" ht="35.25" customHeight="1" x14ac:dyDescent="0.3">
      <c r="A153" s="44"/>
      <c r="B153" s="217"/>
      <c r="C153" s="217"/>
      <c r="D153" s="218"/>
      <c r="E153" s="231"/>
      <c r="F153" s="42" t="s">
        <v>13</v>
      </c>
      <c r="G153" s="41">
        <f t="shared" ref="G153:G154" si="271">H153+I153</f>
        <v>0</v>
      </c>
      <c r="H153" s="41"/>
      <c r="I153" s="41"/>
      <c r="J153" s="41">
        <f>K153+L153</f>
        <v>0</v>
      </c>
      <c r="K153" s="41"/>
      <c r="L153" s="41"/>
      <c r="M153" s="41">
        <f t="shared" ref="M153:M154" si="272">N153+O153</f>
        <v>0</v>
      </c>
      <c r="N153" s="41"/>
      <c r="O153" s="41"/>
      <c r="P153" s="6"/>
    </row>
    <row r="154" spans="1:16" ht="35.25" customHeight="1" x14ac:dyDescent="0.3">
      <c r="A154" s="44"/>
      <c r="B154" s="217"/>
      <c r="C154" s="217"/>
      <c r="D154" s="218"/>
      <c r="E154" s="231"/>
      <c r="F154" s="40" t="s">
        <v>14</v>
      </c>
      <c r="G154" s="41">
        <f t="shared" si="271"/>
        <v>0</v>
      </c>
      <c r="H154" s="41"/>
      <c r="I154" s="41"/>
      <c r="J154" s="41">
        <f t="shared" ref="J154" si="273">K154+L154</f>
        <v>0</v>
      </c>
      <c r="K154" s="41"/>
      <c r="L154" s="41"/>
      <c r="M154" s="41">
        <f t="shared" si="272"/>
        <v>0</v>
      </c>
      <c r="N154" s="41"/>
      <c r="O154" s="41"/>
      <c r="P154" s="6"/>
    </row>
    <row r="155" spans="1:16" ht="35.25" customHeight="1" x14ac:dyDescent="0.3">
      <c r="A155" s="44"/>
      <c r="B155" s="254" t="s">
        <v>58</v>
      </c>
      <c r="C155" s="255"/>
      <c r="D155" s="269"/>
      <c r="E155" s="251" t="s">
        <v>38</v>
      </c>
      <c r="F155" s="38"/>
      <c r="G155" s="39">
        <f>G156+G157+G158</f>
        <v>193.2</v>
      </c>
      <c r="H155" s="39">
        <f t="shared" ref="H155:I155" si="274">H156+H157+H158</f>
        <v>193.2</v>
      </c>
      <c r="I155" s="39">
        <f t="shared" si="274"/>
        <v>0</v>
      </c>
      <c r="J155" s="39">
        <f>J156+J157+J158</f>
        <v>253.7</v>
      </c>
      <c r="K155" s="39">
        <f t="shared" ref="K155:L155" si="275">K156+K157+K158</f>
        <v>253.7</v>
      </c>
      <c r="L155" s="39">
        <f t="shared" si="275"/>
        <v>0</v>
      </c>
      <c r="M155" s="39">
        <f>M156+M157+M158</f>
        <v>476.7</v>
      </c>
      <c r="N155" s="39">
        <f t="shared" ref="N155:O155" si="276">N156+N157+N158</f>
        <v>476.7</v>
      </c>
      <c r="O155" s="39">
        <f t="shared" si="276"/>
        <v>0</v>
      </c>
      <c r="P155" s="6"/>
    </row>
    <row r="156" spans="1:16" ht="35.25" customHeight="1" x14ac:dyDescent="0.3">
      <c r="A156" s="44"/>
      <c r="B156" s="256"/>
      <c r="C156" s="257"/>
      <c r="D156" s="270"/>
      <c r="E156" s="252"/>
      <c r="F156" s="40" t="s">
        <v>12</v>
      </c>
      <c r="G156" s="41">
        <f>H156+I156</f>
        <v>193.2</v>
      </c>
      <c r="H156" s="39">
        <v>193.2</v>
      </c>
      <c r="I156" s="39">
        <v>0</v>
      </c>
      <c r="J156" s="41">
        <f>K156+L156</f>
        <v>253.7</v>
      </c>
      <c r="K156" s="39">
        <f>454-232.5+32.2</f>
        <v>253.7</v>
      </c>
      <c r="L156" s="39">
        <v>0</v>
      </c>
      <c r="M156" s="41">
        <f>N156+O156</f>
        <v>476.7</v>
      </c>
      <c r="N156" s="39">
        <v>476.7</v>
      </c>
      <c r="O156" s="39">
        <v>0</v>
      </c>
      <c r="P156" s="6"/>
    </row>
    <row r="157" spans="1:16" ht="35.25" customHeight="1" x14ac:dyDescent="0.3">
      <c r="A157" s="44"/>
      <c r="B157" s="256"/>
      <c r="C157" s="257"/>
      <c r="D157" s="270"/>
      <c r="E157" s="252"/>
      <c r="F157" s="42" t="s">
        <v>13</v>
      </c>
      <c r="G157" s="41">
        <f t="shared" ref="G157:G158" si="277">H157+I157</f>
        <v>0</v>
      </c>
      <c r="H157" s="39"/>
      <c r="I157" s="39"/>
      <c r="J157" s="41">
        <f>K157+L157</f>
        <v>0</v>
      </c>
      <c r="K157" s="39"/>
      <c r="L157" s="39"/>
      <c r="M157" s="41">
        <f t="shared" ref="M157:M158" si="278">N157+O157</f>
        <v>0</v>
      </c>
      <c r="N157" s="39"/>
      <c r="O157" s="39"/>
      <c r="P157" s="6"/>
    </row>
    <row r="158" spans="1:16" ht="35.25" customHeight="1" x14ac:dyDescent="0.3">
      <c r="A158" s="44"/>
      <c r="B158" s="258"/>
      <c r="C158" s="259"/>
      <c r="D158" s="271"/>
      <c r="E158" s="253"/>
      <c r="F158" s="40" t="s">
        <v>14</v>
      </c>
      <c r="G158" s="41">
        <f t="shared" si="277"/>
        <v>0</v>
      </c>
      <c r="H158" s="39"/>
      <c r="I158" s="39"/>
      <c r="J158" s="41">
        <f t="shared" ref="J158" si="279">K158+L158</f>
        <v>0</v>
      </c>
      <c r="K158" s="39"/>
      <c r="L158" s="39"/>
      <c r="M158" s="41">
        <f t="shared" si="278"/>
        <v>0</v>
      </c>
      <c r="N158" s="39"/>
      <c r="O158" s="39"/>
      <c r="P158" s="6"/>
    </row>
    <row r="159" spans="1:16" ht="35.25" customHeight="1" x14ac:dyDescent="0.3">
      <c r="A159" s="44"/>
      <c r="B159" s="217" t="s">
        <v>59</v>
      </c>
      <c r="C159" s="217"/>
      <c r="D159" s="218"/>
      <c r="E159" s="231" t="s">
        <v>38</v>
      </c>
      <c r="F159" s="40"/>
      <c r="G159" s="41">
        <f>G160+G161+G162</f>
        <v>55</v>
      </c>
      <c r="H159" s="41">
        <f t="shared" ref="H159:I159" si="280">H160+H161+H162</f>
        <v>55</v>
      </c>
      <c r="I159" s="41">
        <f t="shared" si="280"/>
        <v>0</v>
      </c>
      <c r="J159" s="41">
        <f>J160+J161+J162</f>
        <v>40</v>
      </c>
      <c r="K159" s="41">
        <f t="shared" ref="K159:L159" si="281">K160+K161+K162</f>
        <v>40</v>
      </c>
      <c r="L159" s="41">
        <f t="shared" si="281"/>
        <v>0</v>
      </c>
      <c r="M159" s="41">
        <f>M160+M161+M162</f>
        <v>71.2</v>
      </c>
      <c r="N159" s="41">
        <f t="shared" ref="N159:O159" si="282">N160+N161+N162</f>
        <v>71.2</v>
      </c>
      <c r="O159" s="41">
        <f t="shared" si="282"/>
        <v>0</v>
      </c>
      <c r="P159" s="6"/>
    </row>
    <row r="160" spans="1:16" ht="35.25" customHeight="1" x14ac:dyDescent="0.3">
      <c r="A160" s="44"/>
      <c r="B160" s="217"/>
      <c r="C160" s="217"/>
      <c r="D160" s="218"/>
      <c r="E160" s="231"/>
      <c r="F160" s="40" t="s">
        <v>12</v>
      </c>
      <c r="G160" s="41">
        <f>H160+I160</f>
        <v>55</v>
      </c>
      <c r="H160" s="41">
        <v>55</v>
      </c>
      <c r="I160" s="41">
        <v>0</v>
      </c>
      <c r="J160" s="41">
        <f>K160+L160</f>
        <v>40</v>
      </c>
      <c r="K160" s="41">
        <f>67.8-27.8</f>
        <v>40</v>
      </c>
      <c r="L160" s="41">
        <v>0</v>
      </c>
      <c r="M160" s="41">
        <f>N160+O160</f>
        <v>71.2</v>
      </c>
      <c r="N160" s="41">
        <v>71.2</v>
      </c>
      <c r="O160" s="41">
        <v>0</v>
      </c>
      <c r="P160" s="6"/>
    </row>
    <row r="161" spans="1:16" ht="35.25" customHeight="1" x14ac:dyDescent="0.3">
      <c r="A161" s="44"/>
      <c r="B161" s="217"/>
      <c r="C161" s="217"/>
      <c r="D161" s="218"/>
      <c r="E161" s="231"/>
      <c r="F161" s="42" t="s">
        <v>13</v>
      </c>
      <c r="G161" s="41">
        <f t="shared" ref="G161:G162" si="283">H161+I161</f>
        <v>0</v>
      </c>
      <c r="H161" s="41"/>
      <c r="I161" s="41"/>
      <c r="J161" s="41">
        <f>K161+L161</f>
        <v>0</v>
      </c>
      <c r="K161" s="41"/>
      <c r="L161" s="41"/>
      <c r="M161" s="41">
        <f t="shared" ref="M161:M162" si="284">N161+O161</f>
        <v>0</v>
      </c>
      <c r="N161" s="41"/>
      <c r="O161" s="41"/>
      <c r="P161" s="6"/>
    </row>
    <row r="162" spans="1:16" ht="35.25" customHeight="1" x14ac:dyDescent="0.3">
      <c r="A162" s="44"/>
      <c r="B162" s="217"/>
      <c r="C162" s="217"/>
      <c r="D162" s="218"/>
      <c r="E162" s="231"/>
      <c r="F162" s="40" t="s">
        <v>14</v>
      </c>
      <c r="G162" s="41">
        <f t="shared" si="283"/>
        <v>0</v>
      </c>
      <c r="H162" s="41"/>
      <c r="I162" s="41"/>
      <c r="J162" s="41">
        <f t="shared" ref="J162" si="285">K162+L162</f>
        <v>0</v>
      </c>
      <c r="K162" s="41"/>
      <c r="L162" s="41"/>
      <c r="M162" s="41">
        <f t="shared" si="284"/>
        <v>0</v>
      </c>
      <c r="N162" s="41"/>
      <c r="O162" s="41"/>
      <c r="P162" s="6"/>
    </row>
    <row r="163" spans="1:16" ht="35.25" customHeight="1" x14ac:dyDescent="0.3">
      <c r="A163" s="44"/>
      <c r="B163" s="217" t="s">
        <v>60</v>
      </c>
      <c r="C163" s="217"/>
      <c r="D163" s="218"/>
      <c r="E163" s="231" t="s">
        <v>38</v>
      </c>
      <c r="F163" s="40"/>
      <c r="G163" s="41">
        <f>G164+G165+G166</f>
        <v>150</v>
      </c>
      <c r="H163" s="41">
        <f t="shared" ref="H163:I163" si="286">H164+H165+H166</f>
        <v>150</v>
      </c>
      <c r="I163" s="41">
        <f t="shared" si="286"/>
        <v>0</v>
      </c>
      <c r="J163" s="41">
        <f>J164+J165+J166</f>
        <v>0</v>
      </c>
      <c r="K163" s="41">
        <f t="shared" ref="K163:L163" si="287">K164+K165+K166</f>
        <v>0</v>
      </c>
      <c r="L163" s="41">
        <f t="shared" si="287"/>
        <v>0</v>
      </c>
      <c r="M163" s="41">
        <f>M164+M165+M166</f>
        <v>0</v>
      </c>
      <c r="N163" s="41">
        <f t="shared" ref="N163:O163" si="288">N164+N165+N166</f>
        <v>0</v>
      </c>
      <c r="O163" s="41">
        <f t="shared" si="288"/>
        <v>0</v>
      </c>
      <c r="P163" s="6"/>
    </row>
    <row r="164" spans="1:16" ht="35.25" customHeight="1" x14ac:dyDescent="0.3">
      <c r="A164" s="44"/>
      <c r="B164" s="217"/>
      <c r="C164" s="217"/>
      <c r="D164" s="218"/>
      <c r="E164" s="231"/>
      <c r="F164" s="40" t="s">
        <v>12</v>
      </c>
      <c r="G164" s="41">
        <f>H164+I164</f>
        <v>150</v>
      </c>
      <c r="H164" s="41">
        <v>150</v>
      </c>
      <c r="I164" s="41">
        <v>0</v>
      </c>
      <c r="J164" s="41">
        <f>K164+L164</f>
        <v>0</v>
      </c>
      <c r="K164" s="41">
        <v>0</v>
      </c>
      <c r="L164" s="41">
        <v>0</v>
      </c>
      <c r="M164" s="41">
        <f>N164+O164</f>
        <v>0</v>
      </c>
      <c r="N164" s="41">
        <v>0</v>
      </c>
      <c r="O164" s="41">
        <v>0</v>
      </c>
      <c r="P164" s="6"/>
    </row>
    <row r="165" spans="1:16" ht="35.25" customHeight="1" x14ac:dyDescent="0.3">
      <c r="A165" s="44"/>
      <c r="B165" s="217"/>
      <c r="C165" s="217"/>
      <c r="D165" s="218"/>
      <c r="E165" s="231"/>
      <c r="F165" s="42" t="s">
        <v>13</v>
      </c>
      <c r="G165" s="41">
        <f t="shared" ref="G165:G166" si="289">H165+I165</f>
        <v>0</v>
      </c>
      <c r="H165" s="41"/>
      <c r="I165" s="41"/>
      <c r="J165" s="41">
        <f>K165+L165</f>
        <v>0</v>
      </c>
      <c r="K165" s="41"/>
      <c r="L165" s="41"/>
      <c r="M165" s="41">
        <f t="shared" ref="M165:M166" si="290">N165+O165</f>
        <v>0</v>
      </c>
      <c r="N165" s="41"/>
      <c r="O165" s="41"/>
      <c r="P165" s="6"/>
    </row>
    <row r="166" spans="1:16" ht="35.25" customHeight="1" x14ac:dyDescent="0.3">
      <c r="A166" s="44"/>
      <c r="B166" s="217"/>
      <c r="C166" s="217"/>
      <c r="D166" s="218"/>
      <c r="E166" s="231"/>
      <c r="F166" s="40" t="s">
        <v>14</v>
      </c>
      <c r="G166" s="41">
        <f t="shared" si="289"/>
        <v>0</v>
      </c>
      <c r="H166" s="41"/>
      <c r="I166" s="41"/>
      <c r="J166" s="41">
        <f t="shared" ref="J166" si="291">K166+L166</f>
        <v>0</v>
      </c>
      <c r="K166" s="41"/>
      <c r="L166" s="41"/>
      <c r="M166" s="41">
        <f t="shared" si="290"/>
        <v>0</v>
      </c>
      <c r="N166" s="41"/>
      <c r="O166" s="41"/>
      <c r="P166" s="6"/>
    </row>
    <row r="167" spans="1:16" ht="35.25" customHeight="1" x14ac:dyDescent="0.3">
      <c r="A167" s="44"/>
      <c r="B167" s="217" t="s">
        <v>61</v>
      </c>
      <c r="C167" s="217"/>
      <c r="D167" s="218"/>
      <c r="E167" s="231" t="s">
        <v>38</v>
      </c>
      <c r="F167" s="40"/>
      <c r="G167" s="41">
        <f>G168+G169+G170</f>
        <v>0</v>
      </c>
      <c r="H167" s="41">
        <f t="shared" ref="H167:I167" si="292">H168+H169+H170</f>
        <v>0</v>
      </c>
      <c r="I167" s="41">
        <f t="shared" si="292"/>
        <v>0</v>
      </c>
      <c r="J167" s="41">
        <f>J168+J169+J170</f>
        <v>0</v>
      </c>
      <c r="K167" s="41">
        <f t="shared" ref="K167:L167" si="293">K168+K169+K170</f>
        <v>0</v>
      </c>
      <c r="L167" s="41">
        <f t="shared" si="293"/>
        <v>0</v>
      </c>
      <c r="M167" s="41">
        <f>M168+M169+M170</f>
        <v>110.6</v>
      </c>
      <c r="N167" s="41">
        <f t="shared" ref="N167:O167" si="294">N168+N169+N170</f>
        <v>110.6</v>
      </c>
      <c r="O167" s="41">
        <f t="shared" si="294"/>
        <v>0</v>
      </c>
      <c r="P167" s="6"/>
    </row>
    <row r="168" spans="1:16" ht="35.25" customHeight="1" x14ac:dyDescent="0.3">
      <c r="A168" s="44"/>
      <c r="B168" s="217"/>
      <c r="C168" s="217"/>
      <c r="D168" s="218"/>
      <c r="E168" s="231"/>
      <c r="F168" s="40" t="s">
        <v>12</v>
      </c>
      <c r="G168" s="41">
        <f>H168+I168</f>
        <v>0</v>
      </c>
      <c r="H168" s="41">
        <v>0</v>
      </c>
      <c r="I168" s="41">
        <v>0</v>
      </c>
      <c r="J168" s="41">
        <f>K168+L168</f>
        <v>0</v>
      </c>
      <c r="K168" s="41">
        <f>52.6-52.6</f>
        <v>0</v>
      </c>
      <c r="L168" s="41">
        <v>0</v>
      </c>
      <c r="M168" s="41">
        <f>N168+O168</f>
        <v>55.3</v>
      </c>
      <c r="N168" s="41">
        <v>55.3</v>
      </c>
      <c r="O168" s="41">
        <v>0</v>
      </c>
      <c r="P168" s="6"/>
    </row>
    <row r="169" spans="1:16" ht="35.25" customHeight="1" x14ac:dyDescent="0.3">
      <c r="A169" s="44"/>
      <c r="B169" s="217"/>
      <c r="C169" s="217"/>
      <c r="D169" s="218"/>
      <c r="E169" s="231"/>
      <c r="F169" s="42" t="s">
        <v>13</v>
      </c>
      <c r="G169" s="41">
        <f t="shared" ref="G169:G170" si="295">H169+I169</f>
        <v>0</v>
      </c>
      <c r="H169" s="41"/>
      <c r="I169" s="41"/>
      <c r="J169" s="41">
        <f>K169+L169</f>
        <v>0</v>
      </c>
      <c r="K169" s="41"/>
      <c r="L169" s="41"/>
      <c r="M169" s="41">
        <f t="shared" ref="M169:M170" si="296">N169+O169</f>
        <v>0</v>
      </c>
      <c r="N169" s="41"/>
      <c r="O169" s="41"/>
      <c r="P169" s="6"/>
    </row>
    <row r="170" spans="1:16" ht="35.25" customHeight="1" x14ac:dyDescent="0.3">
      <c r="A170" s="44"/>
      <c r="B170" s="217"/>
      <c r="C170" s="217"/>
      <c r="D170" s="218"/>
      <c r="E170" s="231"/>
      <c r="F170" s="40" t="s">
        <v>14</v>
      </c>
      <c r="G170" s="41">
        <f t="shared" si="295"/>
        <v>0</v>
      </c>
      <c r="H170" s="41">
        <v>0</v>
      </c>
      <c r="I170" s="41"/>
      <c r="J170" s="41">
        <f t="shared" ref="J170" si="297">K170+L170</f>
        <v>0</v>
      </c>
      <c r="K170" s="41">
        <f>52.6-52.6</f>
        <v>0</v>
      </c>
      <c r="L170" s="41"/>
      <c r="M170" s="41">
        <f t="shared" si="296"/>
        <v>55.3</v>
      </c>
      <c r="N170" s="41">
        <v>55.3</v>
      </c>
      <c r="O170" s="41"/>
      <c r="P170" s="6"/>
    </row>
    <row r="171" spans="1:16" ht="35.25" customHeight="1" x14ac:dyDescent="0.3">
      <c r="A171" s="44"/>
      <c r="B171" s="221" t="s">
        <v>62</v>
      </c>
      <c r="C171" s="222"/>
      <c r="D171" s="241" t="s">
        <v>70</v>
      </c>
      <c r="E171" s="238" t="s">
        <v>38</v>
      </c>
      <c r="F171" s="33"/>
      <c r="G171" s="34">
        <f t="shared" ref="G171:O171" si="298">G172+G173+G174</f>
        <v>7430</v>
      </c>
      <c r="H171" s="34">
        <f t="shared" si="298"/>
        <v>7430</v>
      </c>
      <c r="I171" s="34">
        <f t="shared" si="298"/>
        <v>0</v>
      </c>
      <c r="J171" s="34">
        <f t="shared" si="298"/>
        <v>6769.3</v>
      </c>
      <c r="K171" s="34">
        <f t="shared" si="298"/>
        <v>6769.3</v>
      </c>
      <c r="L171" s="34">
        <f t="shared" si="298"/>
        <v>0</v>
      </c>
      <c r="M171" s="34">
        <f t="shared" si="298"/>
        <v>17230</v>
      </c>
      <c r="N171" s="34">
        <f t="shared" si="298"/>
        <v>17230</v>
      </c>
      <c r="O171" s="34">
        <f t="shared" si="298"/>
        <v>0</v>
      </c>
      <c r="P171" s="6"/>
    </row>
    <row r="172" spans="1:16" ht="35.25" customHeight="1" x14ac:dyDescent="0.3">
      <c r="A172" s="44"/>
      <c r="B172" s="223"/>
      <c r="C172" s="224"/>
      <c r="D172" s="242"/>
      <c r="E172" s="239"/>
      <c r="F172" s="35" t="s">
        <v>12</v>
      </c>
      <c r="G172" s="17">
        <f>H172+I172</f>
        <v>7430</v>
      </c>
      <c r="H172" s="17">
        <f>H176+H180+H184+H188+H192+H196+H200</f>
        <v>7430</v>
      </c>
      <c r="I172" s="17">
        <f>I176+I180+I184+I188+I192+I196+I200+I204</f>
        <v>0</v>
      </c>
      <c r="J172" s="17">
        <f>K172+L172</f>
        <v>6769.3</v>
      </c>
      <c r="K172" s="17">
        <f>K176+K180+K184+K188+K192+K196+K200</f>
        <v>6769.3</v>
      </c>
      <c r="L172" s="17">
        <f>L176+L180+L184+L188+L192+L196+L200+L204</f>
        <v>0</v>
      </c>
      <c r="M172" s="17">
        <f>N172+O172</f>
        <v>17230</v>
      </c>
      <c r="N172" s="17">
        <f>N176+N180+N184+N188+N192+N196+N200</f>
        <v>17230</v>
      </c>
      <c r="O172" s="17">
        <f>O176+O180+O184+O188+O192+O196+O200+O204</f>
        <v>0</v>
      </c>
      <c r="P172" s="6"/>
    </row>
    <row r="173" spans="1:16" ht="35.25" customHeight="1" x14ac:dyDescent="0.3">
      <c r="A173" s="44"/>
      <c r="B173" s="223"/>
      <c r="C173" s="224"/>
      <c r="D173" s="242"/>
      <c r="E173" s="239"/>
      <c r="F173" s="36" t="s">
        <v>13</v>
      </c>
      <c r="G173" s="17">
        <f t="shared" ref="G173:G174" si="299">H173+I173</f>
        <v>0</v>
      </c>
      <c r="H173" s="17">
        <f t="shared" ref="H173:H174" si="300">H177+H181+H185+H189+H193+H197+H201</f>
        <v>0</v>
      </c>
      <c r="I173" s="17">
        <f t="shared" ref="I173:I174" si="301">I177+I181+I185+I189+I193+I197+I201+I205</f>
        <v>0</v>
      </c>
      <c r="J173" s="17">
        <f t="shared" ref="J173:J174" si="302">K173+L173</f>
        <v>0</v>
      </c>
      <c r="K173" s="17">
        <f t="shared" ref="K173:K174" si="303">K177+K181+K185+K189+K193+K197+K201</f>
        <v>0</v>
      </c>
      <c r="L173" s="17">
        <f t="shared" ref="L173:L174" si="304">L177+L181+L185+L189+L193+L197+L201+L205</f>
        <v>0</v>
      </c>
      <c r="M173" s="17">
        <f t="shared" ref="M173:M174" si="305">N173+O173</f>
        <v>0</v>
      </c>
      <c r="N173" s="17">
        <f t="shared" ref="N173:N174" si="306">N177+N181+N185+N189+N193+N197+N201</f>
        <v>0</v>
      </c>
      <c r="O173" s="17">
        <f t="shared" ref="O173:O174" si="307">O177+O181+O185+O189+O193+O197+O201+O205</f>
        <v>0</v>
      </c>
      <c r="P173" s="6"/>
    </row>
    <row r="174" spans="1:16" ht="35.25" customHeight="1" x14ac:dyDescent="0.3">
      <c r="A174" s="44"/>
      <c r="B174" s="225"/>
      <c r="C174" s="226"/>
      <c r="D174" s="243"/>
      <c r="E174" s="240"/>
      <c r="F174" s="35" t="s">
        <v>14</v>
      </c>
      <c r="G174" s="17">
        <f t="shared" si="299"/>
        <v>0</v>
      </c>
      <c r="H174" s="17">
        <f t="shared" si="300"/>
        <v>0</v>
      </c>
      <c r="I174" s="17">
        <f t="shared" si="301"/>
        <v>0</v>
      </c>
      <c r="J174" s="17">
        <f t="shared" si="302"/>
        <v>0</v>
      </c>
      <c r="K174" s="17">
        <f t="shared" si="303"/>
        <v>0</v>
      </c>
      <c r="L174" s="17">
        <f t="shared" si="304"/>
        <v>0</v>
      </c>
      <c r="M174" s="17">
        <f t="shared" si="305"/>
        <v>0</v>
      </c>
      <c r="N174" s="17">
        <f t="shared" si="306"/>
        <v>0</v>
      </c>
      <c r="O174" s="17">
        <f t="shared" si="307"/>
        <v>0</v>
      </c>
      <c r="P174" s="6"/>
    </row>
    <row r="175" spans="1:16" ht="35.25" customHeight="1" x14ac:dyDescent="0.3">
      <c r="A175" s="44"/>
      <c r="B175" s="217" t="s">
        <v>64</v>
      </c>
      <c r="C175" s="217"/>
      <c r="D175" s="218"/>
      <c r="E175" s="231" t="s">
        <v>38</v>
      </c>
      <c r="F175" s="40"/>
      <c r="G175" s="41">
        <f>G176+G177+G178</f>
        <v>680</v>
      </c>
      <c r="H175" s="41">
        <f t="shared" ref="H175:I175" si="308">H176+H177+H178</f>
        <v>680</v>
      </c>
      <c r="I175" s="41">
        <f t="shared" si="308"/>
        <v>0</v>
      </c>
      <c r="J175" s="41">
        <f>J176+J177+J178</f>
        <v>515</v>
      </c>
      <c r="K175" s="41">
        <f t="shared" ref="K175:L175" si="309">K176+K177+K178</f>
        <v>515</v>
      </c>
      <c r="L175" s="41">
        <f t="shared" si="309"/>
        <v>0</v>
      </c>
      <c r="M175" s="41">
        <f>M176+M177+M178</f>
        <v>1638.3</v>
      </c>
      <c r="N175" s="41">
        <f t="shared" ref="N175:O175" si="310">N176+N177+N178</f>
        <v>1638.3</v>
      </c>
      <c r="O175" s="41">
        <f t="shared" si="310"/>
        <v>0</v>
      </c>
      <c r="P175" s="6"/>
    </row>
    <row r="176" spans="1:16" ht="35.25" customHeight="1" x14ac:dyDescent="0.3">
      <c r="A176" s="44"/>
      <c r="B176" s="217"/>
      <c r="C176" s="217"/>
      <c r="D176" s="218"/>
      <c r="E176" s="231"/>
      <c r="F176" s="40" t="s">
        <v>12</v>
      </c>
      <c r="G176" s="41">
        <f>H176+I176</f>
        <v>680</v>
      </c>
      <c r="H176" s="41">
        <v>680</v>
      </c>
      <c r="I176" s="41">
        <v>0</v>
      </c>
      <c r="J176" s="41">
        <f>K176+L176</f>
        <v>515</v>
      </c>
      <c r="K176" s="41">
        <f>1550.8-1035.8</f>
        <v>515</v>
      </c>
      <c r="L176" s="41">
        <v>0</v>
      </c>
      <c r="M176" s="41">
        <f>N176+O176</f>
        <v>1638.3</v>
      </c>
      <c r="N176" s="41">
        <v>1638.3</v>
      </c>
      <c r="O176" s="41">
        <v>0</v>
      </c>
      <c r="P176" s="6"/>
    </row>
    <row r="177" spans="1:16" ht="35.25" customHeight="1" x14ac:dyDescent="0.3">
      <c r="A177" s="44"/>
      <c r="B177" s="217"/>
      <c r="C177" s="217"/>
      <c r="D177" s="218"/>
      <c r="E177" s="231"/>
      <c r="F177" s="42" t="s">
        <v>13</v>
      </c>
      <c r="G177" s="41">
        <f t="shared" ref="G177:G178" si="311">H177+I177</f>
        <v>0</v>
      </c>
      <c r="H177" s="41"/>
      <c r="I177" s="41"/>
      <c r="J177" s="41">
        <f>K177+L177</f>
        <v>0</v>
      </c>
      <c r="K177" s="41"/>
      <c r="L177" s="41"/>
      <c r="M177" s="41">
        <f t="shared" ref="M177:M178" si="312">N177+O177</f>
        <v>0</v>
      </c>
      <c r="N177" s="41"/>
      <c r="O177" s="41"/>
      <c r="P177" s="6"/>
    </row>
    <row r="178" spans="1:16" ht="35.25" customHeight="1" x14ac:dyDescent="0.3">
      <c r="A178" s="44"/>
      <c r="B178" s="217"/>
      <c r="C178" s="217"/>
      <c r="D178" s="218"/>
      <c r="E178" s="231"/>
      <c r="F178" s="40" t="s">
        <v>14</v>
      </c>
      <c r="G178" s="41">
        <f t="shared" si="311"/>
        <v>0</v>
      </c>
      <c r="H178" s="41"/>
      <c r="I178" s="41"/>
      <c r="J178" s="41">
        <f t="shared" ref="J178" si="313">K178+L178</f>
        <v>0</v>
      </c>
      <c r="K178" s="41"/>
      <c r="L178" s="41"/>
      <c r="M178" s="41">
        <f t="shared" si="312"/>
        <v>0</v>
      </c>
      <c r="N178" s="41"/>
      <c r="O178" s="41"/>
      <c r="P178" s="6"/>
    </row>
    <row r="179" spans="1:16" ht="35.25" customHeight="1" x14ac:dyDescent="0.3">
      <c r="A179" s="44"/>
      <c r="B179" s="217" t="s">
        <v>65</v>
      </c>
      <c r="C179" s="217"/>
      <c r="D179" s="218"/>
      <c r="E179" s="231" t="s">
        <v>38</v>
      </c>
      <c r="F179" s="40"/>
      <c r="G179" s="41">
        <f>G180+G181+G182</f>
        <v>3820</v>
      </c>
      <c r="H179" s="41">
        <f t="shared" ref="H179:I179" si="314">H180+H181+H182</f>
        <v>3820</v>
      </c>
      <c r="I179" s="41">
        <f t="shared" si="314"/>
        <v>0</v>
      </c>
      <c r="J179" s="41">
        <f>J180+J181+J182</f>
        <v>4178.3</v>
      </c>
      <c r="K179" s="41">
        <f t="shared" ref="K179:L179" si="315">K180+K181+K182</f>
        <v>4178.3</v>
      </c>
      <c r="L179" s="41">
        <f t="shared" si="315"/>
        <v>0</v>
      </c>
      <c r="M179" s="41">
        <f>M180+M181+M182</f>
        <v>7500</v>
      </c>
      <c r="N179" s="41">
        <f t="shared" ref="N179:O179" si="316">N180+N181+N182</f>
        <v>7500</v>
      </c>
      <c r="O179" s="41">
        <f t="shared" si="316"/>
        <v>0</v>
      </c>
      <c r="P179" s="6"/>
    </row>
    <row r="180" spans="1:16" ht="35.25" customHeight="1" x14ac:dyDescent="0.3">
      <c r="A180" s="44"/>
      <c r="B180" s="217"/>
      <c r="C180" s="217"/>
      <c r="D180" s="218"/>
      <c r="E180" s="231"/>
      <c r="F180" s="40" t="s">
        <v>12</v>
      </c>
      <c r="G180" s="41">
        <f>H180+I180</f>
        <v>3820</v>
      </c>
      <c r="H180" s="41">
        <v>3820</v>
      </c>
      <c r="I180" s="41">
        <v>0</v>
      </c>
      <c r="J180" s="41">
        <f>K180+L180</f>
        <v>4178.3</v>
      </c>
      <c r="K180" s="41">
        <f>7000-2821.7</f>
        <v>4178.3</v>
      </c>
      <c r="L180" s="41">
        <v>0</v>
      </c>
      <c r="M180" s="41">
        <f>N180+O180</f>
        <v>7500</v>
      </c>
      <c r="N180" s="41">
        <f>5256+2244</f>
        <v>7500</v>
      </c>
      <c r="O180" s="41">
        <v>0</v>
      </c>
      <c r="P180" s="6"/>
    </row>
    <row r="181" spans="1:16" ht="35.25" customHeight="1" x14ac:dyDescent="0.3">
      <c r="A181" s="44"/>
      <c r="B181" s="217"/>
      <c r="C181" s="217"/>
      <c r="D181" s="218"/>
      <c r="E181" s="231"/>
      <c r="F181" s="42" t="s">
        <v>13</v>
      </c>
      <c r="G181" s="41">
        <f t="shared" ref="G181:G182" si="317">H181+I181</f>
        <v>0</v>
      </c>
      <c r="H181" s="41"/>
      <c r="I181" s="41"/>
      <c r="J181" s="41">
        <f>K181+L181</f>
        <v>0</v>
      </c>
      <c r="K181" s="41"/>
      <c r="L181" s="41"/>
      <c r="M181" s="41">
        <f t="shared" ref="M181:M182" si="318">N181+O181</f>
        <v>0</v>
      </c>
      <c r="N181" s="41"/>
      <c r="O181" s="41"/>
      <c r="P181" s="6"/>
    </row>
    <row r="182" spans="1:16" ht="35.25" customHeight="1" x14ac:dyDescent="0.3">
      <c r="A182" s="44"/>
      <c r="B182" s="217"/>
      <c r="C182" s="217"/>
      <c r="D182" s="218"/>
      <c r="E182" s="231"/>
      <c r="F182" s="40" t="s">
        <v>14</v>
      </c>
      <c r="G182" s="41">
        <f t="shared" si="317"/>
        <v>0</v>
      </c>
      <c r="H182" s="41"/>
      <c r="I182" s="41"/>
      <c r="J182" s="41">
        <f t="shared" ref="J182" si="319">K182+L182</f>
        <v>0</v>
      </c>
      <c r="K182" s="41"/>
      <c r="L182" s="41"/>
      <c r="M182" s="41">
        <f t="shared" si="318"/>
        <v>0</v>
      </c>
      <c r="N182" s="41"/>
      <c r="O182" s="41"/>
      <c r="P182" s="6"/>
    </row>
    <row r="183" spans="1:16" ht="35.25" customHeight="1" x14ac:dyDescent="0.3">
      <c r="A183" s="44"/>
      <c r="B183" s="217" t="s">
        <v>66</v>
      </c>
      <c r="C183" s="217"/>
      <c r="D183" s="218"/>
      <c r="E183" s="231" t="s">
        <v>38</v>
      </c>
      <c r="F183" s="40"/>
      <c r="G183" s="41">
        <f>G184+G185+G186</f>
        <v>100</v>
      </c>
      <c r="H183" s="41">
        <f t="shared" ref="H183:I183" si="320">H184+H185+H186</f>
        <v>100</v>
      </c>
      <c r="I183" s="41">
        <f t="shared" si="320"/>
        <v>0</v>
      </c>
      <c r="J183" s="41">
        <f>J184+J185+J186</f>
        <v>100</v>
      </c>
      <c r="K183" s="41">
        <f t="shared" ref="K183:L183" si="321">K184+K185+K186</f>
        <v>100</v>
      </c>
      <c r="L183" s="41">
        <f t="shared" si="321"/>
        <v>0</v>
      </c>
      <c r="M183" s="41">
        <f>M184+M185+M186</f>
        <v>331.7</v>
      </c>
      <c r="N183" s="41">
        <f t="shared" ref="N183:O183" si="322">N184+N185+N186</f>
        <v>331.7</v>
      </c>
      <c r="O183" s="41">
        <f t="shared" si="322"/>
        <v>0</v>
      </c>
      <c r="P183" s="6"/>
    </row>
    <row r="184" spans="1:16" ht="35.25" customHeight="1" x14ac:dyDescent="0.3">
      <c r="A184" s="44"/>
      <c r="B184" s="217"/>
      <c r="C184" s="217"/>
      <c r="D184" s="218"/>
      <c r="E184" s="231"/>
      <c r="F184" s="40" t="s">
        <v>12</v>
      </c>
      <c r="G184" s="41">
        <f>H184+I184</f>
        <v>100</v>
      </c>
      <c r="H184" s="41">
        <v>100</v>
      </c>
      <c r="I184" s="41">
        <v>0</v>
      </c>
      <c r="J184" s="41">
        <f>K184+L184</f>
        <v>100</v>
      </c>
      <c r="K184" s="41">
        <f>316-216</f>
        <v>100</v>
      </c>
      <c r="L184" s="41">
        <v>0</v>
      </c>
      <c r="M184" s="41">
        <f>N184+O184</f>
        <v>331.7</v>
      </c>
      <c r="N184" s="41">
        <v>331.7</v>
      </c>
      <c r="O184" s="41">
        <v>0</v>
      </c>
      <c r="P184" s="6"/>
    </row>
    <row r="185" spans="1:16" ht="35.25" customHeight="1" x14ac:dyDescent="0.3">
      <c r="A185" s="44"/>
      <c r="B185" s="217"/>
      <c r="C185" s="217"/>
      <c r="D185" s="218"/>
      <c r="E185" s="231"/>
      <c r="F185" s="42" t="s">
        <v>13</v>
      </c>
      <c r="G185" s="41">
        <f t="shared" ref="G185:G186" si="323">H185+I185</f>
        <v>0</v>
      </c>
      <c r="H185" s="41"/>
      <c r="I185" s="41"/>
      <c r="J185" s="41">
        <f>K185+L185</f>
        <v>0</v>
      </c>
      <c r="K185" s="41"/>
      <c r="L185" s="41"/>
      <c r="M185" s="41">
        <f t="shared" ref="M185:M186" si="324">N185+O185</f>
        <v>0</v>
      </c>
      <c r="N185" s="41"/>
      <c r="O185" s="41"/>
      <c r="P185" s="6"/>
    </row>
    <row r="186" spans="1:16" ht="35.25" customHeight="1" x14ac:dyDescent="0.3">
      <c r="A186" s="44"/>
      <c r="B186" s="217"/>
      <c r="C186" s="217"/>
      <c r="D186" s="218"/>
      <c r="E186" s="231"/>
      <c r="F186" s="40" t="s">
        <v>14</v>
      </c>
      <c r="G186" s="41">
        <f t="shared" si="323"/>
        <v>0</v>
      </c>
      <c r="H186" s="41"/>
      <c r="I186" s="41"/>
      <c r="J186" s="41">
        <f t="shared" ref="J186" si="325">K186+L186</f>
        <v>0</v>
      </c>
      <c r="K186" s="41"/>
      <c r="L186" s="41"/>
      <c r="M186" s="41">
        <f t="shared" si="324"/>
        <v>0</v>
      </c>
      <c r="N186" s="41"/>
      <c r="O186" s="41"/>
      <c r="P186" s="6"/>
    </row>
    <row r="187" spans="1:16" ht="35.25" customHeight="1" x14ac:dyDescent="0.3">
      <c r="A187" s="44"/>
      <c r="B187" s="217" t="s">
        <v>67</v>
      </c>
      <c r="C187" s="217"/>
      <c r="D187" s="218"/>
      <c r="E187" s="231" t="s">
        <v>38</v>
      </c>
      <c r="F187" s="40"/>
      <c r="G187" s="41">
        <f>G188+G189+G190</f>
        <v>500</v>
      </c>
      <c r="H187" s="41">
        <f t="shared" ref="H187:I187" si="326">H188+H189+H190</f>
        <v>500</v>
      </c>
      <c r="I187" s="41">
        <f t="shared" si="326"/>
        <v>0</v>
      </c>
      <c r="J187" s="41">
        <f>J188+J189+J190</f>
        <v>516</v>
      </c>
      <c r="K187" s="41">
        <f t="shared" ref="K187:L187" si="327">K188+K189+K190</f>
        <v>516</v>
      </c>
      <c r="L187" s="41">
        <f t="shared" si="327"/>
        <v>0</v>
      </c>
      <c r="M187" s="41">
        <f>M188+M189+M190</f>
        <v>5000</v>
      </c>
      <c r="N187" s="41">
        <f t="shared" ref="N187:O187" si="328">N188+N189+N190</f>
        <v>5000</v>
      </c>
      <c r="O187" s="41">
        <f t="shared" si="328"/>
        <v>0</v>
      </c>
      <c r="P187" s="6"/>
    </row>
    <row r="188" spans="1:16" ht="35.25" customHeight="1" x14ac:dyDescent="0.3">
      <c r="A188" s="44"/>
      <c r="B188" s="217"/>
      <c r="C188" s="217"/>
      <c r="D188" s="218"/>
      <c r="E188" s="231"/>
      <c r="F188" s="40" t="s">
        <v>12</v>
      </c>
      <c r="G188" s="41">
        <f>H188+I188</f>
        <v>500</v>
      </c>
      <c r="H188" s="41">
        <v>500</v>
      </c>
      <c r="I188" s="41">
        <v>0</v>
      </c>
      <c r="J188" s="41">
        <f>K188+L188</f>
        <v>516</v>
      </c>
      <c r="K188" s="41">
        <v>516</v>
      </c>
      <c r="L188" s="41">
        <v>0</v>
      </c>
      <c r="M188" s="41">
        <f>N188+O188</f>
        <v>5000</v>
      </c>
      <c r="N188" s="41">
        <f>498+27+3000+1475</f>
        <v>5000</v>
      </c>
      <c r="O188" s="41">
        <v>0</v>
      </c>
      <c r="P188" s="6"/>
    </row>
    <row r="189" spans="1:16" ht="35.25" customHeight="1" x14ac:dyDescent="0.3">
      <c r="A189" s="44"/>
      <c r="B189" s="217"/>
      <c r="C189" s="217"/>
      <c r="D189" s="218"/>
      <c r="E189" s="231"/>
      <c r="F189" s="42" t="s">
        <v>13</v>
      </c>
      <c r="G189" s="41">
        <f t="shared" ref="G189:G190" si="329">H189+I189</f>
        <v>0</v>
      </c>
      <c r="H189" s="41"/>
      <c r="I189" s="41"/>
      <c r="J189" s="41">
        <f>K189+L189</f>
        <v>0</v>
      </c>
      <c r="K189" s="41"/>
      <c r="L189" s="41"/>
      <c r="M189" s="41">
        <f t="shared" ref="M189:M190" si="330">N189+O189</f>
        <v>0</v>
      </c>
      <c r="N189" s="41"/>
      <c r="O189" s="41"/>
      <c r="P189" s="6"/>
    </row>
    <row r="190" spans="1:16" ht="35.25" customHeight="1" x14ac:dyDescent="0.3">
      <c r="A190" s="44"/>
      <c r="B190" s="217"/>
      <c r="C190" s="217"/>
      <c r="D190" s="218"/>
      <c r="E190" s="231"/>
      <c r="F190" s="40" t="s">
        <v>14</v>
      </c>
      <c r="G190" s="41">
        <f t="shared" si="329"/>
        <v>0</v>
      </c>
      <c r="H190" s="41"/>
      <c r="I190" s="41"/>
      <c r="J190" s="41">
        <f t="shared" ref="J190" si="331">K190+L190</f>
        <v>0</v>
      </c>
      <c r="K190" s="41"/>
      <c r="L190" s="41"/>
      <c r="M190" s="41">
        <f t="shared" si="330"/>
        <v>0</v>
      </c>
      <c r="N190" s="41"/>
      <c r="O190" s="41"/>
      <c r="P190" s="6"/>
    </row>
    <row r="191" spans="1:16" ht="35.25" customHeight="1" x14ac:dyDescent="0.3">
      <c r="A191" s="44"/>
      <c r="B191" s="217" t="s">
        <v>68</v>
      </c>
      <c r="C191" s="217"/>
      <c r="D191" s="218"/>
      <c r="E191" s="231" t="s">
        <v>38</v>
      </c>
      <c r="F191" s="40"/>
      <c r="G191" s="41">
        <f>G192+G193+G194</f>
        <v>1290</v>
      </c>
      <c r="H191" s="41">
        <f t="shared" ref="H191:I191" si="332">H192+H193+H194</f>
        <v>1290</v>
      </c>
      <c r="I191" s="41">
        <f t="shared" si="332"/>
        <v>0</v>
      </c>
      <c r="J191" s="41">
        <f>J192+J193+J194</f>
        <v>950</v>
      </c>
      <c r="K191" s="41">
        <f t="shared" ref="K191:L191" si="333">K192+K193+K194</f>
        <v>950</v>
      </c>
      <c r="L191" s="41">
        <f t="shared" si="333"/>
        <v>0</v>
      </c>
      <c r="M191" s="41">
        <f>M192+M193+M194</f>
        <v>1660</v>
      </c>
      <c r="N191" s="41">
        <f t="shared" ref="N191:O191" si="334">N192+N193+N194</f>
        <v>1660</v>
      </c>
      <c r="O191" s="41">
        <f t="shared" si="334"/>
        <v>0</v>
      </c>
      <c r="P191" s="6"/>
    </row>
    <row r="192" spans="1:16" ht="35.25" customHeight="1" x14ac:dyDescent="0.3">
      <c r="A192" s="44"/>
      <c r="B192" s="217"/>
      <c r="C192" s="217"/>
      <c r="D192" s="218"/>
      <c r="E192" s="231"/>
      <c r="F192" s="40" t="s">
        <v>12</v>
      </c>
      <c r="G192" s="41">
        <f>H192+I192</f>
        <v>1290</v>
      </c>
      <c r="H192" s="41">
        <v>1290</v>
      </c>
      <c r="I192" s="41">
        <v>0</v>
      </c>
      <c r="J192" s="41">
        <f>K192+L192</f>
        <v>950</v>
      </c>
      <c r="K192" s="41">
        <f>1580-630</f>
        <v>950</v>
      </c>
      <c r="L192" s="41">
        <v>0</v>
      </c>
      <c r="M192" s="41">
        <f>N192+O192</f>
        <v>1660</v>
      </c>
      <c r="N192" s="41">
        <v>1660</v>
      </c>
      <c r="O192" s="41">
        <v>0</v>
      </c>
      <c r="P192" s="6"/>
    </row>
    <row r="193" spans="1:16" ht="35.25" customHeight="1" x14ac:dyDescent="0.3">
      <c r="A193" s="44"/>
      <c r="B193" s="217"/>
      <c r="C193" s="217"/>
      <c r="D193" s="218"/>
      <c r="E193" s="231"/>
      <c r="F193" s="42" t="s">
        <v>13</v>
      </c>
      <c r="G193" s="41">
        <f t="shared" ref="G193:G194" si="335">H193+I193</f>
        <v>0</v>
      </c>
      <c r="H193" s="41"/>
      <c r="I193" s="41"/>
      <c r="J193" s="41">
        <f>K193+L193</f>
        <v>0</v>
      </c>
      <c r="K193" s="41"/>
      <c r="L193" s="41"/>
      <c r="M193" s="41">
        <f t="shared" ref="M193:M194" si="336">N193+O193</f>
        <v>0</v>
      </c>
      <c r="N193" s="41"/>
      <c r="O193" s="41"/>
      <c r="P193" s="6"/>
    </row>
    <row r="194" spans="1:16" ht="35.25" customHeight="1" x14ac:dyDescent="0.3">
      <c r="A194" s="44"/>
      <c r="B194" s="217"/>
      <c r="C194" s="217"/>
      <c r="D194" s="218"/>
      <c r="E194" s="231"/>
      <c r="F194" s="40" t="s">
        <v>14</v>
      </c>
      <c r="G194" s="41">
        <f t="shared" si="335"/>
        <v>0</v>
      </c>
      <c r="H194" s="41"/>
      <c r="I194" s="41"/>
      <c r="J194" s="41">
        <f t="shared" ref="J194" si="337">K194+L194</f>
        <v>0</v>
      </c>
      <c r="K194" s="41"/>
      <c r="L194" s="41"/>
      <c r="M194" s="41">
        <f t="shared" si="336"/>
        <v>0</v>
      </c>
      <c r="N194" s="41"/>
      <c r="O194" s="41"/>
      <c r="P194" s="6"/>
    </row>
    <row r="195" spans="1:16" ht="35.25" customHeight="1" x14ac:dyDescent="0.3">
      <c r="A195" s="44"/>
      <c r="B195" s="217" t="s">
        <v>312</v>
      </c>
      <c r="C195" s="217"/>
      <c r="D195" s="218"/>
      <c r="E195" s="231" t="s">
        <v>38</v>
      </c>
      <c r="F195" s="40"/>
      <c r="G195" s="41">
        <f>G196+G197+G198</f>
        <v>540</v>
      </c>
      <c r="H195" s="41">
        <f t="shared" ref="H195:I195" si="338">H196+H197+H198</f>
        <v>540</v>
      </c>
      <c r="I195" s="41">
        <f t="shared" si="338"/>
        <v>0</v>
      </c>
      <c r="J195" s="41">
        <f>J196+J197+J198</f>
        <v>510</v>
      </c>
      <c r="K195" s="41">
        <f t="shared" ref="K195:L195" si="339">K196+K197+K198</f>
        <v>510</v>
      </c>
      <c r="L195" s="41">
        <f t="shared" si="339"/>
        <v>0</v>
      </c>
      <c r="M195" s="41">
        <f>M196+M197+M198</f>
        <v>1100</v>
      </c>
      <c r="N195" s="41">
        <f t="shared" ref="N195:O195" si="340">N196+N197+N198</f>
        <v>1100</v>
      </c>
      <c r="O195" s="41">
        <f t="shared" si="340"/>
        <v>0</v>
      </c>
      <c r="P195" s="6"/>
    </row>
    <row r="196" spans="1:16" ht="35.25" customHeight="1" x14ac:dyDescent="0.3">
      <c r="A196" s="44"/>
      <c r="B196" s="217"/>
      <c r="C196" s="217"/>
      <c r="D196" s="218"/>
      <c r="E196" s="231"/>
      <c r="F196" s="40" t="s">
        <v>12</v>
      </c>
      <c r="G196" s="41">
        <f>H196+I196</f>
        <v>540</v>
      </c>
      <c r="H196" s="41">
        <v>540</v>
      </c>
      <c r="I196" s="41">
        <v>0</v>
      </c>
      <c r="J196" s="41">
        <f>K196+L196</f>
        <v>510</v>
      </c>
      <c r="K196" s="41">
        <f>850-340</f>
        <v>510</v>
      </c>
      <c r="L196" s="41">
        <v>0</v>
      </c>
      <c r="M196" s="41">
        <f>N196+O196</f>
        <v>1100</v>
      </c>
      <c r="N196" s="41">
        <f>893+207</f>
        <v>1100</v>
      </c>
      <c r="O196" s="41">
        <v>0</v>
      </c>
      <c r="P196" s="6"/>
    </row>
    <row r="197" spans="1:16" ht="35.25" customHeight="1" x14ac:dyDescent="0.3">
      <c r="A197" s="44"/>
      <c r="B197" s="217"/>
      <c r="C197" s="217"/>
      <c r="D197" s="218"/>
      <c r="E197" s="231"/>
      <c r="F197" s="42" t="s">
        <v>13</v>
      </c>
      <c r="G197" s="41">
        <f t="shared" ref="G197:G198" si="341">H197+I197</f>
        <v>0</v>
      </c>
      <c r="H197" s="41"/>
      <c r="I197" s="41"/>
      <c r="J197" s="41">
        <f>K197+L197</f>
        <v>0</v>
      </c>
      <c r="K197" s="41"/>
      <c r="L197" s="41"/>
      <c r="M197" s="41">
        <f t="shared" ref="M197:M198" si="342">N197+O197</f>
        <v>0</v>
      </c>
      <c r="N197" s="41"/>
      <c r="O197" s="41"/>
      <c r="P197" s="6"/>
    </row>
    <row r="198" spans="1:16" ht="35.25" customHeight="1" x14ac:dyDescent="0.3">
      <c r="A198" s="44"/>
      <c r="B198" s="217"/>
      <c r="C198" s="217"/>
      <c r="D198" s="218"/>
      <c r="E198" s="231"/>
      <c r="F198" s="40" t="s">
        <v>14</v>
      </c>
      <c r="G198" s="41">
        <f t="shared" si="341"/>
        <v>0</v>
      </c>
      <c r="H198" s="41"/>
      <c r="I198" s="41"/>
      <c r="J198" s="41">
        <f t="shared" ref="J198" si="343">K198+L198</f>
        <v>0</v>
      </c>
      <c r="K198" s="41"/>
      <c r="L198" s="41"/>
      <c r="M198" s="41">
        <f t="shared" si="342"/>
        <v>0</v>
      </c>
      <c r="N198" s="41"/>
      <c r="O198" s="41"/>
      <c r="P198" s="6"/>
    </row>
    <row r="199" spans="1:16" ht="35.25" customHeight="1" x14ac:dyDescent="0.3">
      <c r="A199" s="44"/>
      <c r="B199" s="217" t="s">
        <v>69</v>
      </c>
      <c r="C199" s="217"/>
      <c r="D199" s="233">
        <v>6014</v>
      </c>
      <c r="E199" s="231" t="s">
        <v>38</v>
      </c>
      <c r="F199" s="40"/>
      <c r="G199" s="41">
        <f>G200+G201+G202</f>
        <v>500</v>
      </c>
      <c r="H199" s="41">
        <f t="shared" ref="H199:I199" si="344">H200+H201+H202</f>
        <v>500</v>
      </c>
      <c r="I199" s="41">
        <f t="shared" si="344"/>
        <v>0</v>
      </c>
      <c r="J199" s="41">
        <f>J200+J201+J202</f>
        <v>0</v>
      </c>
      <c r="K199" s="41">
        <f t="shared" ref="K199:L199" si="345">K200+K201+K202</f>
        <v>0</v>
      </c>
      <c r="L199" s="41">
        <f t="shared" si="345"/>
        <v>0</v>
      </c>
      <c r="M199" s="41">
        <f>M200+M201+M202</f>
        <v>0</v>
      </c>
      <c r="N199" s="41">
        <f t="shared" ref="N199:O199" si="346">N200+N201+N202</f>
        <v>0</v>
      </c>
      <c r="O199" s="41">
        <f t="shared" si="346"/>
        <v>0</v>
      </c>
      <c r="P199" s="6"/>
    </row>
    <row r="200" spans="1:16" ht="35.25" customHeight="1" x14ac:dyDescent="0.3">
      <c r="A200" s="44"/>
      <c r="B200" s="217"/>
      <c r="C200" s="217"/>
      <c r="D200" s="233"/>
      <c r="E200" s="231"/>
      <c r="F200" s="40" t="s">
        <v>12</v>
      </c>
      <c r="G200" s="41">
        <f>H200+I200</f>
        <v>500</v>
      </c>
      <c r="H200" s="41">
        <v>500</v>
      </c>
      <c r="I200" s="41">
        <v>0</v>
      </c>
      <c r="J200" s="41">
        <f>K200+L200</f>
        <v>0</v>
      </c>
      <c r="K200" s="41">
        <v>0</v>
      </c>
      <c r="L200" s="41">
        <v>0</v>
      </c>
      <c r="M200" s="41">
        <f>N200+O200</f>
        <v>0</v>
      </c>
      <c r="N200" s="41">
        <v>0</v>
      </c>
      <c r="O200" s="41">
        <v>0</v>
      </c>
      <c r="P200" s="6"/>
    </row>
    <row r="201" spans="1:16" ht="35.25" customHeight="1" x14ac:dyDescent="0.3">
      <c r="A201" s="44"/>
      <c r="B201" s="217"/>
      <c r="C201" s="217"/>
      <c r="D201" s="233"/>
      <c r="E201" s="231"/>
      <c r="F201" s="42" t="s">
        <v>13</v>
      </c>
      <c r="G201" s="41">
        <f t="shared" ref="G201:G202" si="347">H201+I201</f>
        <v>0</v>
      </c>
      <c r="H201" s="41"/>
      <c r="I201" s="41"/>
      <c r="J201" s="41">
        <f>K201+L201</f>
        <v>0</v>
      </c>
      <c r="K201" s="41"/>
      <c r="L201" s="41"/>
      <c r="M201" s="41">
        <f t="shared" ref="M201:M202" si="348">N201+O201</f>
        <v>0</v>
      </c>
      <c r="N201" s="41"/>
      <c r="O201" s="41"/>
      <c r="P201" s="6"/>
    </row>
    <row r="202" spans="1:16" ht="35.25" customHeight="1" x14ac:dyDescent="0.3">
      <c r="A202" s="44"/>
      <c r="B202" s="217"/>
      <c r="C202" s="217"/>
      <c r="D202" s="233"/>
      <c r="E202" s="231"/>
      <c r="F202" s="40" t="s">
        <v>14</v>
      </c>
      <c r="G202" s="41">
        <f t="shared" si="347"/>
        <v>0</v>
      </c>
      <c r="H202" s="41"/>
      <c r="I202" s="41"/>
      <c r="J202" s="41">
        <f t="shared" ref="J202" si="349">K202+L202</f>
        <v>0</v>
      </c>
      <c r="K202" s="41"/>
      <c r="L202" s="41"/>
      <c r="M202" s="41">
        <f t="shared" si="348"/>
        <v>0</v>
      </c>
      <c r="N202" s="41"/>
      <c r="O202" s="41"/>
      <c r="P202" s="6"/>
    </row>
    <row r="203" spans="1:16" ht="35.25" customHeight="1" x14ac:dyDescent="0.3">
      <c r="A203" s="44"/>
      <c r="B203" s="221" t="s">
        <v>71</v>
      </c>
      <c r="C203" s="222"/>
      <c r="D203" s="241" t="s">
        <v>63</v>
      </c>
      <c r="E203" s="238" t="s">
        <v>38</v>
      </c>
      <c r="F203" s="33"/>
      <c r="G203" s="34">
        <f t="shared" ref="G203:O203" si="350">G204+G205+G206</f>
        <v>10417.199999999999</v>
      </c>
      <c r="H203" s="34">
        <f t="shared" si="350"/>
        <v>10417.199999999999</v>
      </c>
      <c r="I203" s="34">
        <f t="shared" si="350"/>
        <v>0</v>
      </c>
      <c r="J203" s="34">
        <f t="shared" si="350"/>
        <v>7983.7</v>
      </c>
      <c r="K203" s="34">
        <f t="shared" si="350"/>
        <v>7983.7</v>
      </c>
      <c r="L203" s="34">
        <f t="shared" si="350"/>
        <v>0</v>
      </c>
      <c r="M203" s="34">
        <f t="shared" si="350"/>
        <v>13847.8</v>
      </c>
      <c r="N203" s="34">
        <f t="shared" si="350"/>
        <v>13847.8</v>
      </c>
      <c r="O203" s="34">
        <f t="shared" si="350"/>
        <v>0</v>
      </c>
      <c r="P203" s="6"/>
    </row>
    <row r="204" spans="1:16" ht="35.25" customHeight="1" x14ac:dyDescent="0.3">
      <c r="A204" s="44"/>
      <c r="B204" s="223"/>
      <c r="C204" s="224"/>
      <c r="D204" s="242"/>
      <c r="E204" s="239"/>
      <c r="F204" s="35" t="s">
        <v>12</v>
      </c>
      <c r="G204" s="17">
        <f>H204+I204</f>
        <v>10417.199999999999</v>
      </c>
      <c r="H204" s="17">
        <f>H208+H212+H216+H220+H224+H228+H232+H236+H240+H244</f>
        <v>10417.199999999999</v>
      </c>
      <c r="I204" s="17">
        <f>I208+I212+I216+I220+I224+I228+I232+I236+I240+I244</f>
        <v>0</v>
      </c>
      <c r="J204" s="17">
        <f>K204+L204</f>
        <v>7983.7</v>
      </c>
      <c r="K204" s="17">
        <f>K208+K212+K216+K220+K224+K228+K232+K236+K240+K244</f>
        <v>7983.7</v>
      </c>
      <c r="L204" s="17">
        <f>L208+L212+L216+L220+L224+L228+L232+L236+L240+L244</f>
        <v>0</v>
      </c>
      <c r="M204" s="17">
        <f>N204+O204</f>
        <v>13847.8</v>
      </c>
      <c r="N204" s="17">
        <f>N208+N212+N216+N220+N224+N228+N232+N236+N240+N244</f>
        <v>13847.8</v>
      </c>
      <c r="O204" s="17">
        <f>O208+O212+O216+O220+O224+O228+O232+O236+O240+O244</f>
        <v>0</v>
      </c>
      <c r="P204" s="6"/>
    </row>
    <row r="205" spans="1:16" ht="35.25" customHeight="1" x14ac:dyDescent="0.3">
      <c r="A205" s="44"/>
      <c r="B205" s="223"/>
      <c r="C205" s="224"/>
      <c r="D205" s="242"/>
      <c r="E205" s="239"/>
      <c r="F205" s="36" t="s">
        <v>13</v>
      </c>
      <c r="G205" s="17">
        <f t="shared" ref="G205:G206" si="351">H205+I205</f>
        <v>0</v>
      </c>
      <c r="H205" s="17">
        <f t="shared" ref="H205:I205" si="352">H209+H213+H217+H221+H225+H229+H233+H237+H241+H245</f>
        <v>0</v>
      </c>
      <c r="I205" s="17">
        <f t="shared" si="352"/>
        <v>0</v>
      </c>
      <c r="J205" s="17">
        <f t="shared" ref="J205:J206" si="353">K205+L205</f>
        <v>0</v>
      </c>
      <c r="K205" s="17">
        <f t="shared" ref="K205:L205" si="354">K209+K213+K217+K221+K225+K229+K233+K237+K241+K245</f>
        <v>0</v>
      </c>
      <c r="L205" s="17">
        <f t="shared" si="354"/>
        <v>0</v>
      </c>
      <c r="M205" s="17">
        <f t="shared" ref="M205:M206" si="355">N205+O205</f>
        <v>0</v>
      </c>
      <c r="N205" s="17">
        <f t="shared" ref="N205:O205" si="356">N209+N213+N217+N221+N225+N229+N233+N237+N241+N245</f>
        <v>0</v>
      </c>
      <c r="O205" s="17">
        <f t="shared" si="356"/>
        <v>0</v>
      </c>
      <c r="P205" s="6"/>
    </row>
    <row r="206" spans="1:16" ht="35.25" customHeight="1" x14ac:dyDescent="0.3">
      <c r="A206" s="44"/>
      <c r="B206" s="225"/>
      <c r="C206" s="226"/>
      <c r="D206" s="243"/>
      <c r="E206" s="240"/>
      <c r="F206" s="35" t="s">
        <v>14</v>
      </c>
      <c r="G206" s="17">
        <f t="shared" si="351"/>
        <v>0</v>
      </c>
      <c r="H206" s="17">
        <f t="shared" ref="H206:I206" si="357">H210+H214+H218+H222+H226+H230+H234+H238+H242+H246</f>
        <v>0</v>
      </c>
      <c r="I206" s="17">
        <f t="shared" si="357"/>
        <v>0</v>
      </c>
      <c r="J206" s="17">
        <f t="shared" si="353"/>
        <v>0</v>
      </c>
      <c r="K206" s="17">
        <f t="shared" ref="K206:L206" si="358">K210+K214+K218+K222+K226+K230+K234+K238+K242+K246</f>
        <v>0</v>
      </c>
      <c r="L206" s="17">
        <f t="shared" si="358"/>
        <v>0</v>
      </c>
      <c r="M206" s="17">
        <f t="shared" si="355"/>
        <v>0</v>
      </c>
      <c r="N206" s="17">
        <f t="shared" ref="N206:O206" si="359">N210+N214+N218+N222+N226+N230+N234+N238+N242+N246</f>
        <v>0</v>
      </c>
      <c r="O206" s="17">
        <f t="shared" si="359"/>
        <v>0</v>
      </c>
      <c r="P206" s="6"/>
    </row>
    <row r="207" spans="1:16" ht="35.25" customHeight="1" x14ac:dyDescent="0.3">
      <c r="A207" s="44"/>
      <c r="B207" s="217" t="s">
        <v>72</v>
      </c>
      <c r="C207" s="217"/>
      <c r="D207" s="218"/>
      <c r="E207" s="231" t="s">
        <v>38</v>
      </c>
      <c r="F207" s="40"/>
      <c r="G207" s="41">
        <f>G208+G209+G210</f>
        <v>507.5</v>
      </c>
      <c r="H207" s="41">
        <f t="shared" ref="H207:I207" si="360">H208+H209+H210</f>
        <v>507.5</v>
      </c>
      <c r="I207" s="41">
        <f t="shared" si="360"/>
        <v>0</v>
      </c>
      <c r="J207" s="41">
        <f>J208+J209+J210</f>
        <v>660</v>
      </c>
      <c r="K207" s="41">
        <f t="shared" ref="K207:L207" si="361">K208+K209+K210</f>
        <v>660</v>
      </c>
      <c r="L207" s="41">
        <f t="shared" si="361"/>
        <v>0</v>
      </c>
      <c r="M207" s="41">
        <f>M208+M209+M210</f>
        <v>877</v>
      </c>
      <c r="N207" s="41">
        <f t="shared" ref="N207:O207" si="362">N208+N209+N210</f>
        <v>877</v>
      </c>
      <c r="O207" s="41">
        <f t="shared" si="362"/>
        <v>0</v>
      </c>
      <c r="P207" s="6"/>
    </row>
    <row r="208" spans="1:16" ht="35.25" customHeight="1" x14ac:dyDescent="0.3">
      <c r="A208" s="44"/>
      <c r="B208" s="217"/>
      <c r="C208" s="217"/>
      <c r="D208" s="218"/>
      <c r="E208" s="231"/>
      <c r="F208" s="40" t="s">
        <v>12</v>
      </c>
      <c r="G208" s="41">
        <f>H208+I208</f>
        <v>507.5</v>
      </c>
      <c r="H208" s="41">
        <v>507.5</v>
      </c>
      <c r="I208" s="41">
        <v>0</v>
      </c>
      <c r="J208" s="41">
        <f>K208+L208</f>
        <v>660</v>
      </c>
      <c r="K208" s="41">
        <f>835-175</f>
        <v>660</v>
      </c>
      <c r="L208" s="41">
        <v>0</v>
      </c>
      <c r="M208" s="41">
        <f>N208+O208</f>
        <v>877</v>
      </c>
      <c r="N208" s="41">
        <v>877</v>
      </c>
      <c r="O208" s="41">
        <v>0</v>
      </c>
      <c r="P208" s="6"/>
    </row>
    <row r="209" spans="1:16" ht="35.25" customHeight="1" x14ac:dyDescent="0.3">
      <c r="A209" s="44"/>
      <c r="B209" s="217"/>
      <c r="C209" s="217"/>
      <c r="D209" s="218"/>
      <c r="E209" s="231"/>
      <c r="F209" s="42" t="s">
        <v>13</v>
      </c>
      <c r="G209" s="41">
        <f t="shared" ref="G209:G210" si="363">H209+I209</f>
        <v>0</v>
      </c>
      <c r="H209" s="41"/>
      <c r="I209" s="41"/>
      <c r="J209" s="41">
        <f>K209+L209</f>
        <v>0</v>
      </c>
      <c r="K209" s="41"/>
      <c r="L209" s="41"/>
      <c r="M209" s="41">
        <f t="shared" ref="M209:M210" si="364">N209+O209</f>
        <v>0</v>
      </c>
      <c r="N209" s="41"/>
      <c r="O209" s="41"/>
      <c r="P209" s="6"/>
    </row>
    <row r="210" spans="1:16" ht="35.25" customHeight="1" x14ac:dyDescent="0.3">
      <c r="A210" s="44"/>
      <c r="B210" s="217"/>
      <c r="C210" s="217"/>
      <c r="D210" s="218"/>
      <c r="E210" s="231"/>
      <c r="F210" s="40" t="s">
        <v>14</v>
      </c>
      <c r="G210" s="41">
        <f t="shared" si="363"/>
        <v>0</v>
      </c>
      <c r="H210" s="41"/>
      <c r="I210" s="41"/>
      <c r="J210" s="41">
        <f t="shared" ref="J210" si="365">K210+L210</f>
        <v>0</v>
      </c>
      <c r="K210" s="41"/>
      <c r="L210" s="41"/>
      <c r="M210" s="41">
        <f t="shared" si="364"/>
        <v>0</v>
      </c>
      <c r="N210" s="41"/>
      <c r="O210" s="41"/>
      <c r="P210" s="6"/>
    </row>
    <row r="211" spans="1:16" ht="35.25" customHeight="1" x14ac:dyDescent="0.3">
      <c r="A211" s="44"/>
      <c r="B211" s="217" t="s">
        <v>73</v>
      </c>
      <c r="C211" s="217"/>
      <c r="D211" s="218"/>
      <c r="E211" s="231" t="s">
        <v>38</v>
      </c>
      <c r="F211" s="40"/>
      <c r="G211" s="41">
        <f>G212+G213+G214</f>
        <v>110</v>
      </c>
      <c r="H211" s="41">
        <f t="shared" ref="H211:I211" si="366">H212+H213+H214</f>
        <v>110</v>
      </c>
      <c r="I211" s="41">
        <f t="shared" si="366"/>
        <v>0</v>
      </c>
      <c r="J211" s="41">
        <f>J212+J213+J214</f>
        <v>167.7</v>
      </c>
      <c r="K211" s="41">
        <f t="shared" ref="K211:L211" si="367">K212+K213+K214</f>
        <v>167.7</v>
      </c>
      <c r="L211" s="41">
        <f t="shared" si="367"/>
        <v>0</v>
      </c>
      <c r="M211" s="41">
        <f>M212+M213+M214</f>
        <v>476.1</v>
      </c>
      <c r="N211" s="41">
        <f t="shared" ref="N211:O211" si="368">N212+N213+N214</f>
        <v>476.1</v>
      </c>
      <c r="O211" s="41">
        <f t="shared" si="368"/>
        <v>0</v>
      </c>
      <c r="P211" s="6"/>
    </row>
    <row r="212" spans="1:16" ht="35.25" customHeight="1" x14ac:dyDescent="0.3">
      <c r="A212" s="44"/>
      <c r="B212" s="217"/>
      <c r="C212" s="217"/>
      <c r="D212" s="218"/>
      <c r="E212" s="231"/>
      <c r="F212" s="40" t="s">
        <v>12</v>
      </c>
      <c r="G212" s="41">
        <f>H212+I212</f>
        <v>110</v>
      </c>
      <c r="H212" s="41">
        <v>110</v>
      </c>
      <c r="I212" s="41">
        <v>0</v>
      </c>
      <c r="J212" s="41">
        <f>K212+L212</f>
        <v>167.7</v>
      </c>
      <c r="K212" s="41">
        <v>167.7</v>
      </c>
      <c r="L212" s="41">
        <v>0</v>
      </c>
      <c r="M212" s="41">
        <f>N212+O212</f>
        <v>476.1</v>
      </c>
      <c r="N212" s="41">
        <f>176.1+300</f>
        <v>476.1</v>
      </c>
      <c r="O212" s="41">
        <v>0</v>
      </c>
      <c r="P212" s="6"/>
    </row>
    <row r="213" spans="1:16" ht="35.25" customHeight="1" x14ac:dyDescent="0.3">
      <c r="A213" s="44"/>
      <c r="B213" s="217"/>
      <c r="C213" s="217"/>
      <c r="D213" s="218"/>
      <c r="E213" s="231"/>
      <c r="F213" s="42" t="s">
        <v>13</v>
      </c>
      <c r="G213" s="41">
        <f t="shared" ref="G213:G214" si="369">H213+I213</f>
        <v>0</v>
      </c>
      <c r="H213" s="41"/>
      <c r="I213" s="41"/>
      <c r="J213" s="41">
        <f>K213+L213</f>
        <v>0</v>
      </c>
      <c r="K213" s="41"/>
      <c r="L213" s="41"/>
      <c r="M213" s="41">
        <f t="shared" ref="M213:M214" si="370">N213+O213</f>
        <v>0</v>
      </c>
      <c r="N213" s="41"/>
      <c r="O213" s="41"/>
      <c r="P213" s="6"/>
    </row>
    <row r="214" spans="1:16" ht="35.25" customHeight="1" x14ac:dyDescent="0.3">
      <c r="A214" s="44"/>
      <c r="B214" s="217"/>
      <c r="C214" s="217"/>
      <c r="D214" s="218"/>
      <c r="E214" s="231"/>
      <c r="F214" s="40" t="s">
        <v>14</v>
      </c>
      <c r="G214" s="41">
        <f t="shared" si="369"/>
        <v>0</v>
      </c>
      <c r="H214" s="41"/>
      <c r="I214" s="41"/>
      <c r="J214" s="41">
        <f t="shared" ref="J214" si="371">K214+L214</f>
        <v>0</v>
      </c>
      <c r="K214" s="41"/>
      <c r="L214" s="41"/>
      <c r="M214" s="41">
        <f t="shared" si="370"/>
        <v>0</v>
      </c>
      <c r="N214" s="41"/>
      <c r="O214" s="41"/>
      <c r="P214" s="6"/>
    </row>
    <row r="215" spans="1:16" ht="35.25" customHeight="1" x14ac:dyDescent="0.3">
      <c r="A215" s="44"/>
      <c r="B215" s="217" t="s">
        <v>74</v>
      </c>
      <c r="C215" s="217"/>
      <c r="D215" s="218"/>
      <c r="E215" s="231" t="s">
        <v>38</v>
      </c>
      <c r="F215" s="40"/>
      <c r="G215" s="41">
        <f>G216+G217+G218</f>
        <v>0</v>
      </c>
      <c r="H215" s="41">
        <f t="shared" ref="H215:I215" si="372">H216+H217+H218</f>
        <v>0</v>
      </c>
      <c r="I215" s="41">
        <f t="shared" si="372"/>
        <v>0</v>
      </c>
      <c r="J215" s="41">
        <f>J216+J217+J218</f>
        <v>0</v>
      </c>
      <c r="K215" s="41">
        <f t="shared" ref="K215:L215" si="373">K216+K217+K218</f>
        <v>0</v>
      </c>
      <c r="L215" s="41">
        <f t="shared" si="373"/>
        <v>0</v>
      </c>
      <c r="M215" s="41">
        <f>M216+M217+M218</f>
        <v>0</v>
      </c>
      <c r="N215" s="41">
        <f t="shared" ref="N215:O215" si="374">N216+N217+N218</f>
        <v>0</v>
      </c>
      <c r="O215" s="41">
        <f t="shared" si="374"/>
        <v>0</v>
      </c>
      <c r="P215" s="6"/>
    </row>
    <row r="216" spans="1:16" ht="35.25" customHeight="1" x14ac:dyDescent="0.3">
      <c r="A216" s="44"/>
      <c r="B216" s="217"/>
      <c r="C216" s="217"/>
      <c r="D216" s="218"/>
      <c r="E216" s="231"/>
      <c r="F216" s="40" t="s">
        <v>12</v>
      </c>
      <c r="G216" s="41">
        <f>H216+I216</f>
        <v>0</v>
      </c>
      <c r="H216" s="41">
        <v>0</v>
      </c>
      <c r="I216" s="41">
        <v>0</v>
      </c>
      <c r="J216" s="41">
        <f>K216+L216</f>
        <v>0</v>
      </c>
      <c r="K216" s="41">
        <f>84.2-84.2</f>
        <v>0</v>
      </c>
      <c r="L216" s="41">
        <v>0</v>
      </c>
      <c r="M216" s="41">
        <f>N216+O216</f>
        <v>0</v>
      </c>
      <c r="N216" s="41">
        <f>88.4-88.4</f>
        <v>0</v>
      </c>
      <c r="O216" s="41">
        <v>0</v>
      </c>
      <c r="P216" s="6"/>
    </row>
    <row r="217" spans="1:16" ht="35.25" customHeight="1" x14ac:dyDescent="0.3">
      <c r="A217" s="44"/>
      <c r="B217" s="217"/>
      <c r="C217" s="217"/>
      <c r="D217" s="218"/>
      <c r="E217" s="231"/>
      <c r="F217" s="42" t="s">
        <v>13</v>
      </c>
      <c r="G217" s="41">
        <f t="shared" ref="G217:G218" si="375">H217+I217</f>
        <v>0</v>
      </c>
      <c r="H217" s="41"/>
      <c r="I217" s="41"/>
      <c r="J217" s="41">
        <f>K217+L217</f>
        <v>0</v>
      </c>
      <c r="K217" s="41"/>
      <c r="L217" s="41"/>
      <c r="M217" s="41">
        <f t="shared" ref="M217:M218" si="376">N217+O217</f>
        <v>0</v>
      </c>
      <c r="N217" s="41"/>
      <c r="O217" s="41"/>
      <c r="P217" s="6"/>
    </row>
    <row r="218" spans="1:16" ht="35.25" customHeight="1" x14ac:dyDescent="0.3">
      <c r="A218" s="44"/>
      <c r="B218" s="217"/>
      <c r="C218" s="217"/>
      <c r="D218" s="218"/>
      <c r="E218" s="231"/>
      <c r="F218" s="40" t="s">
        <v>14</v>
      </c>
      <c r="G218" s="41">
        <f t="shared" si="375"/>
        <v>0</v>
      </c>
      <c r="H218" s="41"/>
      <c r="I218" s="41"/>
      <c r="J218" s="41">
        <f t="shared" ref="J218" si="377">K218+L218</f>
        <v>0</v>
      </c>
      <c r="K218" s="41"/>
      <c r="L218" s="41"/>
      <c r="M218" s="41">
        <f t="shared" si="376"/>
        <v>0</v>
      </c>
      <c r="N218" s="41"/>
      <c r="O218" s="41"/>
      <c r="P218" s="6"/>
    </row>
    <row r="219" spans="1:16" ht="35.25" customHeight="1" x14ac:dyDescent="0.3">
      <c r="A219" s="44"/>
      <c r="B219" s="217" t="s">
        <v>75</v>
      </c>
      <c r="C219" s="217"/>
      <c r="D219" s="218"/>
      <c r="E219" s="231" t="s">
        <v>38</v>
      </c>
      <c r="F219" s="40"/>
      <c r="G219" s="41">
        <f>G220+G221+G222</f>
        <v>2199.1999999999998</v>
      </c>
      <c r="H219" s="41">
        <f t="shared" ref="H219:I219" si="378">H220+H221+H222</f>
        <v>2199.1999999999998</v>
      </c>
      <c r="I219" s="41">
        <f t="shared" si="378"/>
        <v>0</v>
      </c>
      <c r="J219" s="41">
        <f>J220+J221+J222</f>
        <v>2400</v>
      </c>
      <c r="K219" s="41">
        <f t="shared" ref="K219:L219" si="379">K220+K221+K222</f>
        <v>2400</v>
      </c>
      <c r="L219" s="41">
        <f t="shared" si="379"/>
        <v>0</v>
      </c>
      <c r="M219" s="41">
        <f>M220+M221+M222</f>
        <v>4275.7</v>
      </c>
      <c r="N219" s="41">
        <f t="shared" ref="N219:O219" si="380">N220+N221+N222</f>
        <v>4275.7</v>
      </c>
      <c r="O219" s="41">
        <f t="shared" si="380"/>
        <v>0</v>
      </c>
      <c r="P219" s="6"/>
    </row>
    <row r="220" spans="1:16" ht="35.25" customHeight="1" x14ac:dyDescent="0.3">
      <c r="A220" s="44"/>
      <c r="B220" s="217"/>
      <c r="C220" s="217"/>
      <c r="D220" s="218"/>
      <c r="E220" s="231"/>
      <c r="F220" s="40" t="s">
        <v>12</v>
      </c>
      <c r="G220" s="41">
        <f>H220+I220</f>
        <v>2199.1999999999998</v>
      </c>
      <c r="H220" s="41">
        <v>2199.1999999999998</v>
      </c>
      <c r="I220" s="41">
        <v>0</v>
      </c>
      <c r="J220" s="41">
        <f>K220+L220</f>
        <v>2400</v>
      </c>
      <c r="K220" s="41">
        <f>4072.1-1772.1+100</f>
        <v>2400</v>
      </c>
      <c r="L220" s="41">
        <v>0</v>
      </c>
      <c r="M220" s="41">
        <f>N220+O220</f>
        <v>4275.7</v>
      </c>
      <c r="N220" s="41">
        <v>4275.7</v>
      </c>
      <c r="O220" s="41">
        <v>0</v>
      </c>
      <c r="P220" s="6"/>
    </row>
    <row r="221" spans="1:16" ht="35.25" customHeight="1" x14ac:dyDescent="0.3">
      <c r="A221" s="44"/>
      <c r="B221" s="217"/>
      <c r="C221" s="217"/>
      <c r="D221" s="218"/>
      <c r="E221" s="231"/>
      <c r="F221" s="42" t="s">
        <v>13</v>
      </c>
      <c r="G221" s="41">
        <f t="shared" ref="G221:G222" si="381">H221+I221</f>
        <v>0</v>
      </c>
      <c r="H221" s="41"/>
      <c r="I221" s="41"/>
      <c r="J221" s="41">
        <f>K221+L221</f>
        <v>0</v>
      </c>
      <c r="K221" s="41"/>
      <c r="L221" s="41"/>
      <c r="M221" s="41">
        <f t="shared" ref="M221:M222" si="382">N221+O221</f>
        <v>0</v>
      </c>
      <c r="N221" s="41"/>
      <c r="O221" s="41"/>
      <c r="P221" s="6"/>
    </row>
    <row r="222" spans="1:16" ht="35.25" customHeight="1" x14ac:dyDescent="0.3">
      <c r="A222" s="44"/>
      <c r="B222" s="217"/>
      <c r="C222" s="217"/>
      <c r="D222" s="218"/>
      <c r="E222" s="231"/>
      <c r="F222" s="40" t="s">
        <v>14</v>
      </c>
      <c r="G222" s="41">
        <f t="shared" si="381"/>
        <v>0</v>
      </c>
      <c r="H222" s="41"/>
      <c r="I222" s="41"/>
      <c r="J222" s="41">
        <f t="shared" ref="J222" si="383">K222+L222</f>
        <v>0</v>
      </c>
      <c r="K222" s="41"/>
      <c r="L222" s="41"/>
      <c r="M222" s="41">
        <f t="shared" si="382"/>
        <v>0</v>
      </c>
      <c r="N222" s="41"/>
      <c r="O222" s="41"/>
      <c r="P222" s="6"/>
    </row>
    <row r="223" spans="1:16" ht="35.25" customHeight="1" x14ac:dyDescent="0.3">
      <c r="A223" s="44"/>
      <c r="B223" s="217" t="s">
        <v>76</v>
      </c>
      <c r="C223" s="217"/>
      <c r="D223" s="218"/>
      <c r="E223" s="231" t="s">
        <v>38</v>
      </c>
      <c r="F223" s="40"/>
      <c r="G223" s="41">
        <f>G224+G225+G226</f>
        <v>1636.6</v>
      </c>
      <c r="H223" s="41">
        <f t="shared" ref="H223:I223" si="384">H224+H225+H226</f>
        <v>1636.6</v>
      </c>
      <c r="I223" s="41">
        <f t="shared" si="384"/>
        <v>0</v>
      </c>
      <c r="J223" s="41">
        <f>J224+J225+J226</f>
        <v>1779.9999999999998</v>
      </c>
      <c r="K223" s="41">
        <f t="shared" ref="K223:L223" si="385">K224+K225+K226</f>
        <v>1779.9999999999998</v>
      </c>
      <c r="L223" s="41">
        <f t="shared" si="385"/>
        <v>0</v>
      </c>
      <c r="M223" s="41">
        <f>M224+M225+M226</f>
        <v>2500</v>
      </c>
      <c r="N223" s="41">
        <f t="shared" ref="N223:O223" si="386">N224+N225+N226</f>
        <v>2500</v>
      </c>
      <c r="O223" s="41">
        <f t="shared" si="386"/>
        <v>0</v>
      </c>
      <c r="P223" s="6"/>
    </row>
    <row r="224" spans="1:16" ht="35.25" customHeight="1" x14ac:dyDescent="0.3">
      <c r="A224" s="44"/>
      <c r="B224" s="217"/>
      <c r="C224" s="217"/>
      <c r="D224" s="218"/>
      <c r="E224" s="231"/>
      <c r="F224" s="40" t="s">
        <v>12</v>
      </c>
      <c r="G224" s="41">
        <f>H224+I224</f>
        <v>1636.6</v>
      </c>
      <c r="H224" s="41">
        <v>1636.6</v>
      </c>
      <c r="I224" s="41">
        <v>0</v>
      </c>
      <c r="J224" s="41">
        <f>K224+L224</f>
        <v>1779.9999999999998</v>
      </c>
      <c r="K224" s="41">
        <f>2289.7-539.7+30</f>
        <v>1779.9999999999998</v>
      </c>
      <c r="L224" s="41">
        <v>0</v>
      </c>
      <c r="M224" s="41">
        <f>N224+O224</f>
        <v>2500</v>
      </c>
      <c r="N224" s="41">
        <f>2404.2+95.8</f>
        <v>2500</v>
      </c>
      <c r="O224" s="41">
        <v>0</v>
      </c>
      <c r="P224" s="6"/>
    </row>
    <row r="225" spans="1:16" ht="35.25" customHeight="1" x14ac:dyDescent="0.3">
      <c r="A225" s="44"/>
      <c r="B225" s="217"/>
      <c r="C225" s="217"/>
      <c r="D225" s="218"/>
      <c r="E225" s="231"/>
      <c r="F225" s="42" t="s">
        <v>13</v>
      </c>
      <c r="G225" s="41">
        <f t="shared" ref="G225:G226" si="387">H225+I225</f>
        <v>0</v>
      </c>
      <c r="H225" s="41"/>
      <c r="I225" s="41"/>
      <c r="J225" s="41">
        <f>K225+L225</f>
        <v>0</v>
      </c>
      <c r="K225" s="41"/>
      <c r="L225" s="41"/>
      <c r="M225" s="41">
        <f t="shared" ref="M225:M226" si="388">N225+O225</f>
        <v>0</v>
      </c>
      <c r="N225" s="41"/>
      <c r="O225" s="41"/>
      <c r="P225" s="6"/>
    </row>
    <row r="226" spans="1:16" ht="35.25" customHeight="1" x14ac:dyDescent="0.3">
      <c r="A226" s="44"/>
      <c r="B226" s="217"/>
      <c r="C226" s="217"/>
      <c r="D226" s="218"/>
      <c r="E226" s="231"/>
      <c r="F226" s="40" t="s">
        <v>14</v>
      </c>
      <c r="G226" s="41">
        <f t="shared" si="387"/>
        <v>0</v>
      </c>
      <c r="H226" s="41"/>
      <c r="I226" s="41"/>
      <c r="J226" s="41">
        <f t="shared" ref="J226" si="389">K226+L226</f>
        <v>0</v>
      </c>
      <c r="K226" s="41"/>
      <c r="L226" s="41"/>
      <c r="M226" s="41">
        <f t="shared" si="388"/>
        <v>0</v>
      </c>
      <c r="N226" s="41"/>
      <c r="O226" s="41"/>
      <c r="P226" s="6"/>
    </row>
    <row r="227" spans="1:16" ht="35.25" customHeight="1" x14ac:dyDescent="0.3">
      <c r="A227" s="44"/>
      <c r="B227" s="217" t="s">
        <v>77</v>
      </c>
      <c r="C227" s="217"/>
      <c r="D227" s="218"/>
      <c r="E227" s="231" t="s">
        <v>38</v>
      </c>
      <c r="F227" s="40"/>
      <c r="G227" s="41">
        <f>G228+G229+G230</f>
        <v>510</v>
      </c>
      <c r="H227" s="41">
        <f t="shared" ref="H227:I227" si="390">H228+H229+H230</f>
        <v>510</v>
      </c>
      <c r="I227" s="41">
        <f t="shared" si="390"/>
        <v>0</v>
      </c>
      <c r="J227" s="41">
        <f>J228+J229+J230</f>
        <v>600</v>
      </c>
      <c r="K227" s="41">
        <f t="shared" ref="K227:L227" si="391">K228+K229+K230</f>
        <v>600</v>
      </c>
      <c r="L227" s="41">
        <f t="shared" si="391"/>
        <v>0</v>
      </c>
      <c r="M227" s="41">
        <f>M228+M229+M230</f>
        <v>630</v>
      </c>
      <c r="N227" s="41">
        <f t="shared" ref="N227:O227" si="392">N228+N229+N230</f>
        <v>630</v>
      </c>
      <c r="O227" s="41">
        <f t="shared" si="392"/>
        <v>0</v>
      </c>
      <c r="P227" s="6"/>
    </row>
    <row r="228" spans="1:16" ht="35.25" customHeight="1" x14ac:dyDescent="0.3">
      <c r="A228" s="44"/>
      <c r="B228" s="217"/>
      <c r="C228" s="217"/>
      <c r="D228" s="218"/>
      <c r="E228" s="231"/>
      <c r="F228" s="40" t="s">
        <v>12</v>
      </c>
      <c r="G228" s="41">
        <f>H228+I228</f>
        <v>510</v>
      </c>
      <c r="H228" s="41">
        <v>510</v>
      </c>
      <c r="I228" s="41">
        <v>0</v>
      </c>
      <c r="J228" s="41">
        <f>K228+L228</f>
        <v>600</v>
      </c>
      <c r="K228" s="41">
        <v>600</v>
      </c>
      <c r="L228" s="41">
        <v>0</v>
      </c>
      <c r="M228" s="41">
        <f>N228+O228</f>
        <v>630</v>
      </c>
      <c r="N228" s="41">
        <v>630</v>
      </c>
      <c r="O228" s="41">
        <v>0</v>
      </c>
      <c r="P228" s="6"/>
    </row>
    <row r="229" spans="1:16" ht="35.25" customHeight="1" x14ac:dyDescent="0.3">
      <c r="A229" s="44"/>
      <c r="B229" s="217"/>
      <c r="C229" s="217"/>
      <c r="D229" s="218"/>
      <c r="E229" s="231"/>
      <c r="F229" s="42" t="s">
        <v>13</v>
      </c>
      <c r="G229" s="41">
        <f t="shared" ref="G229:G230" si="393">H229+I229</f>
        <v>0</v>
      </c>
      <c r="H229" s="41"/>
      <c r="I229" s="41"/>
      <c r="J229" s="41">
        <f>K229+L229</f>
        <v>0</v>
      </c>
      <c r="K229" s="41"/>
      <c r="L229" s="41"/>
      <c r="M229" s="41">
        <f t="shared" ref="M229:M230" si="394">N229+O229</f>
        <v>0</v>
      </c>
      <c r="N229" s="41"/>
      <c r="O229" s="41"/>
      <c r="P229" s="6"/>
    </row>
    <row r="230" spans="1:16" ht="35.25" customHeight="1" x14ac:dyDescent="0.3">
      <c r="A230" s="44"/>
      <c r="B230" s="217"/>
      <c r="C230" s="217"/>
      <c r="D230" s="218"/>
      <c r="E230" s="231"/>
      <c r="F230" s="40" t="s">
        <v>14</v>
      </c>
      <c r="G230" s="41">
        <f t="shared" si="393"/>
        <v>0</v>
      </c>
      <c r="H230" s="41"/>
      <c r="I230" s="41"/>
      <c r="J230" s="41">
        <f t="shared" ref="J230" si="395">K230+L230</f>
        <v>0</v>
      </c>
      <c r="K230" s="41"/>
      <c r="L230" s="41"/>
      <c r="M230" s="41">
        <f t="shared" si="394"/>
        <v>0</v>
      </c>
      <c r="N230" s="41"/>
      <c r="O230" s="41"/>
      <c r="P230" s="6"/>
    </row>
    <row r="231" spans="1:16" ht="35.25" customHeight="1" x14ac:dyDescent="0.3">
      <c r="A231" s="44"/>
      <c r="B231" s="217" t="s">
        <v>78</v>
      </c>
      <c r="C231" s="217"/>
      <c r="D231" s="218"/>
      <c r="E231" s="231" t="s">
        <v>38</v>
      </c>
      <c r="F231" s="40"/>
      <c r="G231" s="41">
        <f>G232+G233+G234</f>
        <v>4569</v>
      </c>
      <c r="H231" s="41">
        <f t="shared" ref="H231:I231" si="396">H232+H233+H234</f>
        <v>4569</v>
      </c>
      <c r="I231" s="41">
        <f t="shared" si="396"/>
        <v>0</v>
      </c>
      <c r="J231" s="41">
        <f>J232+J233+J234</f>
        <v>1950</v>
      </c>
      <c r="K231" s="41">
        <f t="shared" ref="K231:L231" si="397">K232+K233+K234</f>
        <v>1950</v>
      </c>
      <c r="L231" s="41">
        <f t="shared" si="397"/>
        <v>0</v>
      </c>
      <c r="M231" s="41">
        <f>M232+M233+M234</f>
        <v>3197</v>
      </c>
      <c r="N231" s="41">
        <f t="shared" ref="N231:O231" si="398">N232+N233+N234</f>
        <v>3197</v>
      </c>
      <c r="O231" s="41">
        <f t="shared" si="398"/>
        <v>0</v>
      </c>
      <c r="P231" s="6"/>
    </row>
    <row r="232" spans="1:16" ht="35.25" customHeight="1" x14ac:dyDescent="0.3">
      <c r="A232" s="44"/>
      <c r="B232" s="217"/>
      <c r="C232" s="217"/>
      <c r="D232" s="218"/>
      <c r="E232" s="231"/>
      <c r="F232" s="40" t="s">
        <v>12</v>
      </c>
      <c r="G232" s="41">
        <f>H232+I232</f>
        <v>4569</v>
      </c>
      <c r="H232" s="41">
        <v>4569</v>
      </c>
      <c r="I232" s="41">
        <v>0</v>
      </c>
      <c r="J232" s="41">
        <f>K232+L232</f>
        <v>1950</v>
      </c>
      <c r="K232" s="41">
        <f>2568.6-618.6</f>
        <v>1950</v>
      </c>
      <c r="L232" s="41">
        <v>0</v>
      </c>
      <c r="M232" s="41">
        <f>N232+O232</f>
        <v>3197</v>
      </c>
      <c r="N232" s="41">
        <f>2697+500</f>
        <v>3197</v>
      </c>
      <c r="O232" s="41">
        <v>0</v>
      </c>
      <c r="P232" s="6"/>
    </row>
    <row r="233" spans="1:16" ht="35.25" customHeight="1" x14ac:dyDescent="0.3">
      <c r="A233" s="44"/>
      <c r="B233" s="217"/>
      <c r="C233" s="217"/>
      <c r="D233" s="218"/>
      <c r="E233" s="231"/>
      <c r="F233" s="42" t="s">
        <v>13</v>
      </c>
      <c r="G233" s="41">
        <f t="shared" ref="G233:G234" si="399">H233+I233</f>
        <v>0</v>
      </c>
      <c r="H233" s="41"/>
      <c r="I233" s="41"/>
      <c r="J233" s="41">
        <f>K233+L233</f>
        <v>0</v>
      </c>
      <c r="K233" s="41"/>
      <c r="L233" s="41"/>
      <c r="M233" s="41">
        <f t="shared" ref="M233:M234" si="400">N233+O233</f>
        <v>0</v>
      </c>
      <c r="N233" s="41"/>
      <c r="O233" s="41"/>
      <c r="P233" s="6"/>
    </row>
    <row r="234" spans="1:16" ht="35.25" customHeight="1" x14ac:dyDescent="0.3">
      <c r="A234" s="44"/>
      <c r="B234" s="217"/>
      <c r="C234" s="217"/>
      <c r="D234" s="218"/>
      <c r="E234" s="231"/>
      <c r="F234" s="40" t="s">
        <v>14</v>
      </c>
      <c r="G234" s="41">
        <f t="shared" si="399"/>
        <v>0</v>
      </c>
      <c r="H234" s="41"/>
      <c r="I234" s="41"/>
      <c r="J234" s="41">
        <f t="shared" ref="J234" si="401">K234+L234</f>
        <v>0</v>
      </c>
      <c r="K234" s="41"/>
      <c r="L234" s="41"/>
      <c r="M234" s="41">
        <f t="shared" si="400"/>
        <v>0</v>
      </c>
      <c r="N234" s="41"/>
      <c r="O234" s="41"/>
      <c r="P234" s="6"/>
    </row>
    <row r="235" spans="1:16" ht="35.25" customHeight="1" x14ac:dyDescent="0.3">
      <c r="A235" s="44"/>
      <c r="B235" s="217" t="s">
        <v>79</v>
      </c>
      <c r="C235" s="217"/>
      <c r="D235" s="218"/>
      <c r="E235" s="231" t="s">
        <v>38</v>
      </c>
      <c r="F235" s="40"/>
      <c r="G235" s="41">
        <f>G236+G237+G238</f>
        <v>423</v>
      </c>
      <c r="H235" s="41">
        <f t="shared" ref="H235:I235" si="402">H236+H237+H238</f>
        <v>423</v>
      </c>
      <c r="I235" s="41">
        <f t="shared" si="402"/>
        <v>0</v>
      </c>
      <c r="J235" s="41">
        <f>J236+J237+J238</f>
        <v>0</v>
      </c>
      <c r="K235" s="41">
        <f t="shared" ref="K235:L235" si="403">K236+K237+K238</f>
        <v>0</v>
      </c>
      <c r="L235" s="41">
        <f t="shared" si="403"/>
        <v>0</v>
      </c>
      <c r="M235" s="41">
        <f>M236+M237+M238</f>
        <v>500</v>
      </c>
      <c r="N235" s="41">
        <f t="shared" ref="N235:O235" si="404">N236+N237+N238</f>
        <v>500</v>
      </c>
      <c r="O235" s="41">
        <f t="shared" si="404"/>
        <v>0</v>
      </c>
      <c r="P235" s="6"/>
    </row>
    <row r="236" spans="1:16" ht="35.25" customHeight="1" x14ac:dyDescent="0.3">
      <c r="A236" s="44"/>
      <c r="B236" s="217"/>
      <c r="C236" s="217"/>
      <c r="D236" s="218"/>
      <c r="E236" s="231"/>
      <c r="F236" s="40" t="s">
        <v>12</v>
      </c>
      <c r="G236" s="41">
        <f>H236+I236</f>
        <v>423</v>
      </c>
      <c r="H236" s="41">
        <v>423</v>
      </c>
      <c r="I236" s="41">
        <v>0</v>
      </c>
      <c r="J236" s="41">
        <f>K236+L236</f>
        <v>0</v>
      </c>
      <c r="K236" s="41">
        <f>400-400</f>
        <v>0</v>
      </c>
      <c r="L236" s="41">
        <v>0</v>
      </c>
      <c r="M236" s="41">
        <f>N236+O236</f>
        <v>500</v>
      </c>
      <c r="N236" s="41">
        <f>390+110</f>
        <v>500</v>
      </c>
      <c r="O236" s="41">
        <v>0</v>
      </c>
      <c r="P236" s="6"/>
    </row>
    <row r="237" spans="1:16" ht="35.25" customHeight="1" x14ac:dyDescent="0.3">
      <c r="A237" s="44"/>
      <c r="B237" s="217"/>
      <c r="C237" s="217"/>
      <c r="D237" s="218"/>
      <c r="E237" s="231"/>
      <c r="F237" s="42" t="s">
        <v>13</v>
      </c>
      <c r="G237" s="41">
        <f t="shared" ref="G237:G238" si="405">H237+I237</f>
        <v>0</v>
      </c>
      <c r="H237" s="41"/>
      <c r="I237" s="41"/>
      <c r="J237" s="41">
        <f>K237+L237</f>
        <v>0</v>
      </c>
      <c r="K237" s="41"/>
      <c r="L237" s="41"/>
      <c r="M237" s="41">
        <f t="shared" ref="M237:M238" si="406">N237+O237</f>
        <v>0</v>
      </c>
      <c r="N237" s="41"/>
      <c r="O237" s="41"/>
      <c r="P237" s="6"/>
    </row>
    <row r="238" spans="1:16" ht="35.25" customHeight="1" x14ac:dyDescent="0.3">
      <c r="A238" s="44"/>
      <c r="B238" s="217"/>
      <c r="C238" s="217"/>
      <c r="D238" s="218"/>
      <c r="E238" s="231"/>
      <c r="F238" s="40" t="s">
        <v>14</v>
      </c>
      <c r="G238" s="41">
        <f t="shared" si="405"/>
        <v>0</v>
      </c>
      <c r="H238" s="41"/>
      <c r="I238" s="41"/>
      <c r="J238" s="41">
        <f t="shared" ref="J238" si="407">K238+L238</f>
        <v>0</v>
      </c>
      <c r="K238" s="41"/>
      <c r="L238" s="41"/>
      <c r="M238" s="41">
        <f t="shared" si="406"/>
        <v>0</v>
      </c>
      <c r="N238" s="41"/>
      <c r="O238" s="41"/>
      <c r="P238" s="6"/>
    </row>
    <row r="239" spans="1:16" ht="35.25" customHeight="1" x14ac:dyDescent="0.3">
      <c r="A239" s="44"/>
      <c r="B239" s="217" t="s">
        <v>80</v>
      </c>
      <c r="C239" s="217"/>
      <c r="D239" s="218"/>
      <c r="E239" s="231" t="s">
        <v>38</v>
      </c>
      <c r="F239" s="40"/>
      <c r="G239" s="41">
        <f>G240+G241+G242</f>
        <v>121.9</v>
      </c>
      <c r="H239" s="41">
        <f t="shared" ref="H239:I239" si="408">H240+H241+H242</f>
        <v>121.9</v>
      </c>
      <c r="I239" s="41">
        <f t="shared" si="408"/>
        <v>0</v>
      </c>
      <c r="J239" s="41">
        <f>J240+J241+J242</f>
        <v>0</v>
      </c>
      <c r="K239" s="41">
        <f t="shared" ref="K239:L239" si="409">K240+K241+K242</f>
        <v>0</v>
      </c>
      <c r="L239" s="41">
        <f t="shared" si="409"/>
        <v>0</v>
      </c>
      <c r="M239" s="41">
        <f>M240+M241+M242</f>
        <v>592</v>
      </c>
      <c r="N239" s="41">
        <f t="shared" ref="N239:O239" si="410">N240+N241+N242</f>
        <v>592</v>
      </c>
      <c r="O239" s="41">
        <f t="shared" si="410"/>
        <v>0</v>
      </c>
      <c r="P239" s="6"/>
    </row>
    <row r="240" spans="1:16" ht="35.25" customHeight="1" x14ac:dyDescent="0.3">
      <c r="A240" s="44"/>
      <c r="B240" s="217"/>
      <c r="C240" s="217"/>
      <c r="D240" s="218"/>
      <c r="E240" s="231"/>
      <c r="F240" s="40" t="s">
        <v>12</v>
      </c>
      <c r="G240" s="41">
        <f>H240+I240</f>
        <v>121.9</v>
      </c>
      <c r="H240" s="41">
        <v>121.9</v>
      </c>
      <c r="I240" s="41">
        <v>0</v>
      </c>
      <c r="J240" s="41">
        <f>K240+L240</f>
        <v>0</v>
      </c>
      <c r="K240" s="41">
        <f>564.3-564.3</f>
        <v>0</v>
      </c>
      <c r="L240" s="41">
        <v>0</v>
      </c>
      <c r="M240" s="41">
        <f>N240+O240</f>
        <v>592</v>
      </c>
      <c r="N240" s="41">
        <v>592</v>
      </c>
      <c r="O240" s="41">
        <v>0</v>
      </c>
      <c r="P240" s="6"/>
    </row>
    <row r="241" spans="1:16" ht="35.25" customHeight="1" x14ac:dyDescent="0.3">
      <c r="A241" s="44"/>
      <c r="B241" s="217"/>
      <c r="C241" s="217"/>
      <c r="D241" s="218"/>
      <c r="E241" s="231"/>
      <c r="F241" s="42" t="s">
        <v>13</v>
      </c>
      <c r="G241" s="41">
        <f t="shared" ref="G241:G242" si="411">H241+I241</f>
        <v>0</v>
      </c>
      <c r="H241" s="41"/>
      <c r="I241" s="41"/>
      <c r="J241" s="41">
        <f>K241+L241</f>
        <v>0</v>
      </c>
      <c r="K241" s="41"/>
      <c r="L241" s="41"/>
      <c r="M241" s="41">
        <f t="shared" ref="M241:M242" si="412">N241+O241</f>
        <v>0</v>
      </c>
      <c r="N241" s="41"/>
      <c r="O241" s="41"/>
      <c r="P241" s="6"/>
    </row>
    <row r="242" spans="1:16" ht="35.25" customHeight="1" x14ac:dyDescent="0.3">
      <c r="A242" s="44"/>
      <c r="B242" s="217"/>
      <c r="C242" s="217"/>
      <c r="D242" s="218"/>
      <c r="E242" s="231"/>
      <c r="F242" s="40" t="s">
        <v>14</v>
      </c>
      <c r="G242" s="41">
        <f t="shared" si="411"/>
        <v>0</v>
      </c>
      <c r="H242" s="41"/>
      <c r="I242" s="41"/>
      <c r="J242" s="41">
        <f t="shared" ref="J242" si="413">K242+L242</f>
        <v>0</v>
      </c>
      <c r="K242" s="41"/>
      <c r="L242" s="41"/>
      <c r="M242" s="41">
        <f t="shared" si="412"/>
        <v>0</v>
      </c>
      <c r="N242" s="41"/>
      <c r="O242" s="41"/>
      <c r="P242" s="6"/>
    </row>
    <row r="243" spans="1:16" ht="35.25" customHeight="1" x14ac:dyDescent="0.3">
      <c r="A243" s="44"/>
      <c r="B243" s="217" t="s">
        <v>81</v>
      </c>
      <c r="C243" s="217"/>
      <c r="D243" s="218"/>
      <c r="E243" s="231" t="s">
        <v>38</v>
      </c>
      <c r="F243" s="40"/>
      <c r="G243" s="41">
        <f>G244+G245+G246</f>
        <v>340</v>
      </c>
      <c r="H243" s="41">
        <f t="shared" ref="H243:I243" si="414">H244+H245+H246</f>
        <v>340</v>
      </c>
      <c r="I243" s="41">
        <f t="shared" si="414"/>
        <v>0</v>
      </c>
      <c r="J243" s="41">
        <f>J244+J245+J246</f>
        <v>426</v>
      </c>
      <c r="K243" s="41">
        <f t="shared" ref="K243:L243" si="415">K244+K245+K246</f>
        <v>426</v>
      </c>
      <c r="L243" s="41">
        <f t="shared" si="415"/>
        <v>0</v>
      </c>
      <c r="M243" s="41">
        <f>M244+M245+M246</f>
        <v>800</v>
      </c>
      <c r="N243" s="41">
        <f t="shared" ref="N243:O243" si="416">N244+N245+N246</f>
        <v>800</v>
      </c>
      <c r="O243" s="41">
        <f t="shared" si="416"/>
        <v>0</v>
      </c>
      <c r="P243" s="6"/>
    </row>
    <row r="244" spans="1:16" ht="35.25" customHeight="1" x14ac:dyDescent="0.3">
      <c r="A244" s="44"/>
      <c r="B244" s="217"/>
      <c r="C244" s="217"/>
      <c r="D244" s="218"/>
      <c r="E244" s="231"/>
      <c r="F244" s="40" t="s">
        <v>12</v>
      </c>
      <c r="G244" s="41">
        <f>H244+I244</f>
        <v>340</v>
      </c>
      <c r="H244" s="41">
        <v>340</v>
      </c>
      <c r="I244" s="41">
        <v>0</v>
      </c>
      <c r="J244" s="41">
        <f>K244+L244</f>
        <v>426</v>
      </c>
      <c r="K244" s="41">
        <f>586-160</f>
        <v>426</v>
      </c>
      <c r="L244" s="41">
        <v>0</v>
      </c>
      <c r="M244" s="41">
        <f>N244+O244</f>
        <v>800</v>
      </c>
      <c r="N244" s="41">
        <f>401.2+98.8+300</f>
        <v>800</v>
      </c>
      <c r="O244" s="41">
        <v>0</v>
      </c>
      <c r="P244" s="6"/>
    </row>
    <row r="245" spans="1:16" ht="35.25" customHeight="1" x14ac:dyDescent="0.3">
      <c r="A245" s="44"/>
      <c r="B245" s="217"/>
      <c r="C245" s="217"/>
      <c r="D245" s="218"/>
      <c r="E245" s="231"/>
      <c r="F245" s="42" t="s">
        <v>13</v>
      </c>
      <c r="G245" s="41">
        <f t="shared" ref="G245:G246" si="417">H245+I245</f>
        <v>0</v>
      </c>
      <c r="H245" s="41"/>
      <c r="I245" s="41"/>
      <c r="J245" s="41">
        <f>K245+L245</f>
        <v>0</v>
      </c>
      <c r="K245" s="41"/>
      <c r="L245" s="41"/>
      <c r="M245" s="41">
        <f t="shared" ref="M245:M246" si="418">N245+O245</f>
        <v>0</v>
      </c>
      <c r="N245" s="41"/>
      <c r="O245" s="41"/>
      <c r="P245" s="6"/>
    </row>
    <row r="246" spans="1:16" ht="35.25" customHeight="1" x14ac:dyDescent="0.3">
      <c r="A246" s="44"/>
      <c r="B246" s="217"/>
      <c r="C246" s="217"/>
      <c r="D246" s="218"/>
      <c r="E246" s="231"/>
      <c r="F246" s="40" t="s">
        <v>14</v>
      </c>
      <c r="G246" s="41">
        <f t="shared" si="417"/>
        <v>0</v>
      </c>
      <c r="H246" s="41"/>
      <c r="I246" s="41"/>
      <c r="J246" s="41">
        <f t="shared" ref="J246" si="419">K246+L246</f>
        <v>0</v>
      </c>
      <c r="K246" s="41"/>
      <c r="L246" s="41"/>
      <c r="M246" s="41">
        <f t="shared" si="418"/>
        <v>0</v>
      </c>
      <c r="N246" s="41"/>
      <c r="O246" s="41"/>
      <c r="P246" s="6"/>
    </row>
    <row r="247" spans="1:16" ht="35.25" customHeight="1" x14ac:dyDescent="0.3">
      <c r="A247" s="44"/>
      <c r="B247" s="221" t="s">
        <v>82</v>
      </c>
      <c r="C247" s="222"/>
      <c r="D247" s="227" t="s">
        <v>63</v>
      </c>
      <c r="E247" s="266" t="s">
        <v>38</v>
      </c>
      <c r="F247" s="45"/>
      <c r="G247" s="46">
        <f t="shared" ref="G247:O247" si="420">G248+G249+G250</f>
        <v>1168.2</v>
      </c>
      <c r="H247" s="46">
        <f t="shared" si="420"/>
        <v>1168.2</v>
      </c>
      <c r="I247" s="46">
        <f t="shared" si="420"/>
        <v>0</v>
      </c>
      <c r="J247" s="46">
        <f t="shared" si="420"/>
        <v>1200</v>
      </c>
      <c r="K247" s="46">
        <f t="shared" si="420"/>
        <v>1200</v>
      </c>
      <c r="L247" s="46">
        <f t="shared" si="420"/>
        <v>0</v>
      </c>
      <c r="M247" s="46">
        <f t="shared" si="420"/>
        <v>2142</v>
      </c>
      <c r="N247" s="46">
        <f t="shared" si="420"/>
        <v>2142</v>
      </c>
      <c r="O247" s="46">
        <f t="shared" si="420"/>
        <v>0</v>
      </c>
      <c r="P247" s="6"/>
    </row>
    <row r="248" spans="1:16" ht="35.25" customHeight="1" x14ac:dyDescent="0.3">
      <c r="A248" s="44"/>
      <c r="B248" s="223"/>
      <c r="C248" s="224"/>
      <c r="D248" s="228"/>
      <c r="E248" s="267"/>
      <c r="F248" s="47" t="s">
        <v>12</v>
      </c>
      <c r="G248" s="28">
        <f>H248+I248</f>
        <v>1168.2</v>
      </c>
      <c r="H248" s="28">
        <v>1168.2</v>
      </c>
      <c r="I248" s="28">
        <v>0</v>
      </c>
      <c r="J248" s="28">
        <f>K248+L248</f>
        <v>1200</v>
      </c>
      <c r="K248" s="28">
        <f>1607.9-407.9</f>
        <v>1200</v>
      </c>
      <c r="L248" s="28">
        <v>0</v>
      </c>
      <c r="M248" s="28">
        <f>N248+O248</f>
        <v>2142</v>
      </c>
      <c r="N248" s="28">
        <f>1708.3+433.7</f>
        <v>2142</v>
      </c>
      <c r="O248" s="28">
        <v>0</v>
      </c>
      <c r="P248" s="6"/>
    </row>
    <row r="249" spans="1:16" ht="35.25" customHeight="1" x14ac:dyDescent="0.3">
      <c r="A249" s="44"/>
      <c r="B249" s="223"/>
      <c r="C249" s="224"/>
      <c r="D249" s="228"/>
      <c r="E249" s="267"/>
      <c r="F249" s="48" t="s">
        <v>13</v>
      </c>
      <c r="G249" s="28">
        <f t="shared" ref="G249:G250" si="421">H249+I249</f>
        <v>0</v>
      </c>
      <c r="H249" s="28">
        <f t="shared" ref="H249:I249" si="422">H253+H257</f>
        <v>0</v>
      </c>
      <c r="I249" s="28">
        <f t="shared" si="422"/>
        <v>0</v>
      </c>
      <c r="J249" s="28">
        <f t="shared" ref="J249:J250" si="423">K249+L249</f>
        <v>0</v>
      </c>
      <c r="K249" s="28">
        <f t="shared" ref="K249:L249" si="424">K253+K257</f>
        <v>0</v>
      </c>
      <c r="L249" s="28">
        <f t="shared" si="424"/>
        <v>0</v>
      </c>
      <c r="M249" s="28">
        <f t="shared" ref="M249:M250" si="425">N249+O249</f>
        <v>0</v>
      </c>
      <c r="N249" s="28">
        <f t="shared" ref="N249:O249" si="426">N253+N257</f>
        <v>0</v>
      </c>
      <c r="O249" s="28">
        <f t="shared" si="426"/>
        <v>0</v>
      </c>
      <c r="P249" s="6"/>
    </row>
    <row r="250" spans="1:16" ht="35.25" customHeight="1" x14ac:dyDescent="0.3">
      <c r="A250" s="44"/>
      <c r="B250" s="225"/>
      <c r="C250" s="226"/>
      <c r="D250" s="229"/>
      <c r="E250" s="268"/>
      <c r="F250" s="47" t="s">
        <v>14</v>
      </c>
      <c r="G250" s="28">
        <f t="shared" si="421"/>
        <v>0</v>
      </c>
      <c r="H250" s="28">
        <f t="shared" ref="H250:I250" si="427">H254+H258</f>
        <v>0</v>
      </c>
      <c r="I250" s="28">
        <f t="shared" si="427"/>
        <v>0</v>
      </c>
      <c r="J250" s="28">
        <f t="shared" si="423"/>
        <v>0</v>
      </c>
      <c r="K250" s="28">
        <f t="shared" ref="K250:L250" si="428">K254+K258</f>
        <v>0</v>
      </c>
      <c r="L250" s="28">
        <f t="shared" si="428"/>
        <v>0</v>
      </c>
      <c r="M250" s="28">
        <f t="shared" si="425"/>
        <v>0</v>
      </c>
      <c r="N250" s="28">
        <f t="shared" ref="N250:O250" si="429">N254+N258</f>
        <v>0</v>
      </c>
      <c r="O250" s="28">
        <f t="shared" si="429"/>
        <v>0</v>
      </c>
      <c r="P250" s="6"/>
    </row>
    <row r="251" spans="1:16" ht="35.25" customHeight="1" x14ac:dyDescent="0.3">
      <c r="A251" s="44"/>
      <c r="B251" s="221" t="s">
        <v>83</v>
      </c>
      <c r="C251" s="222"/>
      <c r="D251" s="227" t="s">
        <v>604</v>
      </c>
      <c r="E251" s="266" t="s">
        <v>38</v>
      </c>
      <c r="F251" s="45"/>
      <c r="G251" s="46">
        <f t="shared" ref="G251:M251" si="430">G252+G253+G254</f>
        <v>7100</v>
      </c>
      <c r="H251" s="46">
        <f>H252+H253+H254</f>
        <v>0</v>
      </c>
      <c r="I251" s="46">
        <f>I252+I253+I254</f>
        <v>7100</v>
      </c>
      <c r="J251" s="46">
        <f t="shared" si="430"/>
        <v>100</v>
      </c>
      <c r="K251" s="46">
        <f>K252+K253+K254</f>
        <v>0</v>
      </c>
      <c r="L251" s="46">
        <f>L252+L253+L254</f>
        <v>100</v>
      </c>
      <c r="M251" s="46">
        <f t="shared" si="430"/>
        <v>25498</v>
      </c>
      <c r="N251" s="46">
        <f>N252+N253+N254</f>
        <v>0</v>
      </c>
      <c r="O251" s="46">
        <f>O252+O253+O254</f>
        <v>25498</v>
      </c>
      <c r="P251" s="6"/>
    </row>
    <row r="252" spans="1:16" ht="35.25" customHeight="1" x14ac:dyDescent="0.3">
      <c r="A252" s="44"/>
      <c r="B252" s="223"/>
      <c r="C252" s="224"/>
      <c r="D252" s="228"/>
      <c r="E252" s="267"/>
      <c r="F252" s="47" t="s">
        <v>12</v>
      </c>
      <c r="G252" s="28">
        <f>H252+I252</f>
        <v>7100</v>
      </c>
      <c r="H252" s="28">
        <v>0</v>
      </c>
      <c r="I252" s="28">
        <v>7100</v>
      </c>
      <c r="J252" s="28">
        <f>K252+L252</f>
        <v>100</v>
      </c>
      <c r="K252" s="28">
        <v>0</v>
      </c>
      <c r="L252" s="28">
        <f>16379.1-16279.1</f>
        <v>100</v>
      </c>
      <c r="M252" s="28">
        <f>N252+O252</f>
        <v>25498</v>
      </c>
      <c r="N252" s="28">
        <v>0</v>
      </c>
      <c r="O252" s="28">
        <f>17498+8000</f>
        <v>25498</v>
      </c>
      <c r="P252" s="6"/>
    </row>
    <row r="253" spans="1:16" ht="35.25" customHeight="1" x14ac:dyDescent="0.3">
      <c r="A253" s="44"/>
      <c r="B253" s="223"/>
      <c r="C253" s="224"/>
      <c r="D253" s="228"/>
      <c r="E253" s="267"/>
      <c r="F253" s="48" t="s">
        <v>13</v>
      </c>
      <c r="G253" s="28">
        <f t="shared" ref="G253:G254" si="431">H253+I253</f>
        <v>0</v>
      </c>
      <c r="H253" s="28">
        <f t="shared" ref="H253:I253" si="432">H257+H261</f>
        <v>0</v>
      </c>
      <c r="I253" s="28">
        <f t="shared" si="432"/>
        <v>0</v>
      </c>
      <c r="J253" s="28">
        <f t="shared" ref="J253:J254" si="433">K253+L253</f>
        <v>0</v>
      </c>
      <c r="K253" s="28">
        <f t="shared" ref="K253:L253" si="434">K257+K261</f>
        <v>0</v>
      </c>
      <c r="L253" s="28">
        <f t="shared" si="434"/>
        <v>0</v>
      </c>
      <c r="M253" s="28">
        <f t="shared" ref="M253:M254" si="435">N253+O253</f>
        <v>0</v>
      </c>
      <c r="N253" s="28">
        <f t="shared" ref="N253:O253" si="436">N257+N261</f>
        <v>0</v>
      </c>
      <c r="O253" s="28">
        <f t="shared" si="436"/>
        <v>0</v>
      </c>
      <c r="P253" s="6"/>
    </row>
    <row r="254" spans="1:16" ht="35.25" customHeight="1" x14ac:dyDescent="0.3">
      <c r="A254" s="44"/>
      <c r="B254" s="225"/>
      <c r="C254" s="226"/>
      <c r="D254" s="229"/>
      <c r="E254" s="268"/>
      <c r="F254" s="47" t="s">
        <v>14</v>
      </c>
      <c r="G254" s="28">
        <f t="shared" si="431"/>
        <v>0</v>
      </c>
      <c r="H254" s="28">
        <f t="shared" ref="H254:I254" si="437">H258+H262</f>
        <v>0</v>
      </c>
      <c r="I254" s="28">
        <f t="shared" si="437"/>
        <v>0</v>
      </c>
      <c r="J254" s="28">
        <f t="shared" si="433"/>
        <v>0</v>
      </c>
      <c r="K254" s="28">
        <f t="shared" ref="K254:L254" si="438">K258+K262</f>
        <v>0</v>
      </c>
      <c r="L254" s="28">
        <f t="shared" si="438"/>
        <v>0</v>
      </c>
      <c r="M254" s="28">
        <f t="shared" si="435"/>
        <v>0</v>
      </c>
      <c r="N254" s="28">
        <f t="shared" ref="N254:O254" si="439">N258+N262</f>
        <v>0</v>
      </c>
      <c r="O254" s="28">
        <f t="shared" si="439"/>
        <v>0</v>
      </c>
      <c r="P254" s="6"/>
    </row>
    <row r="255" spans="1:16" ht="35.25" customHeight="1" x14ac:dyDescent="0.3">
      <c r="A255" s="44"/>
      <c r="B255" s="221" t="s">
        <v>157</v>
      </c>
      <c r="C255" s="222"/>
      <c r="D255" s="227" t="s">
        <v>86</v>
      </c>
      <c r="E255" s="266" t="s">
        <v>38</v>
      </c>
      <c r="F255" s="45"/>
      <c r="G255" s="46">
        <f t="shared" ref="G255:O255" si="440">G256+G257+G258</f>
        <v>2060</v>
      </c>
      <c r="H255" s="46">
        <f>H256+H257+H258</f>
        <v>0</v>
      </c>
      <c r="I255" s="46">
        <f t="shared" si="440"/>
        <v>2060</v>
      </c>
      <c r="J255" s="46">
        <f t="shared" si="440"/>
        <v>3068.1000000000004</v>
      </c>
      <c r="K255" s="46">
        <f t="shared" si="440"/>
        <v>0</v>
      </c>
      <c r="L255" s="46">
        <f t="shared" si="440"/>
        <v>3068.1000000000004</v>
      </c>
      <c r="M255" s="46">
        <f t="shared" si="440"/>
        <v>21893.3</v>
      </c>
      <c r="N255" s="46">
        <f t="shared" si="440"/>
        <v>0</v>
      </c>
      <c r="O255" s="46">
        <f t="shared" si="440"/>
        <v>21893.3</v>
      </c>
      <c r="P255" s="6"/>
    </row>
    <row r="256" spans="1:16" ht="35.25" customHeight="1" x14ac:dyDescent="0.3">
      <c r="A256" s="44"/>
      <c r="B256" s="223"/>
      <c r="C256" s="224"/>
      <c r="D256" s="228"/>
      <c r="E256" s="267"/>
      <c r="F256" s="47" t="s">
        <v>12</v>
      </c>
      <c r="G256" s="28">
        <f>H256+I256</f>
        <v>2060</v>
      </c>
      <c r="H256" s="28">
        <f>H260+H264</f>
        <v>0</v>
      </c>
      <c r="I256" s="28">
        <f>I260+I264</f>
        <v>2060</v>
      </c>
      <c r="J256" s="28">
        <f>K256+L256</f>
        <v>3068.1000000000004</v>
      </c>
      <c r="K256" s="28">
        <f>K260+K264</f>
        <v>0</v>
      </c>
      <c r="L256" s="28">
        <f>L260+L264</f>
        <v>3068.1000000000004</v>
      </c>
      <c r="M256" s="28">
        <f>N256+O256</f>
        <v>21893.3</v>
      </c>
      <c r="N256" s="28">
        <f>N260+N264</f>
        <v>0</v>
      </c>
      <c r="O256" s="28">
        <f>O260+O264</f>
        <v>21893.3</v>
      </c>
      <c r="P256" s="6"/>
    </row>
    <row r="257" spans="1:17" ht="35.25" customHeight="1" x14ac:dyDescent="0.3">
      <c r="A257" s="44"/>
      <c r="B257" s="223"/>
      <c r="C257" s="224"/>
      <c r="D257" s="228"/>
      <c r="E257" s="267"/>
      <c r="F257" s="48" t="s">
        <v>13</v>
      </c>
      <c r="G257" s="28">
        <f t="shared" ref="G257:G258" si="441">H257+I257</f>
        <v>0</v>
      </c>
      <c r="H257" s="28">
        <f t="shared" ref="H257:I257" si="442">H261+H265</f>
        <v>0</v>
      </c>
      <c r="I257" s="28">
        <f t="shared" si="442"/>
        <v>0</v>
      </c>
      <c r="J257" s="28">
        <f t="shared" ref="J257:J258" si="443">K257+L257</f>
        <v>0</v>
      </c>
      <c r="K257" s="28">
        <f t="shared" ref="K257:L257" si="444">K261+K265</f>
        <v>0</v>
      </c>
      <c r="L257" s="28">
        <f t="shared" si="444"/>
        <v>0</v>
      </c>
      <c r="M257" s="28">
        <f t="shared" ref="M257:M258" si="445">N257+O257</f>
        <v>0</v>
      </c>
      <c r="N257" s="28">
        <f t="shared" ref="N257:O257" si="446">N261+N265</f>
        <v>0</v>
      </c>
      <c r="O257" s="28">
        <f t="shared" si="446"/>
        <v>0</v>
      </c>
      <c r="P257" s="6"/>
    </row>
    <row r="258" spans="1:17" ht="35.25" customHeight="1" x14ac:dyDescent="0.3">
      <c r="A258" s="44"/>
      <c r="B258" s="225"/>
      <c r="C258" s="226"/>
      <c r="D258" s="229"/>
      <c r="E258" s="268"/>
      <c r="F258" s="47" t="s">
        <v>14</v>
      </c>
      <c r="G258" s="28">
        <f t="shared" si="441"/>
        <v>0</v>
      </c>
      <c r="H258" s="28">
        <f t="shared" ref="H258:I258" si="447">H262+H266</f>
        <v>0</v>
      </c>
      <c r="I258" s="28">
        <f t="shared" si="447"/>
        <v>0</v>
      </c>
      <c r="J258" s="28">
        <f t="shared" si="443"/>
        <v>0</v>
      </c>
      <c r="K258" s="28">
        <f t="shared" ref="K258:L258" si="448">K262+K266</f>
        <v>0</v>
      </c>
      <c r="L258" s="28">
        <f t="shared" si="448"/>
        <v>0</v>
      </c>
      <c r="M258" s="28">
        <f t="shared" si="445"/>
        <v>0</v>
      </c>
      <c r="N258" s="28">
        <f t="shared" ref="N258:O258" si="449">N262+N266</f>
        <v>0</v>
      </c>
      <c r="O258" s="28">
        <f t="shared" si="449"/>
        <v>0</v>
      </c>
      <c r="P258" s="6"/>
    </row>
    <row r="259" spans="1:17" ht="35.25" customHeight="1" x14ac:dyDescent="0.3">
      <c r="A259" s="44"/>
      <c r="B259" s="220" t="s">
        <v>84</v>
      </c>
      <c r="C259" s="220"/>
      <c r="D259" s="234"/>
      <c r="E259" s="219" t="s">
        <v>38</v>
      </c>
      <c r="F259" s="49"/>
      <c r="G259" s="50">
        <f>G260+G261+G262</f>
        <v>2014.1</v>
      </c>
      <c r="H259" s="50">
        <f t="shared" ref="H259:I259" si="450">H260+H261+H262</f>
        <v>0</v>
      </c>
      <c r="I259" s="50">
        <f t="shared" si="450"/>
        <v>2014.1</v>
      </c>
      <c r="J259" s="50">
        <f>J260+J261+J262</f>
        <v>3068.1000000000004</v>
      </c>
      <c r="K259" s="50">
        <f t="shared" ref="K259:L259" si="451">K260+K261+K262</f>
        <v>0</v>
      </c>
      <c r="L259" s="50">
        <f t="shared" si="451"/>
        <v>3068.1000000000004</v>
      </c>
      <c r="M259" s="50">
        <f>M260+M261+M262</f>
        <v>15955.3</v>
      </c>
      <c r="N259" s="50">
        <f t="shared" ref="N259:O259" si="452">N260+N261+N262</f>
        <v>0</v>
      </c>
      <c r="O259" s="50">
        <f t="shared" si="452"/>
        <v>15955.3</v>
      </c>
      <c r="P259" s="6"/>
    </row>
    <row r="260" spans="1:17" ht="35.25" customHeight="1" x14ac:dyDescent="0.3">
      <c r="A260" s="44"/>
      <c r="B260" s="220"/>
      <c r="C260" s="220"/>
      <c r="D260" s="234"/>
      <c r="E260" s="219"/>
      <c r="F260" s="49" t="s">
        <v>12</v>
      </c>
      <c r="G260" s="50">
        <f>H260+I260</f>
        <v>2014.1</v>
      </c>
      <c r="H260" s="50">
        <v>0</v>
      </c>
      <c r="I260" s="50">
        <v>2014.1</v>
      </c>
      <c r="J260" s="50">
        <f>K260+L260</f>
        <v>3068.1000000000004</v>
      </c>
      <c r="K260" s="50">
        <v>0</v>
      </c>
      <c r="L260" s="50">
        <f>15195.5-12127.4</f>
        <v>3068.1000000000004</v>
      </c>
      <c r="M260" s="50">
        <f>N260+O260</f>
        <v>15955.3</v>
      </c>
      <c r="N260" s="50">
        <v>0</v>
      </c>
      <c r="O260" s="50">
        <v>15955.3</v>
      </c>
      <c r="P260" s="6"/>
    </row>
    <row r="261" spans="1:17" ht="35.25" customHeight="1" x14ac:dyDescent="0.3">
      <c r="A261" s="44"/>
      <c r="B261" s="220"/>
      <c r="C261" s="220"/>
      <c r="D261" s="234"/>
      <c r="E261" s="219"/>
      <c r="F261" s="51" t="s">
        <v>13</v>
      </c>
      <c r="G261" s="50">
        <f t="shared" ref="G261:G262" si="453">H261+I261</f>
        <v>0</v>
      </c>
      <c r="H261" s="50"/>
      <c r="I261" s="50"/>
      <c r="J261" s="50">
        <f>K261+L261</f>
        <v>0</v>
      </c>
      <c r="K261" s="50"/>
      <c r="L261" s="50"/>
      <c r="M261" s="50">
        <f t="shared" ref="M261:M262" si="454">N261+O261</f>
        <v>0</v>
      </c>
      <c r="N261" s="50"/>
      <c r="O261" s="50"/>
      <c r="P261" s="6"/>
    </row>
    <row r="262" spans="1:17" ht="35.25" customHeight="1" x14ac:dyDescent="0.3">
      <c r="A262" s="44"/>
      <c r="B262" s="220"/>
      <c r="C262" s="220"/>
      <c r="D262" s="234"/>
      <c r="E262" s="219"/>
      <c r="F262" s="49" t="s">
        <v>14</v>
      </c>
      <c r="G262" s="50">
        <f t="shared" si="453"/>
        <v>0</v>
      </c>
      <c r="H262" s="50"/>
      <c r="I262" s="50"/>
      <c r="J262" s="50">
        <f t="shared" ref="J262" si="455">K262+L262</f>
        <v>0</v>
      </c>
      <c r="K262" s="50"/>
      <c r="L262" s="50"/>
      <c r="M262" s="50">
        <f t="shared" si="454"/>
        <v>0</v>
      </c>
      <c r="N262" s="50"/>
      <c r="O262" s="50"/>
      <c r="P262" s="6"/>
    </row>
    <row r="263" spans="1:17" ht="35.25" customHeight="1" x14ac:dyDescent="0.3">
      <c r="A263" s="44"/>
      <c r="B263" s="220" t="s">
        <v>85</v>
      </c>
      <c r="C263" s="220"/>
      <c r="D263" s="234"/>
      <c r="E263" s="219" t="s">
        <v>38</v>
      </c>
      <c r="F263" s="49"/>
      <c r="G263" s="50">
        <f>G264+G265+G266</f>
        <v>45.9</v>
      </c>
      <c r="H263" s="50">
        <f t="shared" ref="H263:I263" si="456">H264+H265+H266</f>
        <v>0</v>
      </c>
      <c r="I263" s="50">
        <f t="shared" si="456"/>
        <v>45.9</v>
      </c>
      <c r="J263" s="50">
        <f>J264+J265+J266</f>
        <v>0</v>
      </c>
      <c r="K263" s="50">
        <f t="shared" ref="K263:L263" si="457">K264+K265+K266</f>
        <v>0</v>
      </c>
      <c r="L263" s="50">
        <f t="shared" si="457"/>
        <v>0</v>
      </c>
      <c r="M263" s="50">
        <f>M264+M265+M266</f>
        <v>5938</v>
      </c>
      <c r="N263" s="50">
        <f t="shared" ref="N263:O263" si="458">N264+N265+N266</f>
        <v>0</v>
      </c>
      <c r="O263" s="50">
        <f t="shared" si="458"/>
        <v>5938</v>
      </c>
      <c r="P263" s="6"/>
    </row>
    <row r="264" spans="1:17" ht="35.25" customHeight="1" x14ac:dyDescent="0.3">
      <c r="A264" s="44"/>
      <c r="B264" s="220"/>
      <c r="C264" s="220"/>
      <c r="D264" s="234"/>
      <c r="E264" s="219"/>
      <c r="F264" s="49" t="s">
        <v>12</v>
      </c>
      <c r="G264" s="50">
        <f>H264+I264</f>
        <v>45.9</v>
      </c>
      <c r="H264" s="50">
        <v>0</v>
      </c>
      <c r="I264" s="50">
        <v>45.9</v>
      </c>
      <c r="J264" s="50">
        <f>K264+L264</f>
        <v>0</v>
      </c>
      <c r="K264" s="50">
        <v>0</v>
      </c>
      <c r="L264" s="50">
        <f>5655.1-5655.1</f>
        <v>0</v>
      </c>
      <c r="M264" s="50">
        <f>N264+O264</f>
        <v>5938</v>
      </c>
      <c r="N264" s="50">
        <v>0</v>
      </c>
      <c r="O264" s="50">
        <v>5938</v>
      </c>
      <c r="P264" s="6"/>
    </row>
    <row r="265" spans="1:17" ht="35.25" customHeight="1" x14ac:dyDescent="0.3">
      <c r="A265" s="44"/>
      <c r="B265" s="220"/>
      <c r="C265" s="220"/>
      <c r="D265" s="234"/>
      <c r="E265" s="219"/>
      <c r="F265" s="51" t="s">
        <v>13</v>
      </c>
      <c r="G265" s="50">
        <f t="shared" ref="G265:G266" si="459">H265+I265</f>
        <v>0</v>
      </c>
      <c r="H265" s="50"/>
      <c r="I265" s="50"/>
      <c r="J265" s="50">
        <f>K265+L265</f>
        <v>0</v>
      </c>
      <c r="K265" s="50"/>
      <c r="L265" s="50"/>
      <c r="M265" s="50">
        <f t="shared" ref="M265:M266" si="460">N265+O265</f>
        <v>0</v>
      </c>
      <c r="N265" s="50"/>
      <c r="O265" s="50"/>
      <c r="P265" s="6"/>
    </row>
    <row r="266" spans="1:17" ht="35.25" customHeight="1" x14ac:dyDescent="0.3">
      <c r="A266" s="44"/>
      <c r="B266" s="220"/>
      <c r="C266" s="220"/>
      <c r="D266" s="234"/>
      <c r="E266" s="219"/>
      <c r="F266" s="49" t="s">
        <v>14</v>
      </c>
      <c r="G266" s="50">
        <f t="shared" si="459"/>
        <v>0</v>
      </c>
      <c r="H266" s="50"/>
      <c r="I266" s="50"/>
      <c r="J266" s="50">
        <f t="shared" ref="J266" si="461">K266+L266</f>
        <v>0</v>
      </c>
      <c r="K266" s="50"/>
      <c r="L266" s="50"/>
      <c r="M266" s="50">
        <f t="shared" si="460"/>
        <v>0</v>
      </c>
      <c r="N266" s="50"/>
      <c r="O266" s="50"/>
      <c r="P266" s="6"/>
    </row>
    <row r="267" spans="1:17" ht="35.25" customHeight="1" x14ac:dyDescent="0.3">
      <c r="A267" s="44"/>
      <c r="B267" s="221" t="s">
        <v>87</v>
      </c>
      <c r="C267" s="222"/>
      <c r="D267" s="227" t="s">
        <v>101</v>
      </c>
      <c r="E267" s="266" t="s">
        <v>38</v>
      </c>
      <c r="F267" s="45"/>
      <c r="G267" s="46">
        <f t="shared" ref="G267:O267" si="462">G268+G269+G270</f>
        <v>2964</v>
      </c>
      <c r="H267" s="46">
        <f t="shared" si="462"/>
        <v>2964</v>
      </c>
      <c r="I267" s="46">
        <f t="shared" si="462"/>
        <v>0</v>
      </c>
      <c r="J267" s="46">
        <f t="shared" si="462"/>
        <v>560.89999999999964</v>
      </c>
      <c r="K267" s="46">
        <f t="shared" si="462"/>
        <v>560.89999999999964</v>
      </c>
      <c r="L267" s="46">
        <f t="shared" si="462"/>
        <v>0</v>
      </c>
      <c r="M267" s="46">
        <f t="shared" si="462"/>
        <v>5377.1</v>
      </c>
      <c r="N267" s="46">
        <f t="shared" si="462"/>
        <v>5377.1</v>
      </c>
      <c r="O267" s="46">
        <f t="shared" si="462"/>
        <v>0</v>
      </c>
      <c r="P267" s="6"/>
    </row>
    <row r="268" spans="1:17" ht="35.25" customHeight="1" x14ac:dyDescent="0.3">
      <c r="A268" s="44"/>
      <c r="B268" s="223"/>
      <c r="C268" s="224"/>
      <c r="D268" s="228"/>
      <c r="E268" s="267"/>
      <c r="F268" s="47" t="s">
        <v>12</v>
      </c>
      <c r="G268" s="28">
        <f>H268+I268</f>
        <v>2964</v>
      </c>
      <c r="H268" s="28">
        <v>2964</v>
      </c>
      <c r="I268" s="28">
        <v>0</v>
      </c>
      <c r="J268" s="28">
        <f>K268+L268</f>
        <v>560.89999999999964</v>
      </c>
      <c r="K268" s="28">
        <f>5167.7-4606.8</f>
        <v>560.89999999999964</v>
      </c>
      <c r="L268" s="28">
        <v>0</v>
      </c>
      <c r="M268" s="28">
        <f>N268+O268</f>
        <v>5377.1</v>
      </c>
      <c r="N268" s="28">
        <v>5377.1</v>
      </c>
      <c r="O268" s="28">
        <v>0</v>
      </c>
      <c r="P268" s="6"/>
    </row>
    <row r="269" spans="1:17" ht="35.25" customHeight="1" x14ac:dyDescent="0.3">
      <c r="A269" s="44"/>
      <c r="B269" s="223"/>
      <c r="C269" s="224"/>
      <c r="D269" s="228"/>
      <c r="E269" s="267"/>
      <c r="F269" s="48" t="s">
        <v>13</v>
      </c>
      <c r="G269" s="28">
        <f t="shared" ref="G269:G270" si="463">H269+I269</f>
        <v>0</v>
      </c>
      <c r="H269" s="28">
        <f>H273+H281</f>
        <v>0</v>
      </c>
      <c r="I269" s="28">
        <f>I273+I281</f>
        <v>0</v>
      </c>
      <c r="J269" s="28">
        <f t="shared" ref="J269:J270" si="464">K269+L269</f>
        <v>0</v>
      </c>
      <c r="K269" s="28">
        <f>K273+K281</f>
        <v>0</v>
      </c>
      <c r="L269" s="28">
        <f>L273+L281</f>
        <v>0</v>
      </c>
      <c r="M269" s="28">
        <f t="shared" ref="M269:M270" si="465">N269+O269</f>
        <v>0</v>
      </c>
      <c r="N269" s="28">
        <f>N273+N281</f>
        <v>0</v>
      </c>
      <c r="O269" s="28">
        <f>O273+O281</f>
        <v>0</v>
      </c>
      <c r="P269" s="6"/>
    </row>
    <row r="270" spans="1:17" ht="35.25" customHeight="1" x14ac:dyDescent="0.3">
      <c r="A270" s="44"/>
      <c r="B270" s="225"/>
      <c r="C270" s="226"/>
      <c r="D270" s="229"/>
      <c r="E270" s="268"/>
      <c r="F270" s="47" t="s">
        <v>14</v>
      </c>
      <c r="G270" s="28">
        <f t="shared" si="463"/>
        <v>0</v>
      </c>
      <c r="H270" s="28">
        <f>H274+H282</f>
        <v>0</v>
      </c>
      <c r="I270" s="28">
        <v>0</v>
      </c>
      <c r="J270" s="28">
        <f t="shared" si="464"/>
        <v>0</v>
      </c>
      <c r="K270" s="28">
        <f>K274+K282</f>
        <v>0</v>
      </c>
      <c r="L270" s="28">
        <v>0</v>
      </c>
      <c r="M270" s="28">
        <f t="shared" si="465"/>
        <v>0</v>
      </c>
      <c r="N270" s="28">
        <f>N274+N282</f>
        <v>0</v>
      </c>
      <c r="O270" s="28">
        <f>O274+O282</f>
        <v>0</v>
      </c>
      <c r="P270" s="6"/>
    </row>
    <row r="271" spans="1:17" ht="35.25" customHeight="1" x14ac:dyDescent="0.3">
      <c r="A271" s="44"/>
      <c r="B271" s="221" t="s">
        <v>424</v>
      </c>
      <c r="C271" s="222"/>
      <c r="D271" s="241" t="s">
        <v>313</v>
      </c>
      <c r="E271" s="238" t="s">
        <v>152</v>
      </c>
      <c r="F271" s="33"/>
      <c r="G271" s="34">
        <f t="shared" ref="G271:I271" si="466">G272+G273+G274</f>
        <v>6241.52</v>
      </c>
      <c r="H271" s="34">
        <f>H272+H273+H274</f>
        <v>3825.15</v>
      </c>
      <c r="I271" s="34">
        <f t="shared" si="466"/>
        <v>2416.37</v>
      </c>
      <c r="J271" s="34">
        <f t="shared" ref="J271" si="467">J272+J273+J274</f>
        <v>18721.54</v>
      </c>
      <c r="K271" s="34">
        <f>K272+K273+K274</f>
        <v>7594.18</v>
      </c>
      <c r="L271" s="34">
        <f t="shared" ref="L271:M271" si="468">L272+L273+L274</f>
        <v>11127.36</v>
      </c>
      <c r="M271" s="34">
        <f t="shared" si="468"/>
        <v>23863.5</v>
      </c>
      <c r="N271" s="34">
        <f>N272+N273+N274</f>
        <v>23863.5</v>
      </c>
      <c r="O271" s="34">
        <f t="shared" ref="O271" si="469">O272+O273+O274</f>
        <v>0</v>
      </c>
      <c r="P271" s="6"/>
    </row>
    <row r="272" spans="1:17" ht="35.25" customHeight="1" x14ac:dyDescent="0.3">
      <c r="A272" s="44"/>
      <c r="B272" s="223"/>
      <c r="C272" s="224"/>
      <c r="D272" s="242"/>
      <c r="E272" s="239"/>
      <c r="F272" s="35" t="s">
        <v>12</v>
      </c>
      <c r="G272" s="17">
        <f>H272+I272</f>
        <v>6241.52</v>
      </c>
      <c r="H272" s="17">
        <f>H276+H328</f>
        <v>3825.15</v>
      </c>
      <c r="I272" s="17">
        <f>I276+I328</f>
        <v>2416.37</v>
      </c>
      <c r="J272" s="17">
        <f>K272+L272</f>
        <v>13885.28</v>
      </c>
      <c r="K272" s="17">
        <f>K276+K328</f>
        <v>7594.18</v>
      </c>
      <c r="L272" s="17">
        <f>L276+L328</f>
        <v>6291.1</v>
      </c>
      <c r="M272" s="17">
        <f>N272+O272</f>
        <v>23863.5</v>
      </c>
      <c r="N272" s="17">
        <f>N276+N328</f>
        <v>23863.5</v>
      </c>
      <c r="O272" s="17">
        <f>O276+O328</f>
        <v>0</v>
      </c>
      <c r="P272" s="6"/>
      <c r="Q272" s="72"/>
    </row>
    <row r="273" spans="1:16" ht="35.25" customHeight="1" x14ac:dyDescent="0.3">
      <c r="A273" s="44"/>
      <c r="B273" s="223"/>
      <c r="C273" s="224"/>
      <c r="D273" s="242"/>
      <c r="E273" s="239"/>
      <c r="F273" s="36" t="s">
        <v>13</v>
      </c>
      <c r="G273" s="17">
        <f t="shared" ref="G273:G274" si="470">H273+I273</f>
        <v>0</v>
      </c>
      <c r="H273" s="17">
        <f t="shared" ref="H273:I273" si="471">H277+H329</f>
        <v>0</v>
      </c>
      <c r="I273" s="17">
        <f t="shared" si="471"/>
        <v>0</v>
      </c>
      <c r="J273" s="17">
        <f t="shared" ref="J273:J274" si="472">K273+L273</f>
        <v>0</v>
      </c>
      <c r="K273" s="17">
        <f t="shared" ref="K273:L273" si="473">K277+K329</f>
        <v>0</v>
      </c>
      <c r="L273" s="17">
        <f t="shared" si="473"/>
        <v>0</v>
      </c>
      <c r="M273" s="17">
        <f t="shared" ref="M273:M274" si="474">N273+O273</f>
        <v>0</v>
      </c>
      <c r="N273" s="17">
        <f t="shared" ref="N273:O273" si="475">N277+N329</f>
        <v>0</v>
      </c>
      <c r="O273" s="17">
        <f t="shared" si="475"/>
        <v>0</v>
      </c>
      <c r="P273" s="6"/>
    </row>
    <row r="274" spans="1:16" ht="35.25" customHeight="1" x14ac:dyDescent="0.3">
      <c r="A274" s="44"/>
      <c r="B274" s="225"/>
      <c r="C274" s="226"/>
      <c r="D274" s="243"/>
      <c r="E274" s="240"/>
      <c r="F274" s="35" t="s">
        <v>14</v>
      </c>
      <c r="G274" s="17">
        <f t="shared" si="470"/>
        <v>0</v>
      </c>
      <c r="H274" s="17">
        <f t="shared" ref="H274:I274" si="476">H278+H330</f>
        <v>0</v>
      </c>
      <c r="I274" s="17">
        <f t="shared" si="476"/>
        <v>0</v>
      </c>
      <c r="J274" s="17">
        <f t="shared" si="472"/>
        <v>4836.26</v>
      </c>
      <c r="K274" s="17">
        <f t="shared" ref="K274" si="477">K278+K330</f>
        <v>0</v>
      </c>
      <c r="L274" s="17">
        <f>L278+L330</f>
        <v>4836.26</v>
      </c>
      <c r="M274" s="17">
        <f t="shared" si="474"/>
        <v>0</v>
      </c>
      <c r="N274" s="17">
        <f t="shared" ref="N274:O274" si="478">N278+N330</f>
        <v>0</v>
      </c>
      <c r="O274" s="17">
        <f t="shared" si="478"/>
        <v>0</v>
      </c>
      <c r="P274" s="6"/>
    </row>
    <row r="275" spans="1:16" ht="35.25" customHeight="1" x14ac:dyDescent="0.3">
      <c r="A275" s="44"/>
      <c r="B275" s="116"/>
      <c r="C275" s="222" t="s">
        <v>425</v>
      </c>
      <c r="D275" s="241" t="s">
        <v>101</v>
      </c>
      <c r="E275" s="238" t="s">
        <v>38</v>
      </c>
      <c r="F275" s="33"/>
      <c r="G275" s="34">
        <f t="shared" ref="G275:I275" si="479">G276+G277+G278</f>
        <v>5286.42</v>
      </c>
      <c r="H275" s="34">
        <f t="shared" si="479"/>
        <v>3506.42</v>
      </c>
      <c r="I275" s="34">
        <f t="shared" si="479"/>
        <v>1780</v>
      </c>
      <c r="J275" s="34">
        <f t="shared" ref="J275:L275" si="480">J276+J277+J278</f>
        <v>18541.34</v>
      </c>
      <c r="K275" s="34">
        <f t="shared" si="480"/>
        <v>7558.58</v>
      </c>
      <c r="L275" s="34">
        <f t="shared" si="480"/>
        <v>10982.76</v>
      </c>
      <c r="M275" s="34">
        <f t="shared" ref="M275:O275" si="481">M276+M277+M278</f>
        <v>23863.5</v>
      </c>
      <c r="N275" s="34">
        <f t="shared" si="481"/>
        <v>23863.5</v>
      </c>
      <c r="O275" s="34">
        <f t="shared" si="481"/>
        <v>0</v>
      </c>
      <c r="P275" s="6"/>
    </row>
    <row r="276" spans="1:16" ht="35.25" customHeight="1" x14ac:dyDescent="0.3">
      <c r="A276" s="44"/>
      <c r="B276" s="117"/>
      <c r="C276" s="224"/>
      <c r="D276" s="242"/>
      <c r="E276" s="239"/>
      <c r="F276" s="35" t="s">
        <v>12</v>
      </c>
      <c r="G276" s="17">
        <f>H276+I276</f>
        <v>5286.42</v>
      </c>
      <c r="H276" s="17">
        <f>H280+H284+H288+H292+H296+H300+H304+H308+H312+H316+H320+H324</f>
        <v>3506.42</v>
      </c>
      <c r="I276" s="17">
        <f>I280+I284+I288+I292+I296+I300+I304+I308+I312+I316+I320+I324</f>
        <v>1780</v>
      </c>
      <c r="J276" s="17">
        <f>K276+L276</f>
        <v>13705.08</v>
      </c>
      <c r="K276" s="17">
        <f>K280+K284+K288+K292+K296+K300+K304+K308+K312+K316+K320+K324</f>
        <v>7558.58</v>
      </c>
      <c r="L276" s="17">
        <f>L280+L284+L288+L292+L296+L300+L304+L308+L312+L316+L320+L324</f>
        <v>6146.5</v>
      </c>
      <c r="M276" s="17">
        <f>N276+O276</f>
        <v>23863.5</v>
      </c>
      <c r="N276" s="17">
        <f>N280+N284+N288+N292+N296+N300+N304+N308+N312+N316+N320+N324</f>
        <v>23863.5</v>
      </c>
      <c r="O276" s="17">
        <f>O280+O284+O288+O292+O296+O300+O304+O308+O312+O316+O320+O324</f>
        <v>0</v>
      </c>
      <c r="P276" s="6"/>
    </row>
    <row r="277" spans="1:16" ht="42" customHeight="1" x14ac:dyDescent="0.3">
      <c r="A277" s="44"/>
      <c r="B277" s="117"/>
      <c r="C277" s="224"/>
      <c r="D277" s="242"/>
      <c r="E277" s="239"/>
      <c r="F277" s="36" t="s">
        <v>13</v>
      </c>
      <c r="G277" s="17">
        <f t="shared" ref="G277:G278" si="482">H277+I277</f>
        <v>0</v>
      </c>
      <c r="H277" s="17">
        <f t="shared" ref="H277:I277" si="483">H281+H285+H289+H293+H297+H301+H305+H309+H313+H317+H321+H325</f>
        <v>0</v>
      </c>
      <c r="I277" s="17">
        <f t="shared" si="483"/>
        <v>0</v>
      </c>
      <c r="J277" s="17">
        <f t="shared" ref="J277:J278" si="484">K277+L277</f>
        <v>0</v>
      </c>
      <c r="K277" s="17">
        <f t="shared" ref="K277:L277" si="485">K281+K285+K289+K293+K297+K301+K305+K309+K313+K317+K321+K325</f>
        <v>0</v>
      </c>
      <c r="L277" s="17">
        <f t="shared" si="485"/>
        <v>0</v>
      </c>
      <c r="M277" s="17">
        <f t="shared" ref="M277:M278" si="486">N277+O277</f>
        <v>0</v>
      </c>
      <c r="N277" s="17">
        <f t="shared" ref="N277:O277" si="487">N281+N285+N289+N293+N297+N301+N305+N309+N313+N317+N321+N325</f>
        <v>0</v>
      </c>
      <c r="O277" s="17">
        <f t="shared" si="487"/>
        <v>0</v>
      </c>
      <c r="P277" s="6"/>
    </row>
    <row r="278" spans="1:16" ht="35.25" customHeight="1" x14ac:dyDescent="0.3">
      <c r="A278" s="44"/>
      <c r="B278" s="118"/>
      <c r="C278" s="226"/>
      <c r="D278" s="243"/>
      <c r="E278" s="240"/>
      <c r="F278" s="35" t="s">
        <v>14</v>
      </c>
      <c r="G278" s="17">
        <f t="shared" si="482"/>
        <v>0</v>
      </c>
      <c r="H278" s="17">
        <f>H282+H286+H290+H294+H298+H302+H306+H310+H314+H318+H322+H326</f>
        <v>0</v>
      </c>
      <c r="I278" s="17">
        <f>I282+I286+I290+I294+I298+I302+I306+I310+I314+I318+I322+I326</f>
        <v>0</v>
      </c>
      <c r="J278" s="17">
        <f t="shared" si="484"/>
        <v>4836.26</v>
      </c>
      <c r="K278" s="17">
        <f>K282+K286+K290+K294+K298+K302+K306+K310+K314+K318+K322+K326</f>
        <v>0</v>
      </c>
      <c r="L278" s="17">
        <f>L282+L286+L290+L294+L298+L302+L306+L310+L314+L318+L322+L326</f>
        <v>4836.26</v>
      </c>
      <c r="M278" s="17">
        <f t="shared" si="486"/>
        <v>0</v>
      </c>
      <c r="N278" s="17">
        <f>N282+N286+N290+N294+N298+N302+N306+N310+N314+N318+N322+N326</f>
        <v>0</v>
      </c>
      <c r="O278" s="17">
        <f>O282+O286+O290+O294+O298+O302+O306+O310+O314+O318+O322+O326</f>
        <v>0</v>
      </c>
      <c r="P278" s="6"/>
    </row>
    <row r="279" spans="1:16" ht="35.25" customHeight="1" x14ac:dyDescent="0.3">
      <c r="A279" s="44"/>
      <c r="B279" s="217" t="s">
        <v>88</v>
      </c>
      <c r="C279" s="217"/>
      <c r="D279" s="218"/>
      <c r="E279" s="231" t="s">
        <v>38</v>
      </c>
      <c r="F279" s="40"/>
      <c r="G279" s="41">
        <f>G280+G281+G282</f>
        <v>4.7</v>
      </c>
      <c r="H279" s="41">
        <f t="shared" ref="H279:I279" si="488">H280+H281+H282</f>
        <v>4.7</v>
      </c>
      <c r="I279" s="41">
        <f t="shared" si="488"/>
        <v>0</v>
      </c>
      <c r="J279" s="41">
        <f>J280+J281+J282</f>
        <v>7.43</v>
      </c>
      <c r="K279" s="41">
        <f t="shared" ref="K279:L279" si="489">K280+K281+K282</f>
        <v>7.43</v>
      </c>
      <c r="L279" s="41">
        <f t="shared" si="489"/>
        <v>0</v>
      </c>
      <c r="M279" s="41">
        <f>M280+M281+M282</f>
        <v>8.5</v>
      </c>
      <c r="N279" s="41">
        <f t="shared" ref="N279:O279" si="490">N280+N281+N282</f>
        <v>8.5</v>
      </c>
      <c r="O279" s="41">
        <f t="shared" si="490"/>
        <v>0</v>
      </c>
      <c r="P279" s="6"/>
    </row>
    <row r="280" spans="1:16" ht="35.25" customHeight="1" x14ac:dyDescent="0.3">
      <c r="A280" s="44"/>
      <c r="B280" s="217"/>
      <c r="C280" s="217"/>
      <c r="D280" s="218"/>
      <c r="E280" s="231"/>
      <c r="F280" s="40" t="s">
        <v>12</v>
      </c>
      <c r="G280" s="41">
        <f>H280+I280</f>
        <v>4.7</v>
      </c>
      <c r="H280" s="41">
        <v>4.7</v>
      </c>
      <c r="I280" s="41">
        <v>0</v>
      </c>
      <c r="J280" s="41">
        <f>K280+L280</f>
        <v>7.43</v>
      </c>
      <c r="K280" s="41">
        <v>7.43</v>
      </c>
      <c r="L280" s="41">
        <v>0</v>
      </c>
      <c r="M280" s="41">
        <f>N280+O280</f>
        <v>8.5</v>
      </c>
      <c r="N280" s="41">
        <f>4+4.5</f>
        <v>8.5</v>
      </c>
      <c r="O280" s="41">
        <v>0</v>
      </c>
      <c r="P280" s="6"/>
    </row>
    <row r="281" spans="1:16" ht="39" customHeight="1" x14ac:dyDescent="0.3">
      <c r="A281" s="44"/>
      <c r="B281" s="217"/>
      <c r="C281" s="217"/>
      <c r="D281" s="218"/>
      <c r="E281" s="231"/>
      <c r="F281" s="42" t="s">
        <v>13</v>
      </c>
      <c r="G281" s="41">
        <f t="shared" ref="G281:G282" si="491">H281+I281</f>
        <v>0</v>
      </c>
      <c r="H281" s="41"/>
      <c r="I281" s="41"/>
      <c r="J281" s="41">
        <f>K281+L281</f>
        <v>0</v>
      </c>
      <c r="K281" s="41"/>
      <c r="L281" s="41"/>
      <c r="M281" s="41">
        <f t="shared" ref="M281:M282" si="492">N281+O281</f>
        <v>0</v>
      </c>
      <c r="N281" s="41"/>
      <c r="O281" s="41"/>
      <c r="P281" s="6"/>
    </row>
    <row r="282" spans="1:16" ht="35.25" customHeight="1" x14ac:dyDescent="0.3">
      <c r="A282" s="44"/>
      <c r="B282" s="217"/>
      <c r="C282" s="217"/>
      <c r="D282" s="218"/>
      <c r="E282" s="231"/>
      <c r="F282" s="40" t="s">
        <v>14</v>
      </c>
      <c r="G282" s="41">
        <f t="shared" si="491"/>
        <v>0</v>
      </c>
      <c r="H282" s="41"/>
      <c r="I282" s="41"/>
      <c r="J282" s="41">
        <f t="shared" ref="J282" si="493">K282+L282</f>
        <v>0</v>
      </c>
      <c r="K282" s="41"/>
      <c r="L282" s="41"/>
      <c r="M282" s="41">
        <f t="shared" si="492"/>
        <v>0</v>
      </c>
      <c r="N282" s="41"/>
      <c r="O282" s="41"/>
      <c r="P282" s="6"/>
    </row>
    <row r="283" spans="1:16" ht="35.25" customHeight="1" x14ac:dyDescent="0.3">
      <c r="A283" s="44"/>
      <c r="B283" s="220" t="s">
        <v>89</v>
      </c>
      <c r="C283" s="220"/>
      <c r="D283" s="234"/>
      <c r="E283" s="219" t="s">
        <v>38</v>
      </c>
      <c r="F283" s="49"/>
      <c r="G283" s="50">
        <f>G284+G285+G286</f>
        <v>101</v>
      </c>
      <c r="H283" s="50">
        <f t="shared" ref="H283:I283" si="494">H284+H285+H286</f>
        <v>101</v>
      </c>
      <c r="I283" s="50">
        <f t="shared" si="494"/>
        <v>0</v>
      </c>
      <c r="J283" s="50">
        <f>J284+J285+J286</f>
        <v>46.7</v>
      </c>
      <c r="K283" s="50">
        <f t="shared" ref="K283:L283" si="495">K284+K285+K286</f>
        <v>46.7</v>
      </c>
      <c r="L283" s="50">
        <f t="shared" si="495"/>
        <v>0</v>
      </c>
      <c r="M283" s="50">
        <f>M284+M285+M286</f>
        <v>415</v>
      </c>
      <c r="N283" s="50">
        <f t="shared" ref="N283:O283" si="496">N284+N285+N286</f>
        <v>415</v>
      </c>
      <c r="O283" s="50">
        <f t="shared" si="496"/>
        <v>0</v>
      </c>
      <c r="P283" s="6"/>
    </row>
    <row r="284" spans="1:16" ht="35.25" customHeight="1" x14ac:dyDescent="0.3">
      <c r="A284" s="44"/>
      <c r="B284" s="220"/>
      <c r="C284" s="220"/>
      <c r="D284" s="234"/>
      <c r="E284" s="219"/>
      <c r="F284" s="49" t="s">
        <v>12</v>
      </c>
      <c r="G284" s="50">
        <f>H284+I284</f>
        <v>101</v>
      </c>
      <c r="H284" s="50">
        <v>101</v>
      </c>
      <c r="I284" s="50">
        <v>0</v>
      </c>
      <c r="J284" s="50">
        <f>K284+L284</f>
        <v>46.7</v>
      </c>
      <c r="K284" s="50">
        <f>57.27-10.57</f>
        <v>46.7</v>
      </c>
      <c r="L284" s="50">
        <v>0</v>
      </c>
      <c r="M284" s="50">
        <f>N284+O284</f>
        <v>415</v>
      </c>
      <c r="N284" s="50">
        <f>65+350</f>
        <v>415</v>
      </c>
      <c r="O284" s="50">
        <v>0</v>
      </c>
      <c r="P284" s="6"/>
    </row>
    <row r="285" spans="1:16" ht="39" customHeight="1" x14ac:dyDescent="0.3">
      <c r="A285" s="44"/>
      <c r="B285" s="220"/>
      <c r="C285" s="220"/>
      <c r="D285" s="234"/>
      <c r="E285" s="219"/>
      <c r="F285" s="51" t="s">
        <v>13</v>
      </c>
      <c r="G285" s="50">
        <f t="shared" ref="G285:G286" si="497">H285+I285</f>
        <v>0</v>
      </c>
      <c r="H285" s="50"/>
      <c r="I285" s="50"/>
      <c r="J285" s="50">
        <f>K285+L285</f>
        <v>0</v>
      </c>
      <c r="K285" s="50"/>
      <c r="L285" s="50"/>
      <c r="M285" s="50">
        <f t="shared" ref="M285:M286" si="498">N285+O285</f>
        <v>0</v>
      </c>
      <c r="N285" s="50"/>
      <c r="O285" s="50"/>
      <c r="P285" s="6"/>
    </row>
    <row r="286" spans="1:16" ht="35.25" customHeight="1" x14ac:dyDescent="0.3">
      <c r="A286" s="44"/>
      <c r="B286" s="220"/>
      <c r="C286" s="220"/>
      <c r="D286" s="234"/>
      <c r="E286" s="219"/>
      <c r="F286" s="49" t="s">
        <v>14</v>
      </c>
      <c r="G286" s="50">
        <f t="shared" si="497"/>
        <v>0</v>
      </c>
      <c r="H286" s="50"/>
      <c r="I286" s="50"/>
      <c r="J286" s="50">
        <f t="shared" ref="J286" si="499">K286+L286</f>
        <v>0</v>
      </c>
      <c r="K286" s="50"/>
      <c r="L286" s="50"/>
      <c r="M286" s="50">
        <f t="shared" si="498"/>
        <v>0</v>
      </c>
      <c r="N286" s="50"/>
      <c r="O286" s="50"/>
      <c r="P286" s="6"/>
    </row>
    <row r="287" spans="1:16" ht="35.25" customHeight="1" x14ac:dyDescent="0.3">
      <c r="A287" s="44"/>
      <c r="B287" s="254" t="s">
        <v>90</v>
      </c>
      <c r="C287" s="255"/>
      <c r="D287" s="218"/>
      <c r="E287" s="231" t="s">
        <v>38</v>
      </c>
      <c r="F287" s="40"/>
      <c r="G287" s="41">
        <f>G288+G289+G290</f>
        <v>60</v>
      </c>
      <c r="H287" s="41">
        <f t="shared" ref="H287:I287" si="500">H288+H289+H290</f>
        <v>60</v>
      </c>
      <c r="I287" s="41">
        <f t="shared" si="500"/>
        <v>0</v>
      </c>
      <c r="J287" s="41">
        <f>J288+J289+J290</f>
        <v>60</v>
      </c>
      <c r="K287" s="41">
        <f t="shared" ref="K287:L287" si="501">K288+K289+K290</f>
        <v>60</v>
      </c>
      <c r="L287" s="41">
        <f t="shared" si="501"/>
        <v>0</v>
      </c>
      <c r="M287" s="41">
        <f>M288+M289+M290</f>
        <v>67</v>
      </c>
      <c r="N287" s="41">
        <f t="shared" ref="N287:O287" si="502">N288+N289+N290</f>
        <v>67</v>
      </c>
      <c r="O287" s="41">
        <f t="shared" si="502"/>
        <v>0</v>
      </c>
      <c r="P287" s="6"/>
    </row>
    <row r="288" spans="1:16" ht="35.25" customHeight="1" x14ac:dyDescent="0.3">
      <c r="A288" s="44"/>
      <c r="B288" s="256"/>
      <c r="C288" s="257"/>
      <c r="D288" s="218"/>
      <c r="E288" s="231"/>
      <c r="F288" s="40" t="s">
        <v>12</v>
      </c>
      <c r="G288" s="41">
        <f>H288+I288</f>
        <v>60</v>
      </c>
      <c r="H288" s="41">
        <v>60</v>
      </c>
      <c r="I288" s="41">
        <v>0</v>
      </c>
      <c r="J288" s="41">
        <f>K288+L288</f>
        <v>60</v>
      </c>
      <c r="K288" s="41">
        <v>60</v>
      </c>
      <c r="L288" s="41">
        <v>0</v>
      </c>
      <c r="M288" s="41">
        <f>N288+O288</f>
        <v>67</v>
      </c>
      <c r="N288" s="41">
        <f>55+12</f>
        <v>67</v>
      </c>
      <c r="O288" s="41">
        <v>0</v>
      </c>
      <c r="P288" s="6"/>
    </row>
    <row r="289" spans="1:16" ht="35.25" customHeight="1" x14ac:dyDescent="0.3">
      <c r="A289" s="44"/>
      <c r="B289" s="256"/>
      <c r="C289" s="257"/>
      <c r="D289" s="218"/>
      <c r="E289" s="231"/>
      <c r="F289" s="42" t="s">
        <v>13</v>
      </c>
      <c r="G289" s="41">
        <f t="shared" ref="G289:G290" si="503">H289+I289</f>
        <v>0</v>
      </c>
      <c r="H289" s="41"/>
      <c r="I289" s="41"/>
      <c r="J289" s="41">
        <f>K289+L289</f>
        <v>0</v>
      </c>
      <c r="K289" s="41"/>
      <c r="L289" s="41"/>
      <c r="M289" s="41">
        <f t="shared" ref="M289:M290" si="504">N289+O289</f>
        <v>0</v>
      </c>
      <c r="N289" s="41"/>
      <c r="O289" s="41"/>
      <c r="P289" s="6"/>
    </row>
    <row r="290" spans="1:16" ht="35.25" customHeight="1" x14ac:dyDescent="0.3">
      <c r="A290" s="44"/>
      <c r="B290" s="258"/>
      <c r="C290" s="259"/>
      <c r="D290" s="218"/>
      <c r="E290" s="231"/>
      <c r="F290" s="40" t="s">
        <v>14</v>
      </c>
      <c r="G290" s="41">
        <f t="shared" si="503"/>
        <v>0</v>
      </c>
      <c r="H290" s="41"/>
      <c r="I290" s="41"/>
      <c r="J290" s="41">
        <f t="shared" ref="J290" si="505">K290+L290</f>
        <v>0</v>
      </c>
      <c r="K290" s="41"/>
      <c r="L290" s="41"/>
      <c r="M290" s="41">
        <f t="shared" si="504"/>
        <v>0</v>
      </c>
      <c r="N290" s="41"/>
      <c r="O290" s="41"/>
      <c r="P290" s="6"/>
    </row>
    <row r="291" spans="1:16" ht="35.25" customHeight="1" x14ac:dyDescent="0.3">
      <c r="A291" s="44"/>
      <c r="B291" s="260" t="s">
        <v>91</v>
      </c>
      <c r="C291" s="261"/>
      <c r="D291" s="234"/>
      <c r="E291" s="219" t="s">
        <v>38</v>
      </c>
      <c r="F291" s="49"/>
      <c r="G291" s="50">
        <f>G292+G293+G294</f>
        <v>406.5</v>
      </c>
      <c r="H291" s="50">
        <f t="shared" ref="H291:I291" si="506">H292+H293+H294</f>
        <v>406.5</v>
      </c>
      <c r="I291" s="50">
        <f t="shared" si="506"/>
        <v>0</v>
      </c>
      <c r="J291" s="50">
        <f>J292+J293+J294</f>
        <v>335</v>
      </c>
      <c r="K291" s="50">
        <f t="shared" ref="K291:L291" si="507">K292+K293+K294</f>
        <v>335</v>
      </c>
      <c r="L291" s="50">
        <f t="shared" si="507"/>
        <v>0</v>
      </c>
      <c r="M291" s="50">
        <f>M292+M293+M294</f>
        <v>560</v>
      </c>
      <c r="N291" s="50">
        <f t="shared" ref="N291:O291" si="508">N292+N293+N294</f>
        <v>560</v>
      </c>
      <c r="O291" s="50">
        <f t="shared" si="508"/>
        <v>0</v>
      </c>
      <c r="P291" s="6"/>
    </row>
    <row r="292" spans="1:16" ht="35.25" customHeight="1" x14ac:dyDescent="0.3">
      <c r="A292" s="44"/>
      <c r="B292" s="262"/>
      <c r="C292" s="263"/>
      <c r="D292" s="234"/>
      <c r="E292" s="219"/>
      <c r="F292" s="49" t="s">
        <v>12</v>
      </c>
      <c r="G292" s="50">
        <f>H292+I292</f>
        <v>406.5</v>
      </c>
      <c r="H292" s="50">
        <v>406.5</v>
      </c>
      <c r="I292" s="50">
        <v>0</v>
      </c>
      <c r="J292" s="50">
        <f>K292+L292</f>
        <v>335</v>
      </c>
      <c r="K292" s="50">
        <f>470-135</f>
        <v>335</v>
      </c>
      <c r="L292" s="50">
        <v>0</v>
      </c>
      <c r="M292" s="50">
        <f>N292+O292</f>
        <v>560</v>
      </c>
      <c r="N292" s="50">
        <f>265+295</f>
        <v>560</v>
      </c>
      <c r="O292" s="50">
        <v>0</v>
      </c>
      <c r="P292" s="6"/>
    </row>
    <row r="293" spans="1:16" ht="35.25" customHeight="1" x14ac:dyDescent="0.3">
      <c r="A293" s="44"/>
      <c r="B293" s="262"/>
      <c r="C293" s="263"/>
      <c r="D293" s="234"/>
      <c r="E293" s="219"/>
      <c r="F293" s="51" t="s">
        <v>13</v>
      </c>
      <c r="G293" s="50">
        <f t="shared" ref="G293:G294" si="509">H293+I293</f>
        <v>0</v>
      </c>
      <c r="H293" s="50"/>
      <c r="I293" s="50"/>
      <c r="J293" s="50">
        <f>K293+L293</f>
        <v>0</v>
      </c>
      <c r="K293" s="50"/>
      <c r="L293" s="50"/>
      <c r="M293" s="50">
        <f t="shared" ref="M293:M294" si="510">N293+O293</f>
        <v>0</v>
      </c>
      <c r="N293" s="50"/>
      <c r="O293" s="50"/>
      <c r="P293" s="6"/>
    </row>
    <row r="294" spans="1:16" ht="35.25" customHeight="1" x14ac:dyDescent="0.3">
      <c r="A294" s="44"/>
      <c r="B294" s="264"/>
      <c r="C294" s="265"/>
      <c r="D294" s="234"/>
      <c r="E294" s="219"/>
      <c r="F294" s="49" t="s">
        <v>14</v>
      </c>
      <c r="G294" s="50">
        <f t="shared" si="509"/>
        <v>0</v>
      </c>
      <c r="H294" s="50"/>
      <c r="I294" s="50"/>
      <c r="J294" s="50">
        <f t="shared" ref="J294" si="511">K294+L294</f>
        <v>0</v>
      </c>
      <c r="K294" s="50"/>
      <c r="L294" s="50"/>
      <c r="M294" s="50">
        <f t="shared" si="510"/>
        <v>0</v>
      </c>
      <c r="N294" s="50"/>
      <c r="O294" s="50"/>
      <c r="P294" s="6"/>
    </row>
    <row r="295" spans="1:16" ht="35.25" customHeight="1" x14ac:dyDescent="0.3">
      <c r="A295" s="44"/>
      <c r="B295" s="217" t="s">
        <v>92</v>
      </c>
      <c r="C295" s="217"/>
      <c r="D295" s="218"/>
      <c r="E295" s="231" t="s">
        <v>38</v>
      </c>
      <c r="F295" s="40"/>
      <c r="G295" s="41">
        <f>G296+G297+G298</f>
        <v>525</v>
      </c>
      <c r="H295" s="41">
        <f t="shared" ref="H295:I295" si="512">H296+H297+H298</f>
        <v>525</v>
      </c>
      <c r="I295" s="41">
        <f t="shared" si="512"/>
        <v>0</v>
      </c>
      <c r="J295" s="41">
        <f>J296+J297+J298</f>
        <v>909.7</v>
      </c>
      <c r="K295" s="41">
        <f t="shared" ref="K295:L295" si="513">K296+K297+K298</f>
        <v>909.7</v>
      </c>
      <c r="L295" s="41">
        <f t="shared" si="513"/>
        <v>0</v>
      </c>
      <c r="M295" s="41">
        <f>M296+M297+M298</f>
        <v>610</v>
      </c>
      <c r="N295" s="41">
        <f t="shared" ref="N295:O295" si="514">N296+N297+N298</f>
        <v>610</v>
      </c>
      <c r="O295" s="41">
        <f t="shared" si="514"/>
        <v>0</v>
      </c>
      <c r="P295" s="6"/>
    </row>
    <row r="296" spans="1:16" ht="35.25" customHeight="1" x14ac:dyDescent="0.3">
      <c r="A296" s="44"/>
      <c r="B296" s="217"/>
      <c r="C296" s="217"/>
      <c r="D296" s="218"/>
      <c r="E296" s="231"/>
      <c r="F296" s="40" t="s">
        <v>12</v>
      </c>
      <c r="G296" s="41">
        <f>H296+I296</f>
        <v>525</v>
      </c>
      <c r="H296" s="41">
        <v>525</v>
      </c>
      <c r="I296" s="41">
        <v>0</v>
      </c>
      <c r="J296" s="41">
        <f>K296+L296</f>
        <v>909.7</v>
      </c>
      <c r="K296" s="41">
        <f>780+129.7</f>
        <v>909.7</v>
      </c>
      <c r="L296" s="41">
        <v>0</v>
      </c>
      <c r="M296" s="41">
        <f>N296+O296</f>
        <v>610</v>
      </c>
      <c r="N296" s="41">
        <f>560+50</f>
        <v>610</v>
      </c>
      <c r="O296" s="41">
        <v>0</v>
      </c>
      <c r="P296" s="6"/>
    </row>
    <row r="297" spans="1:16" ht="35.25" customHeight="1" x14ac:dyDescent="0.3">
      <c r="A297" s="44"/>
      <c r="B297" s="217"/>
      <c r="C297" s="217"/>
      <c r="D297" s="218"/>
      <c r="E297" s="231"/>
      <c r="F297" s="42" t="s">
        <v>13</v>
      </c>
      <c r="G297" s="41">
        <f t="shared" ref="G297:G298" si="515">H297+I297</f>
        <v>0</v>
      </c>
      <c r="H297" s="41"/>
      <c r="I297" s="41"/>
      <c r="J297" s="41">
        <f>K297+L297</f>
        <v>0</v>
      </c>
      <c r="K297" s="41"/>
      <c r="L297" s="41"/>
      <c r="M297" s="41">
        <f t="shared" ref="M297:M298" si="516">N297+O297</f>
        <v>0</v>
      </c>
      <c r="N297" s="41"/>
      <c r="O297" s="41"/>
      <c r="P297" s="6"/>
    </row>
    <row r="298" spans="1:16" ht="35.25" customHeight="1" x14ac:dyDescent="0.3">
      <c r="A298" s="44"/>
      <c r="B298" s="217"/>
      <c r="C298" s="217"/>
      <c r="D298" s="218"/>
      <c r="E298" s="231"/>
      <c r="F298" s="40" t="s">
        <v>14</v>
      </c>
      <c r="G298" s="41">
        <f t="shared" si="515"/>
        <v>0</v>
      </c>
      <c r="H298" s="41"/>
      <c r="I298" s="41"/>
      <c r="J298" s="41">
        <f t="shared" ref="J298" si="517">K298+L298</f>
        <v>0</v>
      </c>
      <c r="K298" s="41"/>
      <c r="L298" s="41"/>
      <c r="M298" s="41">
        <f t="shared" si="516"/>
        <v>0</v>
      </c>
      <c r="N298" s="41"/>
      <c r="O298" s="41"/>
      <c r="P298" s="6"/>
    </row>
    <row r="299" spans="1:16" ht="35.25" customHeight="1" x14ac:dyDescent="0.3">
      <c r="A299" s="44"/>
      <c r="B299" s="220" t="s">
        <v>93</v>
      </c>
      <c r="C299" s="220"/>
      <c r="D299" s="234"/>
      <c r="E299" s="219" t="s">
        <v>38</v>
      </c>
      <c r="F299" s="49"/>
      <c r="G299" s="50">
        <f>G300+G301+G302</f>
        <v>2103</v>
      </c>
      <c r="H299" s="50">
        <f t="shared" ref="H299:I299" si="518">H300+H301+H302</f>
        <v>323</v>
      </c>
      <c r="I299" s="50">
        <f t="shared" si="518"/>
        <v>1780</v>
      </c>
      <c r="J299" s="50">
        <f>J300+J301+J302</f>
        <v>4976.26</v>
      </c>
      <c r="K299" s="50">
        <f t="shared" ref="K299" si="519">K300+K301+K302</f>
        <v>140</v>
      </c>
      <c r="L299" s="50">
        <f>L302+L301+L300</f>
        <v>4836.26</v>
      </c>
      <c r="M299" s="50">
        <f>M300+M301+M302</f>
        <v>0</v>
      </c>
      <c r="N299" s="50">
        <f t="shared" ref="N299:O299" si="520">N300+N301+N302</f>
        <v>0</v>
      </c>
      <c r="O299" s="50">
        <f t="shared" si="520"/>
        <v>0</v>
      </c>
      <c r="P299" s="6"/>
    </row>
    <row r="300" spans="1:16" ht="35.25" customHeight="1" x14ac:dyDescent="0.3">
      <c r="A300" s="44"/>
      <c r="B300" s="220"/>
      <c r="C300" s="220"/>
      <c r="D300" s="234"/>
      <c r="E300" s="219"/>
      <c r="F300" s="49" t="s">
        <v>12</v>
      </c>
      <c r="G300" s="50">
        <f>H300+I300</f>
        <v>2103</v>
      </c>
      <c r="H300" s="50">
        <v>323</v>
      </c>
      <c r="I300" s="50">
        <v>1780</v>
      </c>
      <c r="J300" s="50">
        <f>K300+L300</f>
        <v>140</v>
      </c>
      <c r="K300" s="50">
        <f>891-751</f>
        <v>140</v>
      </c>
      <c r="M300" s="50">
        <f>N300+O300</f>
        <v>0</v>
      </c>
      <c r="N300" s="50">
        <v>0</v>
      </c>
      <c r="O300" s="50">
        <v>0</v>
      </c>
      <c r="P300" s="6"/>
    </row>
    <row r="301" spans="1:16" ht="35.25" customHeight="1" x14ac:dyDescent="0.3">
      <c r="A301" s="44"/>
      <c r="B301" s="220"/>
      <c r="C301" s="220"/>
      <c r="D301" s="234"/>
      <c r="E301" s="219"/>
      <c r="F301" s="51" t="s">
        <v>13</v>
      </c>
      <c r="G301" s="50">
        <f t="shared" ref="G301:G302" si="521">H301+I301</f>
        <v>0</v>
      </c>
      <c r="H301" s="50"/>
      <c r="I301" s="50"/>
      <c r="J301" s="50">
        <f t="shared" ref="J301:J302" si="522">K301+L301</f>
        <v>0</v>
      </c>
      <c r="K301" s="50"/>
      <c r="L301" s="50"/>
      <c r="M301" s="50">
        <f t="shared" ref="M301:M302" si="523">N301+O301</f>
        <v>0</v>
      </c>
      <c r="N301" s="50"/>
      <c r="O301" s="50"/>
      <c r="P301" s="6"/>
    </row>
    <row r="302" spans="1:16" ht="35.25" customHeight="1" x14ac:dyDescent="0.3">
      <c r="A302" s="44"/>
      <c r="B302" s="220"/>
      <c r="C302" s="220"/>
      <c r="D302" s="234"/>
      <c r="E302" s="219"/>
      <c r="F302" s="49" t="s">
        <v>14</v>
      </c>
      <c r="G302" s="50">
        <f t="shared" si="521"/>
        <v>0</v>
      </c>
      <c r="H302" s="50"/>
      <c r="I302" s="50"/>
      <c r="J302" s="50">
        <f t="shared" si="522"/>
        <v>4836.26</v>
      </c>
      <c r="K302" s="50"/>
      <c r="L302" s="50">
        <v>4836.26</v>
      </c>
      <c r="M302" s="50">
        <f t="shared" si="523"/>
        <v>0</v>
      </c>
      <c r="N302" s="50"/>
      <c r="O302" s="50"/>
      <c r="P302" s="6"/>
    </row>
    <row r="303" spans="1:16" ht="35.25" customHeight="1" x14ac:dyDescent="0.3">
      <c r="A303" s="44"/>
      <c r="B303" s="220" t="s">
        <v>94</v>
      </c>
      <c r="C303" s="220"/>
      <c r="D303" s="218"/>
      <c r="E303" s="231" t="s">
        <v>38</v>
      </c>
      <c r="F303" s="40"/>
      <c r="G303" s="41">
        <f>G304+G305+G306</f>
        <v>1696.16</v>
      </c>
      <c r="H303" s="41">
        <f t="shared" ref="H303:I303" si="524">H304+H305+H306</f>
        <v>1696.16</v>
      </c>
      <c r="I303" s="41">
        <f t="shared" si="524"/>
        <v>0</v>
      </c>
      <c r="J303" s="41">
        <f>J304+J305+J306</f>
        <v>1950.58</v>
      </c>
      <c r="K303" s="41">
        <f t="shared" ref="K303:L303" si="525">K304+K305+K306</f>
        <v>1950.58</v>
      </c>
      <c r="L303" s="41">
        <f t="shared" si="525"/>
        <v>0</v>
      </c>
      <c r="M303" s="41">
        <f>M304+M305+M306</f>
        <v>2165</v>
      </c>
      <c r="N303" s="41">
        <f t="shared" ref="N303:O303" si="526">N304+N305+N306</f>
        <v>2165</v>
      </c>
      <c r="O303" s="41">
        <f t="shared" si="526"/>
        <v>0</v>
      </c>
      <c r="P303" s="6"/>
    </row>
    <row r="304" spans="1:16" ht="35.25" customHeight="1" x14ac:dyDescent="0.3">
      <c r="A304" s="44"/>
      <c r="B304" s="220"/>
      <c r="C304" s="220"/>
      <c r="D304" s="218"/>
      <c r="E304" s="231"/>
      <c r="F304" s="40" t="s">
        <v>12</v>
      </c>
      <c r="G304" s="41">
        <f>H304+I304</f>
        <v>1696.16</v>
      </c>
      <c r="H304" s="41">
        <v>1696.16</v>
      </c>
      <c r="I304" s="41">
        <v>0</v>
      </c>
      <c r="J304" s="41">
        <f>K304+L304</f>
        <v>1950.58</v>
      </c>
      <c r="K304" s="41">
        <v>1950.58</v>
      </c>
      <c r="L304" s="41">
        <v>0</v>
      </c>
      <c r="M304" s="41">
        <f>N304+O304</f>
        <v>2165</v>
      </c>
      <c r="N304" s="41">
        <f>0+2165</f>
        <v>2165</v>
      </c>
      <c r="O304" s="41">
        <v>0</v>
      </c>
      <c r="P304" s="6"/>
    </row>
    <row r="305" spans="1:16" ht="35.25" customHeight="1" x14ac:dyDescent="0.3">
      <c r="A305" s="44"/>
      <c r="B305" s="220"/>
      <c r="C305" s="220"/>
      <c r="D305" s="218"/>
      <c r="E305" s="231"/>
      <c r="F305" s="42" t="s">
        <v>13</v>
      </c>
      <c r="G305" s="41">
        <f t="shared" ref="G305:G306" si="527">H305+I305</f>
        <v>0</v>
      </c>
      <c r="H305" s="41"/>
      <c r="I305" s="41"/>
      <c r="J305" s="41">
        <f>K305+L305</f>
        <v>0</v>
      </c>
      <c r="K305" s="41"/>
      <c r="L305" s="41"/>
      <c r="M305" s="41">
        <f t="shared" ref="M305:M306" si="528">N305+O305</f>
        <v>0</v>
      </c>
      <c r="N305" s="41"/>
      <c r="O305" s="41"/>
      <c r="P305" s="6"/>
    </row>
    <row r="306" spans="1:16" ht="35.25" customHeight="1" x14ac:dyDescent="0.3">
      <c r="A306" s="44"/>
      <c r="B306" s="220"/>
      <c r="C306" s="220"/>
      <c r="D306" s="218"/>
      <c r="E306" s="231"/>
      <c r="F306" s="40" t="s">
        <v>14</v>
      </c>
      <c r="G306" s="41">
        <f t="shared" si="527"/>
        <v>0</v>
      </c>
      <c r="H306" s="41"/>
      <c r="I306" s="41"/>
      <c r="J306" s="41">
        <f t="shared" ref="J306" si="529">K306+L306</f>
        <v>0</v>
      </c>
      <c r="K306" s="41"/>
      <c r="L306" s="41"/>
      <c r="M306" s="41">
        <f t="shared" si="528"/>
        <v>0</v>
      </c>
      <c r="N306" s="41"/>
      <c r="O306" s="41"/>
      <c r="P306" s="6"/>
    </row>
    <row r="307" spans="1:16" ht="35.25" customHeight="1" x14ac:dyDescent="0.3">
      <c r="A307" s="44"/>
      <c r="B307" s="220" t="s">
        <v>95</v>
      </c>
      <c r="C307" s="220"/>
      <c r="D307" s="218"/>
      <c r="E307" s="231" t="s">
        <v>38</v>
      </c>
      <c r="F307" s="40"/>
      <c r="G307" s="41">
        <f>G308+G309+G310</f>
        <v>70.099999999999994</v>
      </c>
      <c r="H307" s="41">
        <f t="shared" ref="H307:I307" si="530">H308+H309+H310</f>
        <v>70.099999999999994</v>
      </c>
      <c r="I307" s="41">
        <f t="shared" si="530"/>
        <v>0</v>
      </c>
      <c r="J307" s="41">
        <f>J308+J309+J310</f>
        <v>340</v>
      </c>
      <c r="K307" s="41">
        <f t="shared" ref="K307:L307" si="531">K308+K309+K310</f>
        <v>340</v>
      </c>
      <c r="L307" s="41">
        <f t="shared" si="531"/>
        <v>0</v>
      </c>
      <c r="M307" s="41">
        <f>M308+M309+M310</f>
        <v>575</v>
      </c>
      <c r="N307" s="41">
        <f t="shared" ref="N307:O307" si="532">N308+N309+N310</f>
        <v>575</v>
      </c>
      <c r="O307" s="41">
        <f t="shared" si="532"/>
        <v>0</v>
      </c>
      <c r="P307" s="6"/>
    </row>
    <row r="308" spans="1:16" ht="35.25" customHeight="1" x14ac:dyDescent="0.3">
      <c r="A308" s="44"/>
      <c r="B308" s="220"/>
      <c r="C308" s="220"/>
      <c r="D308" s="218"/>
      <c r="E308" s="231"/>
      <c r="F308" s="40" t="s">
        <v>12</v>
      </c>
      <c r="G308" s="41">
        <f>H308+I308</f>
        <v>70.099999999999994</v>
      </c>
      <c r="H308" s="41">
        <v>70.099999999999994</v>
      </c>
      <c r="I308" s="41">
        <v>0</v>
      </c>
      <c r="J308" s="41">
        <f>K308+L308</f>
        <v>340</v>
      </c>
      <c r="K308" s="41">
        <f>525-185</f>
        <v>340</v>
      </c>
      <c r="L308" s="41">
        <v>0</v>
      </c>
      <c r="M308" s="41">
        <f>N308+O308</f>
        <v>575</v>
      </c>
      <c r="N308" s="41">
        <f>365+210</f>
        <v>575</v>
      </c>
      <c r="O308" s="41">
        <v>0</v>
      </c>
      <c r="P308" s="6"/>
    </row>
    <row r="309" spans="1:16" ht="35.25" customHeight="1" x14ac:dyDescent="0.3">
      <c r="A309" s="44"/>
      <c r="B309" s="220"/>
      <c r="C309" s="220"/>
      <c r="D309" s="218"/>
      <c r="E309" s="231"/>
      <c r="F309" s="42" t="s">
        <v>13</v>
      </c>
      <c r="G309" s="41">
        <f t="shared" ref="G309:G310" si="533">H309+I309</f>
        <v>0</v>
      </c>
      <c r="H309" s="41"/>
      <c r="I309" s="41"/>
      <c r="J309" s="41">
        <f>K309+L309</f>
        <v>0</v>
      </c>
      <c r="K309" s="41"/>
      <c r="L309" s="41"/>
      <c r="M309" s="41">
        <f t="shared" ref="M309:M310" si="534">N309+O309</f>
        <v>0</v>
      </c>
      <c r="N309" s="41"/>
      <c r="O309" s="41"/>
      <c r="P309" s="6"/>
    </row>
    <row r="310" spans="1:16" ht="35.25" customHeight="1" x14ac:dyDescent="0.3">
      <c r="A310" s="44"/>
      <c r="B310" s="220"/>
      <c r="C310" s="220"/>
      <c r="D310" s="218"/>
      <c r="E310" s="231"/>
      <c r="F310" s="40" t="s">
        <v>14</v>
      </c>
      <c r="G310" s="41">
        <f t="shared" si="533"/>
        <v>0</v>
      </c>
      <c r="H310" s="41"/>
      <c r="I310" s="41"/>
      <c r="J310" s="41">
        <f t="shared" ref="J310" si="535">K310+L310</f>
        <v>0</v>
      </c>
      <c r="K310" s="41"/>
      <c r="L310" s="41"/>
      <c r="M310" s="41">
        <f t="shared" si="534"/>
        <v>0</v>
      </c>
      <c r="N310" s="41"/>
      <c r="O310" s="41"/>
      <c r="P310" s="6"/>
    </row>
    <row r="311" spans="1:16" ht="35.25" customHeight="1" x14ac:dyDescent="0.3">
      <c r="A311" s="44"/>
      <c r="B311" s="220" t="s">
        <v>96</v>
      </c>
      <c r="C311" s="220"/>
      <c r="D311" s="218"/>
      <c r="E311" s="231" t="s">
        <v>38</v>
      </c>
      <c r="F311" s="40"/>
      <c r="G311" s="41">
        <f>G312+G313+G314</f>
        <v>48</v>
      </c>
      <c r="H311" s="41">
        <f t="shared" ref="H311:I311" si="536">H312+H313+H314</f>
        <v>48</v>
      </c>
      <c r="I311" s="41">
        <f t="shared" si="536"/>
        <v>0</v>
      </c>
      <c r="J311" s="41">
        <f>J312+J313+J314</f>
        <v>50</v>
      </c>
      <c r="K311" s="41">
        <f t="shared" ref="K311:L311" si="537">K312+K313+K314</f>
        <v>50</v>
      </c>
      <c r="L311" s="41">
        <f t="shared" si="537"/>
        <v>0</v>
      </c>
      <c r="M311" s="41">
        <f>M312+M313+M314</f>
        <v>75</v>
      </c>
      <c r="N311" s="41">
        <f t="shared" ref="N311:O311" si="538">N312+N313+N314</f>
        <v>75</v>
      </c>
      <c r="O311" s="41">
        <f t="shared" si="538"/>
        <v>0</v>
      </c>
      <c r="P311" s="6"/>
    </row>
    <row r="312" spans="1:16" ht="35.25" customHeight="1" x14ac:dyDescent="0.3">
      <c r="A312" s="44"/>
      <c r="B312" s="220"/>
      <c r="C312" s="220"/>
      <c r="D312" s="218"/>
      <c r="E312" s="231"/>
      <c r="F312" s="40" t="s">
        <v>12</v>
      </c>
      <c r="G312" s="41">
        <f>H312+I312</f>
        <v>48</v>
      </c>
      <c r="H312" s="41">
        <v>48</v>
      </c>
      <c r="I312" s="41">
        <v>0</v>
      </c>
      <c r="J312" s="41">
        <f>K312+L312</f>
        <v>50</v>
      </c>
      <c r="K312" s="41">
        <f>60-10</f>
        <v>50</v>
      </c>
      <c r="L312" s="41">
        <v>0</v>
      </c>
      <c r="M312" s="41">
        <f>N312+O312</f>
        <v>75</v>
      </c>
      <c r="N312" s="41">
        <f>65+10</f>
        <v>75</v>
      </c>
      <c r="O312" s="41">
        <v>0</v>
      </c>
      <c r="P312" s="6"/>
    </row>
    <row r="313" spans="1:16" ht="35.25" customHeight="1" x14ac:dyDescent="0.3">
      <c r="A313" s="44"/>
      <c r="B313" s="220"/>
      <c r="C313" s="220"/>
      <c r="D313" s="218"/>
      <c r="E313" s="231"/>
      <c r="F313" s="42" t="s">
        <v>13</v>
      </c>
      <c r="G313" s="41">
        <f t="shared" ref="G313:G314" si="539">H313+I313</f>
        <v>0</v>
      </c>
      <c r="H313" s="41"/>
      <c r="I313" s="41"/>
      <c r="J313" s="41">
        <f>K313+L313</f>
        <v>0</v>
      </c>
      <c r="K313" s="41"/>
      <c r="L313" s="41"/>
      <c r="M313" s="41">
        <f t="shared" ref="M313:M314" si="540">N313+O313</f>
        <v>0</v>
      </c>
      <c r="N313" s="41"/>
      <c r="O313" s="41"/>
      <c r="P313" s="6"/>
    </row>
    <row r="314" spans="1:16" ht="35.25" customHeight="1" x14ac:dyDescent="0.3">
      <c r="A314" s="44"/>
      <c r="B314" s="220"/>
      <c r="C314" s="220"/>
      <c r="D314" s="218"/>
      <c r="E314" s="231"/>
      <c r="F314" s="40" t="s">
        <v>14</v>
      </c>
      <c r="G314" s="41">
        <f t="shared" si="539"/>
        <v>0</v>
      </c>
      <c r="H314" s="41"/>
      <c r="I314" s="41"/>
      <c r="J314" s="41">
        <f t="shared" ref="J314" si="541">K314+L314</f>
        <v>0</v>
      </c>
      <c r="K314" s="41"/>
      <c r="L314" s="41"/>
      <c r="M314" s="41">
        <f t="shared" si="540"/>
        <v>0</v>
      </c>
      <c r="N314" s="41"/>
      <c r="O314" s="41"/>
      <c r="P314" s="6"/>
    </row>
    <row r="315" spans="1:16" ht="35.25" customHeight="1" x14ac:dyDescent="0.3">
      <c r="A315" s="44"/>
      <c r="B315" s="220" t="s">
        <v>97</v>
      </c>
      <c r="C315" s="220"/>
      <c r="D315" s="218"/>
      <c r="E315" s="231" t="s">
        <v>38</v>
      </c>
      <c r="F315" s="40"/>
      <c r="G315" s="41">
        <f>G316+G317+G318</f>
        <v>271.95999999999998</v>
      </c>
      <c r="H315" s="41">
        <f t="shared" ref="H315:I315" si="542">H316+H317+H318</f>
        <v>271.95999999999998</v>
      </c>
      <c r="I315" s="41">
        <f t="shared" si="542"/>
        <v>0</v>
      </c>
      <c r="J315" s="41">
        <f>J316+J317+J318</f>
        <v>1195.47</v>
      </c>
      <c r="K315" s="41">
        <f t="shared" ref="K315:L315" si="543">K316+K317+K318</f>
        <v>1195.47</v>
      </c>
      <c r="L315" s="41">
        <f t="shared" si="543"/>
        <v>0</v>
      </c>
      <c r="M315" s="41">
        <f>M316+M317+M318</f>
        <v>19388</v>
      </c>
      <c r="N315" s="41">
        <f t="shared" ref="N315:O315" si="544">N316+N317+N318</f>
        <v>19388</v>
      </c>
      <c r="O315" s="41">
        <f t="shared" si="544"/>
        <v>0</v>
      </c>
      <c r="P315" s="6"/>
    </row>
    <row r="316" spans="1:16" ht="35.25" customHeight="1" x14ac:dyDescent="0.3">
      <c r="A316" s="44"/>
      <c r="B316" s="220"/>
      <c r="C316" s="220"/>
      <c r="D316" s="218"/>
      <c r="E316" s="231"/>
      <c r="F316" s="40" t="s">
        <v>12</v>
      </c>
      <c r="G316" s="41">
        <f>H316+I316</f>
        <v>271.95999999999998</v>
      </c>
      <c r="H316" s="41">
        <v>271.95999999999998</v>
      </c>
      <c r="I316" s="41">
        <v>0</v>
      </c>
      <c r="J316" s="41">
        <f>K316+L316</f>
        <v>1195.47</v>
      </c>
      <c r="K316" s="41">
        <f>1155+40.47</f>
        <v>1195.47</v>
      </c>
      <c r="L316" s="41">
        <v>0</v>
      </c>
      <c r="M316" s="41">
        <f>N316+O316</f>
        <v>19388</v>
      </c>
      <c r="N316" s="41">
        <f>1088+4000+1500+13300-500</f>
        <v>19388</v>
      </c>
      <c r="O316" s="41">
        <v>0</v>
      </c>
      <c r="P316" s="6"/>
    </row>
    <row r="317" spans="1:16" ht="35.25" customHeight="1" x14ac:dyDescent="0.3">
      <c r="A317" s="44"/>
      <c r="B317" s="220"/>
      <c r="C317" s="220"/>
      <c r="D317" s="218"/>
      <c r="E317" s="231"/>
      <c r="F317" s="42" t="s">
        <v>13</v>
      </c>
      <c r="G317" s="41">
        <f t="shared" ref="G317:G318" si="545">H317+I317</f>
        <v>0</v>
      </c>
      <c r="H317" s="41"/>
      <c r="I317" s="41"/>
      <c r="J317" s="41">
        <f>K317+L317</f>
        <v>0</v>
      </c>
      <c r="K317" s="41"/>
      <c r="L317" s="41"/>
      <c r="M317" s="41">
        <f t="shared" ref="M317:M318" si="546">N317+O317</f>
        <v>0</v>
      </c>
      <c r="N317" s="41"/>
      <c r="O317" s="41"/>
      <c r="P317" s="6"/>
    </row>
    <row r="318" spans="1:16" ht="35.25" customHeight="1" x14ac:dyDescent="0.3">
      <c r="A318" s="44"/>
      <c r="B318" s="220"/>
      <c r="C318" s="220"/>
      <c r="D318" s="218"/>
      <c r="E318" s="231"/>
      <c r="F318" s="40" t="s">
        <v>14</v>
      </c>
      <c r="G318" s="41">
        <f t="shared" si="545"/>
        <v>0</v>
      </c>
      <c r="H318" s="41"/>
      <c r="I318" s="41"/>
      <c r="J318" s="41">
        <f t="shared" ref="J318" si="547">K318+L318</f>
        <v>0</v>
      </c>
      <c r="K318" s="41"/>
      <c r="L318" s="41"/>
      <c r="M318" s="41">
        <f t="shared" si="546"/>
        <v>0</v>
      </c>
      <c r="N318" s="41"/>
      <c r="O318" s="41"/>
      <c r="P318" s="6"/>
    </row>
    <row r="319" spans="1:16" ht="35.25" customHeight="1" x14ac:dyDescent="0.3">
      <c r="A319" s="44"/>
      <c r="B319" s="220" t="s">
        <v>98</v>
      </c>
      <c r="C319" s="220"/>
      <c r="D319" s="218"/>
      <c r="E319" s="231" t="s">
        <v>38</v>
      </c>
      <c r="F319" s="40"/>
      <c r="G319" s="41">
        <f>G320+G321+G322</f>
        <v>0</v>
      </c>
      <c r="H319" s="41">
        <f t="shared" ref="H319:I319" si="548">H320+H321+H322</f>
        <v>0</v>
      </c>
      <c r="I319" s="41">
        <f t="shared" si="548"/>
        <v>0</v>
      </c>
      <c r="J319" s="41">
        <f>J320+J321+J322</f>
        <v>6146.5</v>
      </c>
      <c r="K319" s="41">
        <f t="shared" ref="K319:L319" si="549">K320+K321+K322</f>
        <v>0</v>
      </c>
      <c r="L319" s="41">
        <f t="shared" si="549"/>
        <v>6146.5</v>
      </c>
      <c r="M319" s="41">
        <f>M320+M321+M322</f>
        <v>0</v>
      </c>
      <c r="N319" s="41">
        <f t="shared" ref="N319:O319" si="550">N320+N321+N322</f>
        <v>0</v>
      </c>
      <c r="O319" s="41">
        <f t="shared" si="550"/>
        <v>0</v>
      </c>
      <c r="P319" s="6"/>
    </row>
    <row r="320" spans="1:16" ht="35.25" customHeight="1" x14ac:dyDescent="0.3">
      <c r="A320" s="44"/>
      <c r="B320" s="220"/>
      <c r="C320" s="220"/>
      <c r="D320" s="218"/>
      <c r="E320" s="231"/>
      <c r="F320" s="40" t="s">
        <v>12</v>
      </c>
      <c r="G320" s="41">
        <f>H320+I320</f>
        <v>0</v>
      </c>
      <c r="H320" s="41">
        <v>0</v>
      </c>
      <c r="I320" s="41">
        <v>0</v>
      </c>
      <c r="J320" s="41">
        <f>K320+L320</f>
        <v>6146.5</v>
      </c>
      <c r="K320" s="41">
        <v>0</v>
      </c>
      <c r="L320" s="41">
        <f>6200-53.5</f>
        <v>6146.5</v>
      </c>
      <c r="M320" s="41">
        <f>N320+O320</f>
        <v>0</v>
      </c>
      <c r="N320" s="41">
        <v>0</v>
      </c>
      <c r="O320" s="41">
        <v>0</v>
      </c>
      <c r="P320" s="6"/>
    </row>
    <row r="321" spans="1:16" ht="35.25" customHeight="1" x14ac:dyDescent="0.3">
      <c r="A321" s="44"/>
      <c r="B321" s="220"/>
      <c r="C321" s="220"/>
      <c r="D321" s="218"/>
      <c r="E321" s="231"/>
      <c r="F321" s="42" t="s">
        <v>13</v>
      </c>
      <c r="G321" s="41">
        <f t="shared" ref="G321:G322" si="551">H321+I321</f>
        <v>0</v>
      </c>
      <c r="H321" s="41"/>
      <c r="I321" s="41"/>
      <c r="J321" s="41">
        <f>K321+L321</f>
        <v>0</v>
      </c>
      <c r="K321" s="41"/>
      <c r="L321" s="41"/>
      <c r="M321" s="41">
        <f t="shared" ref="M321:M322" si="552">N321+O321</f>
        <v>0</v>
      </c>
      <c r="N321" s="41"/>
      <c r="O321" s="41"/>
      <c r="P321" s="6"/>
    </row>
    <row r="322" spans="1:16" ht="35.25" customHeight="1" x14ac:dyDescent="0.3">
      <c r="A322" s="44"/>
      <c r="B322" s="220"/>
      <c r="C322" s="220"/>
      <c r="D322" s="218"/>
      <c r="E322" s="231"/>
      <c r="F322" s="40" t="s">
        <v>14</v>
      </c>
      <c r="G322" s="41">
        <f t="shared" si="551"/>
        <v>0</v>
      </c>
      <c r="H322" s="41"/>
      <c r="I322" s="41"/>
      <c r="J322" s="41">
        <f t="shared" ref="J322" si="553">K322+L322</f>
        <v>0</v>
      </c>
      <c r="K322" s="41"/>
      <c r="L322" s="41"/>
      <c r="M322" s="41">
        <f t="shared" si="552"/>
        <v>0</v>
      </c>
      <c r="N322" s="41"/>
      <c r="O322" s="41"/>
      <c r="P322" s="6"/>
    </row>
    <row r="323" spans="1:16" ht="35.25" customHeight="1" x14ac:dyDescent="0.3">
      <c r="A323" s="44"/>
      <c r="B323" s="220" t="s">
        <v>99</v>
      </c>
      <c r="C323" s="220"/>
      <c r="D323" s="218"/>
      <c r="E323" s="231" t="s">
        <v>38</v>
      </c>
      <c r="F323" s="40"/>
      <c r="G323" s="41">
        <f>G324+G325+G326</f>
        <v>0</v>
      </c>
      <c r="H323" s="41">
        <f t="shared" ref="H323:I323" si="554">H324+H325+H326</f>
        <v>0</v>
      </c>
      <c r="I323" s="41">
        <f t="shared" si="554"/>
        <v>0</v>
      </c>
      <c r="J323" s="41">
        <f>J324+J325+J326</f>
        <v>2523.6999999999998</v>
      </c>
      <c r="K323" s="41">
        <f t="shared" ref="K323:L323" si="555">K324+K325+K326</f>
        <v>2523.6999999999998</v>
      </c>
      <c r="L323" s="41">
        <f t="shared" si="555"/>
        <v>0</v>
      </c>
      <c r="M323" s="41">
        <f>M324+M325+M326</f>
        <v>0</v>
      </c>
      <c r="N323" s="41">
        <f t="shared" ref="N323:O323" si="556">N324+N325+N326</f>
        <v>0</v>
      </c>
      <c r="O323" s="41">
        <f t="shared" si="556"/>
        <v>0</v>
      </c>
      <c r="P323" s="6"/>
    </row>
    <row r="324" spans="1:16" ht="35.25" customHeight="1" x14ac:dyDescent="0.3">
      <c r="A324" s="44"/>
      <c r="B324" s="220"/>
      <c r="C324" s="220"/>
      <c r="D324" s="218"/>
      <c r="E324" s="231"/>
      <c r="F324" s="40" t="s">
        <v>12</v>
      </c>
      <c r="G324" s="41">
        <f>H324+I324</f>
        <v>0</v>
      </c>
      <c r="H324" s="41">
        <v>0</v>
      </c>
      <c r="I324" s="41">
        <v>0</v>
      </c>
      <c r="J324" s="41">
        <f>K324+L324</f>
        <v>2523.6999999999998</v>
      </c>
      <c r="K324" s="41">
        <v>2523.6999999999998</v>
      </c>
      <c r="L324" s="41">
        <v>0</v>
      </c>
      <c r="M324" s="41">
        <f>N324+O324</f>
        <v>0</v>
      </c>
      <c r="N324" s="41">
        <v>0</v>
      </c>
      <c r="O324" s="41">
        <v>0</v>
      </c>
      <c r="P324" s="6"/>
    </row>
    <row r="325" spans="1:16" ht="35.25" customHeight="1" x14ac:dyDescent="0.3">
      <c r="A325" s="44"/>
      <c r="B325" s="220"/>
      <c r="C325" s="220"/>
      <c r="D325" s="218"/>
      <c r="E325" s="231"/>
      <c r="F325" s="42" t="s">
        <v>13</v>
      </c>
      <c r="G325" s="41">
        <f t="shared" ref="G325:G326" si="557">H325+I325</f>
        <v>0</v>
      </c>
      <c r="H325" s="41"/>
      <c r="I325" s="41"/>
      <c r="J325" s="41">
        <f>K325+L325</f>
        <v>0</v>
      </c>
      <c r="K325" s="41"/>
      <c r="L325" s="41"/>
      <c r="M325" s="41">
        <f t="shared" ref="M325:M326" si="558">N325+O325</f>
        <v>0</v>
      </c>
      <c r="N325" s="41"/>
      <c r="O325" s="41"/>
      <c r="P325" s="6"/>
    </row>
    <row r="326" spans="1:16" ht="35.25" customHeight="1" x14ac:dyDescent="0.3">
      <c r="A326" s="44"/>
      <c r="B326" s="220"/>
      <c r="C326" s="220"/>
      <c r="D326" s="218"/>
      <c r="E326" s="231"/>
      <c r="F326" s="40" t="s">
        <v>14</v>
      </c>
      <c r="G326" s="41">
        <f t="shared" si="557"/>
        <v>0</v>
      </c>
      <c r="H326" s="41"/>
      <c r="I326" s="41"/>
      <c r="J326" s="41">
        <f t="shared" ref="J326" si="559">K326+L326</f>
        <v>0</v>
      </c>
      <c r="K326" s="41"/>
      <c r="L326" s="41"/>
      <c r="M326" s="41">
        <f t="shared" si="558"/>
        <v>0</v>
      </c>
      <c r="N326" s="41"/>
      <c r="O326" s="41"/>
      <c r="P326" s="6"/>
    </row>
    <row r="327" spans="1:16" ht="35.25" customHeight="1" x14ac:dyDescent="0.3">
      <c r="A327" s="44"/>
      <c r="B327" s="116"/>
      <c r="C327" s="222" t="s">
        <v>117</v>
      </c>
      <c r="D327" s="241" t="s">
        <v>313</v>
      </c>
      <c r="E327" s="238" t="s">
        <v>100</v>
      </c>
      <c r="F327" s="33"/>
      <c r="G327" s="34">
        <f t="shared" ref="G327:O327" si="560">G328+G329+G330</f>
        <v>955.1</v>
      </c>
      <c r="H327" s="34">
        <f t="shared" si="560"/>
        <v>318.73</v>
      </c>
      <c r="I327" s="34">
        <f t="shared" si="560"/>
        <v>636.37</v>
      </c>
      <c r="J327" s="34">
        <f t="shared" si="560"/>
        <v>180.19999999999993</v>
      </c>
      <c r="K327" s="34">
        <f t="shared" si="560"/>
        <v>35.6</v>
      </c>
      <c r="L327" s="34">
        <f t="shared" si="560"/>
        <v>144.59999999999994</v>
      </c>
      <c r="M327" s="34">
        <f t="shared" si="560"/>
        <v>0</v>
      </c>
      <c r="N327" s="34">
        <f t="shared" si="560"/>
        <v>0</v>
      </c>
      <c r="O327" s="34">
        <f t="shared" si="560"/>
        <v>0</v>
      </c>
      <c r="P327" s="6"/>
    </row>
    <row r="328" spans="1:16" ht="35.25" customHeight="1" x14ac:dyDescent="0.3">
      <c r="A328" s="44"/>
      <c r="B328" s="117"/>
      <c r="C328" s="224"/>
      <c r="D328" s="242"/>
      <c r="E328" s="239"/>
      <c r="F328" s="35" t="s">
        <v>12</v>
      </c>
      <c r="G328" s="17">
        <f>H328+I328</f>
        <v>955.1</v>
      </c>
      <c r="H328" s="17">
        <f>H332+H336+H340+H344</f>
        <v>318.73</v>
      </c>
      <c r="I328" s="17">
        <f>I332+I336+I340+I344</f>
        <v>636.37</v>
      </c>
      <c r="J328" s="17">
        <f>K328+L328</f>
        <v>180.19999999999993</v>
      </c>
      <c r="K328" s="17">
        <f>K332+K336+K340+K344</f>
        <v>35.6</v>
      </c>
      <c r="L328" s="17">
        <f>L332+L336+L340+L344</f>
        <v>144.59999999999994</v>
      </c>
      <c r="M328" s="17">
        <f>N328+O328</f>
        <v>0</v>
      </c>
      <c r="N328" s="17">
        <f>N332+N336+N340+N344</f>
        <v>0</v>
      </c>
      <c r="O328" s="17">
        <f>O332+O336+O340+O344</f>
        <v>0</v>
      </c>
      <c r="P328" s="6"/>
    </row>
    <row r="329" spans="1:16" ht="35.25" customHeight="1" x14ac:dyDescent="0.3">
      <c r="A329" s="44"/>
      <c r="B329" s="117"/>
      <c r="C329" s="224"/>
      <c r="D329" s="242"/>
      <c r="E329" s="239"/>
      <c r="F329" s="36" t="s">
        <v>13</v>
      </c>
      <c r="G329" s="17">
        <f t="shared" ref="G329:G330" si="561">H329+I329</f>
        <v>0</v>
      </c>
      <c r="H329" s="17">
        <f t="shared" ref="H329:I329" si="562">H333+H337+H341+H345</f>
        <v>0</v>
      </c>
      <c r="I329" s="17">
        <f t="shared" si="562"/>
        <v>0</v>
      </c>
      <c r="J329" s="17">
        <f t="shared" ref="J329:J330" si="563">K329+L329</f>
        <v>0</v>
      </c>
      <c r="K329" s="17">
        <f t="shared" ref="K329:L329" si="564">K333+K337+K341+K345</f>
        <v>0</v>
      </c>
      <c r="L329" s="17">
        <f t="shared" si="564"/>
        <v>0</v>
      </c>
      <c r="M329" s="17">
        <f t="shared" ref="M329:M330" si="565">N329+O329</f>
        <v>0</v>
      </c>
      <c r="N329" s="17">
        <f t="shared" ref="N329:O329" si="566">N333+N337+N341+N345</f>
        <v>0</v>
      </c>
      <c r="O329" s="17">
        <f t="shared" si="566"/>
        <v>0</v>
      </c>
      <c r="P329" s="6"/>
    </row>
    <row r="330" spans="1:16" ht="35.25" customHeight="1" x14ac:dyDescent="0.3">
      <c r="A330" s="44"/>
      <c r="B330" s="118"/>
      <c r="C330" s="226"/>
      <c r="D330" s="243"/>
      <c r="E330" s="240"/>
      <c r="F330" s="35" t="s">
        <v>14</v>
      </c>
      <c r="G330" s="17">
        <f t="shared" si="561"/>
        <v>0</v>
      </c>
      <c r="H330" s="17">
        <f t="shared" ref="H330:I330" si="567">H334+H338+H342+H346</f>
        <v>0</v>
      </c>
      <c r="I330" s="17">
        <f t="shared" si="567"/>
        <v>0</v>
      </c>
      <c r="J330" s="17">
        <f t="shared" si="563"/>
        <v>0</v>
      </c>
      <c r="K330" s="17">
        <f t="shared" ref="K330:L330" si="568">K334+K338+K342+K346</f>
        <v>0</v>
      </c>
      <c r="L330" s="17">
        <f t="shared" si="568"/>
        <v>0</v>
      </c>
      <c r="M330" s="17">
        <f t="shared" si="565"/>
        <v>0</v>
      </c>
      <c r="N330" s="17">
        <f t="shared" ref="N330:O330" si="569">N334+N338+N342+N346</f>
        <v>0</v>
      </c>
      <c r="O330" s="17">
        <f t="shared" si="569"/>
        <v>0</v>
      </c>
      <c r="P330" s="6"/>
    </row>
    <row r="331" spans="1:16" ht="35.25" customHeight="1" x14ac:dyDescent="0.3">
      <c r="A331" s="44"/>
      <c r="B331" s="220" t="s">
        <v>118</v>
      </c>
      <c r="C331" s="220"/>
      <c r="D331" s="233">
        <v>6090</v>
      </c>
      <c r="E331" s="251" t="s">
        <v>100</v>
      </c>
      <c r="F331" s="40"/>
      <c r="G331" s="41">
        <f>G332+G333+G334</f>
        <v>182.5</v>
      </c>
      <c r="H331" s="41">
        <f t="shared" ref="H331:I331" si="570">H332+H333+H334</f>
        <v>182.5</v>
      </c>
      <c r="I331" s="41">
        <f t="shared" si="570"/>
        <v>0</v>
      </c>
      <c r="J331" s="41">
        <f>J332+J333+J334</f>
        <v>0</v>
      </c>
      <c r="K331" s="41">
        <f t="shared" ref="K331:L331" si="571">K332+K333+K334</f>
        <v>0</v>
      </c>
      <c r="L331" s="41">
        <f t="shared" si="571"/>
        <v>0</v>
      </c>
      <c r="M331" s="41">
        <f>M332+M333+M334</f>
        <v>0</v>
      </c>
      <c r="N331" s="41">
        <f t="shared" ref="N331:O331" si="572">N332+N333+N334</f>
        <v>0</v>
      </c>
      <c r="O331" s="41">
        <f t="shared" si="572"/>
        <v>0</v>
      </c>
      <c r="P331" s="6"/>
    </row>
    <row r="332" spans="1:16" ht="35.25" customHeight="1" x14ac:dyDescent="0.3">
      <c r="A332" s="44"/>
      <c r="B332" s="220"/>
      <c r="C332" s="220"/>
      <c r="D332" s="233"/>
      <c r="E332" s="252"/>
      <c r="F332" s="40" t="s">
        <v>12</v>
      </c>
      <c r="G332" s="41">
        <f>H332+I332</f>
        <v>182.5</v>
      </c>
      <c r="H332" s="41">
        <v>182.5</v>
      </c>
      <c r="I332" s="41">
        <v>0</v>
      </c>
      <c r="J332" s="41">
        <f>K332+L332</f>
        <v>0</v>
      </c>
      <c r="K332" s="41">
        <f>183.75-183.75</f>
        <v>0</v>
      </c>
      <c r="L332" s="41">
        <v>0</v>
      </c>
      <c r="M332" s="41">
        <f>N332+O332</f>
        <v>0</v>
      </c>
      <c r="N332" s="41">
        <f>185-185</f>
        <v>0</v>
      </c>
      <c r="O332" s="41">
        <v>0</v>
      </c>
      <c r="P332" s="6"/>
    </row>
    <row r="333" spans="1:16" ht="35.25" customHeight="1" x14ac:dyDescent="0.3">
      <c r="A333" s="44"/>
      <c r="B333" s="220"/>
      <c r="C333" s="220"/>
      <c r="D333" s="233"/>
      <c r="E333" s="252"/>
      <c r="F333" s="42" t="s">
        <v>13</v>
      </c>
      <c r="G333" s="41">
        <f t="shared" ref="G333:G334" si="573">H333+I333</f>
        <v>0</v>
      </c>
      <c r="H333" s="41"/>
      <c r="I333" s="41"/>
      <c r="J333" s="41">
        <f>K333+L333</f>
        <v>0</v>
      </c>
      <c r="K333" s="41"/>
      <c r="L333" s="41"/>
      <c r="M333" s="41">
        <f t="shared" ref="M333:M334" si="574">N333+O333</f>
        <v>0</v>
      </c>
      <c r="N333" s="41"/>
      <c r="O333" s="41"/>
      <c r="P333" s="6"/>
    </row>
    <row r="334" spans="1:16" ht="35.25" customHeight="1" x14ac:dyDescent="0.3">
      <c r="A334" s="44"/>
      <c r="B334" s="220"/>
      <c r="C334" s="220"/>
      <c r="D334" s="233"/>
      <c r="E334" s="252"/>
      <c r="F334" s="40" t="s">
        <v>14</v>
      </c>
      <c r="G334" s="41">
        <f t="shared" si="573"/>
        <v>0</v>
      </c>
      <c r="H334" s="41"/>
      <c r="I334" s="41"/>
      <c r="J334" s="41">
        <f t="shared" ref="J334" si="575">K334+L334</f>
        <v>0</v>
      </c>
      <c r="K334" s="41"/>
      <c r="L334" s="41"/>
      <c r="M334" s="41">
        <f t="shared" si="574"/>
        <v>0</v>
      </c>
      <c r="N334" s="41"/>
      <c r="O334" s="41"/>
      <c r="P334" s="6"/>
    </row>
    <row r="335" spans="1:16" ht="35.25" customHeight="1" x14ac:dyDescent="0.3">
      <c r="A335" s="44"/>
      <c r="B335" s="220" t="s">
        <v>119</v>
      </c>
      <c r="C335" s="220"/>
      <c r="D335" s="233">
        <v>6090</v>
      </c>
      <c r="E335" s="252"/>
      <c r="F335" s="40"/>
      <c r="G335" s="41">
        <f>G336+G337+G338</f>
        <v>136.22999999999999</v>
      </c>
      <c r="H335" s="41">
        <f t="shared" ref="H335:I335" si="576">H336+H337+H338</f>
        <v>136.22999999999999</v>
      </c>
      <c r="I335" s="41">
        <f t="shared" si="576"/>
        <v>0</v>
      </c>
      <c r="J335" s="41">
        <f>J336+J337+J338</f>
        <v>35.6</v>
      </c>
      <c r="K335" s="41">
        <f t="shared" ref="K335:L335" si="577">K336+K337+K338</f>
        <v>35.6</v>
      </c>
      <c r="L335" s="41">
        <f t="shared" si="577"/>
        <v>0</v>
      </c>
      <c r="M335" s="41">
        <f>M336+M337+M338</f>
        <v>0</v>
      </c>
      <c r="N335" s="41">
        <f t="shared" ref="N335:O335" si="578">N336+N337+N338</f>
        <v>0</v>
      </c>
      <c r="O335" s="41">
        <f t="shared" si="578"/>
        <v>0</v>
      </c>
      <c r="P335" s="6"/>
    </row>
    <row r="336" spans="1:16" ht="35.25" customHeight="1" x14ac:dyDescent="0.3">
      <c r="A336" s="44"/>
      <c r="B336" s="220"/>
      <c r="C336" s="220"/>
      <c r="D336" s="233"/>
      <c r="E336" s="252"/>
      <c r="F336" s="40" t="s">
        <v>12</v>
      </c>
      <c r="G336" s="41">
        <f>H336+I336</f>
        <v>136.22999999999999</v>
      </c>
      <c r="H336" s="41">
        <v>136.22999999999999</v>
      </c>
      <c r="I336" s="41">
        <v>0</v>
      </c>
      <c r="J336" s="41">
        <f>K336+L336</f>
        <v>35.6</v>
      </c>
      <c r="K336" s="41">
        <v>35.6</v>
      </c>
      <c r="L336" s="41">
        <v>0</v>
      </c>
      <c r="M336" s="41">
        <f>N336+O336</f>
        <v>0</v>
      </c>
      <c r="N336" s="41">
        <f>159.36-159.36</f>
        <v>0</v>
      </c>
      <c r="O336" s="41">
        <v>0</v>
      </c>
      <c r="P336" s="6"/>
    </row>
    <row r="337" spans="1:16" ht="35.25" customHeight="1" x14ac:dyDescent="0.3">
      <c r="A337" s="44"/>
      <c r="B337" s="220"/>
      <c r="C337" s="220"/>
      <c r="D337" s="233"/>
      <c r="E337" s="252"/>
      <c r="F337" s="42" t="s">
        <v>13</v>
      </c>
      <c r="G337" s="41">
        <f t="shared" ref="G337:G338" si="579">H337+I337</f>
        <v>0</v>
      </c>
      <c r="H337" s="41"/>
      <c r="I337" s="41"/>
      <c r="J337" s="41">
        <f>K337+L337</f>
        <v>0</v>
      </c>
      <c r="K337" s="41"/>
      <c r="L337" s="41"/>
      <c r="M337" s="41">
        <f t="shared" ref="M337:M338" si="580">N337+O337</f>
        <v>0</v>
      </c>
      <c r="N337" s="41"/>
      <c r="O337" s="41"/>
      <c r="P337" s="6"/>
    </row>
    <row r="338" spans="1:16" ht="35.25" customHeight="1" x14ac:dyDescent="0.3">
      <c r="A338" s="44"/>
      <c r="B338" s="220"/>
      <c r="C338" s="220"/>
      <c r="D338" s="233"/>
      <c r="E338" s="252"/>
      <c r="F338" s="40" t="s">
        <v>14</v>
      </c>
      <c r="G338" s="41">
        <f t="shared" si="579"/>
        <v>0</v>
      </c>
      <c r="H338" s="41"/>
      <c r="I338" s="41"/>
      <c r="J338" s="41">
        <f t="shared" ref="J338" si="581">K338+L338</f>
        <v>0</v>
      </c>
      <c r="K338" s="41"/>
      <c r="L338" s="41"/>
      <c r="M338" s="41">
        <f t="shared" si="580"/>
        <v>0</v>
      </c>
      <c r="N338" s="41"/>
      <c r="O338" s="41"/>
      <c r="P338" s="6"/>
    </row>
    <row r="339" spans="1:16" ht="35.25" customHeight="1" x14ac:dyDescent="0.3">
      <c r="A339" s="44"/>
      <c r="B339" s="220" t="s">
        <v>120</v>
      </c>
      <c r="C339" s="220"/>
      <c r="D339" s="233">
        <v>7691</v>
      </c>
      <c r="E339" s="252"/>
      <c r="F339" s="40"/>
      <c r="G339" s="41">
        <f>G340+G341+G342</f>
        <v>563.16999999999996</v>
      </c>
      <c r="H339" s="41">
        <f t="shared" ref="H339:I339" si="582">H340+H341+H342</f>
        <v>0</v>
      </c>
      <c r="I339" s="41">
        <f t="shared" si="582"/>
        <v>563.16999999999996</v>
      </c>
      <c r="J339" s="41">
        <f>J340+J341+J342</f>
        <v>93.499999999999943</v>
      </c>
      <c r="K339" s="41">
        <f t="shared" ref="K339:L339" si="583">K340+K341+K342</f>
        <v>0</v>
      </c>
      <c r="L339" s="41">
        <f t="shared" si="583"/>
        <v>93.499999999999943</v>
      </c>
      <c r="M339" s="41">
        <f>M340+M341+M342</f>
        <v>0</v>
      </c>
      <c r="N339" s="41">
        <f t="shared" ref="N339:O339" si="584">N340+N341+N342</f>
        <v>0</v>
      </c>
      <c r="O339" s="41">
        <f t="shared" si="584"/>
        <v>0</v>
      </c>
      <c r="P339" s="6"/>
    </row>
    <row r="340" spans="1:16" ht="35.25" customHeight="1" x14ac:dyDescent="0.3">
      <c r="A340" s="44"/>
      <c r="B340" s="220"/>
      <c r="C340" s="220"/>
      <c r="D340" s="233"/>
      <c r="E340" s="252"/>
      <c r="F340" s="40" t="s">
        <v>12</v>
      </c>
      <c r="G340" s="41">
        <f>H340+I340</f>
        <v>563.16999999999996</v>
      </c>
      <c r="H340" s="41">
        <v>0</v>
      </c>
      <c r="I340" s="41">
        <v>563.16999999999996</v>
      </c>
      <c r="J340" s="41">
        <f>K340+L340</f>
        <v>93.499999999999943</v>
      </c>
      <c r="K340" s="41">
        <v>0</v>
      </c>
      <c r="L340" s="41">
        <f>597.18-503.68</f>
        <v>93.499999999999943</v>
      </c>
      <c r="M340" s="41">
        <f>N340+O340</f>
        <v>0</v>
      </c>
      <c r="N340" s="41">
        <v>0</v>
      </c>
      <c r="O340" s="41">
        <f>650.44-650.44</f>
        <v>0</v>
      </c>
      <c r="P340" s="6"/>
    </row>
    <row r="341" spans="1:16" ht="35.25" customHeight="1" x14ac:dyDescent="0.3">
      <c r="A341" s="44"/>
      <c r="B341" s="220"/>
      <c r="C341" s="220"/>
      <c r="D341" s="233"/>
      <c r="E341" s="252"/>
      <c r="F341" s="42" t="s">
        <v>13</v>
      </c>
      <c r="G341" s="41">
        <f t="shared" ref="G341:G342" si="585">H341+I341</f>
        <v>0</v>
      </c>
      <c r="H341" s="41"/>
      <c r="I341" s="41"/>
      <c r="J341" s="41">
        <f>K341+L341</f>
        <v>0</v>
      </c>
      <c r="K341" s="41"/>
      <c r="L341" s="41"/>
      <c r="M341" s="41">
        <f t="shared" ref="M341:M342" si="586">N341+O341</f>
        <v>0</v>
      </c>
      <c r="N341" s="41"/>
      <c r="O341" s="41"/>
      <c r="P341" s="6"/>
    </row>
    <row r="342" spans="1:16" ht="35.25" customHeight="1" x14ac:dyDescent="0.3">
      <c r="A342" s="44"/>
      <c r="B342" s="220"/>
      <c r="C342" s="220"/>
      <c r="D342" s="233"/>
      <c r="E342" s="252"/>
      <c r="F342" s="40" t="s">
        <v>14</v>
      </c>
      <c r="G342" s="41">
        <f t="shared" si="585"/>
        <v>0</v>
      </c>
      <c r="H342" s="41"/>
      <c r="I342" s="41"/>
      <c r="J342" s="41">
        <f t="shared" ref="J342" si="587">K342+L342</f>
        <v>0</v>
      </c>
      <c r="K342" s="41"/>
      <c r="L342" s="41"/>
      <c r="M342" s="41">
        <f t="shared" si="586"/>
        <v>0</v>
      </c>
      <c r="N342" s="41"/>
      <c r="O342" s="41"/>
      <c r="P342" s="6"/>
    </row>
    <row r="343" spans="1:16" ht="35.25" customHeight="1" x14ac:dyDescent="0.3">
      <c r="A343" s="44"/>
      <c r="B343" s="220" t="s">
        <v>121</v>
      </c>
      <c r="C343" s="220"/>
      <c r="D343" s="233">
        <v>7691</v>
      </c>
      <c r="E343" s="252"/>
      <c r="F343" s="40"/>
      <c r="G343" s="41">
        <f>G344+G345+G346</f>
        <v>73.2</v>
      </c>
      <c r="H343" s="41">
        <f t="shared" ref="H343:I343" si="588">H344+H345+H346</f>
        <v>0</v>
      </c>
      <c r="I343" s="41">
        <f t="shared" si="588"/>
        <v>73.2</v>
      </c>
      <c r="J343" s="41">
        <f>J344+J345+J346</f>
        <v>51.1</v>
      </c>
      <c r="K343" s="41">
        <f t="shared" ref="K343:L343" si="589">K344+K345+K346</f>
        <v>0</v>
      </c>
      <c r="L343" s="41">
        <f t="shared" si="589"/>
        <v>51.1</v>
      </c>
      <c r="M343" s="41">
        <f>M344+M345+M346</f>
        <v>0</v>
      </c>
      <c r="N343" s="41">
        <f t="shared" ref="N343:O343" si="590">N344+N345+N346</f>
        <v>0</v>
      </c>
      <c r="O343" s="41">
        <f t="shared" si="590"/>
        <v>0</v>
      </c>
      <c r="P343" s="6"/>
    </row>
    <row r="344" spans="1:16" ht="35.25" customHeight="1" x14ac:dyDescent="0.3">
      <c r="A344" s="44"/>
      <c r="B344" s="220"/>
      <c r="C344" s="220"/>
      <c r="D344" s="233"/>
      <c r="E344" s="252"/>
      <c r="F344" s="40" t="s">
        <v>12</v>
      </c>
      <c r="G344" s="41">
        <f>H344+I344</f>
        <v>73.2</v>
      </c>
      <c r="H344" s="41">
        <v>0</v>
      </c>
      <c r="I344" s="41">
        <v>73.2</v>
      </c>
      <c r="J344" s="41">
        <f>K344+L344</f>
        <v>51.1</v>
      </c>
      <c r="K344" s="41">
        <v>0</v>
      </c>
      <c r="L344" s="41">
        <f>79.2-28.1</f>
        <v>51.1</v>
      </c>
      <c r="M344" s="41">
        <f>N344+O344</f>
        <v>0</v>
      </c>
      <c r="N344" s="41">
        <v>0</v>
      </c>
      <c r="O344" s="41">
        <f>82.8-82.8</f>
        <v>0</v>
      </c>
      <c r="P344" s="6"/>
    </row>
    <row r="345" spans="1:16" ht="35.25" customHeight="1" x14ac:dyDescent="0.3">
      <c r="A345" s="44"/>
      <c r="B345" s="220"/>
      <c r="C345" s="220"/>
      <c r="D345" s="233"/>
      <c r="E345" s="252"/>
      <c r="F345" s="42" t="s">
        <v>13</v>
      </c>
      <c r="G345" s="41">
        <f t="shared" ref="G345:G346" si="591">H345+I345</f>
        <v>0</v>
      </c>
      <c r="H345" s="41"/>
      <c r="I345" s="41"/>
      <c r="J345" s="41">
        <f>K345+L345</f>
        <v>0</v>
      </c>
      <c r="K345" s="41"/>
      <c r="L345" s="41"/>
      <c r="M345" s="41">
        <f t="shared" ref="M345:M346" si="592">N345+O345</f>
        <v>0</v>
      </c>
      <c r="N345" s="41"/>
      <c r="O345" s="41"/>
      <c r="P345" s="6"/>
    </row>
    <row r="346" spans="1:16" ht="35.25" customHeight="1" x14ac:dyDescent="0.3">
      <c r="A346" s="44"/>
      <c r="B346" s="220"/>
      <c r="C346" s="220"/>
      <c r="D346" s="233"/>
      <c r="E346" s="253"/>
      <c r="F346" s="40" t="s">
        <v>14</v>
      </c>
      <c r="G346" s="41">
        <f t="shared" si="591"/>
        <v>0</v>
      </c>
      <c r="H346" s="41"/>
      <c r="I346" s="41"/>
      <c r="J346" s="41">
        <f t="shared" ref="J346" si="593">K346+L346</f>
        <v>0</v>
      </c>
      <c r="K346" s="41"/>
      <c r="L346" s="41"/>
      <c r="M346" s="41">
        <f t="shared" si="592"/>
        <v>0</v>
      </c>
      <c r="N346" s="41"/>
      <c r="O346" s="41"/>
      <c r="P346" s="6"/>
    </row>
    <row r="347" spans="1:16" ht="35.25" customHeight="1" x14ac:dyDescent="0.3">
      <c r="A347" s="44"/>
      <c r="B347" s="245" t="s">
        <v>122</v>
      </c>
      <c r="C347" s="246"/>
      <c r="D347" s="241" t="s">
        <v>102</v>
      </c>
      <c r="E347" s="244" t="s">
        <v>38</v>
      </c>
      <c r="F347" s="33"/>
      <c r="G347" s="34">
        <f t="shared" ref="G347:O347" si="594">G348+G349+G350</f>
        <v>855.7</v>
      </c>
      <c r="H347" s="34">
        <f t="shared" si="594"/>
        <v>0</v>
      </c>
      <c r="I347" s="34">
        <f t="shared" si="594"/>
        <v>855.7</v>
      </c>
      <c r="J347" s="34">
        <f t="shared" si="594"/>
        <v>100</v>
      </c>
      <c r="K347" s="34">
        <f t="shared" si="594"/>
        <v>0</v>
      </c>
      <c r="L347" s="34">
        <f t="shared" si="594"/>
        <v>100</v>
      </c>
      <c r="M347" s="34">
        <f t="shared" si="594"/>
        <v>2487</v>
      </c>
      <c r="N347" s="34">
        <f t="shared" si="594"/>
        <v>0</v>
      </c>
      <c r="O347" s="34">
        <f t="shared" si="594"/>
        <v>2487</v>
      </c>
      <c r="P347" s="6"/>
    </row>
    <row r="348" spans="1:16" ht="35.25" customHeight="1" x14ac:dyDescent="0.3">
      <c r="A348" s="44"/>
      <c r="B348" s="247"/>
      <c r="C348" s="248"/>
      <c r="D348" s="242"/>
      <c r="E348" s="244"/>
      <c r="F348" s="35" t="s">
        <v>12</v>
      </c>
      <c r="G348" s="17">
        <f>H348+I348</f>
        <v>855.7</v>
      </c>
      <c r="H348" s="17">
        <f>H352+H356</f>
        <v>0</v>
      </c>
      <c r="I348" s="17">
        <f>I352+I356</f>
        <v>855.7</v>
      </c>
      <c r="J348" s="17">
        <f>K348+L348</f>
        <v>100</v>
      </c>
      <c r="K348" s="17">
        <f>K352+K356</f>
        <v>0</v>
      </c>
      <c r="L348" s="17">
        <f>L352+L356</f>
        <v>100</v>
      </c>
      <c r="M348" s="17">
        <f>N348+O348</f>
        <v>2487</v>
      </c>
      <c r="N348" s="17">
        <f>N352+N356</f>
        <v>0</v>
      </c>
      <c r="O348" s="17">
        <f>O352+O356</f>
        <v>2487</v>
      </c>
      <c r="P348" s="6"/>
    </row>
    <row r="349" spans="1:16" ht="35.25" customHeight="1" x14ac:dyDescent="0.3">
      <c r="A349" s="44"/>
      <c r="B349" s="247"/>
      <c r="C349" s="248"/>
      <c r="D349" s="242"/>
      <c r="E349" s="244"/>
      <c r="F349" s="36" t="s">
        <v>13</v>
      </c>
      <c r="G349" s="17">
        <f t="shared" ref="G349:G350" si="595">H349+I349</f>
        <v>0</v>
      </c>
      <c r="H349" s="17">
        <f t="shared" ref="H349:I349" si="596">H353+H357</f>
        <v>0</v>
      </c>
      <c r="I349" s="17">
        <f t="shared" si="596"/>
        <v>0</v>
      </c>
      <c r="J349" s="17">
        <f t="shared" ref="J349:J350" si="597">K349+L349</f>
        <v>0</v>
      </c>
      <c r="K349" s="17">
        <f t="shared" ref="K349:L349" si="598">K353+K357</f>
        <v>0</v>
      </c>
      <c r="L349" s="17">
        <f t="shared" si="598"/>
        <v>0</v>
      </c>
      <c r="M349" s="17">
        <f t="shared" ref="M349:M350" si="599">N349+O349</f>
        <v>0</v>
      </c>
      <c r="N349" s="17">
        <f t="shared" ref="N349:O349" si="600">N353+N357</f>
        <v>0</v>
      </c>
      <c r="O349" s="17">
        <f t="shared" si="600"/>
        <v>0</v>
      </c>
      <c r="P349" s="6"/>
    </row>
    <row r="350" spans="1:16" ht="35.25" customHeight="1" x14ac:dyDescent="0.3">
      <c r="A350" s="44"/>
      <c r="B350" s="249"/>
      <c r="C350" s="250"/>
      <c r="D350" s="243"/>
      <c r="E350" s="244"/>
      <c r="F350" s="35" t="s">
        <v>14</v>
      </c>
      <c r="G350" s="17">
        <f t="shared" si="595"/>
        <v>0</v>
      </c>
      <c r="H350" s="17">
        <f t="shared" ref="H350:I350" si="601">H354+H358</f>
        <v>0</v>
      </c>
      <c r="I350" s="17">
        <f t="shared" si="601"/>
        <v>0</v>
      </c>
      <c r="J350" s="17">
        <f t="shared" si="597"/>
        <v>0</v>
      </c>
      <c r="K350" s="17">
        <f t="shared" ref="K350:L350" si="602">K354+K358</f>
        <v>0</v>
      </c>
      <c r="L350" s="17">
        <f t="shared" si="602"/>
        <v>0</v>
      </c>
      <c r="M350" s="17">
        <f t="shared" si="599"/>
        <v>0</v>
      </c>
      <c r="N350" s="17">
        <f t="shared" ref="N350:O350" si="603">N354+N358</f>
        <v>0</v>
      </c>
      <c r="O350" s="17">
        <f t="shared" si="603"/>
        <v>0</v>
      </c>
      <c r="P350" s="6"/>
    </row>
    <row r="351" spans="1:16" ht="35.25" customHeight="1" x14ac:dyDescent="0.3">
      <c r="A351" s="44"/>
      <c r="B351" s="217" t="s">
        <v>123</v>
      </c>
      <c r="C351" s="217"/>
      <c r="D351" s="218"/>
      <c r="E351" s="231" t="s">
        <v>38</v>
      </c>
      <c r="F351" s="40"/>
      <c r="G351" s="41">
        <f>G352+G353+G354</f>
        <v>300.7</v>
      </c>
      <c r="H351" s="41">
        <f t="shared" ref="H351:I351" si="604">H352+H353+H354</f>
        <v>0</v>
      </c>
      <c r="I351" s="41">
        <f t="shared" si="604"/>
        <v>300.7</v>
      </c>
      <c r="J351" s="41">
        <f>J352+J353+J354</f>
        <v>100</v>
      </c>
      <c r="K351" s="41">
        <f t="shared" ref="K351:L351" si="605">K352+K353+K354</f>
        <v>0</v>
      </c>
      <c r="L351" s="41">
        <f t="shared" si="605"/>
        <v>100</v>
      </c>
      <c r="M351" s="41">
        <f>M352+M353+M354</f>
        <v>387</v>
      </c>
      <c r="N351" s="41">
        <f t="shared" ref="N351:O351" si="606">N352+N353+N354</f>
        <v>0</v>
      </c>
      <c r="O351" s="41">
        <f t="shared" si="606"/>
        <v>387</v>
      </c>
      <c r="P351" s="6"/>
    </row>
    <row r="352" spans="1:16" ht="35.25" customHeight="1" x14ac:dyDescent="0.3">
      <c r="A352" s="44"/>
      <c r="B352" s="217"/>
      <c r="C352" s="217"/>
      <c r="D352" s="218"/>
      <c r="E352" s="231"/>
      <c r="F352" s="40" t="s">
        <v>12</v>
      </c>
      <c r="G352" s="41">
        <f>H352+I352</f>
        <v>300.7</v>
      </c>
      <c r="H352" s="41">
        <v>0</v>
      </c>
      <c r="I352" s="41">
        <v>300.7</v>
      </c>
      <c r="J352" s="41">
        <f>K352+L352</f>
        <v>100</v>
      </c>
      <c r="K352" s="41">
        <v>0</v>
      </c>
      <c r="L352" s="41">
        <f>368.5-268.5</f>
        <v>100</v>
      </c>
      <c r="M352" s="41">
        <f>N352+O352</f>
        <v>387</v>
      </c>
      <c r="N352" s="41">
        <v>0</v>
      </c>
      <c r="O352" s="41">
        <v>387</v>
      </c>
      <c r="P352" s="6"/>
    </row>
    <row r="353" spans="1:16" ht="35.25" customHeight="1" x14ac:dyDescent="0.3">
      <c r="A353" s="44"/>
      <c r="B353" s="217"/>
      <c r="C353" s="217"/>
      <c r="D353" s="218"/>
      <c r="E353" s="231"/>
      <c r="F353" s="42" t="s">
        <v>13</v>
      </c>
      <c r="G353" s="41">
        <f t="shared" ref="G353:G354" si="607">H353+I353</f>
        <v>0</v>
      </c>
      <c r="H353" s="41"/>
      <c r="I353" s="41"/>
      <c r="J353" s="41">
        <f>K353+L353</f>
        <v>0</v>
      </c>
      <c r="K353" s="41"/>
      <c r="L353" s="41"/>
      <c r="M353" s="41">
        <f t="shared" ref="M353:M354" si="608">N353+O353</f>
        <v>0</v>
      </c>
      <c r="N353" s="41"/>
      <c r="O353" s="41"/>
      <c r="P353" s="6"/>
    </row>
    <row r="354" spans="1:16" ht="35.25" customHeight="1" x14ac:dyDescent="0.3">
      <c r="A354" s="44"/>
      <c r="B354" s="217"/>
      <c r="C354" s="217"/>
      <c r="D354" s="218"/>
      <c r="E354" s="231"/>
      <c r="F354" s="40" t="s">
        <v>14</v>
      </c>
      <c r="G354" s="41">
        <f t="shared" si="607"/>
        <v>0</v>
      </c>
      <c r="H354" s="41"/>
      <c r="I354" s="41"/>
      <c r="J354" s="41">
        <f t="shared" ref="J354" si="609">K354+L354</f>
        <v>0</v>
      </c>
      <c r="K354" s="41"/>
      <c r="L354" s="41"/>
      <c r="M354" s="41">
        <f t="shared" si="608"/>
        <v>0</v>
      </c>
      <c r="N354" s="41"/>
      <c r="O354" s="41"/>
      <c r="P354" s="6"/>
    </row>
    <row r="355" spans="1:16" ht="35.25" customHeight="1" x14ac:dyDescent="0.3">
      <c r="A355" s="44"/>
      <c r="B355" s="217" t="s">
        <v>124</v>
      </c>
      <c r="C355" s="217"/>
      <c r="D355" s="218"/>
      <c r="E355" s="231" t="s">
        <v>38</v>
      </c>
      <c r="F355" s="40"/>
      <c r="G355" s="41">
        <f>G356+G357+G358</f>
        <v>555</v>
      </c>
      <c r="H355" s="41">
        <f t="shared" ref="H355:I355" si="610">H356+H357+H358</f>
        <v>0</v>
      </c>
      <c r="I355" s="41">
        <f t="shared" si="610"/>
        <v>555</v>
      </c>
      <c r="J355" s="41">
        <f>J356+J357+J358</f>
        <v>0</v>
      </c>
      <c r="K355" s="41">
        <f t="shared" ref="K355:L355" si="611">K356+K357+K358</f>
        <v>0</v>
      </c>
      <c r="L355" s="41">
        <f t="shared" si="611"/>
        <v>0</v>
      </c>
      <c r="M355" s="41">
        <f>M356+M357+M358</f>
        <v>2100</v>
      </c>
      <c r="N355" s="41">
        <f t="shared" ref="N355:O355" si="612">N356+N357+N358</f>
        <v>0</v>
      </c>
      <c r="O355" s="41">
        <f t="shared" si="612"/>
        <v>2100</v>
      </c>
      <c r="P355" s="6"/>
    </row>
    <row r="356" spans="1:16" ht="35.25" customHeight="1" x14ac:dyDescent="0.3">
      <c r="A356" s="44"/>
      <c r="B356" s="217"/>
      <c r="C356" s="217"/>
      <c r="D356" s="218"/>
      <c r="E356" s="231"/>
      <c r="F356" s="40" t="s">
        <v>12</v>
      </c>
      <c r="G356" s="41">
        <f>H356+I356</f>
        <v>555</v>
      </c>
      <c r="H356" s="41">
        <v>0</v>
      </c>
      <c r="I356" s="41">
        <v>555</v>
      </c>
      <c r="J356" s="41">
        <f>K356+L356</f>
        <v>0</v>
      </c>
      <c r="K356" s="41">
        <v>0</v>
      </c>
      <c r="L356" s="41">
        <v>0</v>
      </c>
      <c r="M356" s="41">
        <f>N356+O356</f>
        <v>2100</v>
      </c>
      <c r="N356" s="41">
        <v>0</v>
      </c>
      <c r="O356" s="41">
        <v>2100</v>
      </c>
      <c r="P356" s="6"/>
    </row>
    <row r="357" spans="1:16" ht="35.25" customHeight="1" x14ac:dyDescent="0.3">
      <c r="A357" s="44"/>
      <c r="B357" s="217"/>
      <c r="C357" s="217"/>
      <c r="D357" s="218"/>
      <c r="E357" s="231"/>
      <c r="F357" s="42" t="s">
        <v>13</v>
      </c>
      <c r="G357" s="41">
        <f t="shared" ref="G357:G358" si="613">H357+I357</f>
        <v>0</v>
      </c>
      <c r="H357" s="41"/>
      <c r="I357" s="41"/>
      <c r="J357" s="41">
        <f>K357+L357</f>
        <v>0</v>
      </c>
      <c r="K357" s="41"/>
      <c r="L357" s="41"/>
      <c r="M357" s="41">
        <f t="shared" ref="M357:M358" si="614">N357+O357</f>
        <v>0</v>
      </c>
      <c r="N357" s="41"/>
      <c r="O357" s="41"/>
      <c r="P357" s="6"/>
    </row>
    <row r="358" spans="1:16" ht="35.25" customHeight="1" x14ac:dyDescent="0.3">
      <c r="A358" s="44"/>
      <c r="B358" s="217"/>
      <c r="C358" s="217"/>
      <c r="D358" s="218"/>
      <c r="E358" s="231"/>
      <c r="F358" s="40" t="s">
        <v>14</v>
      </c>
      <c r="G358" s="41">
        <f t="shared" si="613"/>
        <v>0</v>
      </c>
      <c r="H358" s="41"/>
      <c r="I358" s="41"/>
      <c r="J358" s="41">
        <f t="shared" ref="J358" si="615">K358+L358</f>
        <v>0</v>
      </c>
      <c r="K358" s="41"/>
      <c r="L358" s="41"/>
      <c r="M358" s="41">
        <f t="shared" si="614"/>
        <v>0</v>
      </c>
      <c r="N358" s="41"/>
      <c r="O358" s="41"/>
      <c r="P358" s="6"/>
    </row>
    <row r="359" spans="1:16" ht="35.25" customHeight="1" x14ac:dyDescent="0.3">
      <c r="A359" s="44"/>
      <c r="B359" s="221" t="s">
        <v>125</v>
      </c>
      <c r="C359" s="222"/>
      <c r="D359" s="227" t="s">
        <v>105</v>
      </c>
      <c r="E359" s="230" t="s">
        <v>38</v>
      </c>
      <c r="F359" s="45"/>
      <c r="G359" s="46">
        <f t="shared" ref="G359:O359" si="616">G360+G361+G362</f>
        <v>6071.4</v>
      </c>
      <c r="H359" s="46">
        <f t="shared" si="616"/>
        <v>6071.4</v>
      </c>
      <c r="I359" s="46">
        <f t="shared" si="616"/>
        <v>0</v>
      </c>
      <c r="J359" s="46">
        <f t="shared" si="616"/>
        <v>56207.8</v>
      </c>
      <c r="K359" s="46">
        <f t="shared" si="616"/>
        <v>56207.8</v>
      </c>
      <c r="L359" s="46">
        <f t="shared" si="616"/>
        <v>0</v>
      </c>
      <c r="M359" s="46">
        <f t="shared" si="616"/>
        <v>71492</v>
      </c>
      <c r="N359" s="46">
        <f t="shared" si="616"/>
        <v>70201.100000000006</v>
      </c>
      <c r="O359" s="46">
        <f t="shared" si="616"/>
        <v>1290.9000000000001</v>
      </c>
      <c r="P359" s="6"/>
    </row>
    <row r="360" spans="1:16" ht="35.25" customHeight="1" x14ac:dyDescent="0.3">
      <c r="A360" s="44"/>
      <c r="B360" s="223"/>
      <c r="C360" s="224"/>
      <c r="D360" s="228"/>
      <c r="E360" s="230"/>
      <c r="F360" s="47" t="s">
        <v>12</v>
      </c>
      <c r="G360" s="28">
        <f>H360+I360</f>
        <v>6071.4</v>
      </c>
      <c r="H360" s="28">
        <f>H364+H368+H372+H376+H380+H384+H388+H392</f>
        <v>6071.4</v>
      </c>
      <c r="I360" s="28">
        <f>I364+I368+I372+I376+I380+I384+I388+I392</f>
        <v>0</v>
      </c>
      <c r="J360" s="28">
        <f>K360+L360</f>
        <v>56207.8</v>
      </c>
      <c r="K360" s="28">
        <f>K364+K368+K372+K376+K380+K384+K388+K392</f>
        <v>56207.8</v>
      </c>
      <c r="L360" s="28">
        <f>L364+L368+L372+L376+L380+L384+L388+L392</f>
        <v>0</v>
      </c>
      <c r="M360" s="28">
        <f>N360+O360</f>
        <v>71492</v>
      </c>
      <c r="N360" s="28">
        <f>N364+N368+N372+N376+N380+N384+N388+N392</f>
        <v>70201.100000000006</v>
      </c>
      <c r="O360" s="28">
        <f>O364+O368+O372+O376+O380+O384+O388+O392</f>
        <v>1290.9000000000001</v>
      </c>
      <c r="P360" s="6"/>
    </row>
    <row r="361" spans="1:16" ht="35.25" customHeight="1" x14ac:dyDescent="0.3">
      <c r="A361" s="44"/>
      <c r="B361" s="223"/>
      <c r="C361" s="224"/>
      <c r="D361" s="228"/>
      <c r="E361" s="230"/>
      <c r="F361" s="48" t="s">
        <v>13</v>
      </c>
      <c r="G361" s="28">
        <f t="shared" ref="G361:G362" si="617">H361+I361</f>
        <v>0</v>
      </c>
      <c r="H361" s="28">
        <f t="shared" ref="H361:I361" si="618">H365+H369+H373+H377+H381+H385+H389+H393</f>
        <v>0</v>
      </c>
      <c r="I361" s="28">
        <f t="shared" si="618"/>
        <v>0</v>
      </c>
      <c r="J361" s="28">
        <f t="shared" ref="J361:J362" si="619">K361+L361</f>
        <v>0</v>
      </c>
      <c r="K361" s="28">
        <f t="shared" ref="K361:L361" si="620">K365+K369+K373+K377+K381+K385+K389+K393</f>
        <v>0</v>
      </c>
      <c r="L361" s="28">
        <f t="shared" si="620"/>
        <v>0</v>
      </c>
      <c r="M361" s="28">
        <f t="shared" ref="M361:M362" si="621">N361+O361</f>
        <v>0</v>
      </c>
      <c r="N361" s="28">
        <f t="shared" ref="N361:O361" si="622">N365+N369+N373+N377+N381+N385+N389+N393</f>
        <v>0</v>
      </c>
      <c r="O361" s="28">
        <f t="shared" si="622"/>
        <v>0</v>
      </c>
      <c r="P361" s="6"/>
    </row>
    <row r="362" spans="1:16" ht="35.25" customHeight="1" x14ac:dyDescent="0.3">
      <c r="A362" s="44"/>
      <c r="B362" s="225"/>
      <c r="C362" s="226"/>
      <c r="D362" s="229"/>
      <c r="E362" s="230"/>
      <c r="F362" s="47" t="s">
        <v>14</v>
      </c>
      <c r="G362" s="28">
        <f t="shared" si="617"/>
        <v>0</v>
      </c>
      <c r="H362" s="28">
        <f t="shared" ref="H362:I362" si="623">H366+H370+H374+H378+H382+H386+H390+H394</f>
        <v>0</v>
      </c>
      <c r="I362" s="28">
        <f t="shared" si="623"/>
        <v>0</v>
      </c>
      <c r="J362" s="28">
        <f t="shared" si="619"/>
        <v>0</v>
      </c>
      <c r="K362" s="28">
        <f t="shared" ref="K362:L362" si="624">K366+K370+K374+K378+K382+K386+K390+K394</f>
        <v>0</v>
      </c>
      <c r="L362" s="28">
        <f t="shared" si="624"/>
        <v>0</v>
      </c>
      <c r="M362" s="28">
        <f t="shared" si="621"/>
        <v>0</v>
      </c>
      <c r="N362" s="28">
        <f t="shared" ref="N362:O362" si="625">N366+N370+N374+N378+N382+N386+N390+N394</f>
        <v>0</v>
      </c>
      <c r="O362" s="28">
        <f t="shared" si="625"/>
        <v>0</v>
      </c>
      <c r="P362" s="6"/>
    </row>
    <row r="363" spans="1:16" ht="35.25" customHeight="1" x14ac:dyDescent="0.3">
      <c r="A363" s="44"/>
      <c r="B363" s="220" t="s">
        <v>126</v>
      </c>
      <c r="C363" s="220"/>
      <c r="D363" s="234"/>
      <c r="E363" s="219" t="s">
        <v>38</v>
      </c>
      <c r="F363" s="49"/>
      <c r="G363" s="50">
        <f>G364+G365+G366</f>
        <v>588.4</v>
      </c>
      <c r="H363" s="50">
        <f t="shared" ref="H363:I363" si="626">H364+H365+H366</f>
        <v>588.4</v>
      </c>
      <c r="I363" s="50">
        <f t="shared" si="626"/>
        <v>0</v>
      </c>
      <c r="J363" s="50">
        <f>J364+J365+J366</f>
        <v>578</v>
      </c>
      <c r="K363" s="50">
        <f t="shared" ref="K363:L363" si="627">K364+K365+K366</f>
        <v>578</v>
      </c>
      <c r="L363" s="50">
        <f t="shared" si="627"/>
        <v>0</v>
      </c>
      <c r="M363" s="50">
        <f>M364+M365+M366</f>
        <v>640</v>
      </c>
      <c r="N363" s="50">
        <f t="shared" ref="N363:O363" si="628">N364+N365+N366</f>
        <v>640</v>
      </c>
      <c r="O363" s="50">
        <f t="shared" si="628"/>
        <v>0</v>
      </c>
      <c r="P363" s="6"/>
    </row>
    <row r="364" spans="1:16" ht="35.25" customHeight="1" x14ac:dyDescent="0.3">
      <c r="A364" s="44"/>
      <c r="B364" s="220"/>
      <c r="C364" s="220"/>
      <c r="D364" s="234"/>
      <c r="E364" s="219"/>
      <c r="F364" s="49" t="s">
        <v>12</v>
      </c>
      <c r="G364" s="50">
        <f>H364+I364</f>
        <v>588.4</v>
      </c>
      <c r="H364" s="50">
        <v>588.4</v>
      </c>
      <c r="I364" s="50">
        <v>0</v>
      </c>
      <c r="J364" s="50">
        <f>K364+L364</f>
        <v>578</v>
      </c>
      <c r="K364" s="50">
        <v>578</v>
      </c>
      <c r="L364" s="50">
        <v>0</v>
      </c>
      <c r="M364" s="50">
        <f>N364+O364</f>
        <v>640</v>
      </c>
      <c r="N364" s="50">
        <f>0+640</f>
        <v>640</v>
      </c>
      <c r="O364" s="50">
        <v>0</v>
      </c>
      <c r="P364" s="6"/>
    </row>
    <row r="365" spans="1:16" ht="35.25" customHeight="1" x14ac:dyDescent="0.3">
      <c r="A365" s="44"/>
      <c r="B365" s="220"/>
      <c r="C365" s="220"/>
      <c r="D365" s="234"/>
      <c r="E365" s="219"/>
      <c r="F365" s="51" t="s">
        <v>13</v>
      </c>
      <c r="G365" s="50">
        <f t="shared" ref="G365:G366" si="629">H365+I365</f>
        <v>0</v>
      </c>
      <c r="H365" s="50"/>
      <c r="I365" s="50"/>
      <c r="J365" s="50">
        <f>K365+L365</f>
        <v>0</v>
      </c>
      <c r="K365" s="50"/>
      <c r="L365" s="50"/>
      <c r="M365" s="50">
        <f t="shared" ref="M365:M366" si="630">N365+O365</f>
        <v>0</v>
      </c>
      <c r="N365" s="50"/>
      <c r="O365" s="50"/>
      <c r="P365" s="6"/>
    </row>
    <row r="366" spans="1:16" ht="35.25" customHeight="1" x14ac:dyDescent="0.3">
      <c r="A366" s="44"/>
      <c r="B366" s="220"/>
      <c r="C366" s="220"/>
      <c r="D366" s="234"/>
      <c r="E366" s="219"/>
      <c r="F366" s="49" t="s">
        <v>14</v>
      </c>
      <c r="G366" s="50">
        <f t="shared" si="629"/>
        <v>0</v>
      </c>
      <c r="H366" s="50"/>
      <c r="I366" s="50"/>
      <c r="J366" s="50">
        <f t="shared" ref="J366" si="631">K366+L366</f>
        <v>0</v>
      </c>
      <c r="K366" s="50"/>
      <c r="L366" s="50"/>
      <c r="M366" s="50">
        <f t="shared" si="630"/>
        <v>0</v>
      </c>
      <c r="N366" s="50"/>
      <c r="O366" s="50"/>
      <c r="P366" s="6"/>
    </row>
    <row r="367" spans="1:16" ht="35.25" customHeight="1" x14ac:dyDescent="0.3">
      <c r="A367" s="44"/>
      <c r="B367" s="220" t="s">
        <v>127</v>
      </c>
      <c r="C367" s="220"/>
      <c r="D367" s="234"/>
      <c r="E367" s="219" t="s">
        <v>38</v>
      </c>
      <c r="F367" s="49"/>
      <c r="G367" s="50">
        <f>G368+G369+G370</f>
        <v>0</v>
      </c>
      <c r="H367" s="50">
        <f t="shared" ref="H367:I367" si="632">H368+H369+H370</f>
        <v>0</v>
      </c>
      <c r="I367" s="50">
        <f t="shared" si="632"/>
        <v>0</v>
      </c>
      <c r="J367" s="50">
        <f>J368+J369+J370</f>
        <v>0</v>
      </c>
      <c r="K367" s="50">
        <f t="shared" ref="K367:L367" si="633">K368+K369+K370</f>
        <v>0</v>
      </c>
      <c r="L367" s="50">
        <f t="shared" si="633"/>
        <v>0</v>
      </c>
      <c r="M367" s="50">
        <f>M368+M369+M370</f>
        <v>1300</v>
      </c>
      <c r="N367" s="50">
        <f t="shared" ref="N367:O367" si="634">N368+N369+N370</f>
        <v>9.1</v>
      </c>
      <c r="O367" s="50">
        <f t="shared" si="634"/>
        <v>1290.9000000000001</v>
      </c>
      <c r="P367" s="6"/>
    </row>
    <row r="368" spans="1:16" ht="35.25" customHeight="1" x14ac:dyDescent="0.3">
      <c r="A368" s="44"/>
      <c r="B368" s="220"/>
      <c r="C368" s="220"/>
      <c r="D368" s="234"/>
      <c r="E368" s="219"/>
      <c r="F368" s="49" t="s">
        <v>12</v>
      </c>
      <c r="G368" s="50">
        <f>H368+I368</f>
        <v>0</v>
      </c>
      <c r="H368" s="50">
        <v>0</v>
      </c>
      <c r="I368" s="50">
        <v>0</v>
      </c>
      <c r="J368" s="50">
        <f>K368+L368</f>
        <v>0</v>
      </c>
      <c r="K368" s="50">
        <f>126-126</f>
        <v>0</v>
      </c>
      <c r="L368" s="50">
        <v>0</v>
      </c>
      <c r="M368" s="50">
        <f>N368+O368</f>
        <v>1300</v>
      </c>
      <c r="N368" s="50">
        <f>0+9.1</f>
        <v>9.1</v>
      </c>
      <c r="O368" s="50">
        <f>0+1290.9</f>
        <v>1290.9000000000001</v>
      </c>
      <c r="P368" s="6"/>
    </row>
    <row r="369" spans="1:16" ht="35.25" customHeight="1" x14ac:dyDescent="0.3">
      <c r="A369" s="44"/>
      <c r="B369" s="220"/>
      <c r="C369" s="220"/>
      <c r="D369" s="234"/>
      <c r="E369" s="219"/>
      <c r="F369" s="51" t="s">
        <v>13</v>
      </c>
      <c r="G369" s="50">
        <f t="shared" ref="G369:G370" si="635">H369+I369</f>
        <v>0</v>
      </c>
      <c r="H369" s="50"/>
      <c r="I369" s="50"/>
      <c r="J369" s="50">
        <f>K369+L369</f>
        <v>0</v>
      </c>
      <c r="K369" s="50"/>
      <c r="L369" s="50"/>
      <c r="M369" s="50">
        <f t="shared" ref="M369:M370" si="636">N369+O369</f>
        <v>0</v>
      </c>
      <c r="N369" s="50"/>
      <c r="O369" s="50"/>
      <c r="P369" s="6"/>
    </row>
    <row r="370" spans="1:16" ht="35.25" customHeight="1" x14ac:dyDescent="0.3">
      <c r="A370" s="44"/>
      <c r="B370" s="220"/>
      <c r="C370" s="220"/>
      <c r="D370" s="234"/>
      <c r="E370" s="219"/>
      <c r="F370" s="49" t="s">
        <v>14</v>
      </c>
      <c r="G370" s="50">
        <f t="shared" si="635"/>
        <v>0</v>
      </c>
      <c r="H370" s="50"/>
      <c r="I370" s="50"/>
      <c r="J370" s="50">
        <f t="shared" ref="J370" si="637">K370+L370</f>
        <v>0</v>
      </c>
      <c r="K370" s="50"/>
      <c r="L370" s="50"/>
      <c r="M370" s="50">
        <f t="shared" si="636"/>
        <v>0</v>
      </c>
      <c r="N370" s="50"/>
      <c r="O370" s="50"/>
      <c r="P370" s="6"/>
    </row>
    <row r="371" spans="1:16" ht="35.25" customHeight="1" x14ac:dyDescent="0.3">
      <c r="A371" s="44"/>
      <c r="B371" s="220" t="s">
        <v>128</v>
      </c>
      <c r="C371" s="220"/>
      <c r="D371" s="234"/>
      <c r="E371" s="219" t="s">
        <v>38</v>
      </c>
      <c r="F371" s="49"/>
      <c r="G371" s="50">
        <f>G372+G373+G374</f>
        <v>200</v>
      </c>
      <c r="H371" s="50">
        <f t="shared" ref="H371:I371" si="638">H372+H373+H374</f>
        <v>200</v>
      </c>
      <c r="I371" s="50">
        <f t="shared" si="638"/>
        <v>0</v>
      </c>
      <c r="J371" s="50">
        <f>J372+J373+J374</f>
        <v>0</v>
      </c>
      <c r="K371" s="50">
        <f t="shared" ref="K371:L371" si="639">K372+K373+K374</f>
        <v>0</v>
      </c>
      <c r="L371" s="50">
        <f t="shared" si="639"/>
        <v>0</v>
      </c>
      <c r="M371" s="50">
        <f>M372+M373+M374</f>
        <v>634.20000000000005</v>
      </c>
      <c r="N371" s="50">
        <f t="shared" ref="N371:O371" si="640">N372+N373+N374</f>
        <v>634.20000000000005</v>
      </c>
      <c r="O371" s="50">
        <f t="shared" si="640"/>
        <v>0</v>
      </c>
      <c r="P371" s="6"/>
    </row>
    <row r="372" spans="1:16" ht="35.25" customHeight="1" x14ac:dyDescent="0.3">
      <c r="A372" s="44"/>
      <c r="B372" s="220"/>
      <c r="C372" s="220"/>
      <c r="D372" s="234"/>
      <c r="E372" s="219"/>
      <c r="F372" s="49" t="s">
        <v>12</v>
      </c>
      <c r="G372" s="50">
        <f>H372+I372</f>
        <v>200</v>
      </c>
      <c r="H372" s="50">
        <v>200</v>
      </c>
      <c r="I372" s="50">
        <v>0</v>
      </c>
      <c r="J372" s="50">
        <f>K372+L372</f>
        <v>0</v>
      </c>
      <c r="K372" s="50">
        <f>600-600</f>
        <v>0</v>
      </c>
      <c r="L372" s="50">
        <v>0</v>
      </c>
      <c r="M372" s="50">
        <f>N372+O372</f>
        <v>634.20000000000005</v>
      </c>
      <c r="N372" s="50">
        <v>634.20000000000005</v>
      </c>
      <c r="O372" s="50">
        <v>0</v>
      </c>
      <c r="P372" s="6"/>
    </row>
    <row r="373" spans="1:16" ht="35.25" customHeight="1" x14ac:dyDescent="0.3">
      <c r="A373" s="44"/>
      <c r="B373" s="220"/>
      <c r="C373" s="220"/>
      <c r="D373" s="234"/>
      <c r="E373" s="219"/>
      <c r="F373" s="51" t="s">
        <v>13</v>
      </c>
      <c r="G373" s="50">
        <f t="shared" ref="G373:G374" si="641">H373+I373</f>
        <v>0</v>
      </c>
      <c r="H373" s="50"/>
      <c r="I373" s="50"/>
      <c r="J373" s="50">
        <f>K373+L373</f>
        <v>0</v>
      </c>
      <c r="K373" s="50"/>
      <c r="L373" s="50"/>
      <c r="M373" s="50">
        <f t="shared" ref="M373:M374" si="642">N373+O373</f>
        <v>0</v>
      </c>
      <c r="N373" s="50"/>
      <c r="O373" s="50"/>
      <c r="P373" s="6"/>
    </row>
    <row r="374" spans="1:16" ht="35.25" customHeight="1" x14ac:dyDescent="0.3">
      <c r="A374" s="44"/>
      <c r="B374" s="220"/>
      <c r="C374" s="220"/>
      <c r="D374" s="234"/>
      <c r="E374" s="219"/>
      <c r="F374" s="52" t="s">
        <v>14</v>
      </c>
      <c r="G374" s="53">
        <f t="shared" si="641"/>
        <v>0</v>
      </c>
      <c r="H374" s="53"/>
      <c r="I374" s="53"/>
      <c r="J374" s="53">
        <f t="shared" ref="J374" si="643">K374+L374</f>
        <v>0</v>
      </c>
      <c r="K374" s="53"/>
      <c r="L374" s="53"/>
      <c r="M374" s="53">
        <f t="shared" si="642"/>
        <v>0</v>
      </c>
      <c r="N374" s="53"/>
      <c r="O374" s="53"/>
      <c r="P374" s="6"/>
    </row>
    <row r="375" spans="1:16" ht="35.25" customHeight="1" x14ac:dyDescent="0.3">
      <c r="A375" s="44"/>
      <c r="B375" s="220" t="s">
        <v>129</v>
      </c>
      <c r="C375" s="220"/>
      <c r="D375" s="234"/>
      <c r="E375" s="219" t="s">
        <v>38</v>
      </c>
      <c r="F375" s="49"/>
      <c r="G375" s="50">
        <f>G376+G377+G378</f>
        <v>78.900000000000006</v>
      </c>
      <c r="H375" s="50">
        <f t="shared" ref="H375:I375" si="644">H376+H377+H378</f>
        <v>78.900000000000006</v>
      </c>
      <c r="I375" s="50">
        <f t="shared" si="644"/>
        <v>0</v>
      </c>
      <c r="J375" s="50">
        <f>J376+J377+J378</f>
        <v>100</v>
      </c>
      <c r="K375" s="50">
        <f t="shared" ref="K375:L375" si="645">K376+K377+K378</f>
        <v>100</v>
      </c>
      <c r="L375" s="50">
        <f t="shared" si="645"/>
        <v>0</v>
      </c>
      <c r="M375" s="50">
        <f>M376+M377+M378</f>
        <v>393</v>
      </c>
      <c r="N375" s="50">
        <f t="shared" ref="N375:O375" si="646">N376+N377+N378</f>
        <v>393</v>
      </c>
      <c r="O375" s="50">
        <f t="shared" si="646"/>
        <v>0</v>
      </c>
      <c r="P375" s="6"/>
    </row>
    <row r="376" spans="1:16" ht="35.25" customHeight="1" x14ac:dyDescent="0.3">
      <c r="A376" s="44"/>
      <c r="B376" s="220"/>
      <c r="C376" s="220"/>
      <c r="D376" s="234"/>
      <c r="E376" s="219"/>
      <c r="F376" s="49" t="s">
        <v>12</v>
      </c>
      <c r="G376" s="50">
        <f>H376+I376</f>
        <v>78.900000000000006</v>
      </c>
      <c r="H376" s="50">
        <v>78.900000000000006</v>
      </c>
      <c r="I376" s="50">
        <v>0</v>
      </c>
      <c r="J376" s="50">
        <f>K376+L376</f>
        <v>100</v>
      </c>
      <c r="K376" s="50">
        <v>100</v>
      </c>
      <c r="L376" s="50">
        <v>0</v>
      </c>
      <c r="M376" s="50">
        <f>N376+O376</f>
        <v>393</v>
      </c>
      <c r="N376" s="50">
        <v>393</v>
      </c>
      <c r="O376" s="50">
        <v>0</v>
      </c>
      <c r="P376" s="6"/>
    </row>
    <row r="377" spans="1:16" ht="35.25" customHeight="1" x14ac:dyDescent="0.3">
      <c r="A377" s="44"/>
      <c r="B377" s="220"/>
      <c r="C377" s="220"/>
      <c r="D377" s="234"/>
      <c r="E377" s="219"/>
      <c r="F377" s="51" t="s">
        <v>13</v>
      </c>
      <c r="G377" s="50">
        <f t="shared" ref="G377:G378" si="647">H377+I377</f>
        <v>0</v>
      </c>
      <c r="H377" s="50"/>
      <c r="I377" s="50"/>
      <c r="J377" s="50">
        <f>K377+L377</f>
        <v>0</v>
      </c>
      <c r="K377" s="50"/>
      <c r="L377" s="50"/>
      <c r="M377" s="50">
        <f t="shared" ref="M377:M378" si="648">N377+O377</f>
        <v>0</v>
      </c>
      <c r="N377" s="50"/>
      <c r="O377" s="50"/>
      <c r="P377" s="6"/>
    </row>
    <row r="378" spans="1:16" ht="35.25" customHeight="1" x14ac:dyDescent="0.3">
      <c r="A378" s="44"/>
      <c r="B378" s="220"/>
      <c r="C378" s="220"/>
      <c r="D378" s="234"/>
      <c r="E378" s="219"/>
      <c r="F378" s="49" t="s">
        <v>14</v>
      </c>
      <c r="G378" s="50">
        <f t="shared" si="647"/>
        <v>0</v>
      </c>
      <c r="H378" s="50"/>
      <c r="I378" s="50"/>
      <c r="J378" s="50">
        <f t="shared" ref="J378" si="649">K378+L378</f>
        <v>0</v>
      </c>
      <c r="K378" s="50"/>
      <c r="L378" s="50"/>
      <c r="M378" s="50">
        <f t="shared" si="648"/>
        <v>0</v>
      </c>
      <c r="N378" s="50"/>
      <c r="O378" s="50"/>
      <c r="P378" s="6"/>
    </row>
    <row r="379" spans="1:16" ht="35.25" customHeight="1" x14ac:dyDescent="0.3">
      <c r="A379" s="44"/>
      <c r="B379" s="220" t="s">
        <v>130</v>
      </c>
      <c r="C379" s="220"/>
      <c r="D379" s="234"/>
      <c r="E379" s="219" t="s">
        <v>38</v>
      </c>
      <c r="F379" s="49"/>
      <c r="G379" s="50">
        <f>G380+G381+G382</f>
        <v>0</v>
      </c>
      <c r="H379" s="50">
        <f t="shared" ref="H379:I379" si="650">H380+H381+H382</f>
        <v>0</v>
      </c>
      <c r="I379" s="50">
        <f t="shared" si="650"/>
        <v>0</v>
      </c>
      <c r="J379" s="50">
        <f>J380+J381+J382</f>
        <v>0</v>
      </c>
      <c r="K379" s="50">
        <f t="shared" ref="K379:L379" si="651">K380+K381+K382</f>
        <v>0</v>
      </c>
      <c r="L379" s="50">
        <f t="shared" si="651"/>
        <v>0</v>
      </c>
      <c r="M379" s="50">
        <f>M380+M381+M382</f>
        <v>17</v>
      </c>
      <c r="N379" s="50">
        <f t="shared" ref="N379:O379" si="652">N380+N381+N382</f>
        <v>17</v>
      </c>
      <c r="O379" s="50">
        <f t="shared" si="652"/>
        <v>0</v>
      </c>
      <c r="P379" s="6"/>
    </row>
    <row r="380" spans="1:16" ht="35.25" customHeight="1" x14ac:dyDescent="0.3">
      <c r="A380" s="44"/>
      <c r="B380" s="220"/>
      <c r="C380" s="220"/>
      <c r="D380" s="234"/>
      <c r="E380" s="219"/>
      <c r="F380" s="49" t="s">
        <v>12</v>
      </c>
      <c r="G380" s="50">
        <f>H380+I380</f>
        <v>0</v>
      </c>
      <c r="H380" s="50">
        <v>0</v>
      </c>
      <c r="I380" s="50">
        <v>0</v>
      </c>
      <c r="J380" s="50">
        <f>K380+L380</f>
        <v>0</v>
      </c>
      <c r="K380" s="50">
        <f>60-60</f>
        <v>0</v>
      </c>
      <c r="L380" s="50">
        <v>0</v>
      </c>
      <c r="M380" s="50">
        <f>N380+O380</f>
        <v>17</v>
      </c>
      <c r="N380" s="50">
        <v>17</v>
      </c>
      <c r="O380" s="50">
        <v>0</v>
      </c>
      <c r="P380" s="6"/>
    </row>
    <row r="381" spans="1:16" ht="35.25" customHeight="1" x14ac:dyDescent="0.3">
      <c r="A381" s="44"/>
      <c r="B381" s="220"/>
      <c r="C381" s="220"/>
      <c r="D381" s="234"/>
      <c r="E381" s="219"/>
      <c r="F381" s="51" t="s">
        <v>13</v>
      </c>
      <c r="G381" s="50">
        <f t="shared" ref="G381:G382" si="653">H381+I381</f>
        <v>0</v>
      </c>
      <c r="H381" s="50"/>
      <c r="I381" s="50"/>
      <c r="J381" s="50">
        <f>K381+L381</f>
        <v>0</v>
      </c>
      <c r="K381" s="50"/>
      <c r="L381" s="50"/>
      <c r="M381" s="50">
        <f t="shared" ref="M381:M382" si="654">N381+O381</f>
        <v>0</v>
      </c>
      <c r="N381" s="50"/>
      <c r="O381" s="50"/>
      <c r="P381" s="6"/>
    </row>
    <row r="382" spans="1:16" ht="35.25" customHeight="1" x14ac:dyDescent="0.3">
      <c r="A382" s="44"/>
      <c r="B382" s="220"/>
      <c r="C382" s="220"/>
      <c r="D382" s="234"/>
      <c r="E382" s="219"/>
      <c r="F382" s="52" t="s">
        <v>14</v>
      </c>
      <c r="G382" s="53">
        <f t="shared" si="653"/>
        <v>0</v>
      </c>
      <c r="H382" s="53"/>
      <c r="I382" s="53"/>
      <c r="J382" s="53">
        <f t="shared" ref="J382" si="655">K382+L382</f>
        <v>0</v>
      </c>
      <c r="K382" s="53"/>
      <c r="L382" s="53"/>
      <c r="M382" s="53">
        <f t="shared" si="654"/>
        <v>0</v>
      </c>
      <c r="N382" s="53"/>
      <c r="O382" s="53"/>
      <c r="P382" s="6"/>
    </row>
    <row r="383" spans="1:16" ht="35.25" customHeight="1" x14ac:dyDescent="0.3">
      <c r="A383" s="44"/>
      <c r="B383" s="220" t="s">
        <v>131</v>
      </c>
      <c r="C383" s="220"/>
      <c r="D383" s="234"/>
      <c r="E383" s="219" t="s">
        <v>38</v>
      </c>
      <c r="F383" s="49"/>
      <c r="G383" s="50">
        <f>G384+G385+G386</f>
        <v>195</v>
      </c>
      <c r="H383" s="50">
        <f t="shared" ref="H383:I383" si="656">H384+H385+H386</f>
        <v>195</v>
      </c>
      <c r="I383" s="50">
        <f t="shared" si="656"/>
        <v>0</v>
      </c>
      <c r="J383" s="50">
        <f>J384+J385+J386</f>
        <v>318</v>
      </c>
      <c r="K383" s="50">
        <f t="shared" ref="K383:L383" si="657">K384+K385+K386</f>
        <v>318</v>
      </c>
      <c r="L383" s="50">
        <f t="shared" si="657"/>
        <v>0</v>
      </c>
      <c r="M383" s="50">
        <f>M384+M385+M386</f>
        <v>224</v>
      </c>
      <c r="N383" s="50">
        <f t="shared" ref="N383:O383" si="658">N384+N385+N386</f>
        <v>224</v>
      </c>
      <c r="O383" s="50">
        <f t="shared" si="658"/>
        <v>0</v>
      </c>
      <c r="P383" s="6"/>
    </row>
    <row r="384" spans="1:16" ht="35.25" customHeight="1" x14ac:dyDescent="0.3">
      <c r="A384" s="44"/>
      <c r="B384" s="220"/>
      <c r="C384" s="220"/>
      <c r="D384" s="234"/>
      <c r="E384" s="219"/>
      <c r="F384" s="49" t="s">
        <v>12</v>
      </c>
      <c r="G384" s="50">
        <f>H384+I384</f>
        <v>195</v>
      </c>
      <c r="H384" s="50">
        <v>195</v>
      </c>
      <c r="I384" s="50">
        <v>0</v>
      </c>
      <c r="J384" s="50">
        <f>K384+L384</f>
        <v>318</v>
      </c>
      <c r="K384" s="50">
        <v>318</v>
      </c>
      <c r="L384" s="50">
        <v>0</v>
      </c>
      <c r="M384" s="50">
        <f>N384+O384</f>
        <v>224</v>
      </c>
      <c r="N384" s="50">
        <f>140+150-40-26</f>
        <v>224</v>
      </c>
      <c r="O384" s="50">
        <v>0</v>
      </c>
      <c r="P384" s="6"/>
    </row>
    <row r="385" spans="1:29" ht="35.25" customHeight="1" x14ac:dyDescent="0.3">
      <c r="A385" s="44"/>
      <c r="B385" s="220"/>
      <c r="C385" s="220"/>
      <c r="D385" s="234"/>
      <c r="E385" s="219"/>
      <c r="F385" s="51" t="s">
        <v>13</v>
      </c>
      <c r="G385" s="50">
        <f t="shared" ref="G385:G386" si="659">H385+I385</f>
        <v>0</v>
      </c>
      <c r="H385" s="50"/>
      <c r="I385" s="50"/>
      <c r="J385" s="50">
        <f>K385+L385</f>
        <v>0</v>
      </c>
      <c r="K385" s="50"/>
      <c r="L385" s="50"/>
      <c r="M385" s="50">
        <f t="shared" ref="M385:M386" si="660">N385+O385</f>
        <v>0</v>
      </c>
      <c r="N385" s="50"/>
      <c r="O385" s="50"/>
      <c r="P385" s="6"/>
    </row>
    <row r="386" spans="1:29" ht="35.25" customHeight="1" x14ac:dyDescent="0.3">
      <c r="A386" s="44"/>
      <c r="B386" s="220"/>
      <c r="C386" s="220"/>
      <c r="D386" s="234"/>
      <c r="E386" s="219"/>
      <c r="F386" s="52" t="s">
        <v>14</v>
      </c>
      <c r="G386" s="53">
        <f t="shared" si="659"/>
        <v>0</v>
      </c>
      <c r="H386" s="53"/>
      <c r="I386" s="53"/>
      <c r="J386" s="53">
        <f t="shared" ref="J386" si="661">K386+L386</f>
        <v>0</v>
      </c>
      <c r="K386" s="53"/>
      <c r="L386" s="53"/>
      <c r="M386" s="53">
        <f t="shared" si="660"/>
        <v>0</v>
      </c>
      <c r="N386" s="53"/>
      <c r="O386" s="53"/>
      <c r="P386" s="6"/>
    </row>
    <row r="387" spans="1:29" ht="35.25" customHeight="1" x14ac:dyDescent="0.3">
      <c r="A387" s="44"/>
      <c r="B387" s="220" t="s">
        <v>132</v>
      </c>
      <c r="C387" s="220"/>
      <c r="D387" s="234"/>
      <c r="E387" s="219" t="s">
        <v>38</v>
      </c>
      <c r="F387" s="49"/>
      <c r="G387" s="50">
        <f>G388+G389+G390</f>
        <v>9.1</v>
      </c>
      <c r="H387" s="50">
        <f t="shared" ref="H387:I387" si="662">H388+H389+H390</f>
        <v>9.1</v>
      </c>
      <c r="I387" s="50">
        <f t="shared" si="662"/>
        <v>0</v>
      </c>
      <c r="J387" s="50">
        <f>J388+J389+J390</f>
        <v>0</v>
      </c>
      <c r="K387" s="50">
        <f t="shared" ref="K387:L387" si="663">K388+K389+K390</f>
        <v>0</v>
      </c>
      <c r="L387" s="50">
        <f t="shared" si="663"/>
        <v>0</v>
      </c>
      <c r="M387" s="50">
        <f>M388+M389+M390</f>
        <v>50</v>
      </c>
      <c r="N387" s="50">
        <f t="shared" ref="N387:O387" si="664">N388+N389+N390</f>
        <v>50</v>
      </c>
      <c r="O387" s="50">
        <f t="shared" si="664"/>
        <v>0</v>
      </c>
      <c r="P387" s="6"/>
    </row>
    <row r="388" spans="1:29" ht="35.25" customHeight="1" x14ac:dyDescent="0.3">
      <c r="A388" s="44"/>
      <c r="B388" s="220"/>
      <c r="C388" s="220"/>
      <c r="D388" s="234"/>
      <c r="E388" s="219"/>
      <c r="F388" s="49" t="s">
        <v>12</v>
      </c>
      <c r="G388" s="50">
        <f>H388+I388</f>
        <v>9.1</v>
      </c>
      <c r="H388" s="50">
        <v>9.1</v>
      </c>
      <c r="I388" s="50">
        <v>0</v>
      </c>
      <c r="J388" s="50">
        <f>K388+L388</f>
        <v>0</v>
      </c>
      <c r="K388" s="50">
        <f>45-45</f>
        <v>0</v>
      </c>
      <c r="L388" s="50">
        <v>0</v>
      </c>
      <c r="M388" s="50">
        <f>N388+O388</f>
        <v>50</v>
      </c>
      <c r="N388" s="50">
        <v>50</v>
      </c>
      <c r="O388" s="50">
        <v>0</v>
      </c>
      <c r="P388" s="6"/>
    </row>
    <row r="389" spans="1:29" ht="35.25" customHeight="1" x14ac:dyDescent="0.3">
      <c r="A389" s="44"/>
      <c r="B389" s="220"/>
      <c r="C389" s="220"/>
      <c r="D389" s="234"/>
      <c r="E389" s="219"/>
      <c r="F389" s="51" t="s">
        <v>13</v>
      </c>
      <c r="G389" s="50">
        <f t="shared" ref="G389:G390" si="665">H389+I389</f>
        <v>0</v>
      </c>
      <c r="H389" s="50"/>
      <c r="I389" s="50"/>
      <c r="J389" s="50">
        <f>K389+L389</f>
        <v>0</v>
      </c>
      <c r="K389" s="50"/>
      <c r="L389" s="50"/>
      <c r="M389" s="50">
        <f t="shared" ref="M389:M390" si="666">N389+O389</f>
        <v>0</v>
      </c>
      <c r="N389" s="50"/>
      <c r="O389" s="50"/>
      <c r="P389" s="6"/>
    </row>
    <row r="390" spans="1:29" ht="35.25" customHeight="1" x14ac:dyDescent="0.3">
      <c r="A390" s="44"/>
      <c r="B390" s="220"/>
      <c r="C390" s="220"/>
      <c r="D390" s="234"/>
      <c r="E390" s="219"/>
      <c r="F390" s="52" t="s">
        <v>14</v>
      </c>
      <c r="G390" s="53">
        <f t="shared" si="665"/>
        <v>0</v>
      </c>
      <c r="H390" s="53"/>
      <c r="I390" s="53"/>
      <c r="J390" s="53">
        <f t="shared" ref="J390" si="667">K390+L390</f>
        <v>0</v>
      </c>
      <c r="K390" s="53"/>
      <c r="L390" s="53"/>
      <c r="M390" s="53">
        <f t="shared" si="666"/>
        <v>0</v>
      </c>
      <c r="N390" s="53"/>
      <c r="O390" s="53"/>
      <c r="P390" s="6"/>
    </row>
    <row r="391" spans="1:29" ht="35.25" customHeight="1" x14ac:dyDescent="0.3">
      <c r="A391" s="44"/>
      <c r="B391" s="309" t="s">
        <v>695</v>
      </c>
      <c r="C391" s="310"/>
      <c r="D391" s="234"/>
      <c r="E391" s="219" t="s">
        <v>38</v>
      </c>
      <c r="F391" s="49"/>
      <c r="G391" s="50">
        <f>G392+G393+G394</f>
        <v>5000</v>
      </c>
      <c r="H391" s="50">
        <f t="shared" ref="H391:I391" si="668">H392+H393+H394</f>
        <v>5000</v>
      </c>
      <c r="I391" s="50">
        <f t="shared" si="668"/>
        <v>0</v>
      </c>
      <c r="J391" s="50">
        <f>J392+J393+J394</f>
        <v>55211.8</v>
      </c>
      <c r="K391" s="50">
        <f t="shared" ref="K391:L391" si="669">K392+K393+K394</f>
        <v>55211.8</v>
      </c>
      <c r="L391" s="50">
        <f t="shared" si="669"/>
        <v>0</v>
      </c>
      <c r="M391" s="50">
        <f>M392+M393+M394</f>
        <v>68233.8</v>
      </c>
      <c r="N391" s="50">
        <f t="shared" ref="N391:O391" si="670">N392+N393+N394</f>
        <v>68233.8</v>
      </c>
      <c r="O391" s="50">
        <f t="shared" si="670"/>
        <v>0</v>
      </c>
      <c r="P391" s="6"/>
    </row>
    <row r="392" spans="1:29" ht="45" customHeight="1" x14ac:dyDescent="0.3">
      <c r="A392" s="44"/>
      <c r="B392" s="311"/>
      <c r="C392" s="312"/>
      <c r="D392" s="234"/>
      <c r="E392" s="219"/>
      <c r="F392" s="49" t="s">
        <v>12</v>
      </c>
      <c r="G392" s="50">
        <f>H392+I392</f>
        <v>5000</v>
      </c>
      <c r="H392" s="50">
        <v>5000</v>
      </c>
      <c r="I392" s="50">
        <v>0</v>
      </c>
      <c r="J392" s="50">
        <f>K392+L392</f>
        <v>55211.8</v>
      </c>
      <c r="K392" s="50">
        <f>53611.8+1600</f>
        <v>55211.8</v>
      </c>
      <c r="L392" s="50">
        <v>0</v>
      </c>
      <c r="M392" s="50">
        <f>N392+O392</f>
        <v>68233.8</v>
      </c>
      <c r="N392" s="50">
        <f>0+30000+10000+25000+233.8+3000</f>
        <v>68233.8</v>
      </c>
      <c r="O392" s="50">
        <v>0</v>
      </c>
      <c r="P392" s="6"/>
    </row>
    <row r="393" spans="1:29" ht="63" customHeight="1" x14ac:dyDescent="0.3">
      <c r="A393" s="44"/>
      <c r="B393" s="311"/>
      <c r="C393" s="312"/>
      <c r="D393" s="234"/>
      <c r="E393" s="219"/>
      <c r="F393" s="51" t="s">
        <v>13</v>
      </c>
      <c r="G393" s="50">
        <f t="shared" ref="G393:G394" si="671">H393+I393</f>
        <v>0</v>
      </c>
      <c r="H393" s="50"/>
      <c r="I393" s="50"/>
      <c r="J393" s="50">
        <f>K393+L393</f>
        <v>0</v>
      </c>
      <c r="K393" s="50"/>
      <c r="L393" s="50"/>
      <c r="M393" s="50">
        <f t="shared" ref="M393:M394" si="672">N393+O393</f>
        <v>0</v>
      </c>
      <c r="N393" s="50"/>
      <c r="O393" s="50"/>
      <c r="P393" s="6"/>
    </row>
    <row r="394" spans="1:29" ht="198" customHeight="1" x14ac:dyDescent="0.3">
      <c r="A394" s="44"/>
      <c r="B394" s="313"/>
      <c r="C394" s="314"/>
      <c r="D394" s="234"/>
      <c r="E394" s="219"/>
      <c r="F394" s="52" t="s">
        <v>14</v>
      </c>
      <c r="G394" s="53">
        <f t="shared" si="671"/>
        <v>0</v>
      </c>
      <c r="H394" s="53"/>
      <c r="I394" s="53"/>
      <c r="J394" s="53">
        <f t="shared" ref="J394" si="673">K394+L394</f>
        <v>0</v>
      </c>
      <c r="K394" s="53"/>
      <c r="L394" s="53"/>
      <c r="M394" s="53">
        <f t="shared" si="672"/>
        <v>0</v>
      </c>
      <c r="N394" s="53"/>
      <c r="O394" s="53"/>
      <c r="P394" s="6"/>
    </row>
    <row r="395" spans="1:29" ht="46.5" customHeight="1" x14ac:dyDescent="0.3">
      <c r="A395" s="44"/>
      <c r="B395" s="245" t="s">
        <v>103</v>
      </c>
      <c r="C395" s="246"/>
      <c r="D395" s="241" t="s">
        <v>104</v>
      </c>
      <c r="E395" s="244" t="s">
        <v>593</v>
      </c>
      <c r="F395" s="33"/>
      <c r="G395" s="34">
        <f t="shared" ref="G395:O395" si="674">G396+G397+G398</f>
        <v>350</v>
      </c>
      <c r="H395" s="34">
        <f t="shared" si="674"/>
        <v>350</v>
      </c>
      <c r="I395" s="34">
        <f t="shared" si="674"/>
        <v>0</v>
      </c>
      <c r="J395" s="34">
        <f t="shared" si="674"/>
        <v>881.62</v>
      </c>
      <c r="K395" s="34">
        <f t="shared" si="674"/>
        <v>881.62</v>
      </c>
      <c r="L395" s="34">
        <f t="shared" si="674"/>
        <v>0</v>
      </c>
      <c r="M395" s="34">
        <f t="shared" si="674"/>
        <v>14195.76</v>
      </c>
      <c r="N395" s="34">
        <f t="shared" si="674"/>
        <v>9900</v>
      </c>
      <c r="O395" s="34">
        <f t="shared" si="674"/>
        <v>4295.76</v>
      </c>
      <c r="P395" s="6"/>
    </row>
    <row r="396" spans="1:29" ht="57.75" customHeight="1" x14ac:dyDescent="0.35">
      <c r="A396" s="44"/>
      <c r="B396" s="247"/>
      <c r="C396" s="248"/>
      <c r="D396" s="242"/>
      <c r="E396" s="244"/>
      <c r="F396" s="35" t="s">
        <v>12</v>
      </c>
      <c r="G396" s="17">
        <f>H396+I396</f>
        <v>350</v>
      </c>
      <c r="H396" s="17">
        <v>350</v>
      </c>
      <c r="I396" s="17">
        <v>0</v>
      </c>
      <c r="J396" s="17">
        <f>K396+L396</f>
        <v>881.62</v>
      </c>
      <c r="K396" s="17">
        <f>603-20+298.62</f>
        <v>881.62</v>
      </c>
      <c r="L396" s="17">
        <v>0</v>
      </c>
      <c r="M396" s="17">
        <f>N396+O396</f>
        <v>14195.76</v>
      </c>
      <c r="N396" s="17">
        <f>450+50+250+100+3755+3500+1445+350</f>
        <v>9900</v>
      </c>
      <c r="O396" s="17">
        <f>0+4295.76</f>
        <v>4295.76</v>
      </c>
      <c r="P396" s="6"/>
      <c r="Q396" s="232"/>
      <c r="R396" s="232"/>
      <c r="S396" s="232"/>
      <c r="T396" s="232"/>
      <c r="U396" s="232"/>
      <c r="V396" s="232"/>
      <c r="W396" s="232"/>
      <c r="X396" s="232"/>
      <c r="Y396" s="232"/>
      <c r="Z396" s="232"/>
      <c r="AA396" s="232"/>
      <c r="AB396" s="232"/>
      <c r="AC396" s="232"/>
    </row>
    <row r="397" spans="1:29" ht="42" customHeight="1" x14ac:dyDescent="0.3">
      <c r="A397" s="44"/>
      <c r="B397" s="247"/>
      <c r="C397" s="248"/>
      <c r="D397" s="242"/>
      <c r="E397" s="244"/>
      <c r="F397" s="36" t="s">
        <v>13</v>
      </c>
      <c r="G397" s="17">
        <f t="shared" ref="G397:G398" si="675">H397+I397</f>
        <v>0</v>
      </c>
      <c r="H397" s="17">
        <v>0</v>
      </c>
      <c r="I397" s="17">
        <v>0</v>
      </c>
      <c r="J397" s="17">
        <f t="shared" ref="J397:J398" si="676">K397+L397</f>
        <v>0</v>
      </c>
      <c r="K397" s="17">
        <v>0</v>
      </c>
      <c r="L397" s="17">
        <v>0</v>
      </c>
      <c r="M397" s="17">
        <f t="shared" ref="M397:M398" si="677">N397+O397</f>
        <v>0</v>
      </c>
      <c r="N397" s="17">
        <v>0</v>
      </c>
      <c r="O397" s="17">
        <v>0</v>
      </c>
      <c r="P397" s="6"/>
    </row>
    <row r="398" spans="1:29" ht="48.75" customHeight="1" x14ac:dyDescent="0.3">
      <c r="A398" s="44"/>
      <c r="B398" s="249"/>
      <c r="C398" s="250"/>
      <c r="D398" s="243"/>
      <c r="E398" s="244"/>
      <c r="F398" s="35" t="s">
        <v>14</v>
      </c>
      <c r="G398" s="17">
        <f t="shared" si="675"/>
        <v>0</v>
      </c>
      <c r="H398" s="17">
        <v>0</v>
      </c>
      <c r="I398" s="17">
        <v>0</v>
      </c>
      <c r="J398" s="17">
        <f t="shared" si="676"/>
        <v>0</v>
      </c>
      <c r="K398" s="17">
        <v>0</v>
      </c>
      <c r="L398" s="17">
        <v>0</v>
      </c>
      <c r="M398" s="17">
        <f t="shared" si="677"/>
        <v>0</v>
      </c>
      <c r="N398" s="17">
        <v>0</v>
      </c>
      <c r="O398" s="17">
        <v>0</v>
      </c>
      <c r="P398" s="6"/>
    </row>
    <row r="399" spans="1:29" ht="35.25" customHeight="1" x14ac:dyDescent="0.3">
      <c r="A399" s="44"/>
      <c r="B399" s="221" t="s">
        <v>133</v>
      </c>
      <c r="C399" s="222"/>
      <c r="D399" s="227" t="s">
        <v>106</v>
      </c>
      <c r="E399" s="230" t="s">
        <v>592</v>
      </c>
      <c r="F399" s="45"/>
      <c r="G399" s="46">
        <f t="shared" ref="G399:O399" si="678">G400+G401+G402</f>
        <v>2900</v>
      </c>
      <c r="H399" s="46">
        <f t="shared" si="678"/>
        <v>2900</v>
      </c>
      <c r="I399" s="46">
        <f t="shared" si="678"/>
        <v>0</v>
      </c>
      <c r="J399" s="46">
        <f t="shared" si="678"/>
        <v>1966.8</v>
      </c>
      <c r="K399" s="46">
        <f t="shared" si="678"/>
        <v>1966.8</v>
      </c>
      <c r="L399" s="46">
        <f t="shared" si="678"/>
        <v>0</v>
      </c>
      <c r="M399" s="46">
        <f t="shared" si="678"/>
        <v>5281.3</v>
      </c>
      <c r="N399" s="46">
        <f t="shared" si="678"/>
        <v>5281.3</v>
      </c>
      <c r="O399" s="46">
        <f t="shared" si="678"/>
        <v>0</v>
      </c>
      <c r="P399" s="6"/>
    </row>
    <row r="400" spans="1:29" ht="35.25" customHeight="1" x14ac:dyDescent="0.3">
      <c r="A400" s="44"/>
      <c r="B400" s="223"/>
      <c r="C400" s="224"/>
      <c r="D400" s="228"/>
      <c r="E400" s="230"/>
      <c r="F400" s="47" t="s">
        <v>12</v>
      </c>
      <c r="G400" s="28">
        <f>H400+I400</f>
        <v>2900</v>
      </c>
      <c r="H400" s="28">
        <f>H404+H408+H412</f>
        <v>2900</v>
      </c>
      <c r="I400" s="28">
        <f>I404+I408+I412</f>
        <v>0</v>
      </c>
      <c r="J400" s="28">
        <f>K400+L400</f>
        <v>1966.8</v>
      </c>
      <c r="K400" s="28">
        <f>K404+K408+K412</f>
        <v>1966.8</v>
      </c>
      <c r="L400" s="28">
        <f>L404+L408+L412</f>
        <v>0</v>
      </c>
      <c r="M400" s="28">
        <f>N400+O400</f>
        <v>5281.3</v>
      </c>
      <c r="N400" s="28">
        <f>N404+N408+N412</f>
        <v>5281.3</v>
      </c>
      <c r="O400" s="28">
        <f>O404+O408+O412</f>
        <v>0</v>
      </c>
      <c r="P400" s="6"/>
    </row>
    <row r="401" spans="1:16" ht="35.25" customHeight="1" x14ac:dyDescent="0.3">
      <c r="A401" s="44"/>
      <c r="B401" s="223"/>
      <c r="C401" s="224"/>
      <c r="D401" s="228"/>
      <c r="E401" s="230"/>
      <c r="F401" s="48" t="s">
        <v>13</v>
      </c>
      <c r="G401" s="28">
        <f t="shared" ref="G401:G402" si="679">H401+I401</f>
        <v>0</v>
      </c>
      <c r="H401" s="28">
        <f t="shared" ref="H401:I401" si="680">H405+H409+H413</f>
        <v>0</v>
      </c>
      <c r="I401" s="28">
        <f t="shared" si="680"/>
        <v>0</v>
      </c>
      <c r="J401" s="28">
        <f t="shared" ref="J401:J402" si="681">K401+L401</f>
        <v>0</v>
      </c>
      <c r="K401" s="28">
        <f t="shared" ref="K401:L401" si="682">K405+K409+K413</f>
        <v>0</v>
      </c>
      <c r="L401" s="28">
        <f t="shared" si="682"/>
        <v>0</v>
      </c>
      <c r="M401" s="28">
        <f t="shared" ref="M401:M402" si="683">N401+O401</f>
        <v>0</v>
      </c>
      <c r="N401" s="28">
        <f t="shared" ref="N401:O401" si="684">N405+N409+N413</f>
        <v>0</v>
      </c>
      <c r="O401" s="28">
        <f t="shared" si="684"/>
        <v>0</v>
      </c>
      <c r="P401" s="6"/>
    </row>
    <row r="402" spans="1:16" ht="35.25" customHeight="1" x14ac:dyDescent="0.3">
      <c r="A402" s="44"/>
      <c r="B402" s="225"/>
      <c r="C402" s="226"/>
      <c r="D402" s="229"/>
      <c r="E402" s="230"/>
      <c r="F402" s="47" t="s">
        <v>14</v>
      </c>
      <c r="G402" s="28">
        <f t="shared" si="679"/>
        <v>0</v>
      </c>
      <c r="H402" s="28">
        <f t="shared" ref="H402:I402" si="685">H406+H410+H414</f>
        <v>0</v>
      </c>
      <c r="I402" s="28">
        <f t="shared" si="685"/>
        <v>0</v>
      </c>
      <c r="J402" s="28">
        <f t="shared" si="681"/>
        <v>0</v>
      </c>
      <c r="K402" s="28">
        <f t="shared" ref="K402:L402" si="686">K406+K410+K414</f>
        <v>0</v>
      </c>
      <c r="L402" s="28">
        <f t="shared" si="686"/>
        <v>0</v>
      </c>
      <c r="M402" s="28">
        <f t="shared" si="683"/>
        <v>0</v>
      </c>
      <c r="N402" s="28">
        <f t="shared" ref="N402:O402" si="687">N406+N410+N414</f>
        <v>0</v>
      </c>
      <c r="O402" s="28">
        <f t="shared" si="687"/>
        <v>0</v>
      </c>
      <c r="P402" s="6"/>
    </row>
    <row r="403" spans="1:16" ht="35.25" customHeight="1" x14ac:dyDescent="0.3">
      <c r="A403" s="44"/>
      <c r="B403" s="220" t="s">
        <v>134</v>
      </c>
      <c r="C403" s="220"/>
      <c r="D403" s="234"/>
      <c r="E403" s="219" t="s">
        <v>38</v>
      </c>
      <c r="F403" s="49"/>
      <c r="G403" s="50">
        <f>G404+G405+G406</f>
        <v>500</v>
      </c>
      <c r="H403" s="50">
        <f t="shared" ref="H403:I403" si="688">H404+H405+H406</f>
        <v>500</v>
      </c>
      <c r="I403" s="50">
        <f t="shared" si="688"/>
        <v>0</v>
      </c>
      <c r="J403" s="50">
        <f>J404+J405+J406</f>
        <v>200</v>
      </c>
      <c r="K403" s="50">
        <f t="shared" ref="K403:L403" si="689">K404+K405+K406</f>
        <v>200</v>
      </c>
      <c r="L403" s="50">
        <f t="shared" si="689"/>
        <v>0</v>
      </c>
      <c r="M403" s="50">
        <f>M404+M405+M406</f>
        <v>1781.3</v>
      </c>
      <c r="N403" s="50">
        <f t="shared" ref="N403:O403" si="690">N404+N405+N406</f>
        <v>1781.3</v>
      </c>
      <c r="O403" s="50">
        <f t="shared" si="690"/>
        <v>0</v>
      </c>
      <c r="P403" s="6"/>
    </row>
    <row r="404" spans="1:16" ht="35.25" customHeight="1" x14ac:dyDescent="0.3">
      <c r="A404" s="44"/>
      <c r="B404" s="220"/>
      <c r="C404" s="220"/>
      <c r="D404" s="234"/>
      <c r="E404" s="219"/>
      <c r="F404" s="49" t="s">
        <v>12</v>
      </c>
      <c r="G404" s="50">
        <f>H404+I404</f>
        <v>500</v>
      </c>
      <c r="H404" s="50">
        <v>500</v>
      </c>
      <c r="I404" s="50">
        <v>0</v>
      </c>
      <c r="J404" s="50">
        <f>K404+L404</f>
        <v>200</v>
      </c>
      <c r="K404" s="50">
        <f>1696.5-1496.5</f>
        <v>200</v>
      </c>
      <c r="L404" s="50">
        <v>0</v>
      </c>
      <c r="M404" s="50">
        <f>N404+O404</f>
        <v>1781.3</v>
      </c>
      <c r="N404" s="50">
        <v>1781.3</v>
      </c>
      <c r="O404" s="50">
        <v>0</v>
      </c>
      <c r="P404" s="6"/>
    </row>
    <row r="405" spans="1:16" ht="35.25" customHeight="1" x14ac:dyDescent="0.3">
      <c r="A405" s="44"/>
      <c r="B405" s="220"/>
      <c r="C405" s="220"/>
      <c r="D405" s="234"/>
      <c r="E405" s="219"/>
      <c r="F405" s="51" t="s">
        <v>13</v>
      </c>
      <c r="G405" s="50">
        <f t="shared" ref="G405:G406" si="691">H405+I405</f>
        <v>0</v>
      </c>
      <c r="H405" s="50"/>
      <c r="I405" s="50"/>
      <c r="J405" s="50">
        <f>K405+L405</f>
        <v>0</v>
      </c>
      <c r="K405" s="50"/>
      <c r="L405" s="50"/>
      <c r="M405" s="50">
        <f t="shared" ref="M405:M406" si="692">N405+O405</f>
        <v>0</v>
      </c>
      <c r="N405" s="50"/>
      <c r="O405" s="50"/>
      <c r="P405" s="6"/>
    </row>
    <row r="406" spans="1:16" ht="35.25" customHeight="1" x14ac:dyDescent="0.3">
      <c r="A406" s="44"/>
      <c r="B406" s="220"/>
      <c r="C406" s="220"/>
      <c r="D406" s="234"/>
      <c r="E406" s="219"/>
      <c r="F406" s="52" t="s">
        <v>14</v>
      </c>
      <c r="G406" s="53">
        <f t="shared" si="691"/>
        <v>0</v>
      </c>
      <c r="H406" s="53"/>
      <c r="I406" s="53"/>
      <c r="J406" s="53">
        <f t="shared" ref="J406" si="693">K406+L406</f>
        <v>0</v>
      </c>
      <c r="K406" s="53"/>
      <c r="L406" s="53"/>
      <c r="M406" s="53">
        <f t="shared" si="692"/>
        <v>0</v>
      </c>
      <c r="N406" s="53"/>
      <c r="O406" s="53"/>
      <c r="P406" s="6"/>
    </row>
    <row r="407" spans="1:16" ht="35.25" customHeight="1" x14ac:dyDescent="0.3">
      <c r="A407" s="44"/>
      <c r="B407" s="220" t="s">
        <v>135</v>
      </c>
      <c r="C407" s="220"/>
      <c r="D407" s="234"/>
      <c r="E407" s="219" t="s">
        <v>38</v>
      </c>
      <c r="F407" s="49"/>
      <c r="G407" s="50">
        <f>G408+G409+G410</f>
        <v>1400</v>
      </c>
      <c r="H407" s="50">
        <f t="shared" ref="H407:I407" si="694">H408+H409+H410</f>
        <v>1400</v>
      </c>
      <c r="I407" s="50">
        <f t="shared" si="694"/>
        <v>0</v>
      </c>
      <c r="J407" s="50">
        <f>J408+J409+J410</f>
        <v>925.09999999999991</v>
      </c>
      <c r="K407" s="50">
        <f t="shared" ref="K407:L407" si="695">K408+K409+K410</f>
        <v>925.09999999999991</v>
      </c>
      <c r="L407" s="50">
        <f t="shared" si="695"/>
        <v>0</v>
      </c>
      <c r="M407" s="50">
        <f>M408+M409+M410</f>
        <v>2500</v>
      </c>
      <c r="N407" s="50">
        <f t="shared" ref="N407:O407" si="696">N408+N409+N410</f>
        <v>2500</v>
      </c>
      <c r="O407" s="50">
        <f t="shared" si="696"/>
        <v>0</v>
      </c>
      <c r="P407" s="6"/>
    </row>
    <row r="408" spans="1:16" ht="35.25" customHeight="1" x14ac:dyDescent="0.3">
      <c r="A408" s="44"/>
      <c r="B408" s="220"/>
      <c r="C408" s="220"/>
      <c r="D408" s="234"/>
      <c r="E408" s="219"/>
      <c r="F408" s="49" t="s">
        <v>12</v>
      </c>
      <c r="G408" s="50">
        <f>H408+I408</f>
        <v>1400</v>
      </c>
      <c r="H408" s="50">
        <v>1400</v>
      </c>
      <c r="I408" s="50">
        <v>0</v>
      </c>
      <c r="J408" s="50">
        <f>K408+L408</f>
        <v>925.09999999999991</v>
      </c>
      <c r="K408" s="50">
        <f>2055-1129.9</f>
        <v>925.09999999999991</v>
      </c>
      <c r="L408" s="50">
        <v>0</v>
      </c>
      <c r="M408" s="50">
        <f>N408+O408</f>
        <v>2500</v>
      </c>
      <c r="N408" s="50">
        <f>2400+100</f>
        <v>2500</v>
      </c>
      <c r="O408" s="50">
        <v>0</v>
      </c>
      <c r="P408" s="6"/>
    </row>
    <row r="409" spans="1:16" ht="35.25" customHeight="1" x14ac:dyDescent="0.3">
      <c r="A409" s="44"/>
      <c r="B409" s="220"/>
      <c r="C409" s="220"/>
      <c r="D409" s="234"/>
      <c r="E409" s="219"/>
      <c r="F409" s="51" t="s">
        <v>13</v>
      </c>
      <c r="G409" s="50">
        <f t="shared" ref="G409:G410" si="697">H409+I409</f>
        <v>0</v>
      </c>
      <c r="H409" s="50"/>
      <c r="I409" s="50"/>
      <c r="J409" s="50">
        <f>K409+L409</f>
        <v>0</v>
      </c>
      <c r="K409" s="50"/>
      <c r="L409" s="50"/>
      <c r="M409" s="50">
        <f t="shared" ref="M409:M410" si="698">N409+O409</f>
        <v>0</v>
      </c>
      <c r="N409" s="50"/>
      <c r="O409" s="50"/>
      <c r="P409" s="6"/>
    </row>
    <row r="410" spans="1:16" ht="35.25" customHeight="1" x14ac:dyDescent="0.3">
      <c r="A410" s="44"/>
      <c r="B410" s="220"/>
      <c r="C410" s="220"/>
      <c r="D410" s="234"/>
      <c r="E410" s="219"/>
      <c r="F410" s="52" t="s">
        <v>14</v>
      </c>
      <c r="G410" s="53">
        <f t="shared" si="697"/>
        <v>0</v>
      </c>
      <c r="H410" s="53"/>
      <c r="I410" s="53"/>
      <c r="J410" s="53">
        <f t="shared" ref="J410" si="699">K410+L410</f>
        <v>0</v>
      </c>
      <c r="K410" s="53"/>
      <c r="L410" s="53"/>
      <c r="M410" s="53">
        <f t="shared" si="698"/>
        <v>0</v>
      </c>
      <c r="N410" s="53"/>
      <c r="O410" s="53"/>
      <c r="P410" s="6"/>
    </row>
    <row r="411" spans="1:16" ht="35.25" customHeight="1" x14ac:dyDescent="0.3">
      <c r="A411" s="44"/>
      <c r="B411" s="220" t="s">
        <v>136</v>
      </c>
      <c r="C411" s="220"/>
      <c r="D411" s="234"/>
      <c r="E411" s="219" t="s">
        <v>38</v>
      </c>
      <c r="F411" s="49"/>
      <c r="G411" s="50">
        <f>G412+G413+G414</f>
        <v>1000</v>
      </c>
      <c r="H411" s="50">
        <f t="shared" ref="H411:I411" si="700">H412+H413+H414</f>
        <v>1000</v>
      </c>
      <c r="I411" s="50">
        <f t="shared" si="700"/>
        <v>0</v>
      </c>
      <c r="J411" s="50">
        <f>J412+J413+J414</f>
        <v>841.7</v>
      </c>
      <c r="K411" s="50">
        <f t="shared" ref="K411:L411" si="701">K412+K413+K414</f>
        <v>841.7</v>
      </c>
      <c r="L411" s="50">
        <f t="shared" si="701"/>
        <v>0</v>
      </c>
      <c r="M411" s="50">
        <f>M412+M413+M414</f>
        <v>1000</v>
      </c>
      <c r="N411" s="50">
        <f t="shared" ref="N411:O411" si="702">N412+N413+N414</f>
        <v>1000</v>
      </c>
      <c r="O411" s="50">
        <f t="shared" si="702"/>
        <v>0</v>
      </c>
      <c r="P411" s="6"/>
    </row>
    <row r="412" spans="1:16" ht="35.25" customHeight="1" x14ac:dyDescent="0.3">
      <c r="A412" s="44"/>
      <c r="B412" s="220"/>
      <c r="C412" s="220"/>
      <c r="D412" s="234"/>
      <c r="E412" s="219"/>
      <c r="F412" s="49" t="s">
        <v>12</v>
      </c>
      <c r="G412" s="50">
        <f>H412+I412</f>
        <v>1000</v>
      </c>
      <c r="H412" s="50">
        <v>1000</v>
      </c>
      <c r="I412" s="50">
        <v>0</v>
      </c>
      <c r="J412" s="50">
        <f>K412+L412</f>
        <v>841.7</v>
      </c>
      <c r="K412" s="50">
        <f>1145-303.3</f>
        <v>841.7</v>
      </c>
      <c r="L412" s="50">
        <v>0</v>
      </c>
      <c r="M412" s="50">
        <f>N412+O412</f>
        <v>1000</v>
      </c>
      <c r="N412" s="50">
        <v>1000</v>
      </c>
      <c r="O412" s="50">
        <v>0</v>
      </c>
      <c r="P412" s="6"/>
    </row>
    <row r="413" spans="1:16" ht="35.25" customHeight="1" x14ac:dyDescent="0.3">
      <c r="A413" s="44"/>
      <c r="B413" s="220"/>
      <c r="C413" s="220"/>
      <c r="D413" s="234"/>
      <c r="E413" s="219"/>
      <c r="F413" s="51" t="s">
        <v>13</v>
      </c>
      <c r="G413" s="50">
        <f t="shared" ref="G413:G414" si="703">H413+I413</f>
        <v>0</v>
      </c>
      <c r="H413" s="50"/>
      <c r="I413" s="50"/>
      <c r="J413" s="50">
        <f>K413+L413</f>
        <v>0</v>
      </c>
      <c r="K413" s="50"/>
      <c r="L413" s="50"/>
      <c r="M413" s="50">
        <f t="shared" ref="M413:M414" si="704">N413+O413</f>
        <v>0</v>
      </c>
      <c r="N413" s="50"/>
      <c r="O413" s="50"/>
      <c r="P413" s="6"/>
    </row>
    <row r="414" spans="1:16" ht="35.25" customHeight="1" x14ac:dyDescent="0.3">
      <c r="A414" s="44"/>
      <c r="B414" s="220"/>
      <c r="C414" s="220"/>
      <c r="D414" s="234"/>
      <c r="E414" s="219"/>
      <c r="F414" s="52" t="s">
        <v>14</v>
      </c>
      <c r="G414" s="53">
        <f t="shared" si="703"/>
        <v>0</v>
      </c>
      <c r="H414" s="53"/>
      <c r="I414" s="53"/>
      <c r="J414" s="53">
        <f t="shared" ref="J414" si="705">K414+L414</f>
        <v>0</v>
      </c>
      <c r="K414" s="53"/>
      <c r="L414" s="53"/>
      <c r="M414" s="53">
        <f t="shared" si="704"/>
        <v>0</v>
      </c>
      <c r="N414" s="53"/>
      <c r="O414" s="53"/>
      <c r="P414" s="6"/>
    </row>
    <row r="415" spans="1:16" ht="35.25" customHeight="1" x14ac:dyDescent="0.3">
      <c r="A415" s="44"/>
      <c r="B415" s="221" t="s">
        <v>137</v>
      </c>
      <c r="C415" s="222"/>
      <c r="D415" s="241" t="s">
        <v>107</v>
      </c>
      <c r="E415" s="244" t="s">
        <v>38</v>
      </c>
      <c r="F415" s="33"/>
      <c r="G415" s="34">
        <f t="shared" ref="G415:O415" si="706">G416+G417+G418</f>
        <v>7151.6</v>
      </c>
      <c r="H415" s="34">
        <f t="shared" si="706"/>
        <v>0</v>
      </c>
      <c r="I415" s="34">
        <f t="shared" si="706"/>
        <v>7151.6</v>
      </c>
      <c r="J415" s="34">
        <f t="shared" si="706"/>
        <v>2160</v>
      </c>
      <c r="K415" s="34">
        <f t="shared" si="706"/>
        <v>0</v>
      </c>
      <c r="L415" s="34">
        <f t="shared" si="706"/>
        <v>2160</v>
      </c>
      <c r="M415" s="34">
        <f t="shared" si="706"/>
        <v>8000</v>
      </c>
      <c r="N415" s="34">
        <f t="shared" si="706"/>
        <v>0</v>
      </c>
      <c r="O415" s="34">
        <f t="shared" si="706"/>
        <v>8000</v>
      </c>
      <c r="P415" s="6"/>
    </row>
    <row r="416" spans="1:16" ht="35.25" customHeight="1" x14ac:dyDescent="0.3">
      <c r="A416" s="44"/>
      <c r="B416" s="223"/>
      <c r="C416" s="224"/>
      <c r="D416" s="242"/>
      <c r="E416" s="244"/>
      <c r="F416" s="35" t="s">
        <v>12</v>
      </c>
      <c r="G416" s="17">
        <f>H416+I416</f>
        <v>7151.6</v>
      </c>
      <c r="H416" s="17">
        <v>0</v>
      </c>
      <c r="I416" s="17">
        <v>7151.6</v>
      </c>
      <c r="J416" s="17">
        <f>K416+L416</f>
        <v>2160</v>
      </c>
      <c r="K416" s="17">
        <v>0</v>
      </c>
      <c r="L416" s="17">
        <f>8323.5-6163.5</f>
        <v>2160</v>
      </c>
      <c r="M416" s="17">
        <f>N416+O416</f>
        <v>8000</v>
      </c>
      <c r="N416" s="17">
        <v>0</v>
      </c>
      <c r="O416" s="17">
        <f>8000</f>
        <v>8000</v>
      </c>
      <c r="P416" s="6"/>
    </row>
    <row r="417" spans="1:16" ht="35.25" customHeight="1" x14ac:dyDescent="0.3">
      <c r="A417" s="44"/>
      <c r="B417" s="223"/>
      <c r="C417" s="224"/>
      <c r="D417" s="242"/>
      <c r="E417" s="244"/>
      <c r="F417" s="36" t="s">
        <v>13</v>
      </c>
      <c r="G417" s="17">
        <f t="shared" ref="G417:G418" si="707">H417+I417</f>
        <v>0</v>
      </c>
      <c r="H417" s="17">
        <f t="shared" ref="H417:I417" si="708">H421+H425</f>
        <v>0</v>
      </c>
      <c r="I417" s="17">
        <f t="shared" si="708"/>
        <v>0</v>
      </c>
      <c r="J417" s="17">
        <f t="shared" ref="J417:J418" si="709">K417+L417</f>
        <v>0</v>
      </c>
      <c r="K417" s="17">
        <f t="shared" ref="K417" si="710">K421+K425</f>
        <v>0</v>
      </c>
      <c r="L417" s="17">
        <v>0</v>
      </c>
      <c r="M417" s="17">
        <f>N417+O417</f>
        <v>0</v>
      </c>
      <c r="N417" s="17">
        <f t="shared" ref="N417" si="711">N421+N425</f>
        <v>0</v>
      </c>
      <c r="O417" s="17">
        <v>0</v>
      </c>
      <c r="P417" s="6"/>
    </row>
    <row r="418" spans="1:16" ht="35.25" customHeight="1" x14ac:dyDescent="0.3">
      <c r="A418" s="44"/>
      <c r="B418" s="225"/>
      <c r="C418" s="226"/>
      <c r="D418" s="243"/>
      <c r="E418" s="244"/>
      <c r="F418" s="35" t="s">
        <v>14</v>
      </c>
      <c r="G418" s="17">
        <f t="shared" si="707"/>
        <v>0</v>
      </c>
      <c r="H418" s="17">
        <f t="shared" ref="H418:I418" si="712">H422+H426</f>
        <v>0</v>
      </c>
      <c r="I418" s="17">
        <f t="shared" si="712"/>
        <v>0</v>
      </c>
      <c r="J418" s="17">
        <f t="shared" si="709"/>
        <v>0</v>
      </c>
      <c r="K418" s="17">
        <f t="shared" ref="K418" si="713">K422+K426</f>
        <v>0</v>
      </c>
      <c r="L418" s="17">
        <v>0</v>
      </c>
      <c r="M418" s="17">
        <f t="shared" ref="M418" si="714">N418+O418</f>
        <v>0</v>
      </c>
      <c r="N418" s="17">
        <f t="shared" ref="N418:O418" si="715">N422+N426</f>
        <v>0</v>
      </c>
      <c r="O418" s="17">
        <f t="shared" si="715"/>
        <v>0</v>
      </c>
      <c r="P418" s="6"/>
    </row>
    <row r="419" spans="1:16" ht="35.25" customHeight="1" x14ac:dyDescent="0.3">
      <c r="A419" s="44"/>
      <c r="B419" s="221" t="s">
        <v>138</v>
      </c>
      <c r="C419" s="222"/>
      <c r="D419" s="227" t="s">
        <v>108</v>
      </c>
      <c r="E419" s="230" t="s">
        <v>38</v>
      </c>
      <c r="F419" s="45"/>
      <c r="G419" s="46">
        <f t="shared" ref="G419:O419" si="716">G420+G421+G422</f>
        <v>12000</v>
      </c>
      <c r="H419" s="46">
        <f t="shared" si="716"/>
        <v>8896.24</v>
      </c>
      <c r="I419" s="46">
        <f t="shared" si="716"/>
        <v>3103.76</v>
      </c>
      <c r="J419" s="46">
        <f t="shared" si="716"/>
        <v>13823.532999999999</v>
      </c>
      <c r="K419" s="46">
        <f t="shared" si="716"/>
        <v>3905.7460000000001</v>
      </c>
      <c r="L419" s="46">
        <f t="shared" si="716"/>
        <v>9917.7870000000003</v>
      </c>
      <c r="M419" s="46">
        <f t="shared" si="716"/>
        <v>15000</v>
      </c>
      <c r="N419" s="46">
        <f t="shared" si="716"/>
        <v>4026.8</v>
      </c>
      <c r="O419" s="46">
        <f t="shared" si="716"/>
        <v>10973.2</v>
      </c>
      <c r="P419" s="6"/>
    </row>
    <row r="420" spans="1:16" ht="35.25" customHeight="1" x14ac:dyDescent="0.3">
      <c r="A420" s="44"/>
      <c r="B420" s="223"/>
      <c r="C420" s="224"/>
      <c r="D420" s="228"/>
      <c r="E420" s="230"/>
      <c r="F420" s="47" t="s">
        <v>12</v>
      </c>
      <c r="G420" s="28">
        <f>H420+I420</f>
        <v>12000</v>
      </c>
      <c r="H420" s="28">
        <v>8896.24</v>
      </c>
      <c r="I420" s="28">
        <v>3103.76</v>
      </c>
      <c r="J420" s="28">
        <f>K420+L420</f>
        <v>13823.532999999999</v>
      </c>
      <c r="K420" s="28">
        <v>3905.7460000000001</v>
      </c>
      <c r="L420" s="28">
        <v>9917.7870000000003</v>
      </c>
      <c r="M420" s="28">
        <f>N420+O420</f>
        <v>15000</v>
      </c>
      <c r="N420" s="28">
        <f>0+4026.8</f>
        <v>4026.8</v>
      </c>
      <c r="O420" s="28">
        <f>15000-4026.8</f>
        <v>10973.2</v>
      </c>
      <c r="P420" s="6"/>
    </row>
    <row r="421" spans="1:16" ht="40.5" x14ac:dyDescent="0.3">
      <c r="A421" s="44"/>
      <c r="B421" s="223"/>
      <c r="C421" s="224"/>
      <c r="D421" s="228"/>
      <c r="E421" s="230"/>
      <c r="F421" s="48" t="s">
        <v>13</v>
      </c>
      <c r="G421" s="28">
        <f t="shared" ref="G421:G422" si="717">H421+I421</f>
        <v>0</v>
      </c>
      <c r="H421" s="28">
        <f t="shared" ref="H421:I421" si="718">H425+H429</f>
        <v>0</v>
      </c>
      <c r="I421" s="28">
        <f t="shared" si="718"/>
        <v>0</v>
      </c>
      <c r="J421" s="28">
        <f t="shared" ref="J421:J422" si="719">K421+L421</f>
        <v>0</v>
      </c>
      <c r="K421" s="28">
        <f t="shared" ref="K421" si="720">K425+K429</f>
        <v>0</v>
      </c>
      <c r="L421" s="28">
        <v>0</v>
      </c>
      <c r="M421" s="28">
        <f>N421+O421</f>
        <v>0</v>
      </c>
      <c r="N421" s="28">
        <f t="shared" ref="N421" si="721">N425+N429</f>
        <v>0</v>
      </c>
      <c r="O421" s="28">
        <v>0</v>
      </c>
      <c r="P421" s="6"/>
    </row>
    <row r="422" spans="1:16" ht="35.25" customHeight="1" x14ac:dyDescent="0.3">
      <c r="A422" s="44"/>
      <c r="B422" s="225"/>
      <c r="C422" s="226"/>
      <c r="D422" s="229"/>
      <c r="E422" s="230"/>
      <c r="F422" s="47" t="s">
        <v>14</v>
      </c>
      <c r="G422" s="28">
        <f t="shared" si="717"/>
        <v>0</v>
      </c>
      <c r="H422" s="28">
        <f t="shared" ref="H422:I422" si="722">H426+H430</f>
        <v>0</v>
      </c>
      <c r="I422" s="28">
        <f t="shared" si="722"/>
        <v>0</v>
      </c>
      <c r="J422" s="28">
        <f t="shared" si="719"/>
        <v>0</v>
      </c>
      <c r="K422" s="28">
        <f t="shared" ref="K422" si="723">K426+K430</f>
        <v>0</v>
      </c>
      <c r="L422" s="28">
        <v>0</v>
      </c>
      <c r="M422" s="28">
        <f t="shared" ref="M422" si="724">N422+O422</f>
        <v>0</v>
      </c>
      <c r="N422" s="28">
        <f t="shared" ref="N422:O422" si="725">N426+N430</f>
        <v>0</v>
      </c>
      <c r="O422" s="28">
        <f t="shared" si="725"/>
        <v>0</v>
      </c>
      <c r="P422" s="6"/>
    </row>
    <row r="423" spans="1:16" ht="35.25" customHeight="1" x14ac:dyDescent="0.3">
      <c r="A423" s="44"/>
      <c r="B423" s="221" t="s">
        <v>139</v>
      </c>
      <c r="C423" s="222"/>
      <c r="D423" s="227" t="s">
        <v>109</v>
      </c>
      <c r="E423" s="230" t="s">
        <v>38</v>
      </c>
      <c r="F423" s="45"/>
      <c r="G423" s="46">
        <f t="shared" ref="G423:O423" si="726">G424+G425+G426</f>
        <v>110</v>
      </c>
      <c r="H423" s="46">
        <f t="shared" si="726"/>
        <v>110</v>
      </c>
      <c r="I423" s="46">
        <f t="shared" si="726"/>
        <v>0</v>
      </c>
      <c r="J423" s="46">
        <f t="shared" si="726"/>
        <v>450</v>
      </c>
      <c r="K423" s="46">
        <f t="shared" si="726"/>
        <v>450</v>
      </c>
      <c r="L423" s="46">
        <f t="shared" si="726"/>
        <v>0</v>
      </c>
      <c r="M423" s="46">
        <f t="shared" si="726"/>
        <v>940</v>
      </c>
      <c r="N423" s="46">
        <f t="shared" si="726"/>
        <v>940</v>
      </c>
      <c r="O423" s="46">
        <f t="shared" si="726"/>
        <v>0</v>
      </c>
      <c r="P423" s="6"/>
    </row>
    <row r="424" spans="1:16" ht="35.25" customHeight="1" x14ac:dyDescent="0.3">
      <c r="A424" s="44"/>
      <c r="B424" s="223"/>
      <c r="C424" s="224"/>
      <c r="D424" s="228"/>
      <c r="E424" s="230"/>
      <c r="F424" s="47" t="s">
        <v>12</v>
      </c>
      <c r="G424" s="28">
        <f>H424+I424</f>
        <v>110</v>
      </c>
      <c r="H424" s="28">
        <v>110</v>
      </c>
      <c r="I424" s="28">
        <v>0</v>
      </c>
      <c r="J424" s="28">
        <f>K424+L424</f>
        <v>450</v>
      </c>
      <c r="K424" s="28">
        <f>805-355</f>
        <v>450</v>
      </c>
      <c r="L424" s="28">
        <v>0</v>
      </c>
      <c r="M424" s="28">
        <f>N424+O424</f>
        <v>940</v>
      </c>
      <c r="N424" s="28">
        <f>340+600</f>
        <v>940</v>
      </c>
      <c r="O424" s="28">
        <v>0</v>
      </c>
      <c r="P424" s="6"/>
    </row>
    <row r="425" spans="1:16" ht="35.25" customHeight="1" x14ac:dyDescent="0.3">
      <c r="A425" s="44"/>
      <c r="B425" s="223"/>
      <c r="C425" s="224"/>
      <c r="D425" s="228"/>
      <c r="E425" s="230"/>
      <c r="F425" s="48" t="s">
        <v>13</v>
      </c>
      <c r="G425" s="28">
        <f t="shared" ref="G425:G426" si="727">H425+I425</f>
        <v>0</v>
      </c>
      <c r="H425" s="28">
        <f t="shared" ref="H425:I425" si="728">H429+H433</f>
        <v>0</v>
      </c>
      <c r="I425" s="28">
        <f t="shared" si="728"/>
        <v>0</v>
      </c>
      <c r="J425" s="28">
        <f t="shared" ref="J425:J426" si="729">K425+L425</f>
        <v>0</v>
      </c>
      <c r="K425" s="28">
        <f t="shared" ref="K425" si="730">K429+K433</f>
        <v>0</v>
      </c>
      <c r="L425" s="28">
        <v>0</v>
      </c>
      <c r="M425" s="28">
        <f t="shared" ref="M425:M426" si="731">N425+O425</f>
        <v>0</v>
      </c>
      <c r="N425" s="28">
        <f t="shared" ref="N425" si="732">N429+N433</f>
        <v>0</v>
      </c>
      <c r="O425" s="28">
        <v>0</v>
      </c>
      <c r="P425" s="6"/>
    </row>
    <row r="426" spans="1:16" ht="35.25" customHeight="1" x14ac:dyDescent="0.3">
      <c r="A426" s="44"/>
      <c r="B426" s="225"/>
      <c r="C426" s="226"/>
      <c r="D426" s="229"/>
      <c r="E426" s="230"/>
      <c r="F426" s="47" t="s">
        <v>14</v>
      </c>
      <c r="G426" s="28">
        <f t="shared" si="727"/>
        <v>0</v>
      </c>
      <c r="H426" s="28">
        <f t="shared" ref="H426:I426" si="733">H430+H434</f>
        <v>0</v>
      </c>
      <c r="I426" s="28">
        <f t="shared" si="733"/>
        <v>0</v>
      </c>
      <c r="J426" s="28">
        <f t="shared" si="729"/>
        <v>0</v>
      </c>
      <c r="K426" s="28">
        <f t="shared" ref="K426" si="734">K430+K434</f>
        <v>0</v>
      </c>
      <c r="L426" s="28">
        <v>0</v>
      </c>
      <c r="M426" s="28">
        <f t="shared" si="731"/>
        <v>0</v>
      </c>
      <c r="N426" s="28">
        <f t="shared" ref="N426:O426" si="735">N430+N434</f>
        <v>0</v>
      </c>
      <c r="O426" s="28">
        <f t="shared" si="735"/>
        <v>0</v>
      </c>
      <c r="P426" s="6"/>
    </row>
    <row r="427" spans="1:16" ht="35.25" customHeight="1" x14ac:dyDescent="0.3">
      <c r="A427" s="44"/>
      <c r="B427" s="221" t="s">
        <v>140</v>
      </c>
      <c r="C427" s="222"/>
      <c r="D427" s="227" t="s">
        <v>155</v>
      </c>
      <c r="E427" s="230" t="s">
        <v>38</v>
      </c>
      <c r="F427" s="45"/>
      <c r="G427" s="46">
        <f t="shared" ref="G427:N427" si="736">G428+G429+G430</f>
        <v>17761.3</v>
      </c>
      <c r="H427" s="46">
        <f t="shared" si="736"/>
        <v>0</v>
      </c>
      <c r="I427" s="46">
        <f t="shared" si="736"/>
        <v>17761.3</v>
      </c>
      <c r="J427" s="46">
        <f t="shared" si="736"/>
        <v>249036.17</v>
      </c>
      <c r="K427" s="46">
        <f t="shared" si="736"/>
        <v>0</v>
      </c>
      <c r="L427" s="46">
        <f t="shared" si="736"/>
        <v>249036.17</v>
      </c>
      <c r="M427" s="46">
        <f t="shared" si="736"/>
        <v>169492.98</v>
      </c>
      <c r="N427" s="46">
        <f t="shared" si="736"/>
        <v>0</v>
      </c>
      <c r="O427" s="46">
        <f>O428+O429+O430</f>
        <v>169492.98</v>
      </c>
      <c r="P427" s="6"/>
    </row>
    <row r="428" spans="1:16" ht="35.25" customHeight="1" x14ac:dyDescent="0.3">
      <c r="A428" s="44"/>
      <c r="B428" s="223"/>
      <c r="C428" s="224"/>
      <c r="D428" s="228"/>
      <c r="E428" s="230"/>
      <c r="F428" s="47" t="s">
        <v>12</v>
      </c>
      <c r="G428" s="28">
        <f>H428+I428</f>
        <v>17761.3</v>
      </c>
      <c r="H428" s="28">
        <f>H432+H436+H440</f>
        <v>0</v>
      </c>
      <c r="I428" s="28">
        <f>I432+I436+I440</f>
        <v>17761.3</v>
      </c>
      <c r="J428" s="28">
        <f>K428+L428</f>
        <v>33413.189999999995</v>
      </c>
      <c r="K428" s="28">
        <f>K432+K436+K440</f>
        <v>0</v>
      </c>
      <c r="L428" s="28">
        <f>L432+L436+L440</f>
        <v>33413.189999999995</v>
      </c>
      <c r="M428" s="28">
        <f>N428+O428</f>
        <v>153870</v>
      </c>
      <c r="N428" s="28">
        <f>N432+N436+N440</f>
        <v>0</v>
      </c>
      <c r="O428" s="28">
        <f>O432+O436+O440</f>
        <v>153870</v>
      </c>
      <c r="P428" s="6"/>
    </row>
    <row r="429" spans="1:16" ht="35.25" customHeight="1" x14ac:dyDescent="0.3">
      <c r="A429" s="44"/>
      <c r="B429" s="223"/>
      <c r="C429" s="224"/>
      <c r="D429" s="228"/>
      <c r="E429" s="230"/>
      <c r="F429" s="48" t="s">
        <v>13</v>
      </c>
      <c r="G429" s="28">
        <f t="shared" ref="G429:G430" si="737">H429+I429</f>
        <v>0</v>
      </c>
      <c r="H429" s="28">
        <f t="shared" ref="H429:I429" si="738">H433+H437+H441</f>
        <v>0</v>
      </c>
      <c r="I429" s="28">
        <f t="shared" si="738"/>
        <v>0</v>
      </c>
      <c r="J429" s="28">
        <f t="shared" ref="J429:J430" si="739">K429+L429</f>
        <v>215622.98</v>
      </c>
      <c r="K429" s="28">
        <f t="shared" ref="K429:L429" si="740">K433+K437+K441</f>
        <v>0</v>
      </c>
      <c r="L429" s="28">
        <f t="shared" si="740"/>
        <v>215622.98</v>
      </c>
      <c r="M429" s="28">
        <f t="shared" ref="M429:M430" si="741">N429+O429</f>
        <v>15622.98</v>
      </c>
      <c r="N429" s="28">
        <f t="shared" ref="N429" si="742">N433+N437+N441</f>
        <v>0</v>
      </c>
      <c r="O429" s="28">
        <f>O433+O437+O441</f>
        <v>15622.98</v>
      </c>
      <c r="P429" s="6"/>
    </row>
    <row r="430" spans="1:16" ht="35.25" customHeight="1" x14ac:dyDescent="0.3">
      <c r="A430" s="44"/>
      <c r="B430" s="225"/>
      <c r="C430" s="226"/>
      <c r="D430" s="229"/>
      <c r="E430" s="230"/>
      <c r="F430" s="47" t="s">
        <v>14</v>
      </c>
      <c r="G430" s="28">
        <f t="shared" si="737"/>
        <v>0</v>
      </c>
      <c r="H430" s="28">
        <f t="shared" ref="H430:I430" si="743">H434+H438+H442</f>
        <v>0</v>
      </c>
      <c r="I430" s="28">
        <f t="shared" si="743"/>
        <v>0</v>
      </c>
      <c r="J430" s="28">
        <f t="shared" si="739"/>
        <v>0</v>
      </c>
      <c r="K430" s="28">
        <f t="shared" ref="K430:L430" si="744">K434+K438+K442</f>
        <v>0</v>
      </c>
      <c r="L430" s="28">
        <f t="shared" si="744"/>
        <v>0</v>
      </c>
      <c r="M430" s="28">
        <f t="shared" si="741"/>
        <v>0</v>
      </c>
      <c r="N430" s="28">
        <f t="shared" ref="N430:O430" si="745">N434+N438+N442</f>
        <v>0</v>
      </c>
      <c r="O430" s="28">
        <f t="shared" si="745"/>
        <v>0</v>
      </c>
      <c r="P430" s="6"/>
    </row>
    <row r="431" spans="1:16" ht="35.25" customHeight="1" x14ac:dyDescent="0.3">
      <c r="A431" s="44"/>
      <c r="B431" s="260" t="s">
        <v>141</v>
      </c>
      <c r="C431" s="261"/>
      <c r="D431" s="315" t="s">
        <v>154</v>
      </c>
      <c r="E431" s="315" t="s">
        <v>38</v>
      </c>
      <c r="F431" s="49"/>
      <c r="G431" s="50">
        <f>G432+G433+G434</f>
        <v>12983.3</v>
      </c>
      <c r="H431" s="50">
        <f t="shared" ref="H431:I431" si="746">H432+H433+H434</f>
        <v>0</v>
      </c>
      <c r="I431" s="50">
        <f t="shared" si="746"/>
        <v>12983.3</v>
      </c>
      <c r="J431" s="50">
        <f>J432+J433+J434</f>
        <v>231666.36000000002</v>
      </c>
      <c r="K431" s="50">
        <f t="shared" ref="K431:L431" si="747">K432+K433+K434</f>
        <v>0</v>
      </c>
      <c r="L431" s="50">
        <f t="shared" si="747"/>
        <v>231666.36000000002</v>
      </c>
      <c r="M431" s="50">
        <f>M432+M433+M434</f>
        <v>93192.98</v>
      </c>
      <c r="N431" s="50">
        <f t="shared" ref="N431:O431" si="748">N432+N433+N434</f>
        <v>0</v>
      </c>
      <c r="O431" s="50">
        <f t="shared" si="748"/>
        <v>93192.98</v>
      </c>
      <c r="P431" s="6"/>
    </row>
    <row r="432" spans="1:16" ht="35.25" customHeight="1" x14ac:dyDescent="0.3">
      <c r="A432" s="44"/>
      <c r="B432" s="262"/>
      <c r="C432" s="263"/>
      <c r="D432" s="316"/>
      <c r="E432" s="316"/>
      <c r="F432" s="49" t="s">
        <v>12</v>
      </c>
      <c r="G432" s="50">
        <f>H432+I432</f>
        <v>12983.3</v>
      </c>
      <c r="H432" s="50">
        <v>0</v>
      </c>
      <c r="I432" s="50">
        <v>12983.3</v>
      </c>
      <c r="J432" s="50">
        <f>K432+L432</f>
        <v>16043.379999999997</v>
      </c>
      <c r="K432" s="50">
        <v>0</v>
      </c>
      <c r="L432" s="50">
        <f>75900-59856.62</f>
        <v>16043.379999999997</v>
      </c>
      <c r="M432" s="50">
        <f>N432+O432</f>
        <v>77570</v>
      </c>
      <c r="N432" s="50">
        <v>0</v>
      </c>
      <c r="O432" s="50">
        <v>77570</v>
      </c>
      <c r="P432" s="6"/>
    </row>
    <row r="433" spans="1:16" ht="35.25" customHeight="1" x14ac:dyDescent="0.3">
      <c r="A433" s="44"/>
      <c r="B433" s="262"/>
      <c r="C433" s="263"/>
      <c r="D433" s="316"/>
      <c r="E433" s="316"/>
      <c r="F433" s="51" t="s">
        <v>13</v>
      </c>
      <c r="G433" s="50">
        <f t="shared" ref="G433:G434" si="749">H433+I433</f>
        <v>0</v>
      </c>
      <c r="H433" s="50"/>
      <c r="I433" s="50"/>
      <c r="J433" s="50">
        <f>K433+L433</f>
        <v>215622.98</v>
      </c>
      <c r="K433" s="50"/>
      <c r="L433" s="50">
        <f>200000+15622.98</f>
        <v>215622.98</v>
      </c>
      <c r="M433" s="50">
        <f t="shared" ref="M433:M434" si="750">N433+O433</f>
        <v>15622.98</v>
      </c>
      <c r="N433" s="50"/>
      <c r="O433" s="50">
        <f>0+15622.98</f>
        <v>15622.98</v>
      </c>
      <c r="P433" s="6"/>
    </row>
    <row r="434" spans="1:16" ht="35.25" customHeight="1" x14ac:dyDescent="0.3">
      <c r="A434" s="44"/>
      <c r="B434" s="264"/>
      <c r="C434" s="265"/>
      <c r="D434" s="317"/>
      <c r="E434" s="317"/>
      <c r="F434" s="52" t="s">
        <v>14</v>
      </c>
      <c r="G434" s="53">
        <f t="shared" si="749"/>
        <v>0</v>
      </c>
      <c r="H434" s="53"/>
      <c r="I434" s="53"/>
      <c r="J434" s="53">
        <f t="shared" ref="J434" si="751">K434+L434</f>
        <v>0</v>
      </c>
      <c r="K434" s="53"/>
      <c r="L434" s="53">
        <f>53500-53500</f>
        <v>0</v>
      </c>
      <c r="M434" s="53">
        <f t="shared" si="750"/>
        <v>0</v>
      </c>
      <c r="N434" s="53"/>
      <c r="O434" s="53"/>
      <c r="P434" s="6"/>
    </row>
    <row r="435" spans="1:16" ht="35.25" customHeight="1" x14ac:dyDescent="0.3">
      <c r="A435" s="44"/>
      <c r="B435" s="260" t="s">
        <v>142</v>
      </c>
      <c r="C435" s="261"/>
      <c r="D435" s="318">
        <v>7330</v>
      </c>
      <c r="E435" s="315" t="s">
        <v>38</v>
      </c>
      <c r="F435" s="49"/>
      <c r="G435" s="50">
        <f>G436+G437+G438</f>
        <v>4778</v>
      </c>
      <c r="H435" s="50">
        <f t="shared" ref="H435:I435" si="752">H436+H437+H438</f>
        <v>0</v>
      </c>
      <c r="I435" s="50">
        <f t="shared" si="752"/>
        <v>4778</v>
      </c>
      <c r="J435" s="50">
        <f>J436+J437+J438</f>
        <v>8129.6999999999971</v>
      </c>
      <c r="K435" s="50">
        <f t="shared" ref="K435:L435" si="753">K436+K437+K438</f>
        <v>0</v>
      </c>
      <c r="L435" s="50">
        <f t="shared" si="753"/>
        <v>8129.6999999999971</v>
      </c>
      <c r="M435" s="50">
        <f>M436+M437+M438</f>
        <v>56300</v>
      </c>
      <c r="N435" s="50">
        <f t="shared" ref="N435:O435" si="754">N436+N437+N438</f>
        <v>0</v>
      </c>
      <c r="O435" s="50">
        <f t="shared" si="754"/>
        <v>56300</v>
      </c>
      <c r="P435" s="6"/>
    </row>
    <row r="436" spans="1:16" ht="35.25" customHeight="1" x14ac:dyDescent="0.3">
      <c r="A436" s="44"/>
      <c r="B436" s="262"/>
      <c r="C436" s="263"/>
      <c r="D436" s="319"/>
      <c r="E436" s="316"/>
      <c r="F436" s="49" t="s">
        <v>12</v>
      </c>
      <c r="G436" s="50">
        <f>H436+I436</f>
        <v>4778</v>
      </c>
      <c r="H436" s="50">
        <v>0</v>
      </c>
      <c r="I436" s="50">
        <v>4778</v>
      </c>
      <c r="J436" s="50">
        <f>K436+L436</f>
        <v>8129.6999999999971</v>
      </c>
      <c r="K436" s="50">
        <v>0</v>
      </c>
      <c r="L436" s="50">
        <f>56900-48770.3</f>
        <v>8129.6999999999971</v>
      </c>
      <c r="M436" s="50">
        <f>N436+O436</f>
        <v>56300</v>
      </c>
      <c r="N436" s="50">
        <v>0</v>
      </c>
      <c r="O436" s="50">
        <f>49300+7000</f>
        <v>56300</v>
      </c>
      <c r="P436" s="6"/>
    </row>
    <row r="437" spans="1:16" ht="35.25" customHeight="1" x14ac:dyDescent="0.3">
      <c r="A437" s="44"/>
      <c r="B437" s="262"/>
      <c r="C437" s="263"/>
      <c r="D437" s="319"/>
      <c r="E437" s="316"/>
      <c r="F437" s="51" t="s">
        <v>13</v>
      </c>
      <c r="G437" s="50">
        <f t="shared" ref="G437:G438" si="755">H437+I437</f>
        <v>0</v>
      </c>
      <c r="H437" s="50"/>
      <c r="I437" s="50"/>
      <c r="J437" s="50">
        <f>K437+L437</f>
        <v>0</v>
      </c>
      <c r="K437" s="50"/>
      <c r="L437" s="50"/>
      <c r="M437" s="50">
        <f t="shared" ref="M437:M438" si="756">N437+O437</f>
        <v>0</v>
      </c>
      <c r="N437" s="50"/>
      <c r="O437" s="50"/>
      <c r="P437" s="6"/>
    </row>
    <row r="438" spans="1:16" ht="35.25" customHeight="1" x14ac:dyDescent="0.3">
      <c r="A438" s="44"/>
      <c r="B438" s="264"/>
      <c r="C438" s="265"/>
      <c r="D438" s="320"/>
      <c r="E438" s="317"/>
      <c r="F438" s="52" t="s">
        <v>14</v>
      </c>
      <c r="G438" s="53">
        <f t="shared" si="755"/>
        <v>0</v>
      </c>
      <c r="H438" s="53"/>
      <c r="I438" s="53"/>
      <c r="J438" s="53">
        <f t="shared" ref="J438" si="757">K438+L438</f>
        <v>0</v>
      </c>
      <c r="K438" s="53"/>
      <c r="L438" s="53"/>
      <c r="M438" s="53">
        <f t="shared" si="756"/>
        <v>0</v>
      </c>
      <c r="N438" s="53"/>
      <c r="O438" s="53"/>
      <c r="P438" s="6"/>
    </row>
    <row r="439" spans="1:16" ht="35.25" customHeight="1" x14ac:dyDescent="0.3">
      <c r="A439" s="44"/>
      <c r="B439" s="260" t="s">
        <v>143</v>
      </c>
      <c r="C439" s="261"/>
      <c r="D439" s="318">
        <v>7340</v>
      </c>
      <c r="E439" s="315" t="s">
        <v>38</v>
      </c>
      <c r="F439" s="49"/>
      <c r="G439" s="50">
        <f>G440+G441+G442</f>
        <v>0</v>
      </c>
      <c r="H439" s="50">
        <f t="shared" ref="H439:I439" si="758">H440+H441+H442</f>
        <v>0</v>
      </c>
      <c r="I439" s="50">
        <f t="shared" si="758"/>
        <v>0</v>
      </c>
      <c r="J439" s="50">
        <f>J440+J441+J442</f>
        <v>9240.11</v>
      </c>
      <c r="K439" s="50">
        <f t="shared" ref="K439:L439" si="759">K440+K441+K442</f>
        <v>0</v>
      </c>
      <c r="L439" s="50">
        <f t="shared" si="759"/>
        <v>9240.11</v>
      </c>
      <c r="M439" s="50">
        <f>M440+M441+M442</f>
        <v>20000</v>
      </c>
      <c r="N439" s="50">
        <f t="shared" ref="N439:O439" si="760">N440+N441+N442</f>
        <v>0</v>
      </c>
      <c r="O439" s="50">
        <f t="shared" si="760"/>
        <v>20000</v>
      </c>
      <c r="P439" s="6"/>
    </row>
    <row r="440" spans="1:16" ht="35.25" customHeight="1" x14ac:dyDescent="0.3">
      <c r="A440" s="44"/>
      <c r="B440" s="262"/>
      <c r="C440" s="263"/>
      <c r="D440" s="319"/>
      <c r="E440" s="316"/>
      <c r="F440" s="49" t="s">
        <v>12</v>
      </c>
      <c r="G440" s="50">
        <f>H440+I440</f>
        <v>0</v>
      </c>
      <c r="H440" s="50">
        <v>0</v>
      </c>
      <c r="I440" s="50">
        <v>0</v>
      </c>
      <c r="J440" s="50">
        <f>K440+L440</f>
        <v>9240.11</v>
      </c>
      <c r="K440" s="50">
        <v>0</v>
      </c>
      <c r="L440" s="50">
        <f>10000-759.89</f>
        <v>9240.11</v>
      </c>
      <c r="M440" s="50">
        <f>N440+O440</f>
        <v>20000</v>
      </c>
      <c r="N440" s="50">
        <v>0</v>
      </c>
      <c r="O440" s="50">
        <f>10000+10000</f>
        <v>20000</v>
      </c>
      <c r="P440" s="6"/>
    </row>
    <row r="441" spans="1:16" ht="35.25" customHeight="1" x14ac:dyDescent="0.3">
      <c r="A441" s="44"/>
      <c r="B441" s="262"/>
      <c r="C441" s="263"/>
      <c r="D441" s="319"/>
      <c r="E441" s="316"/>
      <c r="F441" s="51" t="s">
        <v>13</v>
      </c>
      <c r="G441" s="50">
        <f t="shared" ref="G441:G442" si="761">H441+I441</f>
        <v>0</v>
      </c>
      <c r="H441" s="50"/>
      <c r="I441" s="50"/>
      <c r="J441" s="50">
        <f>K441+L441</f>
        <v>0</v>
      </c>
      <c r="K441" s="50"/>
      <c r="L441" s="50"/>
      <c r="M441" s="50">
        <f t="shared" ref="M441:M442" si="762">N441+O441</f>
        <v>0</v>
      </c>
      <c r="N441" s="50"/>
      <c r="O441" s="50"/>
      <c r="P441" s="6"/>
    </row>
    <row r="442" spans="1:16" ht="35.25" customHeight="1" x14ac:dyDescent="0.3">
      <c r="A442" s="44"/>
      <c r="B442" s="264"/>
      <c r="C442" s="265"/>
      <c r="D442" s="320"/>
      <c r="E442" s="317"/>
      <c r="F442" s="52" t="s">
        <v>14</v>
      </c>
      <c r="G442" s="53">
        <f t="shared" si="761"/>
        <v>0</v>
      </c>
      <c r="H442" s="53"/>
      <c r="I442" s="53"/>
      <c r="J442" s="53">
        <f t="shared" ref="J442" si="763">K442+L442</f>
        <v>0</v>
      </c>
      <c r="K442" s="53"/>
      <c r="L442" s="53"/>
      <c r="M442" s="53">
        <f t="shared" si="762"/>
        <v>0</v>
      </c>
      <c r="N442" s="53"/>
      <c r="O442" s="53"/>
      <c r="P442" s="6"/>
    </row>
    <row r="443" spans="1:16" ht="35.25" customHeight="1" x14ac:dyDescent="0.3">
      <c r="A443" s="44"/>
      <c r="B443" s="221" t="s">
        <v>144</v>
      </c>
      <c r="C443" s="222"/>
      <c r="D443" s="227" t="s">
        <v>112</v>
      </c>
      <c r="E443" s="230" t="s">
        <v>38</v>
      </c>
      <c r="F443" s="45"/>
      <c r="G443" s="54">
        <f t="shared" ref="G443:O443" si="764">G444+G445+G446</f>
        <v>-8179.09</v>
      </c>
      <c r="H443" s="54">
        <f t="shared" si="764"/>
        <v>0</v>
      </c>
      <c r="I443" s="54">
        <f t="shared" si="764"/>
        <v>-8179.09</v>
      </c>
      <c r="J443" s="54">
        <f t="shared" si="764"/>
        <v>-8134.09</v>
      </c>
      <c r="K443" s="54">
        <f t="shared" si="764"/>
        <v>0</v>
      </c>
      <c r="L443" s="54">
        <f t="shared" si="764"/>
        <v>-8134.09</v>
      </c>
      <c r="M443" s="54">
        <f t="shared" si="764"/>
        <v>-8084.09</v>
      </c>
      <c r="N443" s="54">
        <f t="shared" si="764"/>
        <v>0</v>
      </c>
      <c r="O443" s="54">
        <f t="shared" si="764"/>
        <v>-8084.09</v>
      </c>
      <c r="P443" s="6"/>
    </row>
    <row r="444" spans="1:16" ht="35.25" customHeight="1" x14ac:dyDescent="0.3">
      <c r="A444" s="44"/>
      <c r="B444" s="223"/>
      <c r="C444" s="224"/>
      <c r="D444" s="228"/>
      <c r="E444" s="230"/>
      <c r="F444" s="47" t="s">
        <v>12</v>
      </c>
      <c r="G444" s="28">
        <f>H444+I444</f>
        <v>-8179.09</v>
      </c>
      <c r="H444" s="28">
        <f>H448+H452</f>
        <v>0</v>
      </c>
      <c r="I444" s="28">
        <f>I448+I452</f>
        <v>-8179.09</v>
      </c>
      <c r="J444" s="28">
        <f>K444+L444</f>
        <v>-8134.09</v>
      </c>
      <c r="K444" s="28">
        <f>K448+K452</f>
        <v>0</v>
      </c>
      <c r="L444" s="28">
        <f>L448+L452</f>
        <v>-8134.09</v>
      </c>
      <c r="M444" s="28">
        <f>N444+O444</f>
        <v>-8084.09</v>
      </c>
      <c r="N444" s="28">
        <f>N448+N452</f>
        <v>0</v>
      </c>
      <c r="O444" s="28">
        <f>O448+O452</f>
        <v>-8084.09</v>
      </c>
      <c r="P444" s="6"/>
    </row>
    <row r="445" spans="1:16" ht="35.25" customHeight="1" x14ac:dyDescent="0.3">
      <c r="A445" s="44"/>
      <c r="B445" s="223"/>
      <c r="C445" s="224"/>
      <c r="D445" s="228"/>
      <c r="E445" s="230"/>
      <c r="F445" s="48" t="s">
        <v>13</v>
      </c>
      <c r="G445" s="28">
        <f t="shared" ref="G445:G446" si="765">H445+I445</f>
        <v>0</v>
      </c>
      <c r="H445" s="28">
        <f t="shared" ref="H445:I446" si="766">H449+H453</f>
        <v>0</v>
      </c>
      <c r="I445" s="28">
        <f t="shared" si="766"/>
        <v>0</v>
      </c>
      <c r="J445" s="28">
        <f t="shared" ref="J445:J446" si="767">K445+L445</f>
        <v>0</v>
      </c>
      <c r="K445" s="28">
        <f t="shared" ref="K445:L445" si="768">K449+K453</f>
        <v>0</v>
      </c>
      <c r="L445" s="28">
        <f t="shared" si="768"/>
        <v>0</v>
      </c>
      <c r="M445" s="28">
        <f t="shared" ref="M445:M446" si="769">N445+O445</f>
        <v>0</v>
      </c>
      <c r="N445" s="28">
        <f t="shared" ref="N445:O445" si="770">N449+N453</f>
        <v>0</v>
      </c>
      <c r="O445" s="28">
        <f t="shared" si="770"/>
        <v>0</v>
      </c>
      <c r="P445" s="6"/>
    </row>
    <row r="446" spans="1:16" ht="35.25" customHeight="1" x14ac:dyDescent="0.3">
      <c r="A446" s="44"/>
      <c r="B446" s="225"/>
      <c r="C446" s="226"/>
      <c r="D446" s="229"/>
      <c r="E446" s="230"/>
      <c r="F446" s="47" t="s">
        <v>14</v>
      </c>
      <c r="G446" s="28">
        <f t="shared" si="765"/>
        <v>0</v>
      </c>
      <c r="H446" s="28">
        <f t="shared" si="766"/>
        <v>0</v>
      </c>
      <c r="I446" s="28">
        <f t="shared" si="766"/>
        <v>0</v>
      </c>
      <c r="J446" s="28">
        <f t="shared" si="767"/>
        <v>0</v>
      </c>
      <c r="K446" s="28">
        <f t="shared" ref="K446:L446" si="771">K450+K454</f>
        <v>0</v>
      </c>
      <c r="L446" s="28">
        <f t="shared" si="771"/>
        <v>0</v>
      </c>
      <c r="M446" s="28">
        <f t="shared" si="769"/>
        <v>0</v>
      </c>
      <c r="N446" s="28">
        <f t="shared" ref="N446:O446" si="772">N450+N454</f>
        <v>0</v>
      </c>
      <c r="O446" s="28">
        <f t="shared" si="772"/>
        <v>0</v>
      </c>
      <c r="P446" s="6"/>
    </row>
    <row r="447" spans="1:16" ht="35.25" customHeight="1" x14ac:dyDescent="0.3">
      <c r="A447" s="44"/>
      <c r="B447" s="220" t="s">
        <v>145</v>
      </c>
      <c r="C447" s="220"/>
      <c r="D447" s="233">
        <v>8862</v>
      </c>
      <c r="E447" s="231" t="s">
        <v>110</v>
      </c>
      <c r="F447" s="40"/>
      <c r="G447" s="41">
        <f>G448+G449+G450</f>
        <v>-7654.09</v>
      </c>
      <c r="H447" s="41">
        <f t="shared" ref="H447:I447" si="773">H448+H449+H450</f>
        <v>0</v>
      </c>
      <c r="I447" s="41">
        <f t="shared" si="773"/>
        <v>-7654.09</v>
      </c>
      <c r="J447" s="41">
        <f>J448+J449+J450</f>
        <v>-7654.09</v>
      </c>
      <c r="K447" s="41">
        <f t="shared" ref="K447:L447" si="774">K448+K449+K450</f>
        <v>0</v>
      </c>
      <c r="L447" s="41">
        <f t="shared" si="774"/>
        <v>-7654.09</v>
      </c>
      <c r="M447" s="41">
        <f>M448+M449+M450</f>
        <v>-7654.09</v>
      </c>
      <c r="N447" s="41">
        <f t="shared" ref="N447:O447" si="775">N448+N449+N450</f>
        <v>0</v>
      </c>
      <c r="O447" s="41">
        <f t="shared" si="775"/>
        <v>-7654.09</v>
      </c>
      <c r="P447" s="6"/>
    </row>
    <row r="448" spans="1:16" ht="35.25" customHeight="1" x14ac:dyDescent="0.3">
      <c r="A448" s="44"/>
      <c r="B448" s="220"/>
      <c r="C448" s="220"/>
      <c r="D448" s="233"/>
      <c r="E448" s="231"/>
      <c r="F448" s="40" t="s">
        <v>12</v>
      </c>
      <c r="G448" s="41">
        <f>H448+I448</f>
        <v>-7654.09</v>
      </c>
      <c r="H448" s="41">
        <v>0</v>
      </c>
      <c r="I448" s="75">
        <f>-2054.09-5700+100</f>
        <v>-7654.09</v>
      </c>
      <c r="J448" s="41">
        <f>K448+L448</f>
        <v>-7654.09</v>
      </c>
      <c r="K448" s="41">
        <v>0</v>
      </c>
      <c r="L448" s="75">
        <f>-2054.09-5700+100</f>
        <v>-7654.09</v>
      </c>
      <c r="M448" s="41">
        <f>N448+O448</f>
        <v>-7654.09</v>
      </c>
      <c r="N448" s="41">
        <v>0</v>
      </c>
      <c r="O448" s="75">
        <f>-2054.09-5700+100</f>
        <v>-7654.09</v>
      </c>
      <c r="P448" s="6"/>
    </row>
    <row r="449" spans="1:16" ht="35.25" customHeight="1" x14ac:dyDescent="0.3">
      <c r="A449" s="44"/>
      <c r="B449" s="220"/>
      <c r="C449" s="220"/>
      <c r="D449" s="233"/>
      <c r="E449" s="231"/>
      <c r="F449" s="42" t="s">
        <v>13</v>
      </c>
      <c r="G449" s="41">
        <f t="shared" ref="G449:G450" si="776">H449+I449</f>
        <v>0</v>
      </c>
      <c r="H449" s="41"/>
      <c r="I449" s="41"/>
      <c r="J449" s="41">
        <f>K449+L449</f>
        <v>0</v>
      </c>
      <c r="K449" s="41"/>
      <c r="L449" s="41"/>
      <c r="M449" s="41">
        <f>N449+O449</f>
        <v>0</v>
      </c>
      <c r="N449" s="41"/>
      <c r="O449" s="41"/>
      <c r="P449" s="6"/>
    </row>
    <row r="450" spans="1:16" ht="35.25" customHeight="1" x14ac:dyDescent="0.3">
      <c r="A450" s="44"/>
      <c r="B450" s="220"/>
      <c r="C450" s="220"/>
      <c r="D450" s="233"/>
      <c r="E450" s="231"/>
      <c r="F450" s="38" t="s">
        <v>14</v>
      </c>
      <c r="G450" s="39">
        <f t="shared" si="776"/>
        <v>0</v>
      </c>
      <c r="H450" s="39"/>
      <c r="I450" s="39"/>
      <c r="J450" s="39">
        <f t="shared" ref="J450" si="777">K450+L450</f>
        <v>0</v>
      </c>
      <c r="K450" s="39"/>
      <c r="L450" s="39"/>
      <c r="M450" s="39">
        <f t="shared" ref="M450" si="778">N450+O450</f>
        <v>0</v>
      </c>
      <c r="N450" s="39"/>
      <c r="O450" s="39"/>
      <c r="P450" s="6"/>
    </row>
    <row r="451" spans="1:16" ht="35.25" customHeight="1" x14ac:dyDescent="0.3">
      <c r="A451" s="44"/>
      <c r="B451" s="220" t="s">
        <v>146</v>
      </c>
      <c r="C451" s="220"/>
      <c r="D451" s="233">
        <v>7691</v>
      </c>
      <c r="E451" s="231" t="s">
        <v>111</v>
      </c>
      <c r="F451" s="40"/>
      <c r="G451" s="41">
        <f>G452+G453+G454</f>
        <v>-525</v>
      </c>
      <c r="H451" s="41">
        <f t="shared" ref="H451:I451" si="779">H452+H453+H454</f>
        <v>0</v>
      </c>
      <c r="I451" s="41">
        <f t="shared" si="779"/>
        <v>-525</v>
      </c>
      <c r="J451" s="41">
        <f>J452+J453+J454</f>
        <v>-480</v>
      </c>
      <c r="K451" s="41">
        <f t="shared" ref="K451:O451" si="780">K452+K453+K454</f>
        <v>0</v>
      </c>
      <c r="L451" s="41">
        <f t="shared" si="780"/>
        <v>-480</v>
      </c>
      <c r="M451" s="41">
        <f>M452+M453+M454</f>
        <v>-430</v>
      </c>
      <c r="N451" s="41">
        <f t="shared" si="780"/>
        <v>0</v>
      </c>
      <c r="O451" s="41">
        <f t="shared" si="780"/>
        <v>-430</v>
      </c>
      <c r="P451" s="6"/>
    </row>
    <row r="452" spans="1:16" ht="35.25" customHeight="1" x14ac:dyDescent="0.3">
      <c r="A452" s="44"/>
      <c r="B452" s="220"/>
      <c r="C452" s="220"/>
      <c r="D452" s="233"/>
      <c r="E452" s="231"/>
      <c r="F452" s="40" t="s">
        <v>12</v>
      </c>
      <c r="G452" s="41">
        <f>H452+I452</f>
        <v>-525</v>
      </c>
      <c r="H452" s="41">
        <v>0</v>
      </c>
      <c r="I452" s="75">
        <f>-740+215</f>
        <v>-525</v>
      </c>
      <c r="J452" s="41">
        <f>K452+L452</f>
        <v>-480</v>
      </c>
      <c r="K452" s="41">
        <v>0</v>
      </c>
      <c r="L452" s="75">
        <f>-740+215+45</f>
        <v>-480</v>
      </c>
      <c r="M452" s="41">
        <f>N452+O452</f>
        <v>-430</v>
      </c>
      <c r="N452" s="41">
        <v>0</v>
      </c>
      <c r="O452" s="75">
        <f>-740+215+45+50</f>
        <v>-430</v>
      </c>
      <c r="P452" s="6"/>
    </row>
    <row r="453" spans="1:16" ht="35.25" customHeight="1" x14ac:dyDescent="0.3">
      <c r="A453" s="44"/>
      <c r="B453" s="220"/>
      <c r="C453" s="220"/>
      <c r="D453" s="233"/>
      <c r="E453" s="231"/>
      <c r="F453" s="42" t="s">
        <v>13</v>
      </c>
      <c r="G453" s="41">
        <f t="shared" ref="G453:G454" si="781">H453+I453</f>
        <v>0</v>
      </c>
      <c r="H453" s="41"/>
      <c r="I453" s="41"/>
      <c r="J453" s="41">
        <f>K453+L453</f>
        <v>0</v>
      </c>
      <c r="K453" s="41"/>
      <c r="L453" s="41"/>
      <c r="M453" s="41">
        <f>N453+O453</f>
        <v>0</v>
      </c>
      <c r="N453" s="41"/>
      <c r="O453" s="41"/>
      <c r="P453" s="6"/>
    </row>
    <row r="454" spans="1:16" ht="35.25" customHeight="1" x14ac:dyDescent="0.3">
      <c r="A454" s="44"/>
      <c r="B454" s="220"/>
      <c r="C454" s="220"/>
      <c r="D454" s="233"/>
      <c r="E454" s="231"/>
      <c r="F454" s="38" t="s">
        <v>14</v>
      </c>
      <c r="G454" s="39">
        <f t="shared" si="781"/>
        <v>0</v>
      </c>
      <c r="H454" s="39"/>
      <c r="I454" s="39"/>
      <c r="J454" s="39">
        <f t="shared" ref="J454" si="782">K454+L454</f>
        <v>0</v>
      </c>
      <c r="K454" s="39"/>
      <c r="L454" s="39"/>
      <c r="M454" s="39">
        <f t="shared" ref="M454" si="783">N454+O454</f>
        <v>0</v>
      </c>
      <c r="N454" s="39"/>
      <c r="O454" s="39"/>
      <c r="P454" s="6"/>
    </row>
    <row r="455" spans="1:16" ht="35.25" customHeight="1" x14ac:dyDescent="0.3">
      <c r="A455" s="44"/>
      <c r="B455" s="221" t="s">
        <v>147</v>
      </c>
      <c r="C455" s="222"/>
      <c r="D455" s="227" t="s">
        <v>113</v>
      </c>
      <c r="E455" s="230" t="s">
        <v>114</v>
      </c>
      <c r="F455" s="45"/>
      <c r="G455" s="46">
        <f t="shared" ref="G455:L455" si="784">G456+G457+G458</f>
        <v>263876.7</v>
      </c>
      <c r="H455" s="46">
        <f t="shared" si="784"/>
        <v>0</v>
      </c>
      <c r="I455" s="46">
        <f t="shared" si="784"/>
        <v>263876.7</v>
      </c>
      <c r="J455" s="46">
        <f t="shared" si="784"/>
        <v>0</v>
      </c>
      <c r="K455" s="46">
        <f t="shared" si="784"/>
        <v>0</v>
      </c>
      <c r="L455" s="46">
        <f t="shared" si="784"/>
        <v>0</v>
      </c>
      <c r="M455" s="46">
        <f t="shared" ref="M455:O455" si="785">M456+M457+M458</f>
        <v>0</v>
      </c>
      <c r="N455" s="46">
        <f t="shared" si="785"/>
        <v>0</v>
      </c>
      <c r="O455" s="46">
        <f t="shared" si="785"/>
        <v>0</v>
      </c>
      <c r="P455" s="6"/>
    </row>
    <row r="456" spans="1:16" ht="35.25" customHeight="1" x14ac:dyDescent="0.3">
      <c r="A456" s="44"/>
      <c r="B456" s="223"/>
      <c r="C456" s="224"/>
      <c r="D456" s="228"/>
      <c r="E456" s="230"/>
      <c r="F456" s="47" t="s">
        <v>12</v>
      </c>
      <c r="G456" s="28">
        <f>H456+I456</f>
        <v>0</v>
      </c>
      <c r="H456" s="28">
        <v>0</v>
      </c>
      <c r="I456" s="28">
        <v>0</v>
      </c>
      <c r="J456" s="28">
        <f>K456+L456</f>
        <v>0</v>
      </c>
      <c r="K456" s="28"/>
      <c r="L456" s="28">
        <v>0</v>
      </c>
      <c r="M456" s="28">
        <f>N456+O456</f>
        <v>0</v>
      </c>
      <c r="N456" s="28"/>
      <c r="O456" s="28">
        <v>0</v>
      </c>
      <c r="P456" s="6"/>
    </row>
    <row r="457" spans="1:16" ht="35.25" customHeight="1" x14ac:dyDescent="0.3">
      <c r="A457" s="44"/>
      <c r="B457" s="223"/>
      <c r="C457" s="224"/>
      <c r="D457" s="228"/>
      <c r="E457" s="230"/>
      <c r="F457" s="48" t="s">
        <v>13</v>
      </c>
      <c r="G457" s="28">
        <f t="shared" ref="G457:G458" si="786">H457+I457</f>
        <v>263876.7</v>
      </c>
      <c r="H457" s="58">
        <v>0</v>
      </c>
      <c r="I457" s="58">
        <v>263876.7</v>
      </c>
      <c r="J457" s="28">
        <f t="shared" ref="J457:J458" si="787">K457+L457</f>
        <v>0</v>
      </c>
      <c r="K457" s="28">
        <v>0</v>
      </c>
      <c r="L457" s="28">
        <v>0</v>
      </c>
      <c r="M457" s="28">
        <f t="shared" ref="M457:M458" si="788">N457+O457</f>
        <v>0</v>
      </c>
      <c r="N457" s="28">
        <v>0</v>
      </c>
      <c r="O457" s="28">
        <v>0</v>
      </c>
      <c r="P457" s="6"/>
    </row>
    <row r="458" spans="1:16" ht="35.25" customHeight="1" x14ac:dyDescent="0.3">
      <c r="A458" s="44"/>
      <c r="B458" s="225"/>
      <c r="C458" s="226"/>
      <c r="D458" s="229"/>
      <c r="E458" s="230"/>
      <c r="F458" s="47" t="s">
        <v>14</v>
      </c>
      <c r="G458" s="28">
        <f t="shared" si="786"/>
        <v>0</v>
      </c>
      <c r="H458" s="28">
        <v>0</v>
      </c>
      <c r="I458" s="28">
        <v>0</v>
      </c>
      <c r="J458" s="28">
        <f t="shared" si="787"/>
        <v>0</v>
      </c>
      <c r="K458" s="28">
        <v>0</v>
      </c>
      <c r="L458" s="28">
        <v>0</v>
      </c>
      <c r="M458" s="28">
        <f t="shared" si="788"/>
        <v>0</v>
      </c>
      <c r="N458" s="28">
        <v>0</v>
      </c>
      <c r="O458" s="28">
        <v>0</v>
      </c>
      <c r="P458" s="6"/>
    </row>
    <row r="459" spans="1:16" ht="35.25" customHeight="1" x14ac:dyDescent="0.3">
      <c r="A459" s="44"/>
      <c r="B459" s="221" t="s">
        <v>696</v>
      </c>
      <c r="C459" s="222"/>
      <c r="D459" s="227" t="s">
        <v>116</v>
      </c>
      <c r="E459" s="230" t="s">
        <v>115</v>
      </c>
      <c r="F459" s="45"/>
      <c r="G459" s="46">
        <f t="shared" ref="G459:J459" si="789">G460+G461+G462</f>
        <v>0</v>
      </c>
      <c r="H459" s="46">
        <f t="shared" si="789"/>
        <v>0</v>
      </c>
      <c r="I459" s="46">
        <f t="shared" si="789"/>
        <v>0</v>
      </c>
      <c r="J459" s="66">
        <f t="shared" si="789"/>
        <v>32285</v>
      </c>
      <c r="K459" s="66">
        <f>K460+K461+K462</f>
        <v>5500</v>
      </c>
      <c r="L459" s="66">
        <f>L460+L461+L462</f>
        <v>26785</v>
      </c>
      <c r="M459" s="66">
        <f t="shared" ref="M459" si="790">M460+M461+M462</f>
        <v>30000</v>
      </c>
      <c r="N459" s="66">
        <f>N460+N461+N462</f>
        <v>20000</v>
      </c>
      <c r="O459" s="66">
        <f>O460+O461+O462</f>
        <v>10000</v>
      </c>
      <c r="P459" s="6"/>
    </row>
    <row r="460" spans="1:16" ht="35.25" customHeight="1" x14ac:dyDescent="0.3">
      <c r="A460" s="44"/>
      <c r="B460" s="223"/>
      <c r="C460" s="224"/>
      <c r="D460" s="228"/>
      <c r="E460" s="230"/>
      <c r="F460" s="47" t="s">
        <v>12</v>
      </c>
      <c r="G460" s="28">
        <f>H460+I460</f>
        <v>0</v>
      </c>
      <c r="H460" s="28">
        <v>0</v>
      </c>
      <c r="I460" s="28">
        <v>0</v>
      </c>
      <c r="J460" s="67">
        <f>K460+L460</f>
        <v>32285</v>
      </c>
      <c r="K460" s="67">
        <f>K464+K468</f>
        <v>5500</v>
      </c>
      <c r="L460" s="67">
        <f>L464+L468</f>
        <v>26785</v>
      </c>
      <c r="M460" s="67">
        <f>N460+O460</f>
        <v>30000</v>
      </c>
      <c r="N460" s="67">
        <f>N464+N468</f>
        <v>20000</v>
      </c>
      <c r="O460" s="67">
        <f>O464+O468</f>
        <v>10000</v>
      </c>
      <c r="P460" s="6"/>
    </row>
    <row r="461" spans="1:16" ht="35.25" customHeight="1" x14ac:dyDescent="0.3">
      <c r="A461" s="44"/>
      <c r="B461" s="223"/>
      <c r="C461" s="224"/>
      <c r="D461" s="228"/>
      <c r="E461" s="230"/>
      <c r="F461" s="48" t="s">
        <v>13</v>
      </c>
      <c r="G461" s="28">
        <f t="shared" ref="G461:G462" si="791">H461+I461</f>
        <v>0</v>
      </c>
      <c r="H461" s="28">
        <v>0</v>
      </c>
      <c r="I461" s="28">
        <v>0</v>
      </c>
      <c r="J461" s="67">
        <f t="shared" ref="J461:J462" si="792">K461+L461</f>
        <v>0</v>
      </c>
      <c r="K461" s="67">
        <v>0</v>
      </c>
      <c r="L461" s="67">
        <v>0</v>
      </c>
      <c r="M461" s="28">
        <f t="shared" ref="M461:M462" si="793">N461+O461</f>
        <v>0</v>
      </c>
      <c r="N461" s="28">
        <v>0</v>
      </c>
      <c r="O461" s="28">
        <v>0</v>
      </c>
      <c r="P461" s="6"/>
    </row>
    <row r="462" spans="1:16" ht="35.25" customHeight="1" x14ac:dyDescent="0.3">
      <c r="A462" s="44"/>
      <c r="B462" s="225"/>
      <c r="C462" s="226"/>
      <c r="D462" s="229"/>
      <c r="E462" s="230"/>
      <c r="F462" s="47" t="s">
        <v>14</v>
      </c>
      <c r="G462" s="28">
        <f t="shared" si="791"/>
        <v>0</v>
      </c>
      <c r="H462" s="28">
        <v>0</v>
      </c>
      <c r="I462" s="28">
        <v>0</v>
      </c>
      <c r="J462" s="67">
        <f t="shared" si="792"/>
        <v>0</v>
      </c>
      <c r="K462" s="67">
        <v>0</v>
      </c>
      <c r="L462" s="67">
        <v>0</v>
      </c>
      <c r="M462" s="28">
        <f t="shared" si="793"/>
        <v>0</v>
      </c>
      <c r="N462" s="28">
        <v>0</v>
      </c>
      <c r="O462" s="28">
        <v>0</v>
      </c>
      <c r="P462" s="6"/>
    </row>
    <row r="463" spans="1:16" ht="35.25" customHeight="1" x14ac:dyDescent="0.3">
      <c r="A463" s="44"/>
      <c r="B463" s="220" t="s">
        <v>149</v>
      </c>
      <c r="C463" s="220"/>
      <c r="D463" s="233">
        <v>6086.7375000000002</v>
      </c>
      <c r="E463" s="315" t="s">
        <v>38</v>
      </c>
      <c r="F463" s="40"/>
      <c r="G463" s="55">
        <f>G464+G465+G466</f>
        <v>0</v>
      </c>
      <c r="H463" s="55">
        <f t="shared" ref="H463:I463" si="794">H464+H465+H466</f>
        <v>0</v>
      </c>
      <c r="I463" s="55">
        <f t="shared" si="794"/>
        <v>0</v>
      </c>
      <c r="J463" s="68">
        <f>J464+J465+J466</f>
        <v>32000</v>
      </c>
      <c r="K463" s="68">
        <f t="shared" ref="K463:L463" si="795">K464+K465+K466</f>
        <v>5500</v>
      </c>
      <c r="L463" s="68">
        <f t="shared" si="795"/>
        <v>26500</v>
      </c>
      <c r="M463" s="41">
        <f>M464+M465+M466</f>
        <v>30000</v>
      </c>
      <c r="N463" s="41">
        <f t="shared" ref="N463:O463" si="796">N464+N465+N466</f>
        <v>20000</v>
      </c>
      <c r="O463" s="41">
        <f t="shared" si="796"/>
        <v>10000</v>
      </c>
      <c r="P463" s="6"/>
    </row>
    <row r="464" spans="1:16" ht="35.25" customHeight="1" x14ac:dyDescent="0.3">
      <c r="A464" s="44"/>
      <c r="B464" s="220"/>
      <c r="C464" s="220"/>
      <c r="D464" s="233"/>
      <c r="E464" s="316"/>
      <c r="F464" s="40" t="s">
        <v>12</v>
      </c>
      <c r="G464" s="55">
        <f>H464+I464</f>
        <v>0</v>
      </c>
      <c r="H464" s="55">
        <v>0</v>
      </c>
      <c r="I464" s="56">
        <v>0</v>
      </c>
      <c r="J464" s="68">
        <f>K464+L464</f>
        <v>32000</v>
      </c>
      <c r="K464" s="68">
        <f>20000-14500</f>
        <v>5500</v>
      </c>
      <c r="L464" s="69">
        <f>40000-13500</f>
        <v>26500</v>
      </c>
      <c r="M464" s="41">
        <f>N464+O464</f>
        <v>30000</v>
      </c>
      <c r="N464" s="41">
        <f>0+20000</f>
        <v>20000</v>
      </c>
      <c r="O464" s="75">
        <f>0+10000</f>
        <v>10000</v>
      </c>
      <c r="P464" s="6"/>
    </row>
    <row r="465" spans="1:16" ht="35.25" customHeight="1" x14ac:dyDescent="0.3">
      <c r="A465" s="44"/>
      <c r="B465" s="220"/>
      <c r="C465" s="220"/>
      <c r="D465" s="233"/>
      <c r="E465" s="316"/>
      <c r="F465" s="42" t="s">
        <v>13</v>
      </c>
      <c r="G465" s="55">
        <f t="shared" ref="G465:G466" si="797">H465+I465</f>
        <v>0</v>
      </c>
      <c r="H465" s="55"/>
      <c r="I465" s="55"/>
      <c r="J465" s="68">
        <f>K465+L465</f>
        <v>0</v>
      </c>
      <c r="K465" s="68"/>
      <c r="L465" s="68"/>
      <c r="M465" s="41">
        <f>N465+O465</f>
        <v>0</v>
      </c>
      <c r="N465" s="41"/>
      <c r="O465" s="41"/>
      <c r="P465" s="6"/>
    </row>
    <row r="466" spans="1:16" ht="35.25" customHeight="1" x14ac:dyDescent="0.3">
      <c r="A466" s="44"/>
      <c r="B466" s="220"/>
      <c r="C466" s="220"/>
      <c r="D466" s="233"/>
      <c r="E466" s="317"/>
      <c r="F466" s="38" t="s">
        <v>14</v>
      </c>
      <c r="G466" s="57">
        <f t="shared" si="797"/>
        <v>0</v>
      </c>
      <c r="H466" s="57"/>
      <c r="I466" s="57"/>
      <c r="J466" s="70">
        <f t="shared" ref="J466" si="798">K466+L466</f>
        <v>0</v>
      </c>
      <c r="K466" s="70"/>
      <c r="L466" s="70"/>
      <c r="M466" s="39">
        <f t="shared" ref="M466" si="799">N466+O466</f>
        <v>0</v>
      </c>
      <c r="N466" s="39"/>
      <c r="O466" s="39"/>
      <c r="P466" s="6"/>
    </row>
    <row r="467" spans="1:16" ht="35.25" customHeight="1" x14ac:dyDescent="0.3">
      <c r="A467" s="44"/>
      <c r="B467" s="220" t="s">
        <v>150</v>
      </c>
      <c r="C467" s="220"/>
      <c r="D467" s="233">
        <v>6086</v>
      </c>
      <c r="E467" s="315" t="s">
        <v>38</v>
      </c>
      <c r="F467" s="40"/>
      <c r="G467" s="55">
        <f>G468+G469+G470</f>
        <v>0</v>
      </c>
      <c r="H467" s="55">
        <f t="shared" ref="H467:I467" si="800">H468+H469+H470</f>
        <v>0</v>
      </c>
      <c r="I467" s="55">
        <f t="shared" si="800"/>
        <v>0</v>
      </c>
      <c r="J467" s="68">
        <f>J468+J469+J470</f>
        <v>285</v>
      </c>
      <c r="K467" s="68">
        <f t="shared" ref="K467:L467" si="801">K468+K469+K470</f>
        <v>0</v>
      </c>
      <c r="L467" s="68">
        <f t="shared" si="801"/>
        <v>285</v>
      </c>
      <c r="M467" s="55">
        <f>M468+M469+M470</f>
        <v>0</v>
      </c>
      <c r="N467" s="41">
        <f t="shared" ref="N467:O467" si="802">N468+N469+N470</f>
        <v>0</v>
      </c>
      <c r="O467" s="55">
        <f t="shared" si="802"/>
        <v>0</v>
      </c>
      <c r="P467" s="6"/>
    </row>
    <row r="468" spans="1:16" ht="35.25" customHeight="1" x14ac:dyDescent="0.3">
      <c r="A468" s="44"/>
      <c r="B468" s="220"/>
      <c r="C468" s="220"/>
      <c r="D468" s="233"/>
      <c r="E468" s="316"/>
      <c r="F468" s="40" t="s">
        <v>12</v>
      </c>
      <c r="G468" s="55">
        <f>H468+I468</f>
        <v>0</v>
      </c>
      <c r="H468" s="55">
        <v>0</v>
      </c>
      <c r="I468" s="64">
        <v>0</v>
      </c>
      <c r="J468" s="68">
        <f>K468+L468</f>
        <v>285</v>
      </c>
      <c r="K468" s="68">
        <v>0</v>
      </c>
      <c r="L468" s="71">
        <f>285</f>
        <v>285</v>
      </c>
      <c r="M468" s="55">
        <f>N468+O468</f>
        <v>0</v>
      </c>
      <c r="N468" s="41">
        <v>0</v>
      </c>
      <c r="O468" s="65">
        <v>0</v>
      </c>
      <c r="P468" s="6"/>
    </row>
    <row r="469" spans="1:16" ht="35.25" customHeight="1" x14ac:dyDescent="0.3">
      <c r="A469" s="44"/>
      <c r="B469" s="220"/>
      <c r="C469" s="220"/>
      <c r="D469" s="233"/>
      <c r="E469" s="316"/>
      <c r="F469" s="42" t="s">
        <v>13</v>
      </c>
      <c r="G469" s="41">
        <f t="shared" ref="G469:G470" si="803">H469+I469</f>
        <v>0</v>
      </c>
      <c r="H469" s="41"/>
      <c r="I469" s="41"/>
      <c r="J469" s="68">
        <f>K469+L469</f>
        <v>0</v>
      </c>
      <c r="K469" s="68"/>
      <c r="L469" s="68"/>
      <c r="M469" s="41">
        <f>N469+O469</f>
        <v>0</v>
      </c>
      <c r="N469" s="41"/>
      <c r="O469" s="41"/>
      <c r="P469" s="6"/>
    </row>
    <row r="470" spans="1:16" ht="35.25" customHeight="1" x14ac:dyDescent="0.3">
      <c r="A470" s="44"/>
      <c r="B470" s="220"/>
      <c r="C470" s="220"/>
      <c r="D470" s="233"/>
      <c r="E470" s="317"/>
      <c r="F470" s="40" t="s">
        <v>14</v>
      </c>
      <c r="G470" s="41">
        <f t="shared" si="803"/>
        <v>0</v>
      </c>
      <c r="H470" s="41"/>
      <c r="I470" s="41"/>
      <c r="J470" s="68">
        <f t="shared" ref="J470" si="804">K470+L470</f>
        <v>0</v>
      </c>
      <c r="K470" s="68"/>
      <c r="L470" s="68"/>
      <c r="M470" s="41">
        <f t="shared" ref="M470" si="805">N470+O470</f>
        <v>0</v>
      </c>
      <c r="N470" s="41"/>
      <c r="O470" s="41"/>
      <c r="P470" s="6"/>
    </row>
    <row r="471" spans="1:16" ht="35.25" customHeight="1" x14ac:dyDescent="0.3">
      <c r="A471" s="44"/>
      <c r="B471" s="221" t="s">
        <v>697</v>
      </c>
      <c r="C471" s="222"/>
      <c r="D471" s="227" t="s">
        <v>698</v>
      </c>
      <c r="E471" s="230" t="s">
        <v>115</v>
      </c>
      <c r="F471" s="45"/>
      <c r="G471" s="46">
        <f t="shared" ref="G471:J471" si="806">G472+G473+G474</f>
        <v>0</v>
      </c>
      <c r="H471" s="46">
        <f t="shared" si="806"/>
        <v>0</v>
      </c>
      <c r="I471" s="46">
        <f t="shared" si="806"/>
        <v>0</v>
      </c>
      <c r="J471" s="66">
        <f t="shared" si="806"/>
        <v>0</v>
      </c>
      <c r="K471" s="66">
        <f>K472+K473+K474</f>
        <v>0</v>
      </c>
      <c r="L471" s="66">
        <f>L472+L473+L474</f>
        <v>0</v>
      </c>
      <c r="M471" s="66">
        <f t="shared" ref="M471" si="807">M472+M473+M474</f>
        <v>100</v>
      </c>
      <c r="N471" s="66">
        <f>N472+N473+N474</f>
        <v>100</v>
      </c>
      <c r="O471" s="66">
        <f>O472+O473+O474</f>
        <v>0</v>
      </c>
      <c r="P471" s="6"/>
    </row>
    <row r="472" spans="1:16" ht="35.25" customHeight="1" x14ac:dyDescent="0.3">
      <c r="A472" s="44"/>
      <c r="B472" s="223"/>
      <c r="C472" s="224"/>
      <c r="D472" s="228"/>
      <c r="E472" s="230"/>
      <c r="F472" s="47" t="s">
        <v>12</v>
      </c>
      <c r="G472" s="28">
        <f>H472+I472</f>
        <v>0</v>
      </c>
      <c r="H472" s="28">
        <v>0</v>
      </c>
      <c r="I472" s="28">
        <v>0</v>
      </c>
      <c r="J472" s="67">
        <f>K472+L472</f>
        <v>0</v>
      </c>
      <c r="K472" s="67">
        <f>K476+K480</f>
        <v>0</v>
      </c>
      <c r="L472" s="67">
        <f>L476+L480</f>
        <v>0</v>
      </c>
      <c r="M472" s="67">
        <f>N472+O472</f>
        <v>100</v>
      </c>
      <c r="N472" s="67">
        <v>100</v>
      </c>
      <c r="O472" s="67">
        <f>O476+O480</f>
        <v>0</v>
      </c>
      <c r="P472" s="6"/>
    </row>
    <row r="473" spans="1:16" ht="35.25" customHeight="1" x14ac:dyDescent="0.3">
      <c r="A473" s="44"/>
      <c r="B473" s="223"/>
      <c r="C473" s="224"/>
      <c r="D473" s="228"/>
      <c r="E473" s="230"/>
      <c r="F473" s="48" t="s">
        <v>13</v>
      </c>
      <c r="G473" s="28">
        <f t="shared" ref="G473:G474" si="808">H473+I473</f>
        <v>0</v>
      </c>
      <c r="H473" s="28">
        <v>0</v>
      </c>
      <c r="I473" s="28">
        <v>0</v>
      </c>
      <c r="J473" s="67">
        <f t="shared" ref="J473:J474" si="809">K473+L473</f>
        <v>0</v>
      </c>
      <c r="K473" s="67">
        <v>0</v>
      </c>
      <c r="L473" s="67">
        <v>0</v>
      </c>
      <c r="M473" s="28">
        <f t="shared" ref="M473:M474" si="810">N473+O473</f>
        <v>0</v>
      </c>
      <c r="N473" s="28">
        <v>0</v>
      </c>
      <c r="O473" s="28">
        <v>0</v>
      </c>
      <c r="P473" s="6"/>
    </row>
    <row r="474" spans="1:16" ht="35.25" customHeight="1" x14ac:dyDescent="0.3">
      <c r="A474" s="44"/>
      <c r="B474" s="225"/>
      <c r="C474" s="226"/>
      <c r="D474" s="229"/>
      <c r="E474" s="230"/>
      <c r="F474" s="47" t="s">
        <v>14</v>
      </c>
      <c r="G474" s="28">
        <f t="shared" si="808"/>
        <v>0</v>
      </c>
      <c r="H474" s="28">
        <v>0</v>
      </c>
      <c r="I474" s="28">
        <v>0</v>
      </c>
      <c r="J474" s="67">
        <f t="shared" si="809"/>
        <v>0</v>
      </c>
      <c r="K474" s="67">
        <v>0</v>
      </c>
      <c r="L474" s="67">
        <v>0</v>
      </c>
      <c r="M474" s="28">
        <f t="shared" si="810"/>
        <v>0</v>
      </c>
      <c r="N474" s="28">
        <v>0</v>
      </c>
      <c r="O474" s="28">
        <v>0</v>
      </c>
      <c r="P474" s="6"/>
    </row>
    <row r="475" spans="1:16" ht="35.25" customHeight="1" x14ac:dyDescent="0.3">
      <c r="A475" s="44"/>
      <c r="B475" s="60"/>
      <c r="C475" s="60"/>
      <c r="D475" s="61"/>
      <c r="E475" s="60"/>
      <c r="F475" s="62"/>
      <c r="G475" s="63"/>
      <c r="H475" s="63"/>
      <c r="I475" s="63"/>
      <c r="J475" s="63"/>
      <c r="K475" s="63"/>
      <c r="L475" s="63"/>
      <c r="M475" s="63"/>
      <c r="N475" s="63"/>
      <c r="O475" s="63"/>
      <c r="P475" s="6"/>
    </row>
    <row r="476" spans="1:16" ht="18.75" x14ac:dyDescent="0.3">
      <c r="A476" s="2"/>
      <c r="B476" s="2"/>
      <c r="C476" s="2"/>
      <c r="D476" s="2"/>
      <c r="E476" s="2"/>
      <c r="F476" s="2"/>
      <c r="G476" s="2"/>
      <c r="H476" s="2"/>
      <c r="I476" s="2"/>
      <c r="J476" s="2"/>
      <c r="K476" s="2"/>
      <c r="L476" s="2"/>
      <c r="M476" s="2"/>
      <c r="N476" s="2"/>
      <c r="O476" s="2"/>
      <c r="P476" s="6"/>
    </row>
    <row r="477" spans="1:16" ht="20.25" x14ac:dyDescent="0.3">
      <c r="A477" s="3"/>
      <c r="B477" s="3"/>
      <c r="C477" s="308" t="s">
        <v>694</v>
      </c>
      <c r="D477" s="308"/>
      <c r="E477" s="157" t="s">
        <v>160</v>
      </c>
      <c r="F477" s="74"/>
      <c r="G477" s="74"/>
      <c r="H477" s="74"/>
      <c r="I477" s="74"/>
      <c r="J477" s="76"/>
      <c r="K477" s="76"/>
      <c r="L477" s="76"/>
      <c r="M477" s="2"/>
      <c r="N477" s="2"/>
      <c r="O477" s="2"/>
      <c r="P477" s="6"/>
    </row>
    <row r="478" spans="1:16" ht="18.75" x14ac:dyDescent="0.3">
      <c r="A478" s="3"/>
      <c r="B478" s="3"/>
      <c r="C478" s="9"/>
      <c r="D478" s="9"/>
      <c r="E478" s="9"/>
      <c r="F478" s="8"/>
      <c r="G478" s="8"/>
      <c r="H478" s="8"/>
      <c r="I478" s="8"/>
      <c r="J478" s="8"/>
      <c r="K478" s="8"/>
      <c r="L478" s="8"/>
      <c r="M478" s="2"/>
      <c r="N478" s="2"/>
      <c r="O478" s="2"/>
    </row>
    <row r="479" spans="1:16" x14ac:dyDescent="0.25">
      <c r="C479" s="10"/>
      <c r="D479" s="10"/>
      <c r="E479" s="10"/>
      <c r="F479" s="10"/>
      <c r="G479" s="10"/>
      <c r="H479" s="10"/>
      <c r="I479" s="10"/>
      <c r="J479" s="10"/>
      <c r="K479" s="10"/>
      <c r="L479" s="10"/>
    </row>
  </sheetData>
  <mergeCells count="365">
    <mergeCell ref="B463:C466"/>
    <mergeCell ref="D463:D466"/>
    <mergeCell ref="E463:E466"/>
    <mergeCell ref="B467:C470"/>
    <mergeCell ref="D467:D470"/>
    <mergeCell ref="E467:E470"/>
    <mergeCell ref="B435:C438"/>
    <mergeCell ref="D435:D438"/>
    <mergeCell ref="E435:E438"/>
    <mergeCell ref="B439:C442"/>
    <mergeCell ref="D439:D442"/>
    <mergeCell ref="E439:E442"/>
    <mergeCell ref="B443:C446"/>
    <mergeCell ref="D443:D446"/>
    <mergeCell ref="E443:E446"/>
    <mergeCell ref="B455:C458"/>
    <mergeCell ref="D455:D458"/>
    <mergeCell ref="E455:E458"/>
    <mergeCell ref="B459:C462"/>
    <mergeCell ref="D459:D462"/>
    <mergeCell ref="E459:E462"/>
    <mergeCell ref="D427:D430"/>
    <mergeCell ref="E427:E430"/>
    <mergeCell ref="B431:C434"/>
    <mergeCell ref="D431:D434"/>
    <mergeCell ref="E431:E434"/>
    <mergeCell ref="D403:D406"/>
    <mergeCell ref="D447:D450"/>
    <mergeCell ref="B379:C382"/>
    <mergeCell ref="Q396:V396"/>
    <mergeCell ref="B183:C186"/>
    <mergeCell ref="D183:D186"/>
    <mergeCell ref="E183:E186"/>
    <mergeCell ref="B187:C190"/>
    <mergeCell ref="D187:D190"/>
    <mergeCell ref="E187:E190"/>
    <mergeCell ref="B191:C194"/>
    <mergeCell ref="D191:D194"/>
    <mergeCell ref="E191:E194"/>
    <mergeCell ref="B171:C174"/>
    <mergeCell ref="D171:D174"/>
    <mergeCell ref="E171:E174"/>
    <mergeCell ref="B175:C178"/>
    <mergeCell ref="D175:D178"/>
    <mergeCell ref="E175:E178"/>
    <mergeCell ref="B179:C182"/>
    <mergeCell ref="D179:D182"/>
    <mergeCell ref="E179:E182"/>
    <mergeCell ref="B167:C170"/>
    <mergeCell ref="D167:D170"/>
    <mergeCell ref="E167:E170"/>
    <mergeCell ref="B155:C158"/>
    <mergeCell ref="D155:D158"/>
    <mergeCell ref="E155:E158"/>
    <mergeCell ref="B159:C162"/>
    <mergeCell ref="D159:D162"/>
    <mergeCell ref="E159:E162"/>
    <mergeCell ref="C477:D477"/>
    <mergeCell ref="B15:C18"/>
    <mergeCell ref="D15:D18"/>
    <mergeCell ref="E15:E18"/>
    <mergeCell ref="A15:A18"/>
    <mergeCell ref="B19:C22"/>
    <mergeCell ref="D19:D22"/>
    <mergeCell ref="E19:E22"/>
    <mergeCell ref="D23:D26"/>
    <mergeCell ref="B75:C78"/>
    <mergeCell ref="D75:D78"/>
    <mergeCell ref="E75:E78"/>
    <mergeCell ref="B91:C94"/>
    <mergeCell ref="D91:D94"/>
    <mergeCell ref="E91:E94"/>
    <mergeCell ref="B87:C90"/>
    <mergeCell ref="D87:D90"/>
    <mergeCell ref="E23:E26"/>
    <mergeCell ref="B151:C154"/>
    <mergeCell ref="D151:D154"/>
    <mergeCell ref="E151:E154"/>
    <mergeCell ref="B163:C166"/>
    <mergeCell ref="D163:D166"/>
    <mergeCell ref="E163:E166"/>
    <mergeCell ref="A9:A13"/>
    <mergeCell ref="B4:C6"/>
    <mergeCell ref="B7:C7"/>
    <mergeCell ref="B9:C9"/>
    <mergeCell ref="A14:O14"/>
    <mergeCell ref="B23:C26"/>
    <mergeCell ref="Y1:AF1"/>
    <mergeCell ref="A2:O2"/>
    <mergeCell ref="G4:O4"/>
    <mergeCell ref="G5:I5"/>
    <mergeCell ref="J5:L5"/>
    <mergeCell ref="M5:O5"/>
    <mergeCell ref="A4:A6"/>
    <mergeCell ref="K1:O1"/>
    <mergeCell ref="D4:D6"/>
    <mergeCell ref="E4:E6"/>
    <mergeCell ref="F4:F6"/>
    <mergeCell ref="A8:O8"/>
    <mergeCell ref="E11:E13"/>
    <mergeCell ref="D11:D13"/>
    <mergeCell ref="D51:D54"/>
    <mergeCell ref="E51:E54"/>
    <mergeCell ref="B55:C58"/>
    <mergeCell ref="D55:D58"/>
    <mergeCell ref="E55:E58"/>
    <mergeCell ref="B27:C30"/>
    <mergeCell ref="D27:D30"/>
    <mergeCell ref="E27:E30"/>
    <mergeCell ref="B43:C46"/>
    <mergeCell ref="D43:D46"/>
    <mergeCell ref="E43:E46"/>
    <mergeCell ref="B31:C34"/>
    <mergeCell ref="D31:D34"/>
    <mergeCell ref="E31:E34"/>
    <mergeCell ref="B35:C38"/>
    <mergeCell ref="D35:D38"/>
    <mergeCell ref="E35:E38"/>
    <mergeCell ref="D39:D42"/>
    <mergeCell ref="E39:E42"/>
    <mergeCell ref="B39:C42"/>
    <mergeCell ref="B47:C50"/>
    <mergeCell ref="D47:D50"/>
    <mergeCell ref="E47:E50"/>
    <mergeCell ref="B51:C54"/>
    <mergeCell ref="B95:C98"/>
    <mergeCell ref="D95:D98"/>
    <mergeCell ref="E95:E98"/>
    <mergeCell ref="B99:C102"/>
    <mergeCell ref="D99:D102"/>
    <mergeCell ref="E99:E102"/>
    <mergeCell ref="B59:C62"/>
    <mergeCell ref="D59:D62"/>
    <mergeCell ref="E59:E62"/>
    <mergeCell ref="B63:C66"/>
    <mergeCell ref="D63:D66"/>
    <mergeCell ref="E63:E66"/>
    <mergeCell ref="E87:E90"/>
    <mergeCell ref="B71:C74"/>
    <mergeCell ref="D71:D74"/>
    <mergeCell ref="E71:E74"/>
    <mergeCell ref="B79:C82"/>
    <mergeCell ref="D79:D82"/>
    <mergeCell ref="E79:E82"/>
    <mergeCell ref="B83:C86"/>
    <mergeCell ref="D83:D86"/>
    <mergeCell ref="E83:E86"/>
    <mergeCell ref="B67:C70"/>
    <mergeCell ref="D67:D70"/>
    <mergeCell ref="B111:C114"/>
    <mergeCell ref="D111:D114"/>
    <mergeCell ref="E111:E114"/>
    <mergeCell ref="B115:C118"/>
    <mergeCell ref="D115:D118"/>
    <mergeCell ref="E115:E118"/>
    <mergeCell ref="B103:C106"/>
    <mergeCell ref="D103:D106"/>
    <mergeCell ref="E103:E106"/>
    <mergeCell ref="B107:C110"/>
    <mergeCell ref="D107:D110"/>
    <mergeCell ref="E107:E110"/>
    <mergeCell ref="B123:C126"/>
    <mergeCell ref="D123:D126"/>
    <mergeCell ref="E123:E126"/>
    <mergeCell ref="B131:C134"/>
    <mergeCell ref="D131:D134"/>
    <mergeCell ref="E131:E134"/>
    <mergeCell ref="B119:C122"/>
    <mergeCell ref="D119:D122"/>
    <mergeCell ref="E119:E122"/>
    <mergeCell ref="B127:C130"/>
    <mergeCell ref="D127:D130"/>
    <mergeCell ref="E127:E130"/>
    <mergeCell ref="B143:C146"/>
    <mergeCell ref="D143:D146"/>
    <mergeCell ref="E143:E146"/>
    <mergeCell ref="B147:C150"/>
    <mergeCell ref="D147:D150"/>
    <mergeCell ref="E147:E150"/>
    <mergeCell ref="B135:C138"/>
    <mergeCell ref="D135:D138"/>
    <mergeCell ref="E135:E138"/>
    <mergeCell ref="B139:C142"/>
    <mergeCell ref="D139:D142"/>
    <mergeCell ref="E139:E142"/>
    <mergeCell ref="B195:C198"/>
    <mergeCell ref="D195:D198"/>
    <mergeCell ref="E195:E198"/>
    <mergeCell ref="B199:C202"/>
    <mergeCell ref="D199:D202"/>
    <mergeCell ref="E199:E202"/>
    <mergeCell ref="B203:C206"/>
    <mergeCell ref="D203:D206"/>
    <mergeCell ref="E203:E206"/>
    <mergeCell ref="B207:C210"/>
    <mergeCell ref="D207:D210"/>
    <mergeCell ref="E207:E210"/>
    <mergeCell ref="B211:C214"/>
    <mergeCell ref="D211:D214"/>
    <mergeCell ref="E211:E214"/>
    <mergeCell ref="B215:C218"/>
    <mergeCell ref="D215:D218"/>
    <mergeCell ref="E215:E218"/>
    <mergeCell ref="B219:C222"/>
    <mergeCell ref="D219:D222"/>
    <mergeCell ref="E219:E222"/>
    <mergeCell ref="B223:C226"/>
    <mergeCell ref="D223:D226"/>
    <mergeCell ref="E223:E226"/>
    <mergeCell ref="B227:C230"/>
    <mergeCell ref="D227:D230"/>
    <mergeCell ref="E227:E230"/>
    <mergeCell ref="B231:C234"/>
    <mergeCell ref="D231:D234"/>
    <mergeCell ref="E231:E234"/>
    <mergeCell ref="B235:C238"/>
    <mergeCell ref="D235:D238"/>
    <mergeCell ref="E235:E238"/>
    <mergeCell ref="B239:C242"/>
    <mergeCell ref="D239:D242"/>
    <mergeCell ref="E239:E242"/>
    <mergeCell ref="B243:C246"/>
    <mergeCell ref="D243:D246"/>
    <mergeCell ref="E243:E246"/>
    <mergeCell ref="B247:C250"/>
    <mergeCell ref="D247:D250"/>
    <mergeCell ref="E247:E250"/>
    <mergeCell ref="B251:C254"/>
    <mergeCell ref="D251:D254"/>
    <mergeCell ref="E251:E254"/>
    <mergeCell ref="B255:C258"/>
    <mergeCell ref="D255:D258"/>
    <mergeCell ref="E255:E258"/>
    <mergeCell ref="B259:C262"/>
    <mergeCell ref="D259:D262"/>
    <mergeCell ref="E259:E262"/>
    <mergeCell ref="B263:C266"/>
    <mergeCell ref="D263:D266"/>
    <mergeCell ref="E263:E266"/>
    <mergeCell ref="B267:C270"/>
    <mergeCell ref="D267:D270"/>
    <mergeCell ref="E267:E270"/>
    <mergeCell ref="B271:C274"/>
    <mergeCell ref="D271:D274"/>
    <mergeCell ref="E271:E274"/>
    <mergeCell ref="B279:C282"/>
    <mergeCell ref="D279:D282"/>
    <mergeCell ref="E279:E282"/>
    <mergeCell ref="C275:C278"/>
    <mergeCell ref="B283:C286"/>
    <mergeCell ref="D283:D286"/>
    <mergeCell ref="E283:E286"/>
    <mergeCell ref="B287:C290"/>
    <mergeCell ref="D287:D290"/>
    <mergeCell ref="E287:E290"/>
    <mergeCell ref="B291:C294"/>
    <mergeCell ref="D291:D294"/>
    <mergeCell ref="E291:E294"/>
    <mergeCell ref="B295:C298"/>
    <mergeCell ref="D295:D298"/>
    <mergeCell ref="E295:E298"/>
    <mergeCell ref="B299:C302"/>
    <mergeCell ref="D299:D302"/>
    <mergeCell ref="E299:E302"/>
    <mergeCell ref="B303:C306"/>
    <mergeCell ref="D303:D306"/>
    <mergeCell ref="E303:E306"/>
    <mergeCell ref="B307:C310"/>
    <mergeCell ref="D307:D310"/>
    <mergeCell ref="E307:E310"/>
    <mergeCell ref="B311:C314"/>
    <mergeCell ref="D311:D314"/>
    <mergeCell ref="E311:E314"/>
    <mergeCell ref="B315:C318"/>
    <mergeCell ref="D315:D318"/>
    <mergeCell ref="E315:E318"/>
    <mergeCell ref="E347:E350"/>
    <mergeCell ref="B331:C334"/>
    <mergeCell ref="D331:D334"/>
    <mergeCell ref="B335:C338"/>
    <mergeCell ref="D335:D338"/>
    <mergeCell ref="B339:C342"/>
    <mergeCell ref="D339:D342"/>
    <mergeCell ref="E331:E346"/>
    <mergeCell ref="B319:C322"/>
    <mergeCell ref="D319:D322"/>
    <mergeCell ref="E319:E322"/>
    <mergeCell ref="B323:C326"/>
    <mergeCell ref="D323:D326"/>
    <mergeCell ref="E323:E326"/>
    <mergeCell ref="D327:D330"/>
    <mergeCell ref="E327:E330"/>
    <mergeCell ref="C327:C330"/>
    <mergeCell ref="E67:E70"/>
    <mergeCell ref="E275:E278"/>
    <mergeCell ref="D275:D278"/>
    <mergeCell ref="B411:C414"/>
    <mergeCell ref="D411:D414"/>
    <mergeCell ref="E411:E414"/>
    <mergeCell ref="B415:C418"/>
    <mergeCell ref="D415:D418"/>
    <mergeCell ref="E415:E418"/>
    <mergeCell ref="B399:C402"/>
    <mergeCell ref="D399:D402"/>
    <mergeCell ref="E399:E402"/>
    <mergeCell ref="D395:D398"/>
    <mergeCell ref="E395:E398"/>
    <mergeCell ref="B383:C386"/>
    <mergeCell ref="E359:E362"/>
    <mergeCell ref="B359:C362"/>
    <mergeCell ref="D359:D362"/>
    <mergeCell ref="B375:C378"/>
    <mergeCell ref="D375:D378"/>
    <mergeCell ref="B343:C346"/>
    <mergeCell ref="D343:D346"/>
    <mergeCell ref="B347:C350"/>
    <mergeCell ref="D347:D350"/>
    <mergeCell ref="W396:AC396"/>
    <mergeCell ref="B451:C454"/>
    <mergeCell ref="D451:D454"/>
    <mergeCell ref="E451:E454"/>
    <mergeCell ref="B419:C422"/>
    <mergeCell ref="D419:D422"/>
    <mergeCell ref="E419:E422"/>
    <mergeCell ref="D379:D382"/>
    <mergeCell ref="E379:E382"/>
    <mergeCell ref="E447:E450"/>
    <mergeCell ref="B447:C450"/>
    <mergeCell ref="D383:D386"/>
    <mergeCell ref="E383:E386"/>
    <mergeCell ref="B387:C390"/>
    <mergeCell ref="D387:D390"/>
    <mergeCell ref="E387:E390"/>
    <mergeCell ref="B391:C394"/>
    <mergeCell ref="D391:D394"/>
    <mergeCell ref="E391:E394"/>
    <mergeCell ref="D407:D410"/>
    <mergeCell ref="E407:E410"/>
    <mergeCell ref="B407:C410"/>
    <mergeCell ref="B395:C398"/>
    <mergeCell ref="E403:E406"/>
    <mergeCell ref="B355:C358"/>
    <mergeCell ref="D355:D358"/>
    <mergeCell ref="E375:E378"/>
    <mergeCell ref="B403:C406"/>
    <mergeCell ref="B471:C474"/>
    <mergeCell ref="D471:D474"/>
    <mergeCell ref="E471:E474"/>
    <mergeCell ref="B351:C354"/>
    <mergeCell ref="D351:D354"/>
    <mergeCell ref="E351:E354"/>
    <mergeCell ref="B363:C366"/>
    <mergeCell ref="D363:D366"/>
    <mergeCell ref="E363:E366"/>
    <mergeCell ref="B367:C370"/>
    <mergeCell ref="D367:D370"/>
    <mergeCell ref="E367:E370"/>
    <mergeCell ref="B371:C374"/>
    <mergeCell ref="E355:E358"/>
    <mergeCell ref="E371:E374"/>
    <mergeCell ref="D371:D374"/>
    <mergeCell ref="B423:C426"/>
    <mergeCell ref="D423:D426"/>
    <mergeCell ref="E423:E426"/>
    <mergeCell ref="B427:C430"/>
  </mergeCells>
  <printOptions horizontalCentered="1" verticalCentered="1"/>
  <pageMargins left="0.31496062992125984" right="0.31496062992125984" top="0.35433070866141736" bottom="0.35433070866141736" header="0.31496062992125984" footer="0.31496062992125984"/>
  <pageSetup paperSize="9" scale="28" fitToHeight="11" orientation="landscape" r:id="rId1"/>
  <rowBreaks count="7" manualBreakCount="7">
    <brk id="46" max="14" man="1"/>
    <brk id="102" max="14" man="1"/>
    <brk id="154" max="14" man="1"/>
    <brk id="194" max="14" man="1"/>
    <brk id="246" max="14" man="1"/>
    <brk id="350" max="14" man="1"/>
    <brk id="398"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8"/>
  <sheetViews>
    <sheetView tabSelected="1" view="pageBreakPreview" zoomScale="68" zoomScaleNormal="100" zoomScaleSheetLayoutView="68" workbookViewId="0">
      <selection activeCell="D1" sqref="D1:G1"/>
    </sheetView>
  </sheetViews>
  <sheetFormatPr defaultRowHeight="15" x14ac:dyDescent="0.25"/>
  <cols>
    <col min="1" max="1" width="131.28515625" customWidth="1"/>
    <col min="2" max="2" width="21" customWidth="1"/>
    <col min="3" max="3" width="102" customWidth="1"/>
    <col min="4" max="4" width="13.42578125" customWidth="1"/>
    <col min="5" max="5" width="21.5703125" bestFit="1" customWidth="1"/>
    <col min="6" max="6" width="22.42578125" customWidth="1"/>
    <col min="7" max="7" width="24.28515625" bestFit="1" customWidth="1"/>
    <col min="8" max="8" width="17.5703125" bestFit="1" customWidth="1"/>
    <col min="9" max="9" width="16.28515625" bestFit="1" customWidth="1"/>
  </cols>
  <sheetData>
    <row r="1" spans="1:26" ht="132" customHeight="1" x14ac:dyDescent="0.3">
      <c r="A1" s="78"/>
      <c r="B1" s="78"/>
      <c r="C1" s="78"/>
      <c r="D1" s="342" t="s">
        <v>705</v>
      </c>
      <c r="E1" s="342"/>
      <c r="F1" s="342"/>
      <c r="G1" s="342"/>
    </row>
    <row r="2" spans="1:26" ht="82.5" customHeight="1" x14ac:dyDescent="0.3">
      <c r="A2" s="295" t="s">
        <v>161</v>
      </c>
      <c r="B2" s="295"/>
      <c r="C2" s="295"/>
      <c r="D2" s="295"/>
      <c r="E2" s="295"/>
      <c r="F2" s="295"/>
      <c r="G2" s="295"/>
    </row>
    <row r="3" spans="1:26" ht="56.25" customHeight="1" x14ac:dyDescent="0.25">
      <c r="A3" s="343" t="s">
        <v>162</v>
      </c>
      <c r="B3" s="343" t="s">
        <v>163</v>
      </c>
      <c r="C3" s="343" t="s">
        <v>164</v>
      </c>
      <c r="D3" s="343" t="s">
        <v>165</v>
      </c>
      <c r="E3" s="345" t="s">
        <v>4</v>
      </c>
      <c r="F3" s="346"/>
      <c r="G3" s="346"/>
    </row>
    <row r="4" spans="1:26" ht="18.75" x14ac:dyDescent="0.25">
      <c r="A4" s="344"/>
      <c r="B4" s="344"/>
      <c r="C4" s="344"/>
      <c r="D4" s="344"/>
      <c r="E4" s="79" t="s">
        <v>166</v>
      </c>
      <c r="F4" s="79" t="s">
        <v>167</v>
      </c>
      <c r="G4" s="79" t="s">
        <v>168</v>
      </c>
    </row>
    <row r="5" spans="1:26" ht="18.75" x14ac:dyDescent="0.25">
      <c r="A5" s="80">
        <v>1</v>
      </c>
      <c r="B5" s="80">
        <v>2</v>
      </c>
      <c r="C5" s="80">
        <v>3</v>
      </c>
      <c r="D5" s="80">
        <v>4</v>
      </c>
      <c r="E5" s="80">
        <v>6</v>
      </c>
      <c r="F5" s="80">
        <v>7</v>
      </c>
      <c r="G5" s="119">
        <v>8</v>
      </c>
      <c r="H5" s="3"/>
      <c r="I5" s="3"/>
      <c r="J5" s="3"/>
      <c r="K5" s="3"/>
      <c r="L5" s="3"/>
      <c r="M5" s="3"/>
      <c r="N5" s="3"/>
      <c r="O5" s="3"/>
      <c r="P5" s="3"/>
      <c r="Q5" s="3"/>
      <c r="R5" s="3"/>
      <c r="S5" s="3"/>
      <c r="T5" s="3"/>
      <c r="U5" s="3"/>
      <c r="V5" s="3"/>
      <c r="W5" s="3"/>
      <c r="X5" s="3"/>
      <c r="Y5" s="3"/>
    </row>
    <row r="6" spans="1:26" ht="20.25" customHeight="1" x14ac:dyDescent="0.25">
      <c r="A6" s="336" t="s">
        <v>449</v>
      </c>
      <c r="B6" s="339"/>
      <c r="C6" s="133" t="s">
        <v>169</v>
      </c>
      <c r="D6" s="349"/>
      <c r="E6" s="351">
        <f>E19+E88+E111+E180+E211+E242+E285+E292+E303+E315+E322+E425+E436+E471+E478+E496+E503+E510+E518+E533+E544+E551+E551+E562+E576+E583</f>
        <v>624363.63</v>
      </c>
      <c r="F6" s="351">
        <f>F19+F88+F111+F180+F211+F242+F285+F292+F303+F315+F322+F425+F436+F471+F478+F496+F503+F510+F518+F533+F544+F551+F562+F569+F576+F583</f>
        <v>672430.21299999999</v>
      </c>
      <c r="G6" s="351">
        <f>G19+G88+G111+G180+G211+G242+G285+G292+G303+G315+G322+G425+G436+G471+G478+G496+G503+G510+G518+G533+G544+G551+G562+G569+G576+G583</f>
        <v>1090866.8500000001</v>
      </c>
      <c r="H6" s="213"/>
      <c r="I6" s="3"/>
      <c r="J6" s="3"/>
      <c r="K6" s="3"/>
      <c r="L6" s="3"/>
      <c r="M6" s="3"/>
      <c r="N6" s="3"/>
      <c r="O6" s="3"/>
      <c r="P6" s="3"/>
      <c r="Q6" s="3"/>
      <c r="R6" s="3"/>
      <c r="S6" s="3"/>
      <c r="T6" s="3"/>
      <c r="U6" s="3"/>
      <c r="V6" s="3"/>
      <c r="W6" s="3"/>
      <c r="X6" s="3"/>
      <c r="Y6" s="3"/>
    </row>
    <row r="7" spans="1:26" ht="28.5" customHeight="1" x14ac:dyDescent="0.25">
      <c r="A7" s="337"/>
      <c r="B7" s="340"/>
      <c r="C7" s="125">
        <f>E6+F6+G6</f>
        <v>2387660.693</v>
      </c>
      <c r="D7" s="350"/>
      <c r="E7" s="352"/>
      <c r="F7" s="352"/>
      <c r="G7" s="352"/>
      <c r="H7" s="120"/>
      <c r="I7" s="3"/>
      <c r="J7" s="3"/>
      <c r="K7" s="3"/>
      <c r="L7" s="3"/>
      <c r="M7" s="3"/>
      <c r="N7" s="3"/>
      <c r="O7" s="3"/>
      <c r="P7" s="3"/>
      <c r="Q7" s="3"/>
      <c r="R7" s="3"/>
      <c r="S7" s="3"/>
      <c r="T7" s="3"/>
      <c r="U7" s="3"/>
      <c r="V7" s="3"/>
      <c r="W7" s="3"/>
      <c r="X7" s="3"/>
      <c r="Y7" s="3"/>
      <c r="Z7" s="3"/>
    </row>
    <row r="8" spans="1:26" ht="36" customHeight="1" x14ac:dyDescent="0.25">
      <c r="A8" s="337"/>
      <c r="B8" s="340"/>
      <c r="C8" s="129" t="s">
        <v>153</v>
      </c>
      <c r="D8" s="130"/>
      <c r="E8" s="160">
        <f>E6-E9-E10</f>
        <v>567608.53</v>
      </c>
      <c r="F8" s="160">
        <f t="shared" ref="F8" si="0">F6-F9-F10</f>
        <v>672250.01300000004</v>
      </c>
      <c r="G8" s="160">
        <f>G6-G9-G10</f>
        <v>1060866.8500000001</v>
      </c>
      <c r="H8" s="214"/>
      <c r="I8" s="3"/>
      <c r="J8" s="3"/>
      <c r="K8" s="3"/>
      <c r="L8" s="3"/>
      <c r="M8" s="3"/>
      <c r="N8" s="3"/>
      <c r="O8" s="3"/>
      <c r="P8" s="3"/>
      <c r="Q8" s="3"/>
      <c r="R8" s="3"/>
      <c r="S8" s="3"/>
      <c r="T8" s="3"/>
      <c r="U8" s="3"/>
      <c r="V8" s="3"/>
      <c r="W8" s="3"/>
      <c r="X8" s="3"/>
      <c r="Y8" s="3"/>
      <c r="Z8" s="3"/>
    </row>
    <row r="9" spans="1:26" ht="36" customHeight="1" x14ac:dyDescent="0.25">
      <c r="A9" s="337"/>
      <c r="B9" s="340"/>
      <c r="C9" s="131" t="s">
        <v>594</v>
      </c>
      <c r="D9" s="130"/>
      <c r="E9" s="160">
        <v>55800</v>
      </c>
      <c r="F9" s="161">
        <f>0</f>
        <v>0</v>
      </c>
      <c r="G9" s="161">
        <f>G22</f>
        <v>30000</v>
      </c>
      <c r="H9" s="120"/>
      <c r="I9" s="3"/>
      <c r="J9" s="3"/>
      <c r="K9" s="3"/>
      <c r="L9" s="3"/>
      <c r="M9" s="3"/>
      <c r="N9" s="3"/>
      <c r="O9" s="3"/>
      <c r="P9" s="3"/>
      <c r="Q9" s="3"/>
      <c r="R9" s="3"/>
      <c r="S9" s="3"/>
      <c r="T9" s="3"/>
      <c r="U9" s="3"/>
      <c r="V9" s="3"/>
      <c r="W9" s="3"/>
      <c r="X9" s="3"/>
      <c r="Y9" s="3"/>
      <c r="Z9" s="3"/>
    </row>
    <row r="10" spans="1:26" ht="57.75" customHeight="1" x14ac:dyDescent="0.3">
      <c r="A10" s="337"/>
      <c r="B10" s="341"/>
      <c r="C10" s="132" t="s">
        <v>595</v>
      </c>
      <c r="D10" s="130"/>
      <c r="E10" s="160">
        <f>E374</f>
        <v>955.1</v>
      </c>
      <c r="F10" s="160">
        <f t="shared" ref="F10:G10" si="1">F374</f>
        <v>180.2</v>
      </c>
      <c r="G10" s="160">
        <f t="shared" si="1"/>
        <v>0</v>
      </c>
      <c r="H10" s="120"/>
      <c r="I10" s="3"/>
      <c r="J10" s="3"/>
      <c r="K10" s="3"/>
      <c r="L10" s="3"/>
      <c r="M10" s="3"/>
      <c r="N10" s="3"/>
      <c r="O10" s="3"/>
      <c r="P10" s="3"/>
      <c r="Q10" s="3"/>
      <c r="R10" s="3"/>
      <c r="S10" s="3"/>
      <c r="T10" s="3"/>
      <c r="U10" s="3"/>
      <c r="V10" s="3"/>
      <c r="W10" s="3"/>
      <c r="X10" s="3"/>
      <c r="Y10" s="3"/>
      <c r="Z10" s="3"/>
    </row>
    <row r="11" spans="1:26" ht="57.75" customHeight="1" x14ac:dyDescent="0.25">
      <c r="A11" s="337"/>
      <c r="B11" s="349" t="s">
        <v>170</v>
      </c>
      <c r="C11" s="198" t="s">
        <v>236</v>
      </c>
      <c r="D11" s="363" t="s">
        <v>230</v>
      </c>
      <c r="E11" s="199">
        <v>30</v>
      </c>
      <c r="F11" s="199">
        <v>46</v>
      </c>
      <c r="G11" s="199">
        <v>46</v>
      </c>
      <c r="H11" s="120"/>
      <c r="I11" s="3"/>
      <c r="J11" s="3"/>
      <c r="K11" s="3"/>
      <c r="L11" s="3"/>
      <c r="M11" s="3"/>
      <c r="N11" s="3"/>
      <c r="O11" s="3"/>
      <c r="P11" s="3"/>
      <c r="Q11" s="3"/>
      <c r="R11" s="3"/>
      <c r="S11" s="3"/>
      <c r="T11" s="3"/>
      <c r="U11" s="3"/>
      <c r="V11" s="3"/>
      <c r="W11" s="3"/>
      <c r="X11" s="3"/>
      <c r="Y11" s="3"/>
      <c r="Z11" s="3"/>
    </row>
    <row r="12" spans="1:26" ht="57.75" customHeight="1" x14ac:dyDescent="0.25">
      <c r="A12" s="337"/>
      <c r="B12" s="367"/>
      <c r="C12" s="198" t="s">
        <v>239</v>
      </c>
      <c r="D12" s="364"/>
      <c r="E12" s="200">
        <v>8.81</v>
      </c>
      <c r="F12" s="200">
        <v>30</v>
      </c>
      <c r="G12" s="200">
        <v>30</v>
      </c>
      <c r="H12" s="120"/>
      <c r="I12" s="3"/>
      <c r="J12" s="3"/>
      <c r="K12" s="3"/>
      <c r="L12" s="3"/>
      <c r="M12" s="3"/>
      <c r="N12" s="3"/>
      <c r="O12" s="3"/>
      <c r="P12" s="3"/>
      <c r="Q12" s="3"/>
      <c r="R12" s="3"/>
      <c r="S12" s="3"/>
      <c r="T12" s="3"/>
      <c r="U12" s="3"/>
      <c r="V12" s="3"/>
      <c r="W12" s="3"/>
      <c r="X12" s="3"/>
      <c r="Y12" s="3"/>
      <c r="Z12" s="3"/>
    </row>
    <row r="13" spans="1:26" ht="57.75" customHeight="1" x14ac:dyDescent="0.25">
      <c r="A13" s="337"/>
      <c r="B13" s="367"/>
      <c r="C13" s="198" t="s">
        <v>179</v>
      </c>
      <c r="D13" s="365" t="s">
        <v>293</v>
      </c>
      <c r="E13" s="201">
        <v>44659.03</v>
      </c>
      <c r="F13" s="201">
        <v>2308</v>
      </c>
      <c r="G13" s="201">
        <v>77705.8</v>
      </c>
      <c r="H13" s="120"/>
      <c r="I13" s="3"/>
      <c r="J13" s="3"/>
      <c r="K13" s="3"/>
      <c r="L13" s="3"/>
      <c r="M13" s="3"/>
      <c r="N13" s="3"/>
      <c r="O13" s="3"/>
      <c r="P13" s="3"/>
      <c r="Q13" s="3"/>
      <c r="R13" s="3"/>
      <c r="S13" s="3"/>
      <c r="T13" s="3"/>
      <c r="U13" s="3"/>
      <c r="V13" s="3"/>
      <c r="W13" s="3"/>
      <c r="X13" s="3"/>
      <c r="Y13" s="3"/>
      <c r="Z13" s="3"/>
    </row>
    <row r="14" spans="1:26" ht="57.75" customHeight="1" x14ac:dyDescent="0.25">
      <c r="A14" s="337"/>
      <c r="B14" s="350"/>
      <c r="C14" s="198" t="s">
        <v>187</v>
      </c>
      <c r="D14" s="366"/>
      <c r="E14" s="202">
        <v>1560.28</v>
      </c>
      <c r="F14" s="202">
        <v>56970.27</v>
      </c>
      <c r="G14" s="202">
        <v>103895.79</v>
      </c>
      <c r="H14" s="120"/>
      <c r="I14" s="3"/>
      <c r="J14" s="3"/>
      <c r="K14" s="3"/>
      <c r="L14" s="3"/>
      <c r="M14" s="3"/>
      <c r="N14" s="3"/>
      <c r="O14" s="3"/>
      <c r="P14" s="3"/>
      <c r="Q14" s="3"/>
      <c r="R14" s="3"/>
      <c r="S14" s="3"/>
      <c r="T14" s="3"/>
      <c r="U14" s="3"/>
      <c r="V14" s="3"/>
      <c r="W14" s="3"/>
      <c r="X14" s="3"/>
      <c r="Y14" s="3"/>
      <c r="Z14" s="3"/>
    </row>
    <row r="15" spans="1:26" ht="57.75" customHeight="1" x14ac:dyDescent="0.25">
      <c r="A15" s="337"/>
      <c r="B15" s="339" t="s">
        <v>171</v>
      </c>
      <c r="C15" s="203" t="s">
        <v>690</v>
      </c>
      <c r="D15" s="365" t="s">
        <v>183</v>
      </c>
      <c r="E15" s="204">
        <v>10</v>
      </c>
      <c r="F15" s="204">
        <v>10</v>
      </c>
      <c r="G15" s="204">
        <v>10</v>
      </c>
      <c r="H15" s="120"/>
      <c r="I15" s="3"/>
      <c r="J15" s="3"/>
      <c r="K15" s="3"/>
      <c r="L15" s="3"/>
      <c r="M15" s="3"/>
      <c r="N15" s="3"/>
      <c r="O15" s="3"/>
      <c r="P15" s="3"/>
      <c r="Q15" s="3"/>
      <c r="R15" s="3"/>
      <c r="S15" s="3"/>
      <c r="T15" s="3"/>
      <c r="U15" s="3"/>
      <c r="V15" s="3"/>
      <c r="W15" s="3"/>
      <c r="X15" s="3"/>
      <c r="Y15" s="3"/>
      <c r="Z15" s="3"/>
    </row>
    <row r="16" spans="1:26" ht="57.75" customHeight="1" x14ac:dyDescent="0.25">
      <c r="A16" s="337"/>
      <c r="B16" s="340"/>
      <c r="C16" s="203" t="s">
        <v>691</v>
      </c>
      <c r="D16" s="368"/>
      <c r="E16" s="204">
        <v>5</v>
      </c>
      <c r="F16" s="204">
        <v>5</v>
      </c>
      <c r="G16" s="204">
        <v>5</v>
      </c>
      <c r="H16" s="120"/>
      <c r="I16" s="3"/>
      <c r="J16" s="3"/>
      <c r="K16" s="3"/>
      <c r="L16" s="3"/>
      <c r="M16" s="3"/>
      <c r="N16" s="3"/>
      <c r="O16" s="3"/>
      <c r="P16" s="3"/>
      <c r="Q16" s="3"/>
      <c r="R16" s="3"/>
      <c r="S16" s="3"/>
      <c r="T16" s="3"/>
      <c r="U16" s="3"/>
      <c r="V16" s="3"/>
      <c r="W16" s="3"/>
      <c r="X16" s="3"/>
      <c r="Y16" s="3"/>
      <c r="Z16" s="3"/>
    </row>
    <row r="17" spans="1:26" ht="57.75" customHeight="1" x14ac:dyDescent="0.25">
      <c r="A17" s="337"/>
      <c r="B17" s="340"/>
      <c r="C17" s="203" t="s">
        <v>692</v>
      </c>
      <c r="D17" s="368"/>
      <c r="E17" s="204">
        <v>5</v>
      </c>
      <c r="F17" s="204">
        <v>5</v>
      </c>
      <c r="G17" s="204">
        <v>5</v>
      </c>
      <c r="H17" s="120"/>
      <c r="I17" s="3"/>
      <c r="J17" s="3"/>
      <c r="K17" s="3"/>
      <c r="L17" s="3"/>
      <c r="M17" s="3"/>
      <c r="N17" s="3"/>
      <c r="O17" s="3"/>
      <c r="P17" s="3"/>
      <c r="Q17" s="3"/>
      <c r="R17" s="3"/>
      <c r="S17" s="3"/>
      <c r="T17" s="3"/>
      <c r="U17" s="3"/>
      <c r="V17" s="3"/>
      <c r="W17" s="3"/>
      <c r="X17" s="3"/>
      <c r="Y17" s="3"/>
      <c r="Z17" s="3"/>
    </row>
    <row r="18" spans="1:26" ht="57.75" customHeight="1" x14ac:dyDescent="0.25">
      <c r="A18" s="338"/>
      <c r="B18" s="341"/>
      <c r="C18" s="203" t="s">
        <v>693</v>
      </c>
      <c r="D18" s="366"/>
      <c r="E18" s="204">
        <v>10</v>
      </c>
      <c r="F18" s="204">
        <v>10</v>
      </c>
      <c r="G18" s="204">
        <v>10</v>
      </c>
      <c r="H18" s="120"/>
      <c r="I18" s="3"/>
      <c r="J18" s="3"/>
      <c r="K18" s="3"/>
      <c r="L18" s="3"/>
      <c r="M18" s="3"/>
      <c r="N18" s="3"/>
      <c r="O18" s="3"/>
      <c r="P18" s="3"/>
      <c r="Q18" s="3"/>
      <c r="R18" s="3"/>
      <c r="S18" s="3"/>
      <c r="T18" s="3"/>
      <c r="U18" s="3"/>
      <c r="V18" s="3"/>
      <c r="W18" s="3"/>
      <c r="X18" s="3"/>
      <c r="Y18" s="3"/>
      <c r="Z18" s="3"/>
    </row>
    <row r="19" spans="1:26" ht="58.5" x14ac:dyDescent="0.25">
      <c r="A19" s="81" t="s">
        <v>560</v>
      </c>
      <c r="B19" s="339"/>
      <c r="C19" s="369"/>
      <c r="D19" s="339"/>
      <c r="E19" s="162">
        <f>E21</f>
        <v>174237</v>
      </c>
      <c r="F19" s="162">
        <f t="shared" ref="F19:G19" si="2">F21</f>
        <v>186103.32</v>
      </c>
      <c r="G19" s="162">
        <f t="shared" si="2"/>
        <v>450450</v>
      </c>
      <c r="H19" s="3"/>
      <c r="I19" s="3"/>
      <c r="J19" s="3"/>
      <c r="K19" s="3"/>
      <c r="L19" s="3"/>
      <c r="M19" s="3"/>
      <c r="N19" s="3"/>
      <c r="O19" s="3"/>
      <c r="P19" s="3"/>
      <c r="Q19" s="3"/>
      <c r="R19" s="3"/>
      <c r="S19" s="3"/>
      <c r="T19" s="3"/>
      <c r="U19" s="3"/>
      <c r="V19" s="3"/>
      <c r="W19" s="3"/>
      <c r="X19" s="3"/>
      <c r="Y19" s="3"/>
    </row>
    <row r="20" spans="1:26" s="3" customFormat="1" ht="37.5" x14ac:dyDescent="0.25">
      <c r="A20" s="85" t="s">
        <v>172</v>
      </c>
      <c r="B20" s="340"/>
      <c r="C20" s="370"/>
      <c r="D20" s="340"/>
      <c r="E20" s="163"/>
      <c r="F20" s="163"/>
      <c r="G20" s="163"/>
    </row>
    <row r="21" spans="1:26" s="3" customFormat="1" ht="39" x14ac:dyDescent="0.35">
      <c r="A21" s="93" t="s">
        <v>173</v>
      </c>
      <c r="B21" s="341"/>
      <c r="C21" s="371"/>
      <c r="D21" s="341"/>
      <c r="E21" s="164">
        <f>E22+E27+E32+E40+E44+E48+E53+E57+E62+E66+E75+E79+E84</f>
        <v>174237</v>
      </c>
      <c r="F21" s="164">
        <f>F22+F27+F32+F40+F44+F48+F53+F57+F62+F66+F75+F79+F84</f>
        <v>186103.32</v>
      </c>
      <c r="G21" s="164">
        <f>G22+G27+G32+G40+G44+G48+G53+G57+G62+G66+G75+G79+G84</f>
        <v>450450</v>
      </c>
    </row>
    <row r="22" spans="1:26" s="3" customFormat="1" ht="56.25" x14ac:dyDescent="0.25">
      <c r="A22" s="321" t="s">
        <v>174</v>
      </c>
      <c r="B22" s="137" t="s">
        <v>175</v>
      </c>
      <c r="C22" s="82" t="s">
        <v>176</v>
      </c>
      <c r="D22" s="137" t="s">
        <v>158</v>
      </c>
      <c r="E22" s="165">
        <f>Заходи!G19</f>
        <v>57950</v>
      </c>
      <c r="F22" s="165">
        <f>Заходи!J19</f>
        <v>3000</v>
      </c>
      <c r="G22" s="166">
        <f>Заходи!M19</f>
        <v>30000</v>
      </c>
    </row>
    <row r="23" spans="1:26" s="3" customFormat="1" ht="39" customHeight="1" x14ac:dyDescent="0.25">
      <c r="A23" s="322"/>
      <c r="B23" s="335" t="s">
        <v>170</v>
      </c>
      <c r="C23" s="108" t="s">
        <v>177</v>
      </c>
      <c r="D23" s="327" t="s">
        <v>178</v>
      </c>
      <c r="E23" s="167">
        <v>270000</v>
      </c>
      <c r="F23" s="167">
        <v>270000</v>
      </c>
      <c r="G23" s="167">
        <v>270000</v>
      </c>
    </row>
    <row r="24" spans="1:26" ht="18.75" x14ac:dyDescent="0.25">
      <c r="A24" s="322"/>
      <c r="B24" s="335"/>
      <c r="C24" s="109" t="s">
        <v>179</v>
      </c>
      <c r="D24" s="329"/>
      <c r="E24" s="168">
        <v>44659.03</v>
      </c>
      <c r="F24" s="168">
        <v>2308</v>
      </c>
      <c r="G24" s="168">
        <v>77705.8</v>
      </c>
    </row>
    <row r="25" spans="1:26" ht="18.75" x14ac:dyDescent="0.25">
      <c r="A25" s="322"/>
      <c r="B25" s="107" t="s">
        <v>180</v>
      </c>
      <c r="C25" s="85" t="s">
        <v>181</v>
      </c>
      <c r="D25" s="107" t="s">
        <v>158</v>
      </c>
      <c r="E25" s="169">
        <f>E22/E24</f>
        <v>1.2976099122618652</v>
      </c>
      <c r="F25" s="169">
        <f>F22/F24</f>
        <v>1.2998266897746966</v>
      </c>
      <c r="G25" s="169">
        <f>G22/G24</f>
        <v>0.38607156737334919</v>
      </c>
    </row>
    <row r="26" spans="1:26" ht="18.75" x14ac:dyDescent="0.25">
      <c r="A26" s="323"/>
      <c r="B26" s="107" t="s">
        <v>171</v>
      </c>
      <c r="C26" s="85" t="s">
        <v>182</v>
      </c>
      <c r="D26" s="107" t="s">
        <v>183</v>
      </c>
      <c r="E26" s="170">
        <f>E24/E23*100</f>
        <v>16.540381481481482</v>
      </c>
      <c r="F26" s="170">
        <f t="shared" ref="F26:G26" si="3">F24/F23*100</f>
        <v>0.85481481481481481</v>
      </c>
      <c r="G26" s="170">
        <f t="shared" si="3"/>
        <v>28.779925925925927</v>
      </c>
    </row>
    <row r="27" spans="1:26" ht="37.5" x14ac:dyDescent="0.25">
      <c r="A27" s="334" t="s">
        <v>184</v>
      </c>
      <c r="B27" s="137" t="s">
        <v>175</v>
      </c>
      <c r="C27" s="82" t="s">
        <v>185</v>
      </c>
      <c r="D27" s="137" t="s">
        <v>158</v>
      </c>
      <c r="E27" s="165">
        <f>Заходи!G24</f>
        <v>2700</v>
      </c>
      <c r="F27" s="165">
        <f>Заходи!J24</f>
        <v>106506</v>
      </c>
      <c r="G27" s="165">
        <f>Заходи!M24</f>
        <v>189375</v>
      </c>
    </row>
    <row r="28" spans="1:26" ht="18.75" x14ac:dyDescent="0.25">
      <c r="A28" s="334"/>
      <c r="B28" s="335" t="s">
        <v>170</v>
      </c>
      <c r="C28" s="108" t="s">
        <v>186</v>
      </c>
      <c r="D28" s="348" t="s">
        <v>178</v>
      </c>
      <c r="E28" s="171">
        <v>292000</v>
      </c>
      <c r="F28" s="171">
        <v>300000</v>
      </c>
      <c r="G28" s="171">
        <v>300000</v>
      </c>
    </row>
    <row r="29" spans="1:26" ht="18.75" x14ac:dyDescent="0.25">
      <c r="A29" s="334"/>
      <c r="B29" s="335"/>
      <c r="C29" s="109" t="s">
        <v>187</v>
      </c>
      <c r="D29" s="348"/>
      <c r="E29" s="172">
        <v>1560.28</v>
      </c>
      <c r="F29" s="172">
        <v>56970.27</v>
      </c>
      <c r="G29" s="172">
        <v>103895.79</v>
      </c>
    </row>
    <row r="30" spans="1:26" ht="18.75" x14ac:dyDescent="0.25">
      <c r="A30" s="334"/>
      <c r="B30" s="107" t="s">
        <v>180</v>
      </c>
      <c r="C30" s="85" t="s">
        <v>188</v>
      </c>
      <c r="D30" s="107" t="s">
        <v>158</v>
      </c>
      <c r="E30" s="138">
        <f>E27/E29</f>
        <v>1.7304586356295024</v>
      </c>
      <c r="F30" s="138">
        <f t="shared" ref="F30:G30" si="4">F27/F29</f>
        <v>1.8695014083661532</v>
      </c>
      <c r="G30" s="138">
        <f t="shared" si="4"/>
        <v>1.8227398819528684</v>
      </c>
    </row>
    <row r="31" spans="1:26" ht="18.75" x14ac:dyDescent="0.25">
      <c r="A31" s="334"/>
      <c r="B31" s="107" t="s">
        <v>171</v>
      </c>
      <c r="C31" s="110" t="s">
        <v>209</v>
      </c>
      <c r="D31" s="107" t="s">
        <v>183</v>
      </c>
      <c r="E31" s="172">
        <f>E29/E28*100</f>
        <v>0.53434246575342459</v>
      </c>
      <c r="F31" s="172">
        <f t="shared" ref="F31:G31" si="5">F29/F28*100</f>
        <v>18.990089999999999</v>
      </c>
      <c r="G31" s="172">
        <f t="shared" si="5"/>
        <v>34.631929999999997</v>
      </c>
    </row>
    <row r="32" spans="1:26" ht="37.5" x14ac:dyDescent="0.25">
      <c r="A32" s="334" t="s">
        <v>24</v>
      </c>
      <c r="B32" s="137" t="s">
        <v>175</v>
      </c>
      <c r="C32" s="82" t="s">
        <v>214</v>
      </c>
      <c r="D32" s="137" t="s">
        <v>158</v>
      </c>
      <c r="E32" s="165">
        <f>Заходи!G27</f>
        <v>61774.8</v>
      </c>
      <c r="F32" s="165">
        <f>Заходи!J27</f>
        <v>66697.320000000007</v>
      </c>
      <c r="G32" s="165">
        <f>Заходи!M27</f>
        <v>142000</v>
      </c>
    </row>
    <row r="33" spans="1:9" ht="18.75" x14ac:dyDescent="0.25">
      <c r="A33" s="334"/>
      <c r="B33" s="324" t="s">
        <v>170</v>
      </c>
      <c r="C33" s="108" t="s">
        <v>206</v>
      </c>
      <c r="D33" s="348" t="s">
        <v>178</v>
      </c>
      <c r="E33" s="171">
        <v>3372600</v>
      </c>
      <c r="F33" s="171">
        <v>3372600</v>
      </c>
      <c r="G33" s="171">
        <v>3372600</v>
      </c>
    </row>
    <row r="34" spans="1:9" ht="37.5" x14ac:dyDescent="0.25">
      <c r="A34" s="334"/>
      <c r="B34" s="325"/>
      <c r="C34" s="109" t="s">
        <v>207</v>
      </c>
      <c r="D34" s="348"/>
      <c r="E34" s="173">
        <f>2202395-562643.447</f>
        <v>1639751.5529999998</v>
      </c>
      <c r="F34" s="172">
        <v>2287393</v>
      </c>
      <c r="G34" s="172">
        <v>2401762.65</v>
      </c>
    </row>
    <row r="35" spans="1:9" ht="37.5" x14ac:dyDescent="0.25">
      <c r="A35" s="334"/>
      <c r="B35" s="325"/>
      <c r="C35" s="109" t="s">
        <v>211</v>
      </c>
      <c r="D35" s="348" t="s">
        <v>178</v>
      </c>
      <c r="E35" s="173">
        <v>446500</v>
      </c>
      <c r="F35" s="173">
        <v>446500</v>
      </c>
      <c r="G35" s="173">
        <v>446500</v>
      </c>
    </row>
    <row r="36" spans="1:9" ht="37.5" x14ac:dyDescent="0.25">
      <c r="A36" s="334"/>
      <c r="B36" s="326"/>
      <c r="C36" s="109" t="s">
        <v>212</v>
      </c>
      <c r="D36" s="348"/>
      <c r="E36" s="173">
        <v>265500</v>
      </c>
      <c r="F36" s="173">
        <v>446500</v>
      </c>
      <c r="G36" s="173">
        <v>446500</v>
      </c>
      <c r="I36" s="72"/>
    </row>
    <row r="37" spans="1:9" ht="18.75" x14ac:dyDescent="0.25">
      <c r="A37" s="334"/>
      <c r="B37" s="327" t="s">
        <v>180</v>
      </c>
      <c r="C37" s="85" t="s">
        <v>208</v>
      </c>
      <c r="D37" s="107" t="s">
        <v>205</v>
      </c>
      <c r="E37" s="138">
        <v>36.840000000000003</v>
      </c>
      <c r="F37" s="138">
        <v>42.67</v>
      </c>
      <c r="G37" s="138">
        <v>42.67</v>
      </c>
    </row>
    <row r="38" spans="1:9" ht="37.5" x14ac:dyDescent="0.25">
      <c r="A38" s="334"/>
      <c r="B38" s="329"/>
      <c r="C38" s="85" t="s">
        <v>213</v>
      </c>
      <c r="D38" s="107" t="s">
        <v>205</v>
      </c>
      <c r="E38" s="138">
        <v>5.16</v>
      </c>
      <c r="F38" s="138">
        <v>5.47</v>
      </c>
      <c r="G38" s="138">
        <v>5.74</v>
      </c>
      <c r="H38" s="72"/>
    </row>
    <row r="39" spans="1:9" ht="37.5" x14ac:dyDescent="0.25">
      <c r="A39" s="334"/>
      <c r="B39" s="107" t="s">
        <v>171</v>
      </c>
      <c r="C39" s="110" t="s">
        <v>210</v>
      </c>
      <c r="D39" s="107" t="s">
        <v>183</v>
      </c>
      <c r="E39" s="172">
        <f>E34/E33*100</f>
        <v>48.61980528375733</v>
      </c>
      <c r="F39" s="172">
        <f t="shared" ref="F39:G39" si="6">F34/F33*100</f>
        <v>67.822836980371221</v>
      </c>
      <c r="G39" s="172">
        <f t="shared" si="6"/>
        <v>71.213978829389788</v>
      </c>
    </row>
    <row r="40" spans="1:9" s="3" customFormat="1" ht="18.75" x14ac:dyDescent="0.25">
      <c r="A40" s="321" t="s">
        <v>189</v>
      </c>
      <c r="B40" s="137" t="s">
        <v>175</v>
      </c>
      <c r="C40" s="82" t="s">
        <v>215</v>
      </c>
      <c r="D40" s="137" t="s">
        <v>158</v>
      </c>
      <c r="E40" s="165">
        <f>Заходи!G32</f>
        <v>204.2</v>
      </c>
      <c r="F40" s="165">
        <f>Заходи!J32</f>
        <v>100</v>
      </c>
      <c r="G40" s="165">
        <f>Заходи!M32</f>
        <v>1700</v>
      </c>
    </row>
    <row r="41" spans="1:9" s="3" customFormat="1" ht="39" customHeight="1" x14ac:dyDescent="0.25">
      <c r="A41" s="322"/>
      <c r="B41" s="139" t="s">
        <v>170</v>
      </c>
      <c r="C41" s="108" t="s">
        <v>216</v>
      </c>
      <c r="D41" s="122" t="s">
        <v>178</v>
      </c>
      <c r="E41" s="167">
        <v>657.2</v>
      </c>
      <c r="F41" s="167">
        <v>312.5</v>
      </c>
      <c r="G41" s="167">
        <v>4830</v>
      </c>
    </row>
    <row r="42" spans="1:9" ht="18.75" x14ac:dyDescent="0.25">
      <c r="A42" s="322"/>
      <c r="B42" s="107" t="s">
        <v>180</v>
      </c>
      <c r="C42" s="85" t="s">
        <v>217</v>
      </c>
      <c r="D42" s="107" t="s">
        <v>205</v>
      </c>
      <c r="E42" s="169">
        <f>E40/E41*1000</f>
        <v>310.71211199026169</v>
      </c>
      <c r="F42" s="169">
        <f t="shared" ref="F42:G42" si="7">F40/F41*1000</f>
        <v>320</v>
      </c>
      <c r="G42" s="169">
        <f t="shared" si="7"/>
        <v>351.96687370600415</v>
      </c>
    </row>
    <row r="43" spans="1:9" ht="18.75" x14ac:dyDescent="0.25">
      <c r="A43" s="323"/>
      <c r="B43" s="107" t="s">
        <v>171</v>
      </c>
      <c r="C43" s="85" t="s">
        <v>218</v>
      </c>
      <c r="D43" s="107" t="s">
        <v>183</v>
      </c>
      <c r="E43" s="170">
        <v>100</v>
      </c>
      <c r="F43" s="170">
        <v>100</v>
      </c>
      <c r="G43" s="170">
        <v>100</v>
      </c>
    </row>
    <row r="44" spans="1:9" ht="37.5" x14ac:dyDescent="0.25">
      <c r="A44" s="347" t="s">
        <v>26</v>
      </c>
      <c r="B44" s="137" t="s">
        <v>175</v>
      </c>
      <c r="C44" s="82" t="s">
        <v>219</v>
      </c>
      <c r="D44" s="137" t="s">
        <v>158</v>
      </c>
      <c r="E44" s="165">
        <f>Заходи!G35</f>
        <v>1855</v>
      </c>
      <c r="F44" s="165">
        <f>Заходи!J35</f>
        <v>2200</v>
      </c>
      <c r="G44" s="165">
        <f>Заходи!M35</f>
        <v>11902</v>
      </c>
    </row>
    <row r="45" spans="1:9" ht="37.5" x14ac:dyDescent="0.25">
      <c r="A45" s="347"/>
      <c r="B45" s="139" t="s">
        <v>170</v>
      </c>
      <c r="C45" s="108" t="s">
        <v>220</v>
      </c>
      <c r="D45" s="107" t="s">
        <v>221</v>
      </c>
      <c r="E45" s="171">
        <v>8</v>
      </c>
      <c r="F45" s="171">
        <v>32</v>
      </c>
      <c r="G45" s="171">
        <v>26</v>
      </c>
    </row>
    <row r="46" spans="1:9" ht="37.5" x14ac:dyDescent="0.25">
      <c r="A46" s="347"/>
      <c r="B46" s="107" t="s">
        <v>180</v>
      </c>
      <c r="C46" s="85" t="s">
        <v>222</v>
      </c>
      <c r="D46" s="107" t="s">
        <v>158</v>
      </c>
      <c r="E46" s="138">
        <f>E44/E45</f>
        <v>231.875</v>
      </c>
      <c r="F46" s="138">
        <f t="shared" ref="F46:G46" si="8">F44/F45</f>
        <v>68.75</v>
      </c>
      <c r="G46" s="138">
        <f t="shared" si="8"/>
        <v>457.76923076923077</v>
      </c>
    </row>
    <row r="47" spans="1:9" ht="37.5" x14ac:dyDescent="0.3">
      <c r="A47" s="347"/>
      <c r="B47" s="107" t="s">
        <v>171</v>
      </c>
      <c r="C47" s="140" t="s">
        <v>223</v>
      </c>
      <c r="D47" s="107" t="s">
        <v>183</v>
      </c>
      <c r="E47" s="172">
        <v>100</v>
      </c>
      <c r="F47" s="172">
        <v>100</v>
      </c>
      <c r="G47" s="172">
        <v>100</v>
      </c>
    </row>
    <row r="48" spans="1:9" ht="37.5" x14ac:dyDescent="0.25">
      <c r="A48" s="334" t="s">
        <v>190</v>
      </c>
      <c r="B48" s="137" t="s">
        <v>175</v>
      </c>
      <c r="C48" s="82" t="s">
        <v>224</v>
      </c>
      <c r="D48" s="137" t="s">
        <v>158</v>
      </c>
      <c r="E48" s="165">
        <f>Заходи!G40</f>
        <v>1701.9</v>
      </c>
      <c r="F48" s="165">
        <f>Заходи!J40</f>
        <v>4300</v>
      </c>
      <c r="G48" s="165">
        <f>Заходи!M40</f>
        <v>15000</v>
      </c>
    </row>
    <row r="49" spans="1:7" ht="18.75" x14ac:dyDescent="0.25">
      <c r="A49" s="334"/>
      <c r="B49" s="335" t="s">
        <v>170</v>
      </c>
      <c r="C49" s="108" t="s">
        <v>225</v>
      </c>
      <c r="D49" s="348" t="s">
        <v>178</v>
      </c>
      <c r="E49" s="171">
        <v>893300</v>
      </c>
      <c r="F49" s="171">
        <v>893300</v>
      </c>
      <c r="G49" s="171">
        <v>893300</v>
      </c>
    </row>
    <row r="50" spans="1:7" ht="37.5" x14ac:dyDescent="0.25">
      <c r="A50" s="334"/>
      <c r="B50" s="335"/>
      <c r="C50" s="109" t="s">
        <v>226</v>
      </c>
      <c r="D50" s="348"/>
      <c r="E50" s="172">
        <v>2101.11</v>
      </c>
      <c r="F50" s="172">
        <v>5243</v>
      </c>
      <c r="G50" s="172">
        <v>18100</v>
      </c>
    </row>
    <row r="51" spans="1:7" ht="37.5" x14ac:dyDescent="0.25">
      <c r="A51" s="334"/>
      <c r="B51" s="107" t="s">
        <v>180</v>
      </c>
      <c r="C51" s="85" t="s">
        <v>227</v>
      </c>
      <c r="D51" s="107" t="s">
        <v>205</v>
      </c>
      <c r="E51" s="138">
        <f>E48/E50*1000</f>
        <v>810.00042834501767</v>
      </c>
      <c r="F51" s="138">
        <f t="shared" ref="F51:G51" si="9">F48/F50*1000</f>
        <v>820.14114056837684</v>
      </c>
      <c r="G51" s="138">
        <f t="shared" si="9"/>
        <v>828.72928176795574</v>
      </c>
    </row>
    <row r="52" spans="1:7" ht="37.5" x14ac:dyDescent="0.25">
      <c r="A52" s="334"/>
      <c r="B52" s="107" t="s">
        <v>171</v>
      </c>
      <c r="C52" s="110" t="s">
        <v>228</v>
      </c>
      <c r="D52" s="107" t="s">
        <v>183</v>
      </c>
      <c r="E52" s="172">
        <f>E50/E49*100</f>
        <v>0.23520765700212695</v>
      </c>
      <c r="F52" s="172">
        <f t="shared" ref="F52:G52" si="10">F50/F49*100</f>
        <v>0.58692488525691255</v>
      </c>
      <c r="G52" s="172">
        <f t="shared" si="10"/>
        <v>2.026195007276391</v>
      </c>
    </row>
    <row r="53" spans="1:7" s="3" customFormat="1" ht="37.5" x14ac:dyDescent="0.25">
      <c r="A53" s="321" t="s">
        <v>191</v>
      </c>
      <c r="B53" s="137" t="s">
        <v>175</v>
      </c>
      <c r="C53" s="82" t="s">
        <v>684</v>
      </c>
      <c r="D53" s="137" t="s">
        <v>158</v>
      </c>
      <c r="E53" s="165">
        <f>Заходи!G43</f>
        <v>0</v>
      </c>
      <c r="F53" s="165">
        <f>Заходи!J43</f>
        <v>0</v>
      </c>
      <c r="G53" s="165">
        <f>Заходи!M43</f>
        <v>0</v>
      </c>
    </row>
    <row r="54" spans="1:7" s="3" customFormat="1" ht="39" customHeight="1" x14ac:dyDescent="0.25">
      <c r="A54" s="322"/>
      <c r="B54" s="139" t="s">
        <v>170</v>
      </c>
      <c r="C54" s="108" t="s">
        <v>685</v>
      </c>
      <c r="D54" s="122" t="s">
        <v>221</v>
      </c>
      <c r="E54" s="167"/>
      <c r="F54" s="167"/>
      <c r="G54" s="167"/>
    </row>
    <row r="55" spans="1:7" ht="37.5" x14ac:dyDescent="0.25">
      <c r="A55" s="322"/>
      <c r="B55" s="107" t="s">
        <v>180</v>
      </c>
      <c r="C55" s="85" t="s">
        <v>686</v>
      </c>
      <c r="D55" s="107" t="s">
        <v>158</v>
      </c>
      <c r="E55" s="169"/>
      <c r="F55" s="169"/>
      <c r="G55" s="169"/>
    </row>
    <row r="56" spans="1:7" ht="18.75" x14ac:dyDescent="0.25">
      <c r="A56" s="323"/>
      <c r="B56" s="107" t="s">
        <v>171</v>
      </c>
      <c r="C56" s="85" t="s">
        <v>610</v>
      </c>
      <c r="D56" s="107" t="s">
        <v>183</v>
      </c>
      <c r="E56" s="170"/>
      <c r="F56" s="170"/>
      <c r="G56" s="170"/>
    </row>
    <row r="57" spans="1:7" ht="37.5" x14ac:dyDescent="0.25">
      <c r="A57" s="334" t="s">
        <v>32</v>
      </c>
      <c r="B57" s="137" t="s">
        <v>175</v>
      </c>
      <c r="C57" s="82" t="s">
        <v>679</v>
      </c>
      <c r="D57" s="137" t="s">
        <v>158</v>
      </c>
      <c r="E57" s="165">
        <f>Заходи!G48</f>
        <v>3167.7</v>
      </c>
      <c r="F57" s="165">
        <f>Заходи!J48</f>
        <v>500</v>
      </c>
      <c r="G57" s="165">
        <f>Заходи!M48</f>
        <v>27751</v>
      </c>
    </row>
    <row r="58" spans="1:7" ht="37.5" x14ac:dyDescent="0.25">
      <c r="A58" s="334"/>
      <c r="B58" s="335" t="s">
        <v>170</v>
      </c>
      <c r="C58" s="109" t="s">
        <v>680</v>
      </c>
      <c r="D58" s="348" t="s">
        <v>221</v>
      </c>
      <c r="E58" s="171">
        <v>6</v>
      </c>
      <c r="F58" s="171">
        <v>2</v>
      </c>
      <c r="G58" s="171">
        <v>6</v>
      </c>
    </row>
    <row r="59" spans="1:7" ht="30" customHeight="1" x14ac:dyDescent="0.25">
      <c r="A59" s="334"/>
      <c r="B59" s="335"/>
      <c r="C59" s="109" t="s">
        <v>681</v>
      </c>
      <c r="D59" s="348"/>
      <c r="E59" s="171">
        <v>6</v>
      </c>
      <c r="F59" s="171">
        <v>2</v>
      </c>
      <c r="G59" s="171">
        <v>6</v>
      </c>
    </row>
    <row r="60" spans="1:7" ht="18.75" x14ac:dyDescent="0.25">
      <c r="A60" s="334"/>
      <c r="B60" s="107" t="s">
        <v>180</v>
      </c>
      <c r="C60" s="85" t="s">
        <v>682</v>
      </c>
      <c r="D60" s="107" t="s">
        <v>158</v>
      </c>
      <c r="E60" s="138">
        <f>E57/E59</f>
        <v>527.94999999999993</v>
      </c>
      <c r="F60" s="138">
        <f t="shared" ref="F60:G60" si="11">F57/F59</f>
        <v>250</v>
      </c>
      <c r="G60" s="138">
        <f t="shared" si="11"/>
        <v>4625.166666666667</v>
      </c>
    </row>
    <row r="61" spans="1:7" ht="18.75" x14ac:dyDescent="0.25">
      <c r="A61" s="334"/>
      <c r="B61" s="107" t="s">
        <v>171</v>
      </c>
      <c r="C61" s="110" t="s">
        <v>683</v>
      </c>
      <c r="D61" s="107" t="s">
        <v>183</v>
      </c>
      <c r="E61" s="172">
        <f>E59/E58*100</f>
        <v>100</v>
      </c>
      <c r="F61" s="172">
        <f t="shared" ref="F61:G61" si="12">F59/F58*100</f>
        <v>100</v>
      </c>
      <c r="G61" s="172">
        <f t="shared" si="12"/>
        <v>100</v>
      </c>
    </row>
    <row r="62" spans="1:7" ht="37.5" x14ac:dyDescent="0.25">
      <c r="A62" s="334" t="s">
        <v>33</v>
      </c>
      <c r="B62" s="137" t="s">
        <v>175</v>
      </c>
      <c r="C62" s="82" t="s">
        <v>687</v>
      </c>
      <c r="D62" s="137" t="s">
        <v>158</v>
      </c>
      <c r="E62" s="165">
        <f>Заходи!G51</f>
        <v>1195</v>
      </c>
      <c r="F62" s="165">
        <f>Заходи!J51</f>
        <v>300.00000000000023</v>
      </c>
      <c r="G62" s="165">
        <f>Заходи!M51</f>
        <v>4669</v>
      </c>
    </row>
    <row r="63" spans="1:7" ht="18.75" x14ac:dyDescent="0.25">
      <c r="A63" s="334"/>
      <c r="B63" s="139" t="s">
        <v>170</v>
      </c>
      <c r="C63" s="141" t="s">
        <v>688</v>
      </c>
      <c r="D63" s="107" t="s">
        <v>221</v>
      </c>
      <c r="E63" s="171">
        <v>12</v>
      </c>
      <c r="F63" s="171">
        <v>16</v>
      </c>
      <c r="G63" s="171">
        <v>16</v>
      </c>
    </row>
    <row r="64" spans="1:7" ht="37.5" x14ac:dyDescent="0.25">
      <c r="A64" s="334"/>
      <c r="B64" s="107" t="s">
        <v>180</v>
      </c>
      <c r="C64" s="109" t="s">
        <v>689</v>
      </c>
      <c r="D64" s="107" t="s">
        <v>158</v>
      </c>
      <c r="E64" s="138">
        <f>E62/E63</f>
        <v>99.583333333333329</v>
      </c>
      <c r="F64" s="138">
        <f t="shared" ref="F64:G64" si="13">F62/F63</f>
        <v>18.750000000000014</v>
      </c>
      <c r="G64" s="138">
        <f t="shared" si="13"/>
        <v>291.8125</v>
      </c>
    </row>
    <row r="65" spans="1:7" ht="18.75" x14ac:dyDescent="0.25">
      <c r="A65" s="334"/>
      <c r="B65" s="107" t="s">
        <v>171</v>
      </c>
      <c r="C65" s="85" t="s">
        <v>610</v>
      </c>
      <c r="D65" s="107" t="s">
        <v>183</v>
      </c>
      <c r="E65" s="172">
        <v>100</v>
      </c>
      <c r="F65" s="172">
        <v>100</v>
      </c>
      <c r="G65" s="172">
        <v>100</v>
      </c>
    </row>
    <row r="66" spans="1:7" ht="37.5" x14ac:dyDescent="0.25">
      <c r="A66" s="334" t="s">
        <v>34</v>
      </c>
      <c r="B66" s="137" t="s">
        <v>175</v>
      </c>
      <c r="C66" s="82" t="s">
        <v>660</v>
      </c>
      <c r="D66" s="137" t="s">
        <v>158</v>
      </c>
      <c r="E66" s="165">
        <f>Заходи!G55</f>
        <v>1588.4</v>
      </c>
      <c r="F66" s="165">
        <f>Заходи!J55</f>
        <v>0</v>
      </c>
      <c r="G66" s="165">
        <f>Заходи!M55</f>
        <v>21923</v>
      </c>
    </row>
    <row r="67" spans="1:7" ht="37.5" x14ac:dyDescent="0.25">
      <c r="A67" s="334"/>
      <c r="B67" s="335" t="s">
        <v>170</v>
      </c>
      <c r="C67" s="109" t="s">
        <v>652</v>
      </c>
      <c r="D67" s="348" t="s">
        <v>178</v>
      </c>
      <c r="E67" s="171">
        <v>292000</v>
      </c>
      <c r="F67" s="171">
        <v>300000</v>
      </c>
      <c r="G67" s="171">
        <v>300000</v>
      </c>
    </row>
    <row r="68" spans="1:7" ht="18.75" x14ac:dyDescent="0.25">
      <c r="A68" s="334"/>
      <c r="B68" s="335"/>
      <c r="C68" s="109" t="s">
        <v>653</v>
      </c>
      <c r="D68" s="348"/>
      <c r="E68" s="171"/>
      <c r="F68" s="171"/>
      <c r="G68" s="171"/>
    </row>
    <row r="69" spans="1:7" ht="37.5" x14ac:dyDescent="0.25">
      <c r="A69" s="334"/>
      <c r="B69" s="335"/>
      <c r="C69" s="109" t="s">
        <v>654</v>
      </c>
      <c r="D69" s="348"/>
      <c r="E69" s="171"/>
      <c r="F69" s="171"/>
      <c r="G69" s="171"/>
    </row>
    <row r="70" spans="1:7" ht="18.75" x14ac:dyDescent="0.25">
      <c r="A70" s="334"/>
      <c r="B70" s="335"/>
      <c r="C70" s="109" t="s">
        <v>655</v>
      </c>
      <c r="D70" s="348"/>
      <c r="E70" s="172">
        <v>1560.28</v>
      </c>
      <c r="F70" s="172">
        <v>56970.27</v>
      </c>
      <c r="G70" s="172">
        <v>103895.79</v>
      </c>
    </row>
    <row r="71" spans="1:7" ht="37.5" x14ac:dyDescent="0.25">
      <c r="A71" s="334"/>
      <c r="B71" s="327" t="s">
        <v>180</v>
      </c>
      <c r="C71" s="109" t="s">
        <v>658</v>
      </c>
      <c r="D71" s="327" t="s">
        <v>158</v>
      </c>
      <c r="E71" s="172"/>
      <c r="F71" s="172"/>
      <c r="G71" s="172"/>
    </row>
    <row r="72" spans="1:7" ht="18.75" x14ac:dyDescent="0.25">
      <c r="A72" s="334"/>
      <c r="B72" s="329"/>
      <c r="C72" s="109" t="s">
        <v>659</v>
      </c>
      <c r="D72" s="329"/>
      <c r="E72" s="138">
        <f>E66/E70</f>
        <v>1.0180224062347785</v>
      </c>
      <c r="F72" s="138">
        <f t="shared" ref="F72:G72" si="14">F66/F70</f>
        <v>0</v>
      </c>
      <c r="G72" s="138">
        <f t="shared" si="14"/>
        <v>0.2110095125124897</v>
      </c>
    </row>
    <row r="73" spans="1:7" ht="37.5" x14ac:dyDescent="0.25">
      <c r="A73" s="334"/>
      <c r="B73" s="327" t="s">
        <v>171</v>
      </c>
      <c r="C73" s="109" t="s">
        <v>657</v>
      </c>
      <c r="D73" s="327" t="s">
        <v>183</v>
      </c>
      <c r="E73" s="138"/>
      <c r="F73" s="138"/>
      <c r="G73" s="138"/>
    </row>
    <row r="74" spans="1:7" ht="37.5" x14ac:dyDescent="0.25">
      <c r="A74" s="334"/>
      <c r="B74" s="329"/>
      <c r="C74" s="109" t="s">
        <v>656</v>
      </c>
      <c r="D74" s="329"/>
      <c r="E74" s="172">
        <f>E70/E67*100</f>
        <v>0.53434246575342459</v>
      </c>
      <c r="F74" s="172">
        <f t="shared" ref="F74:G74" si="15">F70/F67*100</f>
        <v>18.990089999999999</v>
      </c>
      <c r="G74" s="172">
        <f t="shared" si="15"/>
        <v>34.631929999999997</v>
      </c>
    </row>
    <row r="75" spans="1:7" ht="37.5" x14ac:dyDescent="0.25">
      <c r="A75" s="321" t="s">
        <v>35</v>
      </c>
      <c r="B75" s="137" t="s">
        <v>175</v>
      </c>
      <c r="C75" s="82" t="s">
        <v>649</v>
      </c>
      <c r="D75" s="137" t="s">
        <v>158</v>
      </c>
      <c r="E75" s="165">
        <f>Заходи!G59</f>
        <v>0</v>
      </c>
      <c r="F75" s="165">
        <f>Заходи!J59</f>
        <v>1500</v>
      </c>
      <c r="G75" s="165">
        <f>Заходи!M59</f>
        <v>6000</v>
      </c>
    </row>
    <row r="76" spans="1:7" ht="37.5" x14ac:dyDescent="0.25">
      <c r="A76" s="322"/>
      <c r="B76" s="139" t="s">
        <v>170</v>
      </c>
      <c r="C76" s="141" t="s">
        <v>650</v>
      </c>
      <c r="D76" s="142" t="s">
        <v>221</v>
      </c>
      <c r="E76" s="167"/>
      <c r="F76" s="167">
        <v>2</v>
      </c>
      <c r="G76" s="167">
        <v>4</v>
      </c>
    </row>
    <row r="77" spans="1:7" ht="37.5" x14ac:dyDescent="0.25">
      <c r="A77" s="322"/>
      <c r="B77" s="107" t="s">
        <v>180</v>
      </c>
      <c r="C77" s="109" t="s">
        <v>651</v>
      </c>
      <c r="D77" s="107" t="s">
        <v>158</v>
      </c>
      <c r="E77" s="169"/>
      <c r="F77" s="169">
        <f>F75/F76</f>
        <v>750</v>
      </c>
      <c r="G77" s="169">
        <f>G75/G76</f>
        <v>1500</v>
      </c>
    </row>
    <row r="78" spans="1:7" ht="18.75" x14ac:dyDescent="0.25">
      <c r="A78" s="323"/>
      <c r="B78" s="107" t="s">
        <v>171</v>
      </c>
      <c r="C78" s="85" t="s">
        <v>634</v>
      </c>
      <c r="D78" s="107" t="s">
        <v>183</v>
      </c>
      <c r="E78" s="170"/>
      <c r="F78" s="170">
        <v>100</v>
      </c>
      <c r="G78" s="170">
        <v>100</v>
      </c>
    </row>
    <row r="79" spans="1:7" ht="37.5" x14ac:dyDescent="0.25">
      <c r="A79" s="334" t="s">
        <v>36</v>
      </c>
      <c r="B79" s="137" t="s">
        <v>175</v>
      </c>
      <c r="C79" s="82" t="s">
        <v>648</v>
      </c>
      <c r="D79" s="137" t="s">
        <v>158</v>
      </c>
      <c r="E79" s="165">
        <f>Заходи!G63</f>
        <v>42100</v>
      </c>
      <c r="F79" s="165">
        <f>Заходи!J63</f>
        <v>1000</v>
      </c>
      <c r="G79" s="165">
        <f>Заходи!M63</f>
        <v>0</v>
      </c>
    </row>
    <row r="80" spans="1:7" ht="37.5" x14ac:dyDescent="0.25">
      <c r="A80" s="334"/>
      <c r="B80" s="335" t="s">
        <v>170</v>
      </c>
      <c r="C80" s="109" t="s">
        <v>646</v>
      </c>
      <c r="D80" s="348" t="s">
        <v>178</v>
      </c>
      <c r="E80" s="138">
        <v>292000</v>
      </c>
      <c r="F80" s="171">
        <v>300000</v>
      </c>
      <c r="G80" s="171"/>
    </row>
    <row r="81" spans="1:9" ht="37.5" x14ac:dyDescent="0.25">
      <c r="A81" s="334"/>
      <c r="B81" s="335"/>
      <c r="C81" s="109" t="s">
        <v>645</v>
      </c>
      <c r="D81" s="348"/>
      <c r="E81" s="138">
        <v>24328.79</v>
      </c>
      <c r="F81" s="172">
        <v>363.52</v>
      </c>
      <c r="G81" s="172"/>
    </row>
    <row r="82" spans="1:9" ht="18.75" x14ac:dyDescent="0.25">
      <c r="A82" s="334"/>
      <c r="B82" s="107" t="s">
        <v>180</v>
      </c>
      <c r="C82" s="85" t="s">
        <v>188</v>
      </c>
      <c r="D82" s="107" t="s">
        <v>158</v>
      </c>
      <c r="E82" s="138">
        <f>E79/E81</f>
        <v>1.7304600845335916</v>
      </c>
      <c r="F82" s="138">
        <f t="shared" ref="F82" si="16">F79/F81</f>
        <v>2.750880281690141</v>
      </c>
      <c r="G82" s="138"/>
    </row>
    <row r="83" spans="1:9" ht="18.75" x14ac:dyDescent="0.25">
      <c r="A83" s="334"/>
      <c r="B83" s="107" t="s">
        <v>171</v>
      </c>
      <c r="C83" s="143" t="s">
        <v>647</v>
      </c>
      <c r="D83" s="107" t="s">
        <v>183</v>
      </c>
      <c r="E83" s="172">
        <f>E81/E80*100</f>
        <v>8.3317773972602751</v>
      </c>
      <c r="F83" s="172">
        <f t="shared" ref="F83" si="17">F81/F80*100</f>
        <v>0.12117333333333334</v>
      </c>
      <c r="G83" s="172"/>
    </row>
    <row r="84" spans="1:9" ht="18.75" x14ac:dyDescent="0.25">
      <c r="A84" s="334" t="s">
        <v>151</v>
      </c>
      <c r="B84" s="137" t="s">
        <v>175</v>
      </c>
      <c r="C84" s="82" t="s">
        <v>642</v>
      </c>
      <c r="D84" s="137" t="s">
        <v>158</v>
      </c>
      <c r="E84" s="165">
        <f>Заходи!G67</f>
        <v>0</v>
      </c>
      <c r="F84" s="165">
        <f>Заходи!J67</f>
        <v>0</v>
      </c>
      <c r="G84" s="165">
        <f>Заходи!M67</f>
        <v>130</v>
      </c>
    </row>
    <row r="85" spans="1:9" ht="18.75" x14ac:dyDescent="0.25">
      <c r="A85" s="334"/>
      <c r="B85" s="139" t="s">
        <v>170</v>
      </c>
      <c r="C85" s="141" t="s">
        <v>643</v>
      </c>
      <c r="D85" s="107" t="s">
        <v>221</v>
      </c>
      <c r="E85" s="171">
        <v>0</v>
      </c>
      <c r="F85" s="171">
        <v>0</v>
      </c>
      <c r="G85" s="171">
        <v>1</v>
      </c>
    </row>
    <row r="86" spans="1:9" ht="37.5" x14ac:dyDescent="0.25">
      <c r="A86" s="334"/>
      <c r="B86" s="107" t="s">
        <v>180</v>
      </c>
      <c r="C86" s="109" t="s">
        <v>644</v>
      </c>
      <c r="D86" s="107" t="s">
        <v>158</v>
      </c>
      <c r="E86" s="138"/>
      <c r="F86" s="138"/>
      <c r="G86" s="174">
        <f>G84/G85</f>
        <v>130</v>
      </c>
    </row>
    <row r="87" spans="1:9" ht="18.75" x14ac:dyDescent="0.25">
      <c r="A87" s="334"/>
      <c r="B87" s="107" t="s">
        <v>171</v>
      </c>
      <c r="C87" s="110" t="s">
        <v>634</v>
      </c>
      <c r="D87" s="107" t="s">
        <v>183</v>
      </c>
      <c r="E87" s="172"/>
      <c r="F87" s="172"/>
      <c r="G87" s="172">
        <v>100</v>
      </c>
    </row>
    <row r="88" spans="1:9" ht="19.5" x14ac:dyDescent="0.25">
      <c r="A88" s="95" t="s">
        <v>192</v>
      </c>
      <c r="B88" s="122"/>
      <c r="C88" s="122"/>
      <c r="D88" s="122"/>
      <c r="E88" s="162">
        <f>E90</f>
        <v>62954</v>
      </c>
      <c r="F88" s="162">
        <f t="shared" ref="F88:G88" si="18">F90</f>
        <v>32277.100000000002</v>
      </c>
      <c r="G88" s="162">
        <f t="shared" si="18"/>
        <v>115447.4</v>
      </c>
    </row>
    <row r="89" spans="1:9" ht="37.5" x14ac:dyDescent="0.25">
      <c r="A89" s="85" t="s">
        <v>197</v>
      </c>
      <c r="B89" s="144"/>
      <c r="C89" s="108"/>
      <c r="D89" s="107"/>
      <c r="E89" s="163"/>
      <c r="F89" s="163"/>
      <c r="G89" s="163"/>
    </row>
    <row r="90" spans="1:9" ht="39" x14ac:dyDescent="0.35">
      <c r="A90" s="93" t="s">
        <v>37</v>
      </c>
      <c r="B90" s="123"/>
      <c r="C90" s="124"/>
      <c r="D90" s="124"/>
      <c r="E90" s="164">
        <f>E91+E107</f>
        <v>62954</v>
      </c>
      <c r="F90" s="164">
        <f>F91+F107</f>
        <v>32277.100000000002</v>
      </c>
      <c r="G90" s="164">
        <f>G91+G107</f>
        <v>115447.4</v>
      </c>
    </row>
    <row r="91" spans="1:9" ht="37.5" x14ac:dyDescent="0.25">
      <c r="A91" s="321" t="s">
        <v>39</v>
      </c>
      <c r="B91" s="137" t="s">
        <v>175</v>
      </c>
      <c r="C91" s="82" t="s">
        <v>229</v>
      </c>
      <c r="D91" s="137" t="s">
        <v>158</v>
      </c>
      <c r="E91" s="165">
        <f>Заходи!G75</f>
        <v>19154</v>
      </c>
      <c r="F91" s="165">
        <f>Заходи!J75</f>
        <v>15586.000000000004</v>
      </c>
      <c r="G91" s="165">
        <f>Заходи!M75</f>
        <v>38947.4</v>
      </c>
    </row>
    <row r="92" spans="1:9" ht="18.75" x14ac:dyDescent="0.25">
      <c r="A92" s="322"/>
      <c r="B92" s="324" t="s">
        <v>170</v>
      </c>
      <c r="C92" s="109" t="s">
        <v>232</v>
      </c>
      <c r="D92" s="327" t="s">
        <v>230</v>
      </c>
      <c r="E92" s="175">
        <v>664.71</v>
      </c>
      <c r="F92" s="175">
        <v>664.71</v>
      </c>
      <c r="G92" s="175">
        <v>664.71</v>
      </c>
    </row>
    <row r="93" spans="1:9" ht="18.75" x14ac:dyDescent="0.25">
      <c r="A93" s="322"/>
      <c r="B93" s="325"/>
      <c r="C93" s="109" t="s">
        <v>233</v>
      </c>
      <c r="D93" s="328"/>
      <c r="E93" s="175">
        <v>462.13</v>
      </c>
      <c r="F93" s="175">
        <v>462.13</v>
      </c>
      <c r="G93" s="175">
        <v>462.13</v>
      </c>
    </row>
    <row r="94" spans="1:9" ht="23.25" x14ac:dyDescent="0.25">
      <c r="A94" s="322"/>
      <c r="B94" s="325"/>
      <c r="C94" s="109" t="s">
        <v>238</v>
      </c>
      <c r="D94" s="329"/>
      <c r="E94" s="175">
        <v>105.83</v>
      </c>
      <c r="F94" s="175">
        <v>105.83</v>
      </c>
      <c r="G94" s="175">
        <v>105.83</v>
      </c>
      <c r="H94" s="215"/>
    </row>
    <row r="95" spans="1:9" ht="23.25" x14ac:dyDescent="0.35">
      <c r="A95" s="322"/>
      <c r="B95" s="325"/>
      <c r="C95" s="109" t="s">
        <v>234</v>
      </c>
      <c r="D95" s="327" t="s">
        <v>231</v>
      </c>
      <c r="E95" s="176">
        <v>18995</v>
      </c>
      <c r="F95" s="176">
        <v>18995</v>
      </c>
      <c r="G95" s="176">
        <v>18995</v>
      </c>
      <c r="H95" s="216"/>
    </row>
    <row r="96" spans="1:9" ht="23.25" x14ac:dyDescent="0.35">
      <c r="A96" s="322"/>
      <c r="B96" s="325"/>
      <c r="C96" s="109" t="s">
        <v>235</v>
      </c>
      <c r="D96" s="329"/>
      <c r="E96" s="176">
        <v>8000</v>
      </c>
      <c r="F96" s="176">
        <v>8000</v>
      </c>
      <c r="G96" s="176">
        <v>8000</v>
      </c>
      <c r="H96" s="216"/>
      <c r="I96" s="72"/>
    </row>
    <row r="97" spans="1:8" ht="37.5" x14ac:dyDescent="0.35">
      <c r="A97" s="322"/>
      <c r="B97" s="325"/>
      <c r="C97" s="109" t="s">
        <v>236</v>
      </c>
      <c r="D97" s="328" t="s">
        <v>230</v>
      </c>
      <c r="E97" s="176">
        <v>30</v>
      </c>
      <c r="F97" s="176">
        <v>46</v>
      </c>
      <c r="G97" s="176">
        <v>46</v>
      </c>
      <c r="H97" s="216"/>
    </row>
    <row r="98" spans="1:8" ht="37.5" x14ac:dyDescent="0.35">
      <c r="A98" s="322"/>
      <c r="B98" s="325"/>
      <c r="C98" s="109" t="s">
        <v>239</v>
      </c>
      <c r="D98" s="329"/>
      <c r="E98" s="175">
        <v>8.81</v>
      </c>
      <c r="F98" s="175">
        <v>30</v>
      </c>
      <c r="G98" s="175">
        <v>30</v>
      </c>
      <c r="H98" s="216"/>
    </row>
    <row r="99" spans="1:8" ht="23.25" x14ac:dyDescent="0.35">
      <c r="A99" s="322"/>
      <c r="B99" s="325"/>
      <c r="C99" s="109" t="s">
        <v>237</v>
      </c>
      <c r="D99" s="144" t="s">
        <v>221</v>
      </c>
      <c r="E99" s="176">
        <v>598</v>
      </c>
      <c r="F99" s="176">
        <v>2301</v>
      </c>
      <c r="G99" s="176">
        <v>2301</v>
      </c>
      <c r="H99" s="216"/>
    </row>
    <row r="100" spans="1:8" ht="37.5" x14ac:dyDescent="0.25">
      <c r="A100" s="322"/>
      <c r="B100" s="327" t="s">
        <v>180</v>
      </c>
      <c r="C100" s="109" t="s">
        <v>240</v>
      </c>
      <c r="D100" s="107" t="s">
        <v>205</v>
      </c>
      <c r="E100" s="177">
        <v>63333.33</v>
      </c>
      <c r="F100" s="177">
        <v>355287.61</v>
      </c>
      <c r="G100" s="177">
        <v>373051.99</v>
      </c>
    </row>
    <row r="101" spans="1:8" ht="37.5" x14ac:dyDescent="0.25">
      <c r="A101" s="322"/>
      <c r="B101" s="328"/>
      <c r="C101" s="109" t="s">
        <v>241</v>
      </c>
      <c r="D101" s="107" t="s">
        <v>205</v>
      </c>
      <c r="E101" s="177">
        <v>600753.9</v>
      </c>
      <c r="F101" s="177">
        <v>645433.32999999996</v>
      </c>
      <c r="G101" s="177">
        <v>677733.33</v>
      </c>
    </row>
    <row r="102" spans="1:8" ht="18.75" x14ac:dyDescent="0.25">
      <c r="A102" s="322"/>
      <c r="B102" s="328"/>
      <c r="C102" s="109" t="s">
        <v>243</v>
      </c>
      <c r="D102" s="107" t="s">
        <v>205</v>
      </c>
      <c r="E102" s="177">
        <v>466.61</v>
      </c>
      <c r="F102" s="177">
        <v>536.44000000000005</v>
      </c>
      <c r="G102" s="177">
        <v>563.26</v>
      </c>
    </row>
    <row r="103" spans="1:8" ht="18.75" x14ac:dyDescent="0.25">
      <c r="A103" s="322"/>
      <c r="B103" s="329"/>
      <c r="C103" s="109" t="s">
        <v>242</v>
      </c>
      <c r="D103" s="107" t="s">
        <v>205</v>
      </c>
      <c r="E103" s="177">
        <v>5185.29</v>
      </c>
      <c r="F103" s="177">
        <v>5856.77</v>
      </c>
      <c r="G103" s="177">
        <v>6149.6</v>
      </c>
    </row>
    <row r="104" spans="1:8" ht="37.5" x14ac:dyDescent="0.25">
      <c r="A104" s="322"/>
      <c r="B104" s="327" t="s">
        <v>171</v>
      </c>
      <c r="C104" s="109" t="s">
        <v>244</v>
      </c>
      <c r="D104" s="107" t="s">
        <v>183</v>
      </c>
      <c r="E104" s="178">
        <v>1.91</v>
      </c>
      <c r="F104" s="178">
        <v>6.49</v>
      </c>
      <c r="G104" s="178">
        <v>6.49</v>
      </c>
    </row>
    <row r="105" spans="1:8" ht="37.5" x14ac:dyDescent="0.25">
      <c r="A105" s="322"/>
      <c r="B105" s="328"/>
      <c r="C105" s="109" t="s">
        <v>245</v>
      </c>
      <c r="D105" s="107" t="s">
        <v>183</v>
      </c>
      <c r="E105" s="177">
        <v>28.35</v>
      </c>
      <c r="F105" s="177">
        <v>43.47</v>
      </c>
      <c r="G105" s="177">
        <v>43.47</v>
      </c>
    </row>
    <row r="106" spans="1:8" ht="18.75" x14ac:dyDescent="0.25">
      <c r="A106" s="323"/>
      <c r="B106" s="329"/>
      <c r="C106" s="109" t="s">
        <v>246</v>
      </c>
      <c r="D106" s="107" t="s">
        <v>183</v>
      </c>
      <c r="E106" s="179">
        <f>E93/E92*100</f>
        <v>69.523551624016491</v>
      </c>
      <c r="F106" s="179">
        <f>F93/F92*100</f>
        <v>69.523551624016491</v>
      </c>
      <c r="G106" s="179">
        <f>G93/G92*100</f>
        <v>69.523551624016491</v>
      </c>
    </row>
    <row r="107" spans="1:8" ht="18.75" x14ac:dyDescent="0.25">
      <c r="A107" s="334" t="s">
        <v>193</v>
      </c>
      <c r="B107" s="137" t="s">
        <v>175</v>
      </c>
      <c r="C107" s="82" t="s">
        <v>203</v>
      </c>
      <c r="D107" s="137" t="s">
        <v>158</v>
      </c>
      <c r="E107" s="165">
        <f>Заходи!G79</f>
        <v>43800</v>
      </c>
      <c r="F107" s="165">
        <f>Заходи!J79</f>
        <v>16691.099999999999</v>
      </c>
      <c r="G107" s="165">
        <f>Заходи!M79</f>
        <v>76500</v>
      </c>
    </row>
    <row r="108" spans="1:8" ht="37.5" x14ac:dyDescent="0.25">
      <c r="A108" s="334"/>
      <c r="B108" s="139" t="s">
        <v>170</v>
      </c>
      <c r="C108" s="109" t="s">
        <v>200</v>
      </c>
      <c r="D108" s="107" t="s">
        <v>204</v>
      </c>
      <c r="E108" s="180">
        <v>11070772.01</v>
      </c>
      <c r="F108" s="180">
        <v>1875765</v>
      </c>
      <c r="G108" s="180">
        <v>9411765</v>
      </c>
    </row>
    <row r="109" spans="1:8" ht="37.5" x14ac:dyDescent="0.25">
      <c r="A109" s="334"/>
      <c r="B109" s="107" t="s">
        <v>180</v>
      </c>
      <c r="C109" s="109" t="s">
        <v>201</v>
      </c>
      <c r="D109" s="107" t="s">
        <v>205</v>
      </c>
      <c r="E109" s="181">
        <f>E107/E108*1000</f>
        <v>3.9563636538117097</v>
      </c>
      <c r="F109" s="181">
        <f t="shared" ref="F109:G109" si="19">F107/F108*1000</f>
        <v>8.8982894978848623</v>
      </c>
      <c r="G109" s="181">
        <f t="shared" si="19"/>
        <v>8.1281247459961019</v>
      </c>
    </row>
    <row r="110" spans="1:8" ht="18.75" x14ac:dyDescent="0.25">
      <c r="A110" s="334"/>
      <c r="B110" s="107" t="s">
        <v>171</v>
      </c>
      <c r="C110" s="110" t="s">
        <v>202</v>
      </c>
      <c r="D110" s="107" t="s">
        <v>183</v>
      </c>
      <c r="E110" s="178">
        <v>100</v>
      </c>
      <c r="F110" s="178">
        <v>100</v>
      </c>
      <c r="G110" s="178">
        <v>100</v>
      </c>
    </row>
    <row r="111" spans="1:8" ht="39" x14ac:dyDescent="0.25">
      <c r="A111" s="81" t="s">
        <v>194</v>
      </c>
      <c r="B111" s="84"/>
      <c r="C111" s="80"/>
      <c r="D111" s="80"/>
      <c r="E111" s="162">
        <f>E113</f>
        <v>29301.599999999999</v>
      </c>
      <c r="F111" s="162">
        <f t="shared" ref="F111:G111" si="20">F113</f>
        <v>29766.720000000001</v>
      </c>
      <c r="G111" s="162">
        <f t="shared" si="20"/>
        <v>74632.3</v>
      </c>
    </row>
    <row r="112" spans="1:8" ht="37.5" x14ac:dyDescent="0.25">
      <c r="A112" s="85" t="s">
        <v>197</v>
      </c>
      <c r="B112" s="84"/>
      <c r="C112" s="86"/>
      <c r="D112" s="84"/>
      <c r="E112" s="163"/>
      <c r="F112" s="163"/>
      <c r="G112" s="163"/>
    </row>
    <row r="113" spans="1:7" ht="58.5" x14ac:dyDescent="0.35">
      <c r="A113" s="93" t="s">
        <v>41</v>
      </c>
      <c r="B113" s="87"/>
      <c r="C113" s="88"/>
      <c r="D113" s="88"/>
      <c r="E113" s="164">
        <f>E114+E119+E124+E131+E136+E141+E145+E149+E159+E164+E168+E172+E176</f>
        <v>29301.599999999999</v>
      </c>
      <c r="F113" s="164">
        <f t="shared" ref="F113" si="21">F114+F119+F124+F131+F136+F141+F145+F149+F159+F164+F168+F172+F176</f>
        <v>29766.720000000001</v>
      </c>
      <c r="G113" s="164">
        <f>G114+G119+G124+G131+G136+G141+G145+G149+G159+G164+G168+G172+G176</f>
        <v>74632.3</v>
      </c>
    </row>
    <row r="114" spans="1:7" ht="75" x14ac:dyDescent="0.25">
      <c r="A114" s="321" t="s">
        <v>42</v>
      </c>
      <c r="B114" s="137" t="s">
        <v>175</v>
      </c>
      <c r="C114" s="82" t="s">
        <v>247</v>
      </c>
      <c r="D114" s="137" t="s">
        <v>158</v>
      </c>
      <c r="E114" s="165">
        <f>Заходи!G87</f>
        <v>4445</v>
      </c>
      <c r="F114" s="165">
        <f>Заходи!J87</f>
        <v>5536.22</v>
      </c>
      <c r="G114" s="165">
        <f>Заходи!M87</f>
        <v>6800</v>
      </c>
    </row>
    <row r="115" spans="1:7" ht="18.75" x14ac:dyDescent="0.25">
      <c r="A115" s="322"/>
      <c r="B115" s="335" t="s">
        <v>170</v>
      </c>
      <c r="C115" s="109" t="s">
        <v>253</v>
      </c>
      <c r="D115" s="339" t="s">
        <v>221</v>
      </c>
      <c r="E115" s="176">
        <v>13060</v>
      </c>
      <c r="F115" s="176">
        <v>13060</v>
      </c>
      <c r="G115" s="176">
        <v>13060</v>
      </c>
    </row>
    <row r="116" spans="1:7" ht="18.75" x14ac:dyDescent="0.25">
      <c r="A116" s="322"/>
      <c r="B116" s="335"/>
      <c r="C116" s="109" t="s">
        <v>262</v>
      </c>
      <c r="D116" s="340"/>
      <c r="E116" s="176">
        <v>1853</v>
      </c>
      <c r="F116" s="176">
        <v>2292</v>
      </c>
      <c r="G116" s="176">
        <v>2241</v>
      </c>
    </row>
    <row r="117" spans="1:7" ht="18.75" x14ac:dyDescent="0.25">
      <c r="A117" s="322"/>
      <c r="B117" s="107" t="s">
        <v>180</v>
      </c>
      <c r="C117" s="109" t="s">
        <v>274</v>
      </c>
      <c r="D117" s="84" t="s">
        <v>205</v>
      </c>
      <c r="E117" s="182">
        <f>E114/E116*1000</f>
        <v>2398.8127361036159</v>
      </c>
      <c r="F117" s="182">
        <f t="shared" ref="F117:G117" si="22">F114/F116*1000</f>
        <v>2415.4537521815009</v>
      </c>
      <c r="G117" s="182">
        <f t="shared" si="22"/>
        <v>3034.3596608656849</v>
      </c>
    </row>
    <row r="118" spans="1:7" ht="37.5" x14ac:dyDescent="0.25">
      <c r="A118" s="323"/>
      <c r="B118" s="107" t="s">
        <v>171</v>
      </c>
      <c r="C118" s="109" t="s">
        <v>282</v>
      </c>
      <c r="D118" s="84" t="s">
        <v>183</v>
      </c>
      <c r="E118" s="170">
        <f>E116/E115*100</f>
        <v>14.188361408882082</v>
      </c>
      <c r="F118" s="170">
        <f t="shared" ref="F118:G118" si="23">F116/F115*100</f>
        <v>17.549770290964776</v>
      </c>
      <c r="G118" s="170">
        <f t="shared" si="23"/>
        <v>17.159264931087289</v>
      </c>
    </row>
    <row r="119" spans="1:7" ht="93.75" x14ac:dyDescent="0.25">
      <c r="A119" s="334" t="s">
        <v>195</v>
      </c>
      <c r="B119" s="137" t="s">
        <v>175</v>
      </c>
      <c r="C119" s="82" t="s">
        <v>248</v>
      </c>
      <c r="D119" s="83" t="s">
        <v>158</v>
      </c>
      <c r="E119" s="165">
        <f>Заходи!G91</f>
        <v>5890</v>
      </c>
      <c r="F119" s="165">
        <f>Заходи!J91</f>
        <v>7800</v>
      </c>
      <c r="G119" s="165">
        <f>Заходи!M91</f>
        <v>18100</v>
      </c>
    </row>
    <row r="120" spans="1:7" ht="37.5" x14ac:dyDescent="0.25">
      <c r="A120" s="334"/>
      <c r="B120" s="335" t="s">
        <v>170</v>
      </c>
      <c r="C120" s="109" t="s">
        <v>254</v>
      </c>
      <c r="D120" s="339" t="s">
        <v>221</v>
      </c>
      <c r="E120" s="171">
        <v>180</v>
      </c>
      <c r="F120" s="171">
        <v>187</v>
      </c>
      <c r="G120" s="171">
        <v>187</v>
      </c>
    </row>
    <row r="121" spans="1:7" ht="37.5" x14ac:dyDescent="0.25">
      <c r="A121" s="334"/>
      <c r="B121" s="335"/>
      <c r="C121" s="109" t="s">
        <v>261</v>
      </c>
      <c r="D121" s="340"/>
      <c r="E121" s="171">
        <v>180</v>
      </c>
      <c r="F121" s="171">
        <v>187</v>
      </c>
      <c r="G121" s="171">
        <v>187</v>
      </c>
    </row>
    <row r="122" spans="1:7" ht="37.5" x14ac:dyDescent="0.25">
      <c r="A122" s="334"/>
      <c r="B122" s="107" t="s">
        <v>180</v>
      </c>
      <c r="C122" s="109" t="s">
        <v>284</v>
      </c>
      <c r="D122" s="84" t="s">
        <v>158</v>
      </c>
      <c r="E122" s="138">
        <f>E119/E121</f>
        <v>32.722222222222221</v>
      </c>
      <c r="F122" s="138">
        <f t="shared" ref="F122:G122" si="24">F119/F121</f>
        <v>41.711229946524064</v>
      </c>
      <c r="G122" s="138">
        <f t="shared" si="24"/>
        <v>96.791443850267385</v>
      </c>
    </row>
    <row r="123" spans="1:7" ht="37.5" x14ac:dyDescent="0.25">
      <c r="A123" s="334"/>
      <c r="B123" s="107" t="s">
        <v>171</v>
      </c>
      <c r="C123" s="109" t="s">
        <v>283</v>
      </c>
      <c r="D123" s="84" t="s">
        <v>183</v>
      </c>
      <c r="E123" s="172">
        <f>E121/E120*100</f>
        <v>100</v>
      </c>
      <c r="F123" s="172">
        <f>F121/F120*100</f>
        <v>100</v>
      </c>
      <c r="G123" s="172">
        <f>G121/G120*100</f>
        <v>100</v>
      </c>
    </row>
    <row r="124" spans="1:7" ht="93.75" x14ac:dyDescent="0.25">
      <c r="A124" s="158" t="s">
        <v>50</v>
      </c>
      <c r="B124" s="137" t="s">
        <v>175</v>
      </c>
      <c r="C124" s="82" t="s">
        <v>249</v>
      </c>
      <c r="D124" s="83" t="s">
        <v>158</v>
      </c>
      <c r="E124" s="165">
        <f>Заходи!G95</f>
        <v>9635.1</v>
      </c>
      <c r="F124" s="165">
        <f>Заходи!J95</f>
        <v>10300</v>
      </c>
      <c r="G124" s="165">
        <f>Заходи!M95</f>
        <v>9200</v>
      </c>
    </row>
    <row r="125" spans="1:7" ht="18.75" x14ac:dyDescent="0.25">
      <c r="A125" s="159"/>
      <c r="B125" s="372" t="s">
        <v>170</v>
      </c>
      <c r="C125" s="109" t="s">
        <v>257</v>
      </c>
      <c r="D125" s="339" t="s">
        <v>273</v>
      </c>
      <c r="E125" s="172">
        <v>123.45</v>
      </c>
      <c r="F125" s="172">
        <v>123.45</v>
      </c>
      <c r="G125" s="172">
        <v>123.45</v>
      </c>
    </row>
    <row r="126" spans="1:7" ht="18.75" x14ac:dyDescent="0.25">
      <c r="A126" s="322"/>
      <c r="B126" s="325"/>
      <c r="C126" s="109" t="s">
        <v>259</v>
      </c>
      <c r="D126" s="340"/>
      <c r="E126" s="172">
        <v>0</v>
      </c>
      <c r="F126" s="172">
        <v>0</v>
      </c>
      <c r="G126" s="172">
        <v>7.77</v>
      </c>
    </row>
    <row r="127" spans="1:7" ht="18.75" x14ac:dyDescent="0.25">
      <c r="A127" s="322"/>
      <c r="B127" s="326"/>
      <c r="C127" s="109" t="s">
        <v>265</v>
      </c>
      <c r="D127" s="341"/>
      <c r="E127" s="172">
        <v>76.260000000000005</v>
      </c>
      <c r="F127" s="172">
        <v>76.260000000000005</v>
      </c>
      <c r="G127" s="172">
        <v>76.260000000000005</v>
      </c>
    </row>
    <row r="128" spans="1:7" ht="18.75" x14ac:dyDescent="0.3">
      <c r="A128" s="322"/>
      <c r="B128" s="327" t="s">
        <v>180</v>
      </c>
      <c r="C128" s="145" t="s">
        <v>275</v>
      </c>
      <c r="D128" s="339" t="s">
        <v>285</v>
      </c>
      <c r="E128" s="138">
        <v>0</v>
      </c>
      <c r="F128" s="138">
        <v>0</v>
      </c>
      <c r="G128" s="138">
        <v>62625</v>
      </c>
    </row>
    <row r="129" spans="1:7" ht="18.75" x14ac:dyDescent="0.25">
      <c r="A129" s="322"/>
      <c r="B129" s="329"/>
      <c r="C129" s="109" t="s">
        <v>278</v>
      </c>
      <c r="D129" s="341"/>
      <c r="E129" s="183">
        <v>126345.399548</v>
      </c>
      <c r="F129" s="173">
        <v>141956.46470000001</v>
      </c>
      <c r="G129" s="173">
        <v>97758.722861200004</v>
      </c>
    </row>
    <row r="130" spans="1:7" ht="18.75" x14ac:dyDescent="0.25">
      <c r="A130" s="323"/>
      <c r="B130" s="107" t="s">
        <v>171</v>
      </c>
      <c r="C130" s="110" t="s">
        <v>286</v>
      </c>
      <c r="D130" s="84" t="s">
        <v>183</v>
      </c>
      <c r="E130" s="172">
        <f>E127/E125*100</f>
        <v>61.773997569866346</v>
      </c>
      <c r="F130" s="172">
        <f t="shared" ref="F130:G130" si="25">F127/F125*100</f>
        <v>61.773997569866346</v>
      </c>
      <c r="G130" s="172">
        <f t="shared" si="25"/>
        <v>61.773997569866346</v>
      </c>
    </row>
    <row r="131" spans="1:7" ht="18.75" x14ac:dyDescent="0.25">
      <c r="A131" s="321" t="s">
        <v>44</v>
      </c>
      <c r="B131" s="137" t="s">
        <v>175</v>
      </c>
      <c r="C131" s="82" t="s">
        <v>250</v>
      </c>
      <c r="D131" s="137" t="s">
        <v>158</v>
      </c>
      <c r="E131" s="165">
        <f>Заходи!G99</f>
        <v>600</v>
      </c>
      <c r="F131" s="165">
        <f>Заходи!J99</f>
        <v>700</v>
      </c>
      <c r="G131" s="165">
        <f>Заходи!M99</f>
        <v>1905.8</v>
      </c>
    </row>
    <row r="132" spans="1:7" ht="18.75" x14ac:dyDescent="0.25">
      <c r="A132" s="322"/>
      <c r="B132" s="335" t="s">
        <v>170</v>
      </c>
      <c r="C132" s="109" t="s">
        <v>255</v>
      </c>
      <c r="D132" s="339" t="s">
        <v>221</v>
      </c>
      <c r="E132" s="176">
        <v>2000</v>
      </c>
      <c r="F132" s="176">
        <v>2000</v>
      </c>
      <c r="G132" s="176">
        <v>2000</v>
      </c>
    </row>
    <row r="133" spans="1:7" ht="37.5" x14ac:dyDescent="0.25">
      <c r="A133" s="322"/>
      <c r="B133" s="335"/>
      <c r="C133" s="109" t="s">
        <v>263</v>
      </c>
      <c r="D133" s="341"/>
      <c r="E133" s="176">
        <v>225</v>
      </c>
      <c r="F133" s="176">
        <v>645</v>
      </c>
      <c r="G133" s="176">
        <v>645</v>
      </c>
    </row>
    <row r="134" spans="1:7" ht="18.75" x14ac:dyDescent="0.25">
      <c r="A134" s="322"/>
      <c r="B134" s="107" t="s">
        <v>180</v>
      </c>
      <c r="C134" s="109" t="s">
        <v>276</v>
      </c>
      <c r="D134" s="84" t="s">
        <v>158</v>
      </c>
      <c r="E134" s="169">
        <f>E131/E133</f>
        <v>2.6666666666666665</v>
      </c>
      <c r="F134" s="169">
        <f t="shared" ref="F134:G134" si="26">F131/F133</f>
        <v>1.0852713178294573</v>
      </c>
      <c r="G134" s="169">
        <f t="shared" si="26"/>
        <v>2.9547286821705425</v>
      </c>
    </row>
    <row r="135" spans="1:7" ht="18.75" x14ac:dyDescent="0.25">
      <c r="A135" s="323"/>
      <c r="B135" s="107" t="s">
        <v>171</v>
      </c>
      <c r="C135" s="85" t="s">
        <v>287</v>
      </c>
      <c r="D135" s="84" t="s">
        <v>183</v>
      </c>
      <c r="E135" s="170">
        <v>100</v>
      </c>
      <c r="F135" s="170">
        <v>100</v>
      </c>
      <c r="G135" s="170">
        <v>100</v>
      </c>
    </row>
    <row r="136" spans="1:7" ht="37.5" x14ac:dyDescent="0.25">
      <c r="A136" s="334" t="s">
        <v>45</v>
      </c>
      <c r="B136" s="137" t="s">
        <v>175</v>
      </c>
      <c r="C136" s="82" t="s">
        <v>251</v>
      </c>
      <c r="D136" s="137" t="s">
        <v>158</v>
      </c>
      <c r="E136" s="165">
        <f>Заходи!G103</f>
        <v>2297.3000000000002</v>
      </c>
      <c r="F136" s="165">
        <f>Заходи!J103</f>
        <v>2600</v>
      </c>
      <c r="G136" s="165">
        <f>Заходи!M103</f>
        <v>4380.3</v>
      </c>
    </row>
    <row r="137" spans="1:7" ht="18.75" x14ac:dyDescent="0.25">
      <c r="A137" s="334"/>
      <c r="B137" s="335" t="s">
        <v>170</v>
      </c>
      <c r="C137" s="109" t="s">
        <v>256</v>
      </c>
      <c r="D137" s="373" t="s">
        <v>288</v>
      </c>
      <c r="E137" s="171">
        <v>600</v>
      </c>
      <c r="F137" s="171">
        <v>600</v>
      </c>
      <c r="G137" s="171">
        <v>600</v>
      </c>
    </row>
    <row r="138" spans="1:7" ht="18.75" x14ac:dyDescent="0.25">
      <c r="A138" s="334"/>
      <c r="B138" s="335"/>
      <c r="C138" s="109" t="s">
        <v>264</v>
      </c>
      <c r="D138" s="373"/>
      <c r="E138" s="171">
        <v>472</v>
      </c>
      <c r="F138" s="171">
        <v>490</v>
      </c>
      <c r="G138" s="171">
        <v>490</v>
      </c>
    </row>
    <row r="139" spans="1:7" ht="18.75" x14ac:dyDescent="0.25">
      <c r="A139" s="334"/>
      <c r="B139" s="107" t="s">
        <v>180</v>
      </c>
      <c r="C139" s="109" t="s">
        <v>277</v>
      </c>
      <c r="D139" s="84" t="s">
        <v>158</v>
      </c>
      <c r="E139" s="138">
        <f>E136/E138</f>
        <v>4.8671610169491526</v>
      </c>
      <c r="F139" s="138">
        <f>F136/F138</f>
        <v>5.3061224489795915</v>
      </c>
      <c r="G139" s="138">
        <f>G136/G138</f>
        <v>8.9393877551020413</v>
      </c>
    </row>
    <row r="140" spans="1:7" ht="18.75" x14ac:dyDescent="0.25">
      <c r="A140" s="334"/>
      <c r="B140" s="107" t="s">
        <v>171</v>
      </c>
      <c r="C140" s="85" t="s">
        <v>289</v>
      </c>
      <c r="D140" s="84" t="s">
        <v>183</v>
      </c>
      <c r="E140" s="172">
        <f>E138/E137*100</f>
        <v>78.666666666666657</v>
      </c>
      <c r="F140" s="172">
        <f t="shared" ref="F140:G140" si="27">F138/F137*100</f>
        <v>81.666666666666671</v>
      </c>
      <c r="G140" s="172">
        <f t="shared" si="27"/>
        <v>81.666666666666671</v>
      </c>
    </row>
    <row r="141" spans="1:7" ht="18.75" x14ac:dyDescent="0.25">
      <c r="A141" s="334" t="s">
        <v>46</v>
      </c>
      <c r="B141" s="137" t="s">
        <v>175</v>
      </c>
      <c r="C141" s="82" t="s">
        <v>252</v>
      </c>
      <c r="D141" s="137" t="s">
        <v>158</v>
      </c>
      <c r="E141" s="165">
        <f>Заходи!G107</f>
        <v>265</v>
      </c>
      <c r="F141" s="165">
        <f>Заходи!J107</f>
        <v>320</v>
      </c>
      <c r="G141" s="165">
        <f>Заходи!M107</f>
        <v>611.20000000000005</v>
      </c>
    </row>
    <row r="142" spans="1:7" ht="18.75" x14ac:dyDescent="0.25">
      <c r="A142" s="334"/>
      <c r="B142" s="139" t="s">
        <v>170</v>
      </c>
      <c r="C142" s="109" t="s">
        <v>266</v>
      </c>
      <c r="D142" s="91" t="s">
        <v>221</v>
      </c>
      <c r="E142" s="171">
        <v>292000</v>
      </c>
      <c r="F142" s="171">
        <v>300000</v>
      </c>
      <c r="G142" s="171">
        <v>300000</v>
      </c>
    </row>
    <row r="143" spans="1:7" ht="18.75" x14ac:dyDescent="0.25">
      <c r="A143" s="334"/>
      <c r="B143" s="107" t="s">
        <v>180</v>
      </c>
      <c r="C143" s="109" t="s">
        <v>279</v>
      </c>
      <c r="D143" s="84" t="s">
        <v>285</v>
      </c>
      <c r="E143" s="138">
        <f>E141/E142*1000</f>
        <v>0.90753424657534254</v>
      </c>
      <c r="F143" s="138">
        <f t="shared" ref="F143:G143" si="28">F141/F142*1000</f>
        <v>1.0666666666666667</v>
      </c>
      <c r="G143" s="138">
        <f t="shared" si="28"/>
        <v>2.0373333333333332</v>
      </c>
    </row>
    <row r="144" spans="1:7" ht="18.75" x14ac:dyDescent="0.25">
      <c r="A144" s="334"/>
      <c r="B144" s="107" t="s">
        <v>171</v>
      </c>
      <c r="C144" s="110" t="s">
        <v>290</v>
      </c>
      <c r="D144" s="84" t="s">
        <v>183</v>
      </c>
      <c r="E144" s="172">
        <v>100</v>
      </c>
      <c r="F144" s="172">
        <v>100</v>
      </c>
      <c r="G144" s="172">
        <v>100</v>
      </c>
    </row>
    <row r="145" spans="1:7" ht="37.5" x14ac:dyDescent="0.25">
      <c r="A145" s="321" t="s">
        <v>196</v>
      </c>
      <c r="B145" s="137" t="s">
        <v>175</v>
      </c>
      <c r="C145" s="82" t="s">
        <v>296</v>
      </c>
      <c r="D145" s="137" t="s">
        <v>158</v>
      </c>
      <c r="E145" s="165">
        <f>Заходи!G111</f>
        <v>248</v>
      </c>
      <c r="F145" s="165">
        <f>Заходи!J111</f>
        <v>0</v>
      </c>
      <c r="G145" s="165">
        <f>Заходи!M111</f>
        <v>400</v>
      </c>
    </row>
    <row r="146" spans="1:7" ht="18.75" x14ac:dyDescent="0.25">
      <c r="A146" s="322"/>
      <c r="B146" s="139" t="s">
        <v>170</v>
      </c>
      <c r="C146" s="108" t="s">
        <v>303</v>
      </c>
      <c r="D146" s="89" t="s">
        <v>304</v>
      </c>
      <c r="E146" s="167">
        <v>12</v>
      </c>
      <c r="F146" s="167">
        <v>12</v>
      </c>
      <c r="G146" s="167">
        <v>12</v>
      </c>
    </row>
    <row r="147" spans="1:7" ht="18.75" x14ac:dyDescent="0.25">
      <c r="A147" s="322"/>
      <c r="B147" s="107" t="s">
        <v>180</v>
      </c>
      <c r="C147" s="85" t="s">
        <v>305</v>
      </c>
      <c r="D147" s="84" t="s">
        <v>158</v>
      </c>
      <c r="E147" s="172">
        <f>E145/E146</f>
        <v>20.666666666666668</v>
      </c>
      <c r="F147" s="172">
        <f t="shared" ref="F147:G147" si="29">F145/F146</f>
        <v>0</v>
      </c>
      <c r="G147" s="172">
        <f t="shared" si="29"/>
        <v>33.333333333333336</v>
      </c>
    </row>
    <row r="148" spans="1:7" ht="18.75" x14ac:dyDescent="0.25">
      <c r="A148" s="323"/>
      <c r="B148" s="107" t="s">
        <v>171</v>
      </c>
      <c r="C148" s="85" t="s">
        <v>306</v>
      </c>
      <c r="D148" s="84" t="s">
        <v>183</v>
      </c>
      <c r="E148" s="170">
        <v>100</v>
      </c>
      <c r="F148" s="170">
        <v>100</v>
      </c>
      <c r="G148" s="170">
        <v>100</v>
      </c>
    </row>
    <row r="149" spans="1:7" ht="18.75" x14ac:dyDescent="0.25">
      <c r="A149" s="334" t="s">
        <v>48</v>
      </c>
      <c r="B149" s="137" t="s">
        <v>175</v>
      </c>
      <c r="C149" s="82" t="s">
        <v>295</v>
      </c>
      <c r="D149" s="137" t="s">
        <v>158</v>
      </c>
      <c r="E149" s="165">
        <f>Заходи!G115</f>
        <v>685</v>
      </c>
      <c r="F149" s="165">
        <f>Заходи!J115</f>
        <v>769.5</v>
      </c>
      <c r="G149" s="165">
        <f>Заходи!M115</f>
        <v>1142.5</v>
      </c>
    </row>
    <row r="150" spans="1:7" ht="18.75" x14ac:dyDescent="0.25">
      <c r="A150" s="334"/>
      <c r="B150" s="324" t="s">
        <v>170</v>
      </c>
      <c r="C150" s="109" t="s">
        <v>258</v>
      </c>
      <c r="D150" s="100" t="s">
        <v>273</v>
      </c>
      <c r="E150" s="172">
        <v>11.55</v>
      </c>
      <c r="F150" s="172">
        <v>11.55</v>
      </c>
      <c r="G150" s="172">
        <v>11.55</v>
      </c>
    </row>
    <row r="151" spans="1:7" ht="37.5" x14ac:dyDescent="0.25">
      <c r="A151" s="334"/>
      <c r="B151" s="325"/>
      <c r="C151" s="109" t="s">
        <v>267</v>
      </c>
      <c r="D151" s="91" t="s">
        <v>221</v>
      </c>
      <c r="E151" s="171">
        <v>1</v>
      </c>
      <c r="F151" s="171">
        <v>1</v>
      </c>
      <c r="G151" s="171">
        <v>1</v>
      </c>
    </row>
    <row r="152" spans="1:7" ht="18.75" x14ac:dyDescent="0.25">
      <c r="A152" s="334"/>
      <c r="B152" s="325"/>
      <c r="C152" s="109" t="s">
        <v>268</v>
      </c>
      <c r="D152" s="91" t="s">
        <v>273</v>
      </c>
      <c r="E152" s="172">
        <v>11.55</v>
      </c>
      <c r="F152" s="172">
        <v>11.55</v>
      </c>
      <c r="G152" s="172">
        <v>11.55</v>
      </c>
    </row>
    <row r="153" spans="1:7" ht="37.5" hidden="1" x14ac:dyDescent="0.25">
      <c r="A153" s="334"/>
      <c r="B153" s="325"/>
      <c r="C153" s="109" t="s">
        <v>269</v>
      </c>
      <c r="D153" s="339" t="s">
        <v>221</v>
      </c>
      <c r="E153" s="172"/>
      <c r="F153" s="172"/>
      <c r="G153" s="172"/>
    </row>
    <row r="154" spans="1:7" ht="37.5" hidden="1" x14ac:dyDescent="0.25">
      <c r="A154" s="334"/>
      <c r="B154" s="325"/>
      <c r="C154" s="109" t="s">
        <v>270</v>
      </c>
      <c r="D154" s="340"/>
      <c r="E154" s="172"/>
      <c r="F154" s="172"/>
      <c r="G154" s="172"/>
    </row>
    <row r="155" spans="1:7" ht="37.5" hidden="1" x14ac:dyDescent="0.25">
      <c r="A155" s="334"/>
      <c r="B155" s="325"/>
      <c r="C155" s="109" t="s">
        <v>271</v>
      </c>
      <c r="D155" s="341"/>
      <c r="E155" s="172"/>
      <c r="F155" s="172"/>
      <c r="G155" s="172"/>
    </row>
    <row r="156" spans="1:7" ht="37.5" hidden="1" x14ac:dyDescent="0.25">
      <c r="A156" s="334"/>
      <c r="B156" s="326"/>
      <c r="C156" s="109" t="s">
        <v>272</v>
      </c>
      <c r="D156" s="91" t="s">
        <v>293</v>
      </c>
      <c r="E156" s="172"/>
      <c r="F156" s="172"/>
      <c r="G156" s="172"/>
    </row>
    <row r="157" spans="1:7" ht="18.75" x14ac:dyDescent="0.25">
      <c r="A157" s="334"/>
      <c r="B157" s="107" t="s">
        <v>180</v>
      </c>
      <c r="C157" s="109" t="s">
        <v>280</v>
      </c>
      <c r="D157" s="84" t="s">
        <v>158</v>
      </c>
      <c r="E157" s="138">
        <f>E149</f>
        <v>685</v>
      </c>
      <c r="F157" s="138">
        <f t="shared" ref="F157:G157" si="30">F149</f>
        <v>769.5</v>
      </c>
      <c r="G157" s="138">
        <f t="shared" si="30"/>
        <v>1142.5</v>
      </c>
    </row>
    <row r="158" spans="1:7" ht="18.75" x14ac:dyDescent="0.25">
      <c r="A158" s="334"/>
      <c r="B158" s="107" t="s">
        <v>171</v>
      </c>
      <c r="C158" s="110" t="s">
        <v>297</v>
      </c>
      <c r="D158" s="84" t="s">
        <v>183</v>
      </c>
      <c r="E158" s="172">
        <v>100</v>
      </c>
      <c r="F158" s="172">
        <v>100</v>
      </c>
      <c r="G158" s="172">
        <v>100</v>
      </c>
    </row>
    <row r="159" spans="1:7" ht="18.75" x14ac:dyDescent="0.25">
      <c r="A159" s="334" t="s">
        <v>49</v>
      </c>
      <c r="B159" s="137" t="s">
        <v>175</v>
      </c>
      <c r="C159" s="82" t="s">
        <v>294</v>
      </c>
      <c r="D159" s="137" t="s">
        <v>158</v>
      </c>
      <c r="E159" s="165">
        <f>Заходи!G119</f>
        <v>530.4</v>
      </c>
      <c r="F159" s="165">
        <f>Заходи!J119</f>
        <v>607.00000000000011</v>
      </c>
      <c r="G159" s="165">
        <f>Заходи!M119</f>
        <v>1700</v>
      </c>
    </row>
    <row r="160" spans="1:7" ht="18.75" x14ac:dyDescent="0.25">
      <c r="A160" s="334"/>
      <c r="B160" s="335" t="s">
        <v>170</v>
      </c>
      <c r="C160" s="109" t="s">
        <v>260</v>
      </c>
      <c r="D160" s="373" t="s">
        <v>273</v>
      </c>
      <c r="E160" s="171">
        <v>9</v>
      </c>
      <c r="F160" s="171">
        <v>9</v>
      </c>
      <c r="G160" s="171">
        <v>9</v>
      </c>
    </row>
    <row r="161" spans="1:7" ht="18.75" x14ac:dyDescent="0.25">
      <c r="A161" s="334"/>
      <c r="B161" s="335"/>
      <c r="C161" s="109" t="s">
        <v>298</v>
      </c>
      <c r="D161" s="373"/>
      <c r="E161" s="171">
        <v>9</v>
      </c>
      <c r="F161" s="171">
        <v>9</v>
      </c>
      <c r="G161" s="171">
        <v>9</v>
      </c>
    </row>
    <row r="162" spans="1:7" ht="18.75" x14ac:dyDescent="0.25">
      <c r="A162" s="334"/>
      <c r="B162" s="107" t="s">
        <v>180</v>
      </c>
      <c r="C162" s="109" t="s">
        <v>281</v>
      </c>
      <c r="D162" s="84" t="s">
        <v>285</v>
      </c>
      <c r="E162" s="138">
        <f>E159/E161*1000</f>
        <v>58933.333333333328</v>
      </c>
      <c r="F162" s="138">
        <f t="shared" ref="F162:G162" si="31">F159/F161*1000</f>
        <v>67444.444444444453</v>
      </c>
      <c r="G162" s="138">
        <f t="shared" si="31"/>
        <v>188888.88888888888</v>
      </c>
    </row>
    <row r="163" spans="1:7" ht="18.75" x14ac:dyDescent="0.25">
      <c r="A163" s="334"/>
      <c r="B163" s="107" t="s">
        <v>171</v>
      </c>
      <c r="C163" s="110" t="s">
        <v>299</v>
      </c>
      <c r="D163" s="84" t="s">
        <v>183</v>
      </c>
      <c r="E163" s="172">
        <f>E161/E160*100</f>
        <v>100</v>
      </c>
      <c r="F163" s="172">
        <f t="shared" ref="F163:G163" si="32">F161/F160*100</f>
        <v>100</v>
      </c>
      <c r="G163" s="172">
        <f t="shared" si="32"/>
        <v>100</v>
      </c>
    </row>
    <row r="164" spans="1:7" ht="18.75" x14ac:dyDescent="0.25">
      <c r="A164" s="334" t="s">
        <v>51</v>
      </c>
      <c r="B164" s="137" t="s">
        <v>175</v>
      </c>
      <c r="C164" s="82" t="s">
        <v>300</v>
      </c>
      <c r="D164" s="137" t="s">
        <v>158</v>
      </c>
      <c r="E164" s="165">
        <f>Заходи!G123</f>
        <v>920</v>
      </c>
      <c r="F164" s="165">
        <f>Заходи!J123</f>
        <v>0</v>
      </c>
      <c r="G164" s="165">
        <f>Заходи!M123</f>
        <v>500</v>
      </c>
    </row>
    <row r="165" spans="1:7" ht="37.5" x14ac:dyDescent="0.25">
      <c r="A165" s="334"/>
      <c r="B165" s="139" t="s">
        <v>170</v>
      </c>
      <c r="C165" s="141" t="s">
        <v>431</v>
      </c>
      <c r="D165" s="91" t="s">
        <v>221</v>
      </c>
      <c r="E165" s="171">
        <v>12</v>
      </c>
      <c r="F165" s="171">
        <v>12</v>
      </c>
      <c r="G165" s="171">
        <v>12</v>
      </c>
    </row>
    <row r="166" spans="1:7" ht="37.5" x14ac:dyDescent="0.25">
      <c r="A166" s="334"/>
      <c r="B166" s="107" t="s">
        <v>180</v>
      </c>
      <c r="C166" s="109" t="s">
        <v>301</v>
      </c>
      <c r="D166" s="84" t="s">
        <v>158</v>
      </c>
      <c r="E166" s="138">
        <f>E164/E165</f>
        <v>76.666666666666671</v>
      </c>
      <c r="F166" s="138">
        <f t="shared" ref="F166" si="33">F164/F165</f>
        <v>0</v>
      </c>
      <c r="G166" s="138">
        <f>G164/G165</f>
        <v>41.666666666666664</v>
      </c>
    </row>
    <row r="167" spans="1:7" ht="18.75" x14ac:dyDescent="0.25">
      <c r="A167" s="334"/>
      <c r="B167" s="107" t="s">
        <v>171</v>
      </c>
      <c r="C167" s="110" t="s">
        <v>302</v>
      </c>
      <c r="D167" s="84" t="s">
        <v>183</v>
      </c>
      <c r="E167" s="172">
        <v>100</v>
      </c>
      <c r="F167" s="172">
        <v>100</v>
      </c>
      <c r="G167" s="172">
        <v>100</v>
      </c>
    </row>
    <row r="168" spans="1:7" ht="18.75" x14ac:dyDescent="0.25">
      <c r="A168" s="334" t="s">
        <v>426</v>
      </c>
      <c r="B168" s="137" t="s">
        <v>175</v>
      </c>
      <c r="C168" s="82" t="s">
        <v>429</v>
      </c>
      <c r="D168" s="137" t="s">
        <v>158</v>
      </c>
      <c r="E168" s="165">
        <f>Заходи!G127</f>
        <v>0</v>
      </c>
      <c r="F168" s="165">
        <f>Заходи!J127</f>
        <v>760</v>
      </c>
      <c r="G168" s="165">
        <f>Заходи!M127</f>
        <v>892.5</v>
      </c>
    </row>
    <row r="169" spans="1:7" ht="37.5" x14ac:dyDescent="0.25">
      <c r="A169" s="334"/>
      <c r="B169" s="139" t="s">
        <v>170</v>
      </c>
      <c r="C169" s="141" t="s">
        <v>430</v>
      </c>
      <c r="D169" s="112" t="s">
        <v>221</v>
      </c>
      <c r="E169" s="171">
        <v>0</v>
      </c>
      <c r="F169" s="171">
        <v>5</v>
      </c>
      <c r="G169" s="171">
        <v>5</v>
      </c>
    </row>
    <row r="170" spans="1:7" ht="37.5" x14ac:dyDescent="0.25">
      <c r="A170" s="334"/>
      <c r="B170" s="107" t="s">
        <v>180</v>
      </c>
      <c r="C170" s="109" t="s">
        <v>432</v>
      </c>
      <c r="D170" s="112" t="s">
        <v>158</v>
      </c>
      <c r="E170" s="138">
        <v>0</v>
      </c>
      <c r="F170" s="138">
        <f t="shared" ref="F170:G170" si="34">F168/F169</f>
        <v>152</v>
      </c>
      <c r="G170" s="138">
        <f t="shared" si="34"/>
        <v>178.5</v>
      </c>
    </row>
    <row r="171" spans="1:7" ht="18.75" x14ac:dyDescent="0.25">
      <c r="A171" s="334"/>
      <c r="B171" s="107" t="s">
        <v>171</v>
      </c>
      <c r="C171" s="110" t="s">
        <v>433</v>
      </c>
      <c r="D171" s="112" t="s">
        <v>183</v>
      </c>
      <c r="E171" s="172"/>
      <c r="F171" s="172">
        <v>100</v>
      </c>
      <c r="G171" s="172">
        <v>100</v>
      </c>
    </row>
    <row r="172" spans="1:7" ht="37.5" x14ac:dyDescent="0.25">
      <c r="A172" s="321" t="s">
        <v>427</v>
      </c>
      <c r="B172" s="137" t="s">
        <v>175</v>
      </c>
      <c r="C172" s="82" t="s">
        <v>307</v>
      </c>
      <c r="D172" s="137" t="s">
        <v>158</v>
      </c>
      <c r="E172" s="165">
        <f>Заходи!G131</f>
        <v>424.6</v>
      </c>
      <c r="F172" s="165">
        <f>Заходи!J131</f>
        <v>374.00000000000006</v>
      </c>
      <c r="G172" s="165">
        <f>Заходи!M131</f>
        <v>2000</v>
      </c>
    </row>
    <row r="173" spans="1:7" ht="37.5" x14ac:dyDescent="0.25">
      <c r="A173" s="322"/>
      <c r="B173" s="139" t="s">
        <v>170</v>
      </c>
      <c r="C173" s="141" t="s">
        <v>291</v>
      </c>
      <c r="D173" s="89" t="s">
        <v>221</v>
      </c>
      <c r="E173" s="176">
        <v>13</v>
      </c>
      <c r="F173" s="176">
        <v>13</v>
      </c>
      <c r="G173" s="176">
        <v>13</v>
      </c>
    </row>
    <row r="174" spans="1:7" ht="37.5" x14ac:dyDescent="0.25">
      <c r="A174" s="322"/>
      <c r="B174" s="107" t="s">
        <v>180</v>
      </c>
      <c r="C174" s="109" t="s">
        <v>292</v>
      </c>
      <c r="D174" s="84" t="s">
        <v>158</v>
      </c>
      <c r="E174" s="169">
        <f>E172/E173</f>
        <v>32.661538461538463</v>
      </c>
      <c r="F174" s="169">
        <f t="shared" ref="F174:G174" si="35">F172/F173</f>
        <v>28.769230769230774</v>
      </c>
      <c r="G174" s="169">
        <f t="shared" si="35"/>
        <v>153.84615384615384</v>
      </c>
    </row>
    <row r="175" spans="1:7" ht="18.75" x14ac:dyDescent="0.25">
      <c r="A175" s="323"/>
      <c r="B175" s="107" t="s">
        <v>171</v>
      </c>
      <c r="C175" s="85" t="s">
        <v>308</v>
      </c>
      <c r="D175" s="84" t="s">
        <v>183</v>
      </c>
      <c r="E175" s="170">
        <v>100</v>
      </c>
      <c r="F175" s="170">
        <v>100</v>
      </c>
      <c r="G175" s="170">
        <v>100</v>
      </c>
    </row>
    <row r="176" spans="1:7" ht="18.75" x14ac:dyDescent="0.25">
      <c r="A176" s="334" t="s">
        <v>428</v>
      </c>
      <c r="B176" s="137" t="s">
        <v>175</v>
      </c>
      <c r="C176" s="82" t="s">
        <v>310</v>
      </c>
      <c r="D176" s="137" t="s">
        <v>158</v>
      </c>
      <c r="E176" s="165">
        <f>Заходи!G135</f>
        <v>3361.2</v>
      </c>
      <c r="F176" s="165">
        <f>Заходи!J135</f>
        <v>0</v>
      </c>
      <c r="G176" s="165">
        <f>Заходи!M135</f>
        <v>27000</v>
      </c>
    </row>
    <row r="177" spans="1:7" ht="18.75" x14ac:dyDescent="0.25">
      <c r="A177" s="334"/>
      <c r="B177" s="139" t="s">
        <v>170</v>
      </c>
      <c r="C177" s="141" t="s">
        <v>309</v>
      </c>
      <c r="D177" s="91" t="s">
        <v>221</v>
      </c>
      <c r="E177" s="171">
        <v>3</v>
      </c>
      <c r="F177" s="171"/>
      <c r="G177" s="171">
        <v>2</v>
      </c>
    </row>
    <row r="178" spans="1:7" ht="37.5" x14ac:dyDescent="0.25">
      <c r="A178" s="334"/>
      <c r="B178" s="107" t="s">
        <v>180</v>
      </c>
      <c r="C178" s="109" t="s">
        <v>311</v>
      </c>
      <c r="D178" s="84" t="s">
        <v>158</v>
      </c>
      <c r="E178" s="138">
        <f>E176/E177</f>
        <v>1120.3999999999999</v>
      </c>
      <c r="F178" s="138"/>
      <c r="G178" s="138">
        <f t="shared" ref="G178" si="36">G176/G177</f>
        <v>13500</v>
      </c>
    </row>
    <row r="179" spans="1:7" ht="18.75" x14ac:dyDescent="0.25">
      <c r="A179" s="334"/>
      <c r="B179" s="107" t="s">
        <v>171</v>
      </c>
      <c r="C179" s="85" t="s">
        <v>308</v>
      </c>
      <c r="D179" s="84" t="s">
        <v>183</v>
      </c>
      <c r="E179" s="172">
        <v>100</v>
      </c>
      <c r="F179" s="172"/>
      <c r="G179" s="172">
        <v>100</v>
      </c>
    </row>
    <row r="180" spans="1:7" ht="39" x14ac:dyDescent="0.25">
      <c r="A180" s="81" t="s">
        <v>194</v>
      </c>
      <c r="B180" s="107"/>
      <c r="C180" s="122"/>
      <c r="D180" s="80"/>
      <c r="E180" s="162">
        <f>E182</f>
        <v>17592.5</v>
      </c>
      <c r="F180" s="162">
        <f t="shared" ref="F180:G180" si="37">F182</f>
        <v>19393.7</v>
      </c>
      <c r="G180" s="162">
        <f t="shared" si="37"/>
        <v>31580.5</v>
      </c>
    </row>
    <row r="181" spans="1:7" ht="37.5" x14ac:dyDescent="0.25">
      <c r="A181" s="85" t="s">
        <v>197</v>
      </c>
      <c r="B181" s="84"/>
      <c r="C181" s="86"/>
      <c r="D181" s="84"/>
      <c r="E181" s="163"/>
      <c r="F181" s="163"/>
      <c r="G181" s="163"/>
    </row>
    <row r="182" spans="1:7" ht="39" x14ac:dyDescent="0.35">
      <c r="A182" s="93" t="s">
        <v>198</v>
      </c>
      <c r="B182" s="87"/>
      <c r="C182" s="88"/>
      <c r="D182" s="88"/>
      <c r="E182" s="164">
        <f>E183+E187+E191+E195+E199+E203+E207</f>
        <v>17592.5</v>
      </c>
      <c r="F182" s="164">
        <f t="shared" ref="F182" si="38">F183+F187+F191+F195+F199+F203+F207</f>
        <v>19393.7</v>
      </c>
      <c r="G182" s="164">
        <f>G183+G187+G191+G195+G199+G203+G207</f>
        <v>31580.5</v>
      </c>
    </row>
    <row r="183" spans="1:7" ht="18.75" x14ac:dyDescent="0.25">
      <c r="A183" s="321" t="s">
        <v>55</v>
      </c>
      <c r="B183" s="137" t="s">
        <v>175</v>
      </c>
      <c r="C183" s="82" t="s">
        <v>314</v>
      </c>
      <c r="D183" s="99" t="s">
        <v>158</v>
      </c>
      <c r="E183" s="165">
        <f>Заходи!G143</f>
        <v>10689</v>
      </c>
      <c r="F183" s="165">
        <f>Заходи!J143</f>
        <v>13000</v>
      </c>
      <c r="G183" s="165">
        <f>Заходи!M143</f>
        <v>18307</v>
      </c>
    </row>
    <row r="184" spans="1:7" ht="18.75" x14ac:dyDescent="0.25">
      <c r="A184" s="322"/>
      <c r="B184" s="139" t="s">
        <v>170</v>
      </c>
      <c r="C184" s="141" t="s">
        <v>315</v>
      </c>
      <c r="D184" s="122" t="s">
        <v>221</v>
      </c>
      <c r="E184" s="176">
        <v>13</v>
      </c>
      <c r="F184" s="176">
        <v>38</v>
      </c>
      <c r="G184" s="176">
        <v>38</v>
      </c>
    </row>
    <row r="185" spans="1:7" ht="18.75" x14ac:dyDescent="0.25">
      <c r="A185" s="322"/>
      <c r="B185" s="107" t="s">
        <v>180</v>
      </c>
      <c r="C185" s="109" t="s">
        <v>316</v>
      </c>
      <c r="D185" s="107" t="s">
        <v>158</v>
      </c>
      <c r="E185" s="172">
        <f>E183/E184</f>
        <v>822.23076923076928</v>
      </c>
      <c r="F185" s="172">
        <f t="shared" ref="F185:G185" si="39">F183/F184</f>
        <v>342.10526315789474</v>
      </c>
      <c r="G185" s="172">
        <f t="shared" si="39"/>
        <v>481.76315789473682</v>
      </c>
    </row>
    <row r="186" spans="1:7" ht="18.75" x14ac:dyDescent="0.25">
      <c r="A186" s="323"/>
      <c r="B186" s="107" t="s">
        <v>171</v>
      </c>
      <c r="C186" s="85" t="s">
        <v>317</v>
      </c>
      <c r="D186" s="107" t="s">
        <v>183</v>
      </c>
      <c r="E186" s="170">
        <v>100</v>
      </c>
      <c r="F186" s="170">
        <v>100</v>
      </c>
      <c r="G186" s="170">
        <v>100</v>
      </c>
    </row>
    <row r="187" spans="1:7" ht="37.5" x14ac:dyDescent="0.25">
      <c r="A187" s="334" t="s">
        <v>199</v>
      </c>
      <c r="B187" s="137" t="s">
        <v>175</v>
      </c>
      <c r="C187" s="82" t="s">
        <v>318</v>
      </c>
      <c r="D187" s="137" t="s">
        <v>158</v>
      </c>
      <c r="E187" s="165">
        <f>Заходи!G147</f>
        <v>1905.3</v>
      </c>
      <c r="F187" s="165">
        <f>Заходи!J147</f>
        <v>1300</v>
      </c>
      <c r="G187" s="165">
        <f>Заходи!M147</f>
        <v>5655</v>
      </c>
    </row>
    <row r="188" spans="1:7" ht="37.5" x14ac:dyDescent="0.25">
      <c r="A188" s="334"/>
      <c r="B188" s="139" t="s">
        <v>170</v>
      </c>
      <c r="C188" s="141" t="s">
        <v>319</v>
      </c>
      <c r="D188" s="98" t="s">
        <v>221</v>
      </c>
      <c r="E188" s="171">
        <v>13</v>
      </c>
      <c r="F188" s="171">
        <v>13</v>
      </c>
      <c r="G188" s="171">
        <v>13</v>
      </c>
    </row>
    <row r="189" spans="1:7" ht="37.5" x14ac:dyDescent="0.25">
      <c r="A189" s="334"/>
      <c r="B189" s="107" t="s">
        <v>180</v>
      </c>
      <c r="C189" s="109" t="s">
        <v>320</v>
      </c>
      <c r="D189" s="84" t="s">
        <v>158</v>
      </c>
      <c r="E189" s="138">
        <f>E187/E188</f>
        <v>146.56153846153845</v>
      </c>
      <c r="F189" s="138">
        <f t="shared" ref="F189:G189" si="40">F187/F188</f>
        <v>100</v>
      </c>
      <c r="G189" s="138">
        <f t="shared" si="40"/>
        <v>435</v>
      </c>
    </row>
    <row r="190" spans="1:7" ht="18.75" x14ac:dyDescent="0.25">
      <c r="A190" s="334"/>
      <c r="B190" s="107" t="s">
        <v>171</v>
      </c>
      <c r="C190" s="110" t="s">
        <v>321</v>
      </c>
      <c r="D190" s="84" t="s">
        <v>183</v>
      </c>
      <c r="E190" s="172">
        <v>100</v>
      </c>
      <c r="F190" s="172">
        <v>100</v>
      </c>
      <c r="G190" s="172">
        <v>100</v>
      </c>
    </row>
    <row r="191" spans="1:7" ht="37.5" x14ac:dyDescent="0.25">
      <c r="A191" s="334" t="s">
        <v>57</v>
      </c>
      <c r="B191" s="137" t="s">
        <v>175</v>
      </c>
      <c r="C191" s="82" t="s">
        <v>185</v>
      </c>
      <c r="D191" s="137" t="s">
        <v>158</v>
      </c>
      <c r="E191" s="165">
        <f>Заходи!G151</f>
        <v>4600</v>
      </c>
      <c r="F191" s="165">
        <f>Заходи!J151</f>
        <v>4800</v>
      </c>
      <c r="G191" s="165">
        <f>Заходи!M151</f>
        <v>6960</v>
      </c>
    </row>
    <row r="192" spans="1:7" ht="18.75" x14ac:dyDescent="0.25">
      <c r="A192" s="334"/>
      <c r="B192" s="139" t="s">
        <v>170</v>
      </c>
      <c r="C192" s="109" t="s">
        <v>322</v>
      </c>
      <c r="D192" s="102" t="s">
        <v>221</v>
      </c>
      <c r="E192" s="171">
        <v>1600</v>
      </c>
      <c r="F192" s="171">
        <v>1600</v>
      </c>
      <c r="G192" s="171">
        <v>1600</v>
      </c>
    </row>
    <row r="193" spans="1:7" ht="18.75" x14ac:dyDescent="0.25">
      <c r="A193" s="334"/>
      <c r="B193" s="107" t="s">
        <v>180</v>
      </c>
      <c r="C193" s="109" t="s">
        <v>329</v>
      </c>
      <c r="D193" s="84" t="s">
        <v>158</v>
      </c>
      <c r="E193" s="138">
        <f>E191/E192</f>
        <v>2.875</v>
      </c>
      <c r="F193" s="138">
        <f t="shared" ref="F193:G193" si="41">F191/F192</f>
        <v>3</v>
      </c>
      <c r="G193" s="138">
        <f t="shared" si="41"/>
        <v>4.3499999999999996</v>
      </c>
    </row>
    <row r="194" spans="1:7" ht="18.75" x14ac:dyDescent="0.25">
      <c r="A194" s="334"/>
      <c r="B194" s="107" t="s">
        <v>171</v>
      </c>
      <c r="C194" s="110" t="s">
        <v>323</v>
      </c>
      <c r="D194" s="84" t="s">
        <v>183</v>
      </c>
      <c r="E194" s="172">
        <v>100</v>
      </c>
      <c r="F194" s="172">
        <v>100</v>
      </c>
      <c r="G194" s="172">
        <v>100</v>
      </c>
    </row>
    <row r="195" spans="1:7" ht="18.75" x14ac:dyDescent="0.25">
      <c r="A195" s="321" t="s">
        <v>58</v>
      </c>
      <c r="B195" s="137" t="s">
        <v>175</v>
      </c>
      <c r="C195" s="82" t="s">
        <v>324</v>
      </c>
      <c r="D195" s="137" t="s">
        <v>158</v>
      </c>
      <c r="E195" s="165">
        <f>Заходи!G155</f>
        <v>193.2</v>
      </c>
      <c r="F195" s="165">
        <f>Заходи!J155</f>
        <v>253.7</v>
      </c>
      <c r="G195" s="165">
        <f>Заходи!M155</f>
        <v>476.7</v>
      </c>
    </row>
    <row r="196" spans="1:7" ht="18.75" x14ac:dyDescent="0.25">
      <c r="A196" s="322"/>
      <c r="B196" s="139" t="s">
        <v>170</v>
      </c>
      <c r="C196" s="109" t="s">
        <v>325</v>
      </c>
      <c r="D196" s="97" t="s">
        <v>326</v>
      </c>
      <c r="E196" s="167">
        <v>43</v>
      </c>
      <c r="F196" s="167">
        <v>49</v>
      </c>
      <c r="G196" s="167">
        <v>90</v>
      </c>
    </row>
    <row r="197" spans="1:7" ht="18.75" x14ac:dyDescent="0.25">
      <c r="A197" s="322"/>
      <c r="B197" s="107" t="s">
        <v>180</v>
      </c>
      <c r="C197" s="109" t="s">
        <v>327</v>
      </c>
      <c r="D197" s="84" t="s">
        <v>205</v>
      </c>
      <c r="E197" s="169">
        <f>E195/E196*1000</f>
        <v>4493.0232558139533</v>
      </c>
      <c r="F197" s="169">
        <f t="shared" ref="F197:G197" si="42">F195/F196*1000</f>
        <v>5177.5510204081638</v>
      </c>
      <c r="G197" s="169">
        <f t="shared" si="42"/>
        <v>5296.666666666667</v>
      </c>
    </row>
    <row r="198" spans="1:7" ht="18.75" x14ac:dyDescent="0.25">
      <c r="A198" s="323"/>
      <c r="B198" s="107" t="s">
        <v>171</v>
      </c>
      <c r="C198" s="85" t="s">
        <v>328</v>
      </c>
      <c r="D198" s="84" t="s">
        <v>183</v>
      </c>
      <c r="E198" s="170">
        <v>100</v>
      </c>
      <c r="F198" s="170">
        <v>100</v>
      </c>
      <c r="G198" s="170">
        <v>100</v>
      </c>
    </row>
    <row r="199" spans="1:7" ht="18.75" x14ac:dyDescent="0.25">
      <c r="A199" s="334" t="s">
        <v>59</v>
      </c>
      <c r="B199" s="137" t="s">
        <v>175</v>
      </c>
      <c r="C199" s="82" t="s">
        <v>330</v>
      </c>
      <c r="D199" s="137" t="s">
        <v>158</v>
      </c>
      <c r="E199" s="165">
        <f>Заходи!G159</f>
        <v>55</v>
      </c>
      <c r="F199" s="165">
        <f>Заходи!J159</f>
        <v>40</v>
      </c>
      <c r="G199" s="165">
        <f>Заходи!M159</f>
        <v>71.2</v>
      </c>
    </row>
    <row r="200" spans="1:7" ht="18.75" x14ac:dyDescent="0.25">
      <c r="A200" s="334"/>
      <c r="B200" s="139" t="s">
        <v>170</v>
      </c>
      <c r="C200" s="108" t="s">
        <v>331</v>
      </c>
      <c r="D200" s="98" t="s">
        <v>221</v>
      </c>
      <c r="E200" s="171">
        <v>4</v>
      </c>
      <c r="F200" s="171">
        <v>4</v>
      </c>
      <c r="G200" s="171">
        <v>4</v>
      </c>
    </row>
    <row r="201" spans="1:7" ht="18.75" x14ac:dyDescent="0.25">
      <c r="A201" s="334"/>
      <c r="B201" s="107" t="s">
        <v>180</v>
      </c>
      <c r="C201" s="85" t="s">
        <v>332</v>
      </c>
      <c r="D201" s="84" t="s">
        <v>158</v>
      </c>
      <c r="E201" s="138">
        <f>E199/E200</f>
        <v>13.75</v>
      </c>
      <c r="F201" s="138">
        <f t="shared" ref="F201:G201" si="43">F199/F200</f>
        <v>10</v>
      </c>
      <c r="G201" s="138">
        <f t="shared" si="43"/>
        <v>17.8</v>
      </c>
    </row>
    <row r="202" spans="1:7" ht="18.75" x14ac:dyDescent="0.25">
      <c r="A202" s="334"/>
      <c r="B202" s="107" t="s">
        <v>171</v>
      </c>
      <c r="C202" s="110" t="s">
        <v>333</v>
      </c>
      <c r="D202" s="84" t="s">
        <v>183</v>
      </c>
      <c r="E202" s="170">
        <v>100</v>
      </c>
      <c r="F202" s="170">
        <v>100</v>
      </c>
      <c r="G202" s="170">
        <v>100</v>
      </c>
    </row>
    <row r="203" spans="1:7" ht="56.25" x14ac:dyDescent="0.25">
      <c r="A203" s="334" t="s">
        <v>60</v>
      </c>
      <c r="B203" s="137" t="s">
        <v>175</v>
      </c>
      <c r="C203" s="82" t="s">
        <v>334</v>
      </c>
      <c r="D203" s="137" t="s">
        <v>158</v>
      </c>
      <c r="E203" s="165">
        <f>Заходи!G163</f>
        <v>150</v>
      </c>
      <c r="F203" s="165">
        <f>Заходи!J163</f>
        <v>0</v>
      </c>
      <c r="G203" s="165">
        <f>Заходи!M163</f>
        <v>0</v>
      </c>
    </row>
    <row r="204" spans="1:7" ht="18.75" x14ac:dyDescent="0.25">
      <c r="A204" s="334"/>
      <c r="B204" s="139" t="s">
        <v>170</v>
      </c>
      <c r="C204" s="109" t="s">
        <v>335</v>
      </c>
      <c r="D204" s="102" t="s">
        <v>326</v>
      </c>
      <c r="E204" s="171">
        <v>42</v>
      </c>
      <c r="F204" s="171">
        <v>0</v>
      </c>
      <c r="G204" s="171">
        <v>0</v>
      </c>
    </row>
    <row r="205" spans="1:7" ht="18.75" x14ac:dyDescent="0.25">
      <c r="A205" s="334"/>
      <c r="B205" s="107" t="s">
        <v>180</v>
      </c>
      <c r="C205" s="85" t="s">
        <v>336</v>
      </c>
      <c r="D205" s="102" t="s">
        <v>158</v>
      </c>
      <c r="E205" s="182">
        <f>E203/E204</f>
        <v>3.5714285714285716</v>
      </c>
      <c r="F205" s="182">
        <v>0</v>
      </c>
      <c r="G205" s="182">
        <v>0</v>
      </c>
    </row>
    <row r="206" spans="1:7" ht="18.75" x14ac:dyDescent="0.25">
      <c r="A206" s="334"/>
      <c r="B206" s="107" t="s">
        <v>171</v>
      </c>
      <c r="C206" s="110" t="s">
        <v>337</v>
      </c>
      <c r="D206" s="84" t="s">
        <v>183</v>
      </c>
      <c r="E206" s="172">
        <v>100</v>
      </c>
      <c r="F206" s="172">
        <v>0</v>
      </c>
      <c r="G206" s="172">
        <v>0</v>
      </c>
    </row>
    <row r="207" spans="1:7" ht="37.5" x14ac:dyDescent="0.25">
      <c r="A207" s="321" t="s">
        <v>338</v>
      </c>
      <c r="B207" s="137" t="s">
        <v>175</v>
      </c>
      <c r="C207" s="82" t="s">
        <v>339</v>
      </c>
      <c r="D207" s="137" t="s">
        <v>158</v>
      </c>
      <c r="E207" s="165">
        <f>Заходи!G167</f>
        <v>0</v>
      </c>
      <c r="F207" s="165">
        <f>Заходи!J167</f>
        <v>0</v>
      </c>
      <c r="G207" s="165">
        <f>Заходи!M167</f>
        <v>110.6</v>
      </c>
    </row>
    <row r="208" spans="1:7" ht="18.75" x14ac:dyDescent="0.25">
      <c r="A208" s="322"/>
      <c r="B208" s="139" t="s">
        <v>170</v>
      </c>
      <c r="C208" s="108" t="s">
        <v>303</v>
      </c>
      <c r="D208" s="97" t="s">
        <v>221</v>
      </c>
      <c r="E208" s="176">
        <v>12</v>
      </c>
      <c r="F208" s="176">
        <v>12</v>
      </c>
      <c r="G208" s="176">
        <v>12</v>
      </c>
    </row>
    <row r="209" spans="1:7" ht="18.75" x14ac:dyDescent="0.25">
      <c r="A209" s="322"/>
      <c r="B209" s="107" t="s">
        <v>180</v>
      </c>
      <c r="C209" s="85" t="s">
        <v>305</v>
      </c>
      <c r="D209" s="84" t="s">
        <v>158</v>
      </c>
      <c r="E209" s="169">
        <f>E207/E208</f>
        <v>0</v>
      </c>
      <c r="F209" s="169">
        <f t="shared" ref="F209:G209" si="44">F207/F208</f>
        <v>0</v>
      </c>
      <c r="G209" s="169">
        <f t="shared" si="44"/>
        <v>9.2166666666666668</v>
      </c>
    </row>
    <row r="210" spans="1:7" ht="18.75" x14ac:dyDescent="0.25">
      <c r="A210" s="323"/>
      <c r="B210" s="107" t="s">
        <v>171</v>
      </c>
      <c r="C210" s="85" t="s">
        <v>306</v>
      </c>
      <c r="D210" s="84" t="s">
        <v>183</v>
      </c>
      <c r="E210" s="170">
        <v>100</v>
      </c>
      <c r="F210" s="170">
        <v>100</v>
      </c>
      <c r="G210" s="170">
        <v>100</v>
      </c>
    </row>
    <row r="211" spans="1:7" ht="39" x14ac:dyDescent="0.25">
      <c r="A211" s="95" t="s">
        <v>368</v>
      </c>
      <c r="B211" s="107"/>
      <c r="C211" s="122"/>
      <c r="D211" s="80"/>
      <c r="E211" s="162">
        <f>E213</f>
        <v>7430</v>
      </c>
      <c r="F211" s="162">
        <f t="shared" ref="F211:G211" si="45">F213</f>
        <v>6769.3</v>
      </c>
      <c r="G211" s="162">
        <f t="shared" si="45"/>
        <v>17230</v>
      </c>
    </row>
    <row r="212" spans="1:7" ht="37.5" x14ac:dyDescent="0.25">
      <c r="A212" s="85" t="s">
        <v>197</v>
      </c>
      <c r="B212" s="107"/>
      <c r="C212" s="108"/>
      <c r="D212" s="84"/>
      <c r="E212" s="163"/>
      <c r="F212" s="163"/>
      <c r="G212" s="163"/>
    </row>
    <row r="213" spans="1:7" ht="39" x14ac:dyDescent="0.35">
      <c r="A213" s="93" t="s">
        <v>62</v>
      </c>
      <c r="B213" s="123"/>
      <c r="C213" s="124"/>
      <c r="D213" s="88"/>
      <c r="E213" s="164">
        <f>E214+E218+E222+E226+E230+E234+E238</f>
        <v>7430</v>
      </c>
      <c r="F213" s="164">
        <f>F214+F218+F222+F226+F230+F234+F238</f>
        <v>6769.3</v>
      </c>
      <c r="G213" s="164">
        <f>G214+G218+G222+G226+G230+G234+G238</f>
        <v>17230</v>
      </c>
    </row>
    <row r="214" spans="1:7" ht="56.25" x14ac:dyDescent="0.25">
      <c r="A214" s="321" t="s">
        <v>64</v>
      </c>
      <c r="B214" s="137" t="s">
        <v>175</v>
      </c>
      <c r="C214" s="82" t="s">
        <v>340</v>
      </c>
      <c r="D214" s="137" t="s">
        <v>158</v>
      </c>
      <c r="E214" s="165">
        <f>Заходи!G175</f>
        <v>680</v>
      </c>
      <c r="F214" s="165">
        <f>Заходи!J175</f>
        <v>515</v>
      </c>
      <c r="G214" s="165">
        <f>Заходи!M175</f>
        <v>1638.3</v>
      </c>
    </row>
    <row r="215" spans="1:7" ht="36.75" customHeight="1" x14ac:dyDescent="0.25">
      <c r="A215" s="322"/>
      <c r="B215" s="139" t="s">
        <v>170</v>
      </c>
      <c r="C215" s="109" t="s">
        <v>341</v>
      </c>
      <c r="D215" s="103" t="s">
        <v>221</v>
      </c>
      <c r="E215" s="167">
        <v>92016</v>
      </c>
      <c r="F215" s="167">
        <v>155760</v>
      </c>
      <c r="G215" s="167">
        <v>155760</v>
      </c>
    </row>
    <row r="216" spans="1:7" ht="41.25" customHeight="1" x14ac:dyDescent="0.25">
      <c r="A216" s="322"/>
      <c r="B216" s="107" t="s">
        <v>180</v>
      </c>
      <c r="C216" s="109" t="s">
        <v>342</v>
      </c>
      <c r="D216" s="84" t="s">
        <v>158</v>
      </c>
      <c r="E216" s="169">
        <f>E214/E215</f>
        <v>7.3900191271083293E-3</v>
      </c>
      <c r="F216" s="169">
        <f t="shared" ref="F216:G216" si="46">F214/F215</f>
        <v>3.3063687724704674E-3</v>
      </c>
      <c r="G216" s="169">
        <f t="shared" si="46"/>
        <v>1.0518104776579353E-2</v>
      </c>
    </row>
    <row r="217" spans="1:7" ht="18.75" x14ac:dyDescent="0.25">
      <c r="A217" s="323"/>
      <c r="B217" s="107" t="s">
        <v>171</v>
      </c>
      <c r="C217" s="85" t="s">
        <v>343</v>
      </c>
      <c r="D217" s="84" t="s">
        <v>183</v>
      </c>
      <c r="E217" s="170">
        <v>100</v>
      </c>
      <c r="F217" s="170">
        <v>100</v>
      </c>
      <c r="G217" s="170">
        <v>100</v>
      </c>
    </row>
    <row r="218" spans="1:7" ht="37.5" x14ac:dyDescent="0.25">
      <c r="A218" s="334" t="s">
        <v>344</v>
      </c>
      <c r="B218" s="137" t="s">
        <v>175</v>
      </c>
      <c r="C218" s="82" t="s">
        <v>345</v>
      </c>
      <c r="D218" s="137" t="s">
        <v>158</v>
      </c>
      <c r="E218" s="165">
        <f>Заходи!G180</f>
        <v>3820</v>
      </c>
      <c r="F218" s="165">
        <f>Заходи!J180</f>
        <v>4178.3</v>
      </c>
      <c r="G218" s="165">
        <f>Заходи!M180</f>
        <v>7500</v>
      </c>
    </row>
    <row r="219" spans="1:7" ht="18.75" x14ac:dyDescent="0.25">
      <c r="A219" s="334"/>
      <c r="B219" s="139" t="s">
        <v>170</v>
      </c>
      <c r="C219" s="109" t="s">
        <v>346</v>
      </c>
      <c r="D219" s="102" t="s">
        <v>221</v>
      </c>
      <c r="E219" s="171">
        <v>390</v>
      </c>
      <c r="F219" s="171">
        <v>390</v>
      </c>
      <c r="G219" s="171">
        <v>390</v>
      </c>
    </row>
    <row r="220" spans="1:7" ht="18.75" x14ac:dyDescent="0.25">
      <c r="A220" s="334"/>
      <c r="B220" s="107" t="s">
        <v>180</v>
      </c>
      <c r="C220" s="85" t="s">
        <v>348</v>
      </c>
      <c r="D220" s="102" t="s">
        <v>158</v>
      </c>
      <c r="E220" s="172">
        <f>E218/E219</f>
        <v>9.7948717948717956</v>
      </c>
      <c r="F220" s="172">
        <f t="shared" ref="F220:G220" si="47">F218/F219</f>
        <v>10.713589743589743</v>
      </c>
      <c r="G220" s="172">
        <f t="shared" si="47"/>
        <v>19.23076923076923</v>
      </c>
    </row>
    <row r="221" spans="1:7" ht="18.75" x14ac:dyDescent="0.25">
      <c r="A221" s="334"/>
      <c r="B221" s="107" t="s">
        <v>171</v>
      </c>
      <c r="C221" s="110" t="s">
        <v>347</v>
      </c>
      <c r="D221" s="84" t="s">
        <v>183</v>
      </c>
      <c r="E221" s="170">
        <v>100</v>
      </c>
      <c r="F221" s="170">
        <v>100</v>
      </c>
      <c r="G221" s="170">
        <v>100</v>
      </c>
    </row>
    <row r="222" spans="1:7" ht="18.75" x14ac:dyDescent="0.25">
      <c r="A222" s="334" t="s">
        <v>66</v>
      </c>
      <c r="B222" s="137" t="s">
        <v>175</v>
      </c>
      <c r="C222" s="82" t="s">
        <v>349</v>
      </c>
      <c r="D222" s="137" t="s">
        <v>158</v>
      </c>
      <c r="E222" s="165">
        <f>Заходи!G183</f>
        <v>100</v>
      </c>
      <c r="F222" s="165">
        <f>Заходи!J183</f>
        <v>100</v>
      </c>
      <c r="G222" s="165">
        <f>Заходи!M183</f>
        <v>331.7</v>
      </c>
    </row>
    <row r="223" spans="1:7" ht="18.75" x14ac:dyDescent="0.25">
      <c r="A223" s="334"/>
      <c r="B223" s="139" t="s">
        <v>170</v>
      </c>
      <c r="C223" s="108" t="s">
        <v>352</v>
      </c>
      <c r="D223" s="102" t="s">
        <v>221</v>
      </c>
      <c r="E223" s="171">
        <v>55</v>
      </c>
      <c r="F223" s="171">
        <v>140</v>
      </c>
      <c r="G223" s="171">
        <v>135</v>
      </c>
    </row>
    <row r="224" spans="1:7" ht="18.75" x14ac:dyDescent="0.25">
      <c r="A224" s="334"/>
      <c r="B224" s="107" t="s">
        <v>180</v>
      </c>
      <c r="C224" s="85" t="s">
        <v>351</v>
      </c>
      <c r="D224" s="84" t="s">
        <v>158</v>
      </c>
      <c r="E224" s="138">
        <f t="shared" ref="E224" si="48">E222/E223</f>
        <v>1.8181818181818181</v>
      </c>
      <c r="F224" s="138">
        <f t="shared" ref="F224" si="49">F222/F223</f>
        <v>0.7142857142857143</v>
      </c>
      <c r="G224" s="138">
        <f t="shared" ref="G224" si="50">G222/G223</f>
        <v>2.4570370370370371</v>
      </c>
    </row>
    <row r="225" spans="1:7" ht="18.75" x14ac:dyDescent="0.25">
      <c r="A225" s="334"/>
      <c r="B225" s="107" t="s">
        <v>171</v>
      </c>
      <c r="C225" s="110" t="s">
        <v>350</v>
      </c>
      <c r="D225" s="84" t="s">
        <v>183</v>
      </c>
      <c r="E225" s="170">
        <v>100</v>
      </c>
      <c r="F225" s="170">
        <v>100</v>
      </c>
      <c r="G225" s="170">
        <v>100</v>
      </c>
    </row>
    <row r="226" spans="1:7" ht="56.25" x14ac:dyDescent="0.25">
      <c r="A226" s="321" t="s">
        <v>67</v>
      </c>
      <c r="B226" s="137" t="s">
        <v>175</v>
      </c>
      <c r="C226" s="82" t="s">
        <v>353</v>
      </c>
      <c r="D226" s="137" t="s">
        <v>158</v>
      </c>
      <c r="E226" s="165">
        <f>Заходи!G187</f>
        <v>500</v>
      </c>
      <c r="F226" s="165">
        <f>Заходи!J187</f>
        <v>516</v>
      </c>
      <c r="G226" s="165">
        <f>Заходи!M187</f>
        <v>5000</v>
      </c>
    </row>
    <row r="227" spans="1:7" ht="18.75" x14ac:dyDescent="0.25">
      <c r="A227" s="322"/>
      <c r="B227" s="139" t="s">
        <v>170</v>
      </c>
      <c r="C227" s="109" t="s">
        <v>354</v>
      </c>
      <c r="D227" s="103" t="s">
        <v>355</v>
      </c>
      <c r="E227" s="167">
        <v>685</v>
      </c>
      <c r="F227" s="167">
        <v>802</v>
      </c>
      <c r="G227" s="167">
        <v>2000</v>
      </c>
    </row>
    <row r="228" spans="1:7" ht="18.75" x14ac:dyDescent="0.25">
      <c r="A228" s="322"/>
      <c r="B228" s="107" t="s">
        <v>180</v>
      </c>
      <c r="C228" s="109" t="s">
        <v>356</v>
      </c>
      <c r="D228" s="84" t="s">
        <v>158</v>
      </c>
      <c r="E228" s="169">
        <f>E226/E227</f>
        <v>0.72992700729927007</v>
      </c>
      <c r="F228" s="169">
        <f t="shared" ref="F228:G228" si="51">F226/F227</f>
        <v>0.64339152119700749</v>
      </c>
      <c r="G228" s="169">
        <f t="shared" si="51"/>
        <v>2.5</v>
      </c>
    </row>
    <row r="229" spans="1:7" ht="18.75" x14ac:dyDescent="0.25">
      <c r="A229" s="323"/>
      <c r="B229" s="107" t="s">
        <v>171</v>
      </c>
      <c r="C229" s="85" t="s">
        <v>357</v>
      </c>
      <c r="D229" s="84" t="s">
        <v>183</v>
      </c>
      <c r="E229" s="170">
        <v>100</v>
      </c>
      <c r="F229" s="170">
        <v>100</v>
      </c>
      <c r="G229" s="170">
        <v>100</v>
      </c>
    </row>
    <row r="230" spans="1:7" ht="37.5" x14ac:dyDescent="0.25">
      <c r="A230" s="334" t="s">
        <v>68</v>
      </c>
      <c r="B230" s="137" t="s">
        <v>175</v>
      </c>
      <c r="C230" s="82" t="s">
        <v>358</v>
      </c>
      <c r="D230" s="137" t="s">
        <v>158</v>
      </c>
      <c r="E230" s="165">
        <f>Заходи!G191</f>
        <v>1290</v>
      </c>
      <c r="F230" s="165">
        <f>Заходи!J191</f>
        <v>950</v>
      </c>
      <c r="G230" s="165">
        <f>Заходи!M191</f>
        <v>1660</v>
      </c>
    </row>
    <row r="231" spans="1:7" ht="18.75" x14ac:dyDescent="0.25">
      <c r="A231" s="334"/>
      <c r="B231" s="139" t="s">
        <v>170</v>
      </c>
      <c r="C231" s="109" t="s">
        <v>354</v>
      </c>
      <c r="D231" s="103" t="s">
        <v>355</v>
      </c>
      <c r="E231" s="171">
        <v>2969</v>
      </c>
      <c r="F231" s="171">
        <v>4812</v>
      </c>
      <c r="G231" s="171">
        <v>4539.95</v>
      </c>
    </row>
    <row r="232" spans="1:7" ht="18.75" x14ac:dyDescent="0.25">
      <c r="A232" s="334"/>
      <c r="B232" s="107" t="s">
        <v>180</v>
      </c>
      <c r="C232" s="109" t="s">
        <v>356</v>
      </c>
      <c r="D232" s="102" t="s">
        <v>158</v>
      </c>
      <c r="E232" s="138">
        <f>E230/E231</f>
        <v>0.43448972718086898</v>
      </c>
      <c r="F232" s="138">
        <f t="shared" ref="F232:G232" si="52">F230/F231</f>
        <v>0.1974231088944306</v>
      </c>
      <c r="G232" s="138">
        <f t="shared" si="52"/>
        <v>0.36564279342283507</v>
      </c>
    </row>
    <row r="233" spans="1:7" ht="18.75" x14ac:dyDescent="0.25">
      <c r="A233" s="334"/>
      <c r="B233" s="107" t="s">
        <v>171</v>
      </c>
      <c r="C233" s="85" t="s">
        <v>357</v>
      </c>
      <c r="D233" s="84" t="s">
        <v>183</v>
      </c>
      <c r="E233" s="170">
        <v>100</v>
      </c>
      <c r="F233" s="170">
        <v>100</v>
      </c>
      <c r="G233" s="170">
        <v>100</v>
      </c>
    </row>
    <row r="234" spans="1:7" ht="18.75" x14ac:dyDescent="0.25">
      <c r="A234" s="334" t="s">
        <v>312</v>
      </c>
      <c r="B234" s="137" t="s">
        <v>175</v>
      </c>
      <c r="C234" s="82" t="s">
        <v>359</v>
      </c>
      <c r="D234" s="137" t="s">
        <v>158</v>
      </c>
      <c r="E234" s="165">
        <f>Заходи!G195</f>
        <v>540</v>
      </c>
      <c r="F234" s="165">
        <f>Заходи!J195</f>
        <v>510</v>
      </c>
      <c r="G234" s="165">
        <f>Заходи!M195</f>
        <v>1100</v>
      </c>
    </row>
    <row r="235" spans="1:7" ht="18.75" x14ac:dyDescent="0.25">
      <c r="A235" s="334"/>
      <c r="B235" s="139" t="s">
        <v>170</v>
      </c>
      <c r="C235" s="109" t="s">
        <v>360</v>
      </c>
      <c r="D235" s="102" t="s">
        <v>361</v>
      </c>
      <c r="E235" s="182">
        <v>231.6</v>
      </c>
      <c r="F235" s="182">
        <v>321.60000000000002</v>
      </c>
      <c r="G235" s="182">
        <v>321.60000000000002</v>
      </c>
    </row>
    <row r="236" spans="1:7" ht="37.5" x14ac:dyDescent="0.25">
      <c r="A236" s="334"/>
      <c r="B236" s="107" t="s">
        <v>180</v>
      </c>
      <c r="C236" s="109" t="s">
        <v>363</v>
      </c>
      <c r="D236" s="101" t="s">
        <v>362</v>
      </c>
      <c r="E236" s="138">
        <f>E234/E235</f>
        <v>2.3316062176165802</v>
      </c>
      <c r="F236" s="138">
        <f t="shared" ref="F236:G236" si="53">F234/F235</f>
        <v>1.585820895522388</v>
      </c>
      <c r="G236" s="138">
        <f t="shared" si="53"/>
        <v>3.4203980099502487</v>
      </c>
    </row>
    <row r="237" spans="1:7" ht="18.75" x14ac:dyDescent="0.25">
      <c r="A237" s="334"/>
      <c r="B237" s="107" t="s">
        <v>171</v>
      </c>
      <c r="C237" s="110" t="s">
        <v>364</v>
      </c>
      <c r="D237" s="84" t="s">
        <v>183</v>
      </c>
      <c r="E237" s="170">
        <v>100</v>
      </c>
      <c r="F237" s="170">
        <v>100</v>
      </c>
      <c r="G237" s="170">
        <v>100</v>
      </c>
    </row>
    <row r="238" spans="1:7" ht="56.25" x14ac:dyDescent="0.25">
      <c r="A238" s="321" t="s">
        <v>69</v>
      </c>
      <c r="B238" s="137" t="s">
        <v>175</v>
      </c>
      <c r="C238" s="82" t="s">
        <v>176</v>
      </c>
      <c r="D238" s="137" t="s">
        <v>158</v>
      </c>
      <c r="E238" s="165">
        <f>Заходи!G199</f>
        <v>500</v>
      </c>
      <c r="F238" s="165">
        <f>Заходи!J199</f>
        <v>0</v>
      </c>
      <c r="G238" s="165">
        <f>Заходи!M199</f>
        <v>0</v>
      </c>
    </row>
    <row r="239" spans="1:7" ht="18.75" x14ac:dyDescent="0.25">
      <c r="A239" s="322"/>
      <c r="B239" s="139" t="s">
        <v>170</v>
      </c>
      <c r="C239" s="108" t="s">
        <v>365</v>
      </c>
      <c r="D239" s="103" t="s">
        <v>355</v>
      </c>
      <c r="E239" s="167">
        <v>3210</v>
      </c>
      <c r="F239" s="167">
        <v>0</v>
      </c>
      <c r="G239" s="167">
        <v>0</v>
      </c>
    </row>
    <row r="240" spans="1:7" ht="18.75" x14ac:dyDescent="0.25">
      <c r="A240" s="322"/>
      <c r="B240" s="107" t="s">
        <v>180</v>
      </c>
      <c r="C240" s="85" t="s">
        <v>366</v>
      </c>
      <c r="D240" s="84" t="s">
        <v>158</v>
      </c>
      <c r="E240" s="169">
        <f>E238/E239</f>
        <v>0.1557632398753894</v>
      </c>
      <c r="F240" s="169">
        <v>0</v>
      </c>
      <c r="G240" s="169">
        <v>0</v>
      </c>
    </row>
    <row r="241" spans="1:7" ht="18.75" x14ac:dyDescent="0.25">
      <c r="A241" s="323"/>
      <c r="B241" s="107" t="s">
        <v>171</v>
      </c>
      <c r="C241" s="85" t="s">
        <v>367</v>
      </c>
      <c r="D241" s="84" t="s">
        <v>183</v>
      </c>
      <c r="E241" s="170">
        <v>100</v>
      </c>
      <c r="F241" s="170">
        <v>100</v>
      </c>
      <c r="G241" s="170">
        <v>100</v>
      </c>
    </row>
    <row r="242" spans="1:7" ht="19.5" x14ac:dyDescent="0.25">
      <c r="A242" s="95" t="s">
        <v>370</v>
      </c>
      <c r="B242" s="107"/>
      <c r="C242" s="122"/>
      <c r="D242" s="103"/>
      <c r="E242" s="162">
        <f>E244</f>
        <v>10417.199999999999</v>
      </c>
      <c r="F242" s="162">
        <f t="shared" ref="F242:G242" si="54">F244</f>
        <v>7983.7</v>
      </c>
      <c r="G242" s="162">
        <f t="shared" si="54"/>
        <v>13847.8</v>
      </c>
    </row>
    <row r="243" spans="1:7" ht="37.5" x14ac:dyDescent="0.25">
      <c r="A243" s="85" t="s">
        <v>197</v>
      </c>
      <c r="B243" s="107"/>
      <c r="C243" s="108"/>
      <c r="D243" s="102"/>
      <c r="E243" s="163"/>
      <c r="F243" s="163"/>
      <c r="G243" s="163"/>
    </row>
    <row r="244" spans="1:7" ht="19.5" x14ac:dyDescent="0.35">
      <c r="A244" s="93" t="s">
        <v>369</v>
      </c>
      <c r="B244" s="123"/>
      <c r="C244" s="124"/>
      <c r="D244" s="88"/>
      <c r="E244" s="164">
        <f>E245+E249+E253+E257+E261+E265+E269+E273+E277+E281</f>
        <v>10417.199999999999</v>
      </c>
      <c r="F244" s="164">
        <f t="shared" ref="F244:G244" si="55">F245+F249+F253+F257+F261+F265+F269+F273+F277+F281</f>
        <v>7983.7</v>
      </c>
      <c r="G244" s="164">
        <f t="shared" si="55"/>
        <v>13847.8</v>
      </c>
    </row>
    <row r="245" spans="1:7" ht="37.5" x14ac:dyDescent="0.25">
      <c r="A245" s="321" t="s">
        <v>72</v>
      </c>
      <c r="B245" s="137" t="s">
        <v>175</v>
      </c>
      <c r="C245" s="82" t="s">
        <v>371</v>
      </c>
      <c r="D245" s="137" t="s">
        <v>158</v>
      </c>
      <c r="E245" s="165">
        <f>Заходи!G207</f>
        <v>507.5</v>
      </c>
      <c r="F245" s="165">
        <f>Заходи!J207</f>
        <v>660</v>
      </c>
      <c r="G245" s="165">
        <f>Заходи!M207</f>
        <v>877</v>
      </c>
    </row>
    <row r="246" spans="1:7" ht="37.5" x14ac:dyDescent="0.25">
      <c r="A246" s="322"/>
      <c r="B246" s="139" t="s">
        <v>170</v>
      </c>
      <c r="C246" s="109" t="s">
        <v>372</v>
      </c>
      <c r="D246" s="103" t="s">
        <v>304</v>
      </c>
      <c r="E246" s="176">
        <v>12</v>
      </c>
      <c r="F246" s="176">
        <v>12</v>
      </c>
      <c r="G246" s="176">
        <v>12</v>
      </c>
    </row>
    <row r="247" spans="1:7" ht="34.5" customHeight="1" x14ac:dyDescent="0.25">
      <c r="A247" s="322"/>
      <c r="B247" s="107" t="s">
        <v>180</v>
      </c>
      <c r="C247" s="109" t="s">
        <v>373</v>
      </c>
      <c r="D247" s="102" t="s">
        <v>158</v>
      </c>
      <c r="E247" s="169">
        <f>E245/E246</f>
        <v>42.291666666666664</v>
      </c>
      <c r="F247" s="169">
        <f t="shared" ref="F247:G247" si="56">F245/F246</f>
        <v>55</v>
      </c>
      <c r="G247" s="169">
        <f t="shared" si="56"/>
        <v>73.083333333333329</v>
      </c>
    </row>
    <row r="248" spans="1:7" ht="18.75" x14ac:dyDescent="0.25">
      <c r="A248" s="323"/>
      <c r="B248" s="107" t="s">
        <v>171</v>
      </c>
      <c r="C248" s="85" t="s">
        <v>374</v>
      </c>
      <c r="D248" s="102" t="s">
        <v>183</v>
      </c>
      <c r="E248" s="170">
        <v>100</v>
      </c>
      <c r="F248" s="170">
        <v>100</v>
      </c>
      <c r="G248" s="170">
        <v>100</v>
      </c>
    </row>
    <row r="249" spans="1:7" ht="37.5" x14ac:dyDescent="0.25">
      <c r="A249" s="334" t="s">
        <v>73</v>
      </c>
      <c r="B249" s="137" t="s">
        <v>175</v>
      </c>
      <c r="C249" s="82" t="s">
        <v>376</v>
      </c>
      <c r="D249" s="137" t="s">
        <v>158</v>
      </c>
      <c r="E249" s="165">
        <f>Заходи!G211</f>
        <v>110</v>
      </c>
      <c r="F249" s="165">
        <f>Заходи!J211</f>
        <v>167.7</v>
      </c>
      <c r="G249" s="165">
        <f>Заходи!M211</f>
        <v>476.1</v>
      </c>
    </row>
    <row r="250" spans="1:7" ht="56.25" x14ac:dyDescent="0.25">
      <c r="A250" s="334"/>
      <c r="B250" s="139" t="s">
        <v>170</v>
      </c>
      <c r="C250" s="109" t="s">
        <v>375</v>
      </c>
      <c r="D250" s="102" t="s">
        <v>304</v>
      </c>
      <c r="E250" s="176">
        <v>12</v>
      </c>
      <c r="F250" s="176">
        <v>12</v>
      </c>
      <c r="G250" s="176">
        <v>12</v>
      </c>
    </row>
    <row r="251" spans="1:7" ht="59.25" customHeight="1" x14ac:dyDescent="0.25">
      <c r="A251" s="334"/>
      <c r="B251" s="107" t="s">
        <v>180</v>
      </c>
      <c r="C251" s="146" t="s">
        <v>377</v>
      </c>
      <c r="D251" s="102" t="s">
        <v>158</v>
      </c>
      <c r="E251" s="172">
        <f>E249/E250</f>
        <v>9.1666666666666661</v>
      </c>
      <c r="F251" s="172">
        <f t="shared" ref="F251:G251" si="57">F249/F250</f>
        <v>13.975</v>
      </c>
      <c r="G251" s="172">
        <f t="shared" si="57"/>
        <v>39.675000000000004</v>
      </c>
    </row>
    <row r="252" spans="1:7" ht="18.75" x14ac:dyDescent="0.25">
      <c r="A252" s="334"/>
      <c r="B252" s="107" t="s">
        <v>171</v>
      </c>
      <c r="C252" s="85" t="s">
        <v>374</v>
      </c>
      <c r="D252" s="102" t="s">
        <v>183</v>
      </c>
      <c r="E252" s="170">
        <v>100</v>
      </c>
      <c r="F252" s="170">
        <v>100</v>
      </c>
      <c r="G252" s="170">
        <v>100</v>
      </c>
    </row>
    <row r="253" spans="1:7" ht="56.25" x14ac:dyDescent="0.25">
      <c r="A253" s="334" t="s">
        <v>74</v>
      </c>
      <c r="B253" s="137" t="s">
        <v>175</v>
      </c>
      <c r="C253" s="82" t="s">
        <v>378</v>
      </c>
      <c r="D253" s="137" t="s">
        <v>158</v>
      </c>
      <c r="E253" s="165">
        <f>Заходи!G215</f>
        <v>0</v>
      </c>
      <c r="F253" s="165">
        <f>Заходи!J215</f>
        <v>0</v>
      </c>
      <c r="G253" s="165">
        <f>Заходи!M215</f>
        <v>0</v>
      </c>
    </row>
    <row r="254" spans="1:7" ht="56.25" x14ac:dyDescent="0.25">
      <c r="A254" s="334"/>
      <c r="B254" s="139" t="s">
        <v>170</v>
      </c>
      <c r="C254" s="108" t="s">
        <v>379</v>
      </c>
      <c r="D254" s="102" t="s">
        <v>380</v>
      </c>
      <c r="E254" s="171">
        <v>0</v>
      </c>
      <c r="F254" s="171"/>
      <c r="G254" s="171">
        <f>24219-24219</f>
        <v>0</v>
      </c>
    </row>
    <row r="255" spans="1:7" ht="18.75" x14ac:dyDescent="0.25">
      <c r="A255" s="334"/>
      <c r="B255" s="107" t="s">
        <v>180</v>
      </c>
      <c r="C255" s="85" t="s">
        <v>381</v>
      </c>
      <c r="D255" s="102" t="s">
        <v>158</v>
      </c>
      <c r="E255" s="138">
        <v>0</v>
      </c>
      <c r="F255" s="138">
        <v>0</v>
      </c>
      <c r="G255" s="184">
        <v>0</v>
      </c>
    </row>
    <row r="256" spans="1:7" ht="18.75" x14ac:dyDescent="0.25">
      <c r="A256" s="334"/>
      <c r="B256" s="107" t="s">
        <v>171</v>
      </c>
      <c r="C256" s="110" t="s">
        <v>382</v>
      </c>
      <c r="D256" s="102" t="s">
        <v>183</v>
      </c>
      <c r="E256" s="170">
        <v>100</v>
      </c>
      <c r="F256" s="170">
        <v>100</v>
      </c>
      <c r="G256" s="170">
        <v>100</v>
      </c>
    </row>
    <row r="257" spans="1:7" ht="18.75" x14ac:dyDescent="0.25">
      <c r="A257" s="321" t="s">
        <v>75</v>
      </c>
      <c r="B257" s="137" t="s">
        <v>175</v>
      </c>
      <c r="C257" s="82" t="s">
        <v>383</v>
      </c>
      <c r="D257" s="137" t="s">
        <v>158</v>
      </c>
      <c r="E257" s="165">
        <f>Заходи!G219</f>
        <v>2199.1999999999998</v>
      </c>
      <c r="F257" s="165">
        <f>Заходи!J219</f>
        <v>2400</v>
      </c>
      <c r="G257" s="165">
        <f>Заходи!M219</f>
        <v>4275.7</v>
      </c>
    </row>
    <row r="258" spans="1:7" ht="18.75" x14ac:dyDescent="0.25">
      <c r="A258" s="322"/>
      <c r="B258" s="139" t="s">
        <v>170</v>
      </c>
      <c r="C258" s="109" t="s">
        <v>384</v>
      </c>
      <c r="D258" s="103" t="s">
        <v>221</v>
      </c>
      <c r="E258" s="167">
        <v>5</v>
      </c>
      <c r="F258" s="167">
        <v>5</v>
      </c>
      <c r="G258" s="167">
        <v>5</v>
      </c>
    </row>
    <row r="259" spans="1:7" ht="37.5" x14ac:dyDescent="0.25">
      <c r="A259" s="322"/>
      <c r="B259" s="107" t="s">
        <v>180</v>
      </c>
      <c r="C259" s="109" t="s">
        <v>385</v>
      </c>
      <c r="D259" s="102" t="s">
        <v>158</v>
      </c>
      <c r="E259" s="169">
        <f>E257/E258</f>
        <v>439.84</v>
      </c>
      <c r="F259" s="169">
        <f t="shared" ref="F259:G259" si="58">F257/F258</f>
        <v>480</v>
      </c>
      <c r="G259" s="169">
        <f t="shared" si="58"/>
        <v>855.14</v>
      </c>
    </row>
    <row r="260" spans="1:7" ht="18.75" x14ac:dyDescent="0.25">
      <c r="A260" s="323"/>
      <c r="B260" s="107" t="s">
        <v>171</v>
      </c>
      <c r="C260" s="85" t="s">
        <v>357</v>
      </c>
      <c r="D260" s="102" t="s">
        <v>183</v>
      </c>
      <c r="E260" s="170">
        <v>100</v>
      </c>
      <c r="F260" s="170">
        <v>100</v>
      </c>
      <c r="G260" s="170">
        <v>100</v>
      </c>
    </row>
    <row r="261" spans="1:7" ht="18.75" x14ac:dyDescent="0.25">
      <c r="A261" s="334" t="s">
        <v>76</v>
      </c>
      <c r="B261" s="137" t="s">
        <v>175</v>
      </c>
      <c r="C261" s="82" t="s">
        <v>386</v>
      </c>
      <c r="D261" s="137" t="s">
        <v>158</v>
      </c>
      <c r="E261" s="165">
        <f>Заходи!G223</f>
        <v>1636.6</v>
      </c>
      <c r="F261" s="165">
        <f>Заходи!J223</f>
        <v>1779.9999999999998</v>
      </c>
      <c r="G261" s="165">
        <f>Заходи!M223</f>
        <v>2500</v>
      </c>
    </row>
    <row r="262" spans="1:7" ht="18.75" x14ac:dyDescent="0.25">
      <c r="A262" s="334"/>
      <c r="B262" s="139" t="s">
        <v>170</v>
      </c>
      <c r="C262" s="109" t="s">
        <v>388</v>
      </c>
      <c r="D262" s="103" t="s">
        <v>221</v>
      </c>
      <c r="E262" s="171">
        <v>7</v>
      </c>
      <c r="F262" s="171">
        <v>7</v>
      </c>
      <c r="G262" s="171">
        <v>7</v>
      </c>
    </row>
    <row r="263" spans="1:7" ht="37.5" x14ac:dyDescent="0.25">
      <c r="A263" s="334"/>
      <c r="B263" s="107" t="s">
        <v>180</v>
      </c>
      <c r="C263" s="109" t="s">
        <v>389</v>
      </c>
      <c r="D263" s="102" t="s">
        <v>158</v>
      </c>
      <c r="E263" s="138">
        <f>E261/E262</f>
        <v>233.79999999999998</v>
      </c>
      <c r="F263" s="138">
        <f t="shared" ref="F263:G263" si="59">F261/F262</f>
        <v>254.28571428571425</v>
      </c>
      <c r="G263" s="138">
        <f t="shared" si="59"/>
        <v>357.14285714285717</v>
      </c>
    </row>
    <row r="264" spans="1:7" ht="18.75" x14ac:dyDescent="0.25">
      <c r="A264" s="334"/>
      <c r="B264" s="107" t="s">
        <v>171</v>
      </c>
      <c r="C264" s="85" t="s">
        <v>387</v>
      </c>
      <c r="D264" s="102" t="s">
        <v>183</v>
      </c>
      <c r="E264" s="170">
        <v>100</v>
      </c>
      <c r="F264" s="170">
        <v>100</v>
      </c>
      <c r="G264" s="170">
        <v>100</v>
      </c>
    </row>
    <row r="265" spans="1:7" ht="18.75" x14ac:dyDescent="0.25">
      <c r="A265" s="334" t="s">
        <v>77</v>
      </c>
      <c r="B265" s="137" t="s">
        <v>175</v>
      </c>
      <c r="C265" s="82" t="s">
        <v>390</v>
      </c>
      <c r="D265" s="137" t="s">
        <v>158</v>
      </c>
      <c r="E265" s="165">
        <f>Заходи!G227</f>
        <v>510</v>
      </c>
      <c r="F265" s="165">
        <f>Заходи!J227</f>
        <v>600</v>
      </c>
      <c r="G265" s="165">
        <f>Заходи!M227</f>
        <v>630</v>
      </c>
    </row>
    <row r="266" spans="1:7" ht="18.75" x14ac:dyDescent="0.25">
      <c r="A266" s="334"/>
      <c r="B266" s="139" t="s">
        <v>170</v>
      </c>
      <c r="C266" s="109" t="s">
        <v>391</v>
      </c>
      <c r="D266" s="102" t="s">
        <v>392</v>
      </c>
      <c r="E266" s="138">
        <f>E265/E267</f>
        <v>36.690647482014384</v>
      </c>
      <c r="F266" s="138">
        <f t="shared" ref="F266:G266" si="60">F265/F267</f>
        <v>35.971223021582738</v>
      </c>
      <c r="G266" s="138">
        <f t="shared" si="60"/>
        <v>35.979440319817243</v>
      </c>
    </row>
    <row r="267" spans="1:7" ht="18.75" x14ac:dyDescent="0.25">
      <c r="A267" s="334"/>
      <c r="B267" s="107" t="s">
        <v>180</v>
      </c>
      <c r="C267" s="109" t="s">
        <v>393</v>
      </c>
      <c r="D267" s="101" t="s">
        <v>394</v>
      </c>
      <c r="E267" s="138">
        <v>13.9</v>
      </c>
      <c r="F267" s="138">
        <v>16.68</v>
      </c>
      <c r="G267" s="138">
        <v>17.510000000000002</v>
      </c>
    </row>
    <row r="268" spans="1:7" ht="18.75" x14ac:dyDescent="0.25">
      <c r="A268" s="334"/>
      <c r="B268" s="107" t="s">
        <v>171</v>
      </c>
      <c r="C268" s="110" t="s">
        <v>395</v>
      </c>
      <c r="D268" s="102" t="s">
        <v>183</v>
      </c>
      <c r="E268" s="170">
        <v>100</v>
      </c>
      <c r="F268" s="170">
        <v>100</v>
      </c>
      <c r="G268" s="170">
        <v>100</v>
      </c>
    </row>
    <row r="269" spans="1:7" ht="18.75" x14ac:dyDescent="0.25">
      <c r="A269" s="321" t="s">
        <v>78</v>
      </c>
      <c r="B269" s="137" t="s">
        <v>175</v>
      </c>
      <c r="C269" s="82" t="s">
        <v>396</v>
      </c>
      <c r="D269" s="137" t="s">
        <v>158</v>
      </c>
      <c r="E269" s="165">
        <f>Заходи!G231</f>
        <v>4569</v>
      </c>
      <c r="F269" s="165">
        <f>Заходи!J231</f>
        <v>1950</v>
      </c>
      <c r="G269" s="165">
        <f>Заходи!M231</f>
        <v>3197</v>
      </c>
    </row>
    <row r="270" spans="1:7" ht="37.5" x14ac:dyDescent="0.25">
      <c r="A270" s="322"/>
      <c r="B270" s="139" t="s">
        <v>170</v>
      </c>
      <c r="C270" s="109" t="s">
        <v>397</v>
      </c>
      <c r="D270" s="103" t="s">
        <v>221</v>
      </c>
      <c r="E270" s="167">
        <v>250</v>
      </c>
      <c r="F270" s="167">
        <v>186</v>
      </c>
      <c r="G270" s="167">
        <v>186</v>
      </c>
    </row>
    <row r="271" spans="1:7" ht="37.5" x14ac:dyDescent="0.25">
      <c r="A271" s="322"/>
      <c r="B271" s="107" t="s">
        <v>180</v>
      </c>
      <c r="C271" s="109" t="s">
        <v>398</v>
      </c>
      <c r="D271" s="102" t="s">
        <v>158</v>
      </c>
      <c r="E271" s="169">
        <f>E269/E270</f>
        <v>18.276</v>
      </c>
      <c r="F271" s="169">
        <f t="shared" ref="F271:G271" si="61">F269/F270</f>
        <v>10.483870967741936</v>
      </c>
      <c r="G271" s="169">
        <f t="shared" si="61"/>
        <v>17.188172043010752</v>
      </c>
    </row>
    <row r="272" spans="1:7" ht="18.75" x14ac:dyDescent="0.25">
      <c r="A272" s="323"/>
      <c r="B272" s="107" t="s">
        <v>171</v>
      </c>
      <c r="C272" s="85" t="s">
        <v>399</v>
      </c>
      <c r="D272" s="102" t="s">
        <v>183</v>
      </c>
      <c r="E272" s="170">
        <v>100</v>
      </c>
      <c r="F272" s="170">
        <v>100</v>
      </c>
      <c r="G272" s="170">
        <v>100</v>
      </c>
    </row>
    <row r="273" spans="1:7" ht="18.75" x14ac:dyDescent="0.25">
      <c r="A273" s="334" t="s">
        <v>79</v>
      </c>
      <c r="B273" s="137" t="s">
        <v>175</v>
      </c>
      <c r="C273" s="82" t="s">
        <v>401</v>
      </c>
      <c r="D273" s="137" t="s">
        <v>158</v>
      </c>
      <c r="E273" s="165">
        <f>Заходи!G235</f>
        <v>423</v>
      </c>
      <c r="F273" s="165">
        <f>Заходи!J235</f>
        <v>0</v>
      </c>
      <c r="G273" s="165">
        <f>Заходи!M235</f>
        <v>500</v>
      </c>
    </row>
    <row r="274" spans="1:7" ht="37.5" x14ac:dyDescent="0.25">
      <c r="A274" s="334"/>
      <c r="B274" s="139" t="s">
        <v>170</v>
      </c>
      <c r="C274" s="109" t="s">
        <v>400</v>
      </c>
      <c r="D274" s="103" t="s">
        <v>221</v>
      </c>
      <c r="E274" s="171">
        <v>117</v>
      </c>
      <c r="F274" s="171">
        <v>90</v>
      </c>
      <c r="G274" s="171">
        <v>85</v>
      </c>
    </row>
    <row r="275" spans="1:7" ht="37.5" x14ac:dyDescent="0.25">
      <c r="A275" s="334"/>
      <c r="B275" s="107" t="s">
        <v>180</v>
      </c>
      <c r="C275" s="109" t="s">
        <v>402</v>
      </c>
      <c r="D275" s="102" t="s">
        <v>158</v>
      </c>
      <c r="E275" s="138">
        <f>E273/E274</f>
        <v>3.6153846153846154</v>
      </c>
      <c r="F275" s="138">
        <f t="shared" ref="F275" si="62">F273/F274</f>
        <v>0</v>
      </c>
      <c r="G275" s="138">
        <f t="shared" ref="G275" si="63">G273/G274</f>
        <v>5.882352941176471</v>
      </c>
    </row>
    <row r="276" spans="1:7" ht="18.75" x14ac:dyDescent="0.25">
      <c r="A276" s="334"/>
      <c r="B276" s="107" t="s">
        <v>171</v>
      </c>
      <c r="C276" s="85" t="s">
        <v>403</v>
      </c>
      <c r="D276" s="102" t="s">
        <v>183</v>
      </c>
      <c r="E276" s="170">
        <v>100</v>
      </c>
      <c r="F276" s="170">
        <v>100</v>
      </c>
      <c r="G276" s="170">
        <v>100</v>
      </c>
    </row>
    <row r="277" spans="1:7" ht="18.75" x14ac:dyDescent="0.25">
      <c r="A277" s="334" t="s">
        <v>80</v>
      </c>
      <c r="B277" s="137" t="s">
        <v>175</v>
      </c>
      <c r="C277" s="82" t="s">
        <v>404</v>
      </c>
      <c r="D277" s="137" t="s">
        <v>158</v>
      </c>
      <c r="E277" s="165">
        <f>Заходи!G239</f>
        <v>121.9</v>
      </c>
      <c r="F277" s="165">
        <f>Заходи!J239</f>
        <v>0</v>
      </c>
      <c r="G277" s="165">
        <f>Заходи!M239</f>
        <v>592</v>
      </c>
    </row>
    <row r="278" spans="1:7" ht="18.75" x14ac:dyDescent="0.25">
      <c r="A278" s="334"/>
      <c r="B278" s="139" t="s">
        <v>170</v>
      </c>
      <c r="C278" s="109" t="s">
        <v>405</v>
      </c>
      <c r="D278" s="102" t="s">
        <v>221</v>
      </c>
      <c r="E278" s="185">
        <v>1</v>
      </c>
      <c r="F278" s="185">
        <v>1</v>
      </c>
      <c r="G278" s="185">
        <v>1</v>
      </c>
    </row>
    <row r="279" spans="1:7" ht="18.75" x14ac:dyDescent="0.25">
      <c r="A279" s="334"/>
      <c r="B279" s="107" t="s">
        <v>180</v>
      </c>
      <c r="C279" s="109" t="s">
        <v>406</v>
      </c>
      <c r="D279" s="101" t="s">
        <v>285</v>
      </c>
      <c r="E279" s="138">
        <f>E277/12</f>
        <v>10.158333333333333</v>
      </c>
      <c r="F279" s="138">
        <f t="shared" ref="F279:G279" si="64">F277/12</f>
        <v>0</v>
      </c>
      <c r="G279" s="138">
        <f t="shared" si="64"/>
        <v>49.333333333333336</v>
      </c>
    </row>
    <row r="280" spans="1:7" ht="18.75" x14ac:dyDescent="0.25">
      <c r="A280" s="334"/>
      <c r="B280" s="107" t="s">
        <v>171</v>
      </c>
      <c r="C280" s="110" t="s">
        <v>395</v>
      </c>
      <c r="D280" s="102" t="s">
        <v>183</v>
      </c>
      <c r="E280" s="170">
        <v>100</v>
      </c>
      <c r="F280" s="170">
        <v>100</v>
      </c>
      <c r="G280" s="170">
        <v>100</v>
      </c>
    </row>
    <row r="281" spans="1:7" ht="37.5" x14ac:dyDescent="0.25">
      <c r="A281" s="321" t="s">
        <v>81</v>
      </c>
      <c r="B281" s="137" t="s">
        <v>175</v>
      </c>
      <c r="C281" s="82" t="s">
        <v>407</v>
      </c>
      <c r="D281" s="137" t="s">
        <v>158</v>
      </c>
      <c r="E281" s="165">
        <f>Заходи!G243</f>
        <v>340</v>
      </c>
      <c r="F281" s="165">
        <f>Заходи!J243</f>
        <v>426</v>
      </c>
      <c r="G281" s="165">
        <f>Заходи!M243</f>
        <v>800</v>
      </c>
    </row>
    <row r="282" spans="1:7" ht="18.75" x14ac:dyDescent="0.25">
      <c r="A282" s="322"/>
      <c r="B282" s="139" t="s">
        <v>170</v>
      </c>
      <c r="C282" s="109" t="s">
        <v>408</v>
      </c>
      <c r="D282" s="103" t="s">
        <v>221</v>
      </c>
      <c r="E282" s="167">
        <v>250</v>
      </c>
      <c r="F282" s="167">
        <v>186</v>
      </c>
      <c r="G282" s="167">
        <v>190</v>
      </c>
    </row>
    <row r="283" spans="1:7" ht="37.5" x14ac:dyDescent="0.25">
      <c r="A283" s="322"/>
      <c r="B283" s="107" t="s">
        <v>180</v>
      </c>
      <c r="C283" s="109" t="s">
        <v>409</v>
      </c>
      <c r="D283" s="102" t="s">
        <v>158</v>
      </c>
      <c r="E283" s="169">
        <f>E281/E282</f>
        <v>1.36</v>
      </c>
      <c r="F283" s="169">
        <f t="shared" ref="F283" si="65">F281/F282</f>
        <v>2.2903225806451615</v>
      </c>
      <c r="G283" s="169">
        <f t="shared" ref="G283" si="66">G281/G282</f>
        <v>4.2105263157894735</v>
      </c>
    </row>
    <row r="284" spans="1:7" ht="18.75" x14ac:dyDescent="0.25">
      <c r="A284" s="323"/>
      <c r="B284" s="107" t="s">
        <v>171</v>
      </c>
      <c r="C284" s="85" t="s">
        <v>410</v>
      </c>
      <c r="D284" s="102" t="s">
        <v>183</v>
      </c>
      <c r="E284" s="170">
        <v>100</v>
      </c>
      <c r="F284" s="170">
        <v>100</v>
      </c>
      <c r="G284" s="170">
        <v>100</v>
      </c>
    </row>
    <row r="285" spans="1:7" ht="19.5" x14ac:dyDescent="0.25">
      <c r="A285" s="95" t="s">
        <v>370</v>
      </c>
      <c r="B285" s="107"/>
      <c r="C285" s="122"/>
      <c r="D285" s="106"/>
      <c r="E285" s="162">
        <f>E287</f>
        <v>1168.2</v>
      </c>
      <c r="F285" s="162">
        <f t="shared" ref="F285:G285" si="67">F287</f>
        <v>1200</v>
      </c>
      <c r="G285" s="162">
        <f t="shared" si="67"/>
        <v>2142</v>
      </c>
    </row>
    <row r="286" spans="1:7" ht="37.5" x14ac:dyDescent="0.25">
      <c r="A286" s="85" t="s">
        <v>197</v>
      </c>
      <c r="B286" s="107"/>
      <c r="C286" s="108"/>
      <c r="D286" s="105"/>
      <c r="E286" s="163"/>
      <c r="F286" s="163"/>
      <c r="G286" s="163"/>
    </row>
    <row r="287" spans="1:7" ht="19.5" x14ac:dyDescent="0.35">
      <c r="A287" s="93" t="s">
        <v>411</v>
      </c>
      <c r="B287" s="123"/>
      <c r="C287" s="124"/>
      <c r="D287" s="88"/>
      <c r="E287" s="164">
        <f>E288</f>
        <v>1168.2</v>
      </c>
      <c r="F287" s="164">
        <f t="shared" ref="F287:G287" si="68">F288</f>
        <v>1200</v>
      </c>
      <c r="G287" s="164">
        <f t="shared" si="68"/>
        <v>2142</v>
      </c>
    </row>
    <row r="288" spans="1:7" ht="18.75" x14ac:dyDescent="0.25">
      <c r="A288" s="358" t="s">
        <v>82</v>
      </c>
      <c r="B288" s="137" t="s">
        <v>175</v>
      </c>
      <c r="C288" s="82" t="s">
        <v>413</v>
      </c>
      <c r="D288" s="137" t="s">
        <v>158</v>
      </c>
      <c r="E288" s="165">
        <f>Заходи!G247</f>
        <v>1168.2</v>
      </c>
      <c r="F288" s="165">
        <f>Заходи!J247</f>
        <v>1200</v>
      </c>
      <c r="G288" s="165">
        <f>Заходи!M247</f>
        <v>2142</v>
      </c>
    </row>
    <row r="289" spans="1:7" ht="37.5" x14ac:dyDescent="0.25">
      <c r="A289" s="359"/>
      <c r="B289" s="139" t="s">
        <v>170</v>
      </c>
      <c r="C289" s="109" t="s">
        <v>412</v>
      </c>
      <c r="D289" s="106" t="s">
        <v>221</v>
      </c>
      <c r="E289" s="176">
        <v>750</v>
      </c>
      <c r="F289" s="176">
        <v>700</v>
      </c>
      <c r="G289" s="176">
        <v>650</v>
      </c>
    </row>
    <row r="290" spans="1:7" ht="38.25" customHeight="1" x14ac:dyDescent="0.25">
      <c r="A290" s="359"/>
      <c r="B290" s="107" t="s">
        <v>180</v>
      </c>
      <c r="C290" s="146" t="s">
        <v>414</v>
      </c>
      <c r="D290" s="105" t="s">
        <v>158</v>
      </c>
      <c r="E290" s="169">
        <f>E288/E289</f>
        <v>1.5576000000000001</v>
      </c>
      <c r="F290" s="169">
        <f t="shared" ref="F290:G290" si="69">F288/F289</f>
        <v>1.7142857142857142</v>
      </c>
      <c r="G290" s="169">
        <f t="shared" si="69"/>
        <v>3.2953846153846156</v>
      </c>
    </row>
    <row r="291" spans="1:7" ht="37.5" x14ac:dyDescent="0.25">
      <c r="A291" s="360"/>
      <c r="B291" s="107" t="s">
        <v>171</v>
      </c>
      <c r="C291" s="109" t="s">
        <v>416</v>
      </c>
      <c r="D291" s="105" t="s">
        <v>183</v>
      </c>
      <c r="E291" s="170">
        <v>100</v>
      </c>
      <c r="F291" s="170">
        <f>F290/E290*100</f>
        <v>110.05943209333037</v>
      </c>
      <c r="G291" s="170">
        <f>G290/F290*100</f>
        <v>192.23076923076925</v>
      </c>
    </row>
    <row r="292" spans="1:7" ht="39" x14ac:dyDescent="0.25">
      <c r="A292" s="95" t="s">
        <v>605</v>
      </c>
      <c r="B292" s="107"/>
      <c r="C292" s="122"/>
      <c r="D292" s="106"/>
      <c r="E292" s="162">
        <f>E294</f>
        <v>7100</v>
      </c>
      <c r="F292" s="162">
        <f t="shared" ref="F292:G292" si="70">F294</f>
        <v>100</v>
      </c>
      <c r="G292" s="162">
        <f t="shared" si="70"/>
        <v>25498</v>
      </c>
    </row>
    <row r="293" spans="1:7" ht="37.5" x14ac:dyDescent="0.25">
      <c r="A293" s="85" t="s">
        <v>197</v>
      </c>
      <c r="B293" s="107"/>
      <c r="C293" s="108"/>
      <c r="D293" s="105"/>
      <c r="E293" s="163"/>
      <c r="F293" s="163"/>
      <c r="G293" s="163"/>
    </row>
    <row r="294" spans="1:7" ht="19.5" x14ac:dyDescent="0.35">
      <c r="A294" s="93" t="s">
        <v>415</v>
      </c>
      <c r="B294" s="123"/>
      <c r="C294" s="124"/>
      <c r="D294" s="88"/>
      <c r="E294" s="164">
        <f>E295+E299</f>
        <v>7100</v>
      </c>
      <c r="F294" s="164">
        <f t="shared" ref="F294:G294" si="71">F295+F299</f>
        <v>100</v>
      </c>
      <c r="G294" s="164">
        <f t="shared" si="71"/>
        <v>25498</v>
      </c>
    </row>
    <row r="295" spans="1:7" ht="37.5" x14ac:dyDescent="0.25">
      <c r="A295" s="358" t="s">
        <v>606</v>
      </c>
      <c r="B295" s="137" t="s">
        <v>175</v>
      </c>
      <c r="C295" s="82" t="s">
        <v>417</v>
      </c>
      <c r="D295" s="137" t="s">
        <v>158</v>
      </c>
      <c r="E295" s="165">
        <f>Заходи!G251-6000</f>
        <v>1100</v>
      </c>
      <c r="F295" s="165">
        <f>Заходи!J251</f>
        <v>100</v>
      </c>
      <c r="G295" s="165">
        <f>Заходи!M251</f>
        <v>25498</v>
      </c>
    </row>
    <row r="296" spans="1:7" ht="18.75" x14ac:dyDescent="0.25">
      <c r="A296" s="359"/>
      <c r="B296" s="139" t="s">
        <v>170</v>
      </c>
      <c r="C296" s="109" t="s">
        <v>418</v>
      </c>
      <c r="D296" s="106" t="s">
        <v>221</v>
      </c>
      <c r="E296" s="176">
        <v>5</v>
      </c>
      <c r="F296" s="176">
        <v>16</v>
      </c>
      <c r="G296" s="176">
        <v>15</v>
      </c>
    </row>
    <row r="297" spans="1:7" ht="45.75" customHeight="1" x14ac:dyDescent="0.25">
      <c r="A297" s="359"/>
      <c r="B297" s="107" t="s">
        <v>180</v>
      </c>
      <c r="C297" s="146" t="s">
        <v>419</v>
      </c>
      <c r="D297" s="105" t="s">
        <v>158</v>
      </c>
      <c r="E297" s="182">
        <f>E295/E296</f>
        <v>220</v>
      </c>
      <c r="F297" s="182">
        <f t="shared" ref="F297" si="72">F295/F296</f>
        <v>6.25</v>
      </c>
      <c r="G297" s="182">
        <f t="shared" ref="G297" si="73">G295/G296</f>
        <v>1699.8666666666666</v>
      </c>
    </row>
    <row r="298" spans="1:7" ht="37.5" x14ac:dyDescent="0.25">
      <c r="A298" s="360"/>
      <c r="B298" s="107" t="s">
        <v>171</v>
      </c>
      <c r="C298" s="85" t="s">
        <v>420</v>
      </c>
      <c r="D298" s="105" t="s">
        <v>183</v>
      </c>
      <c r="E298" s="170">
        <v>100</v>
      </c>
      <c r="F298" s="170">
        <f>F297/E297*100</f>
        <v>2.8409090909090908</v>
      </c>
      <c r="G298" s="170">
        <f>G297/F297*100</f>
        <v>27197.866666666665</v>
      </c>
    </row>
    <row r="299" spans="1:7" ht="56.25" x14ac:dyDescent="0.25">
      <c r="A299" s="147"/>
      <c r="B299" s="137" t="s">
        <v>175</v>
      </c>
      <c r="C299" s="82" t="s">
        <v>608</v>
      </c>
      <c r="D299" s="137" t="s">
        <v>158</v>
      </c>
      <c r="E299" s="179">
        <f>6000</f>
        <v>6000</v>
      </c>
      <c r="F299" s="179"/>
      <c r="G299" s="179"/>
    </row>
    <row r="300" spans="1:7" ht="19.5" x14ac:dyDescent="0.25">
      <c r="A300" s="147"/>
      <c r="B300" s="139" t="s">
        <v>170</v>
      </c>
      <c r="C300" s="109" t="s">
        <v>418</v>
      </c>
      <c r="D300" s="127" t="s">
        <v>221</v>
      </c>
      <c r="E300" s="170">
        <v>1</v>
      </c>
      <c r="F300" s="170"/>
      <c r="G300" s="170"/>
    </row>
    <row r="301" spans="1:7" ht="66" customHeight="1" x14ac:dyDescent="0.25">
      <c r="A301" s="147" t="s">
        <v>607</v>
      </c>
      <c r="B301" s="107" t="s">
        <v>180</v>
      </c>
      <c r="C301" s="146" t="s">
        <v>609</v>
      </c>
      <c r="D301" s="128" t="s">
        <v>158</v>
      </c>
      <c r="E301" s="179">
        <f>E299/E300</f>
        <v>6000</v>
      </c>
      <c r="F301" s="179"/>
      <c r="G301" s="179"/>
    </row>
    <row r="302" spans="1:7" ht="19.5" x14ac:dyDescent="0.25">
      <c r="A302" s="147"/>
      <c r="B302" s="107" t="s">
        <v>171</v>
      </c>
      <c r="C302" s="85" t="s">
        <v>610</v>
      </c>
      <c r="D302" s="128" t="s">
        <v>183</v>
      </c>
      <c r="E302" s="170">
        <v>100</v>
      </c>
      <c r="F302" s="170"/>
      <c r="G302" s="170"/>
    </row>
    <row r="303" spans="1:7" ht="19.5" x14ac:dyDescent="0.25">
      <c r="A303" s="95" t="s">
        <v>421</v>
      </c>
      <c r="B303" s="107"/>
      <c r="C303" s="122"/>
      <c r="D303" s="113"/>
      <c r="E303" s="162">
        <f>E305</f>
        <v>2060</v>
      </c>
      <c r="F303" s="162">
        <f t="shared" ref="F303:G303" si="74">F305</f>
        <v>3068.1000000000004</v>
      </c>
      <c r="G303" s="162">
        <f t="shared" si="74"/>
        <v>21893.3</v>
      </c>
    </row>
    <row r="304" spans="1:7" ht="37.5" x14ac:dyDescent="0.25">
      <c r="A304" s="85" t="s">
        <v>197</v>
      </c>
      <c r="B304" s="107"/>
      <c r="C304" s="108"/>
      <c r="D304" s="112"/>
      <c r="E304" s="163"/>
      <c r="F304" s="163"/>
      <c r="G304" s="163"/>
    </row>
    <row r="305" spans="1:7" ht="39" x14ac:dyDescent="0.35">
      <c r="A305" s="93" t="s">
        <v>423</v>
      </c>
      <c r="B305" s="123"/>
      <c r="C305" s="124"/>
      <c r="D305" s="88"/>
      <c r="E305" s="164">
        <f>E306+E311</f>
        <v>2060</v>
      </c>
      <c r="F305" s="164">
        <f t="shared" ref="F305:G305" si="75">F306+F311</f>
        <v>3068.1000000000004</v>
      </c>
      <c r="G305" s="164">
        <f t="shared" si="75"/>
        <v>21893.3</v>
      </c>
    </row>
    <row r="306" spans="1:7" ht="37.5" x14ac:dyDescent="0.25">
      <c r="A306" s="321" t="s">
        <v>422</v>
      </c>
      <c r="B306" s="107" t="s">
        <v>175</v>
      </c>
      <c r="C306" s="108" t="s">
        <v>417</v>
      </c>
      <c r="D306" s="112" t="s">
        <v>158</v>
      </c>
      <c r="E306" s="165">
        <f>Заходи!G259</f>
        <v>2014.1</v>
      </c>
      <c r="F306" s="165">
        <f>Заходи!J259</f>
        <v>3068.1000000000004</v>
      </c>
      <c r="G306" s="165">
        <f>Заходи!M259</f>
        <v>15955.3</v>
      </c>
    </row>
    <row r="307" spans="1:7" ht="18.75" x14ac:dyDescent="0.25">
      <c r="A307" s="322"/>
      <c r="B307" s="324" t="s">
        <v>170</v>
      </c>
      <c r="C307" s="109" t="s">
        <v>436</v>
      </c>
      <c r="D307" s="339" t="s">
        <v>221</v>
      </c>
      <c r="E307" s="186">
        <v>1012</v>
      </c>
      <c r="F307" s="186">
        <v>992</v>
      </c>
      <c r="G307" s="186">
        <v>972</v>
      </c>
    </row>
    <row r="308" spans="1:7" ht="37.5" x14ac:dyDescent="0.25">
      <c r="A308" s="322"/>
      <c r="B308" s="326"/>
      <c r="C308" s="109" t="s">
        <v>434</v>
      </c>
      <c r="D308" s="341"/>
      <c r="E308" s="176">
        <v>2</v>
      </c>
      <c r="F308" s="176">
        <v>20</v>
      </c>
      <c r="G308" s="176">
        <v>20</v>
      </c>
    </row>
    <row r="309" spans="1:7" ht="39.75" customHeight="1" x14ac:dyDescent="0.25">
      <c r="A309" s="322"/>
      <c r="B309" s="107" t="s">
        <v>180</v>
      </c>
      <c r="C309" s="109" t="s">
        <v>435</v>
      </c>
      <c r="D309" s="112" t="s">
        <v>158</v>
      </c>
      <c r="E309" s="182">
        <f>E306/E308</f>
        <v>1007.05</v>
      </c>
      <c r="F309" s="182">
        <f t="shared" ref="F309:G309" si="76">F306/F308</f>
        <v>153.40500000000003</v>
      </c>
      <c r="G309" s="182">
        <f t="shared" si="76"/>
        <v>797.76499999999999</v>
      </c>
    </row>
    <row r="310" spans="1:7" ht="56.25" x14ac:dyDescent="0.25">
      <c r="A310" s="323"/>
      <c r="B310" s="107" t="s">
        <v>171</v>
      </c>
      <c r="C310" s="109" t="s">
        <v>437</v>
      </c>
      <c r="D310" s="112" t="s">
        <v>183</v>
      </c>
      <c r="E310" s="170">
        <f>E308/E307*100</f>
        <v>0.19762845849802371</v>
      </c>
      <c r="F310" s="170">
        <f>F308/F307*100</f>
        <v>2.0161290322580645</v>
      </c>
      <c r="G310" s="170">
        <f>G308/G307*100</f>
        <v>2.0576131687242798</v>
      </c>
    </row>
    <row r="311" spans="1:7" ht="37.5" x14ac:dyDescent="0.25">
      <c r="A311" s="321" t="s">
        <v>85</v>
      </c>
      <c r="B311" s="107" t="s">
        <v>175</v>
      </c>
      <c r="C311" s="108" t="s">
        <v>417</v>
      </c>
      <c r="D311" s="112" t="s">
        <v>158</v>
      </c>
      <c r="E311" s="165">
        <f>Заходи!G263</f>
        <v>45.9</v>
      </c>
      <c r="F311" s="165">
        <f>Заходи!J263</f>
        <v>0</v>
      </c>
      <c r="G311" s="165">
        <f>Заходи!M263</f>
        <v>5938</v>
      </c>
    </row>
    <row r="312" spans="1:7" ht="37.5" x14ac:dyDescent="0.25">
      <c r="A312" s="322"/>
      <c r="B312" s="139" t="s">
        <v>170</v>
      </c>
      <c r="C312" s="109" t="s">
        <v>434</v>
      </c>
      <c r="D312" s="113" t="s">
        <v>221</v>
      </c>
      <c r="E312" s="176">
        <v>1</v>
      </c>
      <c r="F312" s="176">
        <v>0</v>
      </c>
      <c r="G312" s="176">
        <v>20</v>
      </c>
    </row>
    <row r="313" spans="1:7" ht="42" customHeight="1" x14ac:dyDescent="0.25">
      <c r="A313" s="322"/>
      <c r="B313" s="107" t="s">
        <v>180</v>
      </c>
      <c r="C313" s="109" t="s">
        <v>435</v>
      </c>
      <c r="D313" s="112" t="s">
        <v>158</v>
      </c>
      <c r="E313" s="182">
        <f>E311/E312</f>
        <v>45.9</v>
      </c>
      <c r="F313" s="182"/>
      <c r="G313" s="182">
        <f t="shared" ref="G313" si="77">G311/G312</f>
        <v>296.89999999999998</v>
      </c>
    </row>
    <row r="314" spans="1:7" ht="18.75" x14ac:dyDescent="0.25">
      <c r="A314" s="323"/>
      <c r="B314" s="107" t="s">
        <v>171</v>
      </c>
      <c r="C314" s="85" t="s">
        <v>410</v>
      </c>
      <c r="D314" s="112" t="s">
        <v>183</v>
      </c>
      <c r="E314" s="170">
        <v>100</v>
      </c>
      <c r="F314" s="170"/>
      <c r="G314" s="170">
        <v>100</v>
      </c>
    </row>
    <row r="315" spans="1:7" ht="19.5" x14ac:dyDescent="0.25">
      <c r="A315" s="95" t="s">
        <v>370</v>
      </c>
      <c r="B315" s="107"/>
      <c r="C315" s="122"/>
      <c r="D315" s="113"/>
      <c r="E315" s="162">
        <f>E317</f>
        <v>2964</v>
      </c>
      <c r="F315" s="162">
        <f t="shared" ref="F315:G315" si="78">F317</f>
        <v>560.89999999999964</v>
      </c>
      <c r="G315" s="162">
        <f t="shared" si="78"/>
        <v>5377.1</v>
      </c>
    </row>
    <row r="316" spans="1:7" ht="37.5" x14ac:dyDescent="0.25">
      <c r="A316" s="85" t="s">
        <v>197</v>
      </c>
      <c r="B316" s="107"/>
      <c r="C316" s="108"/>
      <c r="D316" s="112"/>
      <c r="E316" s="163"/>
      <c r="F316" s="163"/>
      <c r="G316" s="163"/>
    </row>
    <row r="317" spans="1:7" ht="39" x14ac:dyDescent="0.35">
      <c r="A317" s="93" t="s">
        <v>438</v>
      </c>
      <c r="B317" s="123"/>
      <c r="C317" s="124"/>
      <c r="D317" s="88"/>
      <c r="E317" s="164">
        <f>E318</f>
        <v>2964</v>
      </c>
      <c r="F317" s="164">
        <f t="shared" ref="F317:G317" si="79">F318</f>
        <v>560.89999999999964</v>
      </c>
      <c r="G317" s="164">
        <f t="shared" si="79"/>
        <v>5377.1</v>
      </c>
    </row>
    <row r="318" spans="1:7" ht="18.75" x14ac:dyDescent="0.25">
      <c r="A318" s="358" t="s">
        <v>439</v>
      </c>
      <c r="B318" s="137" t="s">
        <v>175</v>
      </c>
      <c r="C318" s="96" t="s">
        <v>441</v>
      </c>
      <c r="D318" s="137" t="s">
        <v>158</v>
      </c>
      <c r="E318" s="165">
        <f>Заходи!G267</f>
        <v>2964</v>
      </c>
      <c r="F318" s="165">
        <f>Заходи!J267</f>
        <v>560.89999999999964</v>
      </c>
      <c r="G318" s="165">
        <f>Заходи!M267</f>
        <v>5377.1</v>
      </c>
    </row>
    <row r="319" spans="1:7" ht="37.5" x14ac:dyDescent="0.25">
      <c r="A319" s="359"/>
      <c r="B319" s="139" t="s">
        <v>170</v>
      </c>
      <c r="C319" s="109" t="s">
        <v>440</v>
      </c>
      <c r="D319" s="113" t="s">
        <v>221</v>
      </c>
      <c r="E319" s="176">
        <v>12</v>
      </c>
      <c r="F319" s="176">
        <v>10</v>
      </c>
      <c r="G319" s="176">
        <v>20</v>
      </c>
    </row>
    <row r="320" spans="1:7" ht="44.25" customHeight="1" x14ac:dyDescent="0.25">
      <c r="A320" s="359"/>
      <c r="B320" s="107" t="s">
        <v>180</v>
      </c>
      <c r="C320" s="148" t="s">
        <v>442</v>
      </c>
      <c r="D320" s="112" t="s">
        <v>158</v>
      </c>
      <c r="E320" s="182">
        <f>E318/E319</f>
        <v>247</v>
      </c>
      <c r="F320" s="182">
        <f t="shared" ref="F320:G320" si="80">F318/F319</f>
        <v>56.089999999999961</v>
      </c>
      <c r="G320" s="182">
        <f t="shared" si="80"/>
        <v>268.85500000000002</v>
      </c>
    </row>
    <row r="321" spans="1:7" ht="37.5" x14ac:dyDescent="0.25">
      <c r="A321" s="360"/>
      <c r="B321" s="107" t="s">
        <v>171</v>
      </c>
      <c r="C321" s="85" t="s">
        <v>443</v>
      </c>
      <c r="D321" s="112" t="s">
        <v>183</v>
      </c>
      <c r="E321" s="170">
        <v>100</v>
      </c>
      <c r="F321" s="170">
        <f>F320/E320*100</f>
        <v>22.708502024291484</v>
      </c>
      <c r="G321" s="170">
        <f>G320/F320*100</f>
        <v>479.32786592975611</v>
      </c>
    </row>
    <row r="322" spans="1:7" ht="39" x14ac:dyDescent="0.25">
      <c r="A322" s="95" t="s">
        <v>447</v>
      </c>
      <c r="B322" s="107"/>
      <c r="C322" s="122"/>
      <c r="D322" s="113"/>
      <c r="E322" s="162">
        <f>E324</f>
        <v>6241.52</v>
      </c>
      <c r="F322" s="162">
        <f t="shared" ref="F322:G322" si="81">F324</f>
        <v>18721.54</v>
      </c>
      <c r="G322" s="162">
        <f t="shared" si="81"/>
        <v>23863.5</v>
      </c>
    </row>
    <row r="323" spans="1:7" ht="56.25" x14ac:dyDescent="0.25">
      <c r="A323" s="85" t="s">
        <v>444</v>
      </c>
      <c r="B323" s="107"/>
      <c r="C323" s="108"/>
      <c r="D323" s="112"/>
      <c r="E323" s="163"/>
      <c r="F323" s="163"/>
      <c r="G323" s="163"/>
    </row>
    <row r="324" spans="1:7" ht="39" x14ac:dyDescent="0.35">
      <c r="A324" s="93" t="s">
        <v>445</v>
      </c>
      <c r="B324" s="123"/>
      <c r="C324" s="124"/>
      <c r="D324" s="88"/>
      <c r="E324" s="164">
        <f>E325+E374</f>
        <v>6241.52</v>
      </c>
      <c r="F324" s="164">
        <f t="shared" ref="F324:G324" si="82">F325+F374</f>
        <v>18721.54</v>
      </c>
      <c r="G324" s="164">
        <f t="shared" si="82"/>
        <v>23863.5</v>
      </c>
    </row>
    <row r="325" spans="1:7" ht="19.5" x14ac:dyDescent="0.35">
      <c r="A325" s="361" t="s">
        <v>153</v>
      </c>
      <c r="B325" s="362"/>
      <c r="C325" s="124"/>
      <c r="D325" s="88"/>
      <c r="E325" s="187">
        <f>E326+E330+E334+E338+E342+E346+E350+E354+E358+E362+E366+E370</f>
        <v>5286.42</v>
      </c>
      <c r="F325" s="187">
        <f t="shared" ref="F325:G325" si="83">F326+F330+F334+F338+F342+F346+F350+F354+F358+F362+F366+F370</f>
        <v>18541.34</v>
      </c>
      <c r="G325" s="187">
        <f t="shared" si="83"/>
        <v>23863.5</v>
      </c>
    </row>
    <row r="326" spans="1:7" ht="37.5" x14ac:dyDescent="0.25">
      <c r="A326" s="333" t="s">
        <v>88</v>
      </c>
      <c r="B326" s="137" t="s">
        <v>175</v>
      </c>
      <c r="C326" s="82" t="s">
        <v>472</v>
      </c>
      <c r="D326" s="137" t="s">
        <v>158</v>
      </c>
      <c r="E326" s="165">
        <f>Заходи!G279</f>
        <v>4.7</v>
      </c>
      <c r="F326" s="165">
        <f>Заходи!J279</f>
        <v>7.43</v>
      </c>
      <c r="G326" s="165">
        <f>Заходи!M279</f>
        <v>8.5</v>
      </c>
    </row>
    <row r="327" spans="1:7" ht="43.5" customHeight="1" x14ac:dyDescent="0.3">
      <c r="A327" s="333"/>
      <c r="B327" s="139" t="s">
        <v>170</v>
      </c>
      <c r="C327" s="149" t="s">
        <v>469</v>
      </c>
      <c r="D327" s="105" t="s">
        <v>304</v>
      </c>
      <c r="E327" s="176">
        <v>12</v>
      </c>
      <c r="F327" s="176">
        <v>12</v>
      </c>
      <c r="G327" s="176">
        <v>12</v>
      </c>
    </row>
    <row r="328" spans="1:7" ht="18.75" x14ac:dyDescent="0.3">
      <c r="A328" s="333"/>
      <c r="B328" s="107" t="s">
        <v>180</v>
      </c>
      <c r="C328" s="150" t="s">
        <v>471</v>
      </c>
      <c r="D328" s="105" t="s">
        <v>158</v>
      </c>
      <c r="E328" s="172">
        <f>E326/E327</f>
        <v>0.39166666666666666</v>
      </c>
      <c r="F328" s="172">
        <f t="shared" ref="F328:G328" si="84">F326/F327</f>
        <v>0.61916666666666664</v>
      </c>
      <c r="G328" s="172">
        <f t="shared" si="84"/>
        <v>0.70833333333333337</v>
      </c>
    </row>
    <row r="329" spans="1:7" ht="18.75" x14ac:dyDescent="0.25">
      <c r="A329" s="333"/>
      <c r="B329" s="107" t="s">
        <v>171</v>
      </c>
      <c r="C329" s="85" t="s">
        <v>470</v>
      </c>
      <c r="D329" s="105" t="s">
        <v>183</v>
      </c>
      <c r="E329" s="170">
        <v>100</v>
      </c>
      <c r="F329" s="170">
        <v>100</v>
      </c>
      <c r="G329" s="170">
        <v>100</v>
      </c>
    </row>
    <row r="330" spans="1:7" ht="37.5" x14ac:dyDescent="0.25">
      <c r="A330" s="333" t="s">
        <v>89</v>
      </c>
      <c r="B330" s="137" t="s">
        <v>175</v>
      </c>
      <c r="C330" s="82" t="s">
        <v>473</v>
      </c>
      <c r="D330" s="137" t="s">
        <v>158</v>
      </c>
      <c r="E330" s="165">
        <f>Заходи!G283</f>
        <v>101</v>
      </c>
      <c r="F330" s="165">
        <f>Заходи!J283</f>
        <v>46.7</v>
      </c>
      <c r="G330" s="165">
        <f>Заходи!M283</f>
        <v>415</v>
      </c>
    </row>
    <row r="331" spans="1:7" ht="18.75" x14ac:dyDescent="0.25">
      <c r="A331" s="333"/>
      <c r="B331" s="139" t="s">
        <v>170</v>
      </c>
      <c r="C331" s="109" t="s">
        <v>474</v>
      </c>
      <c r="D331" s="105" t="s">
        <v>221</v>
      </c>
      <c r="E331" s="171">
        <v>9</v>
      </c>
      <c r="F331" s="171">
        <v>4</v>
      </c>
      <c r="G331" s="171">
        <v>22</v>
      </c>
    </row>
    <row r="332" spans="1:7" ht="18.75" x14ac:dyDescent="0.3">
      <c r="A332" s="333"/>
      <c r="B332" s="107" t="s">
        <v>180</v>
      </c>
      <c r="C332" s="151" t="s">
        <v>475</v>
      </c>
      <c r="D332" s="105" t="s">
        <v>158</v>
      </c>
      <c r="E332" s="138">
        <f>E330/E331</f>
        <v>11.222222222222221</v>
      </c>
      <c r="F332" s="138">
        <f t="shared" ref="F332:G332" si="85">F330/F331</f>
        <v>11.675000000000001</v>
      </c>
      <c r="G332" s="138">
        <f t="shared" si="85"/>
        <v>18.863636363636363</v>
      </c>
    </row>
    <row r="333" spans="1:7" ht="18.75" x14ac:dyDescent="0.25">
      <c r="A333" s="333"/>
      <c r="B333" s="107" t="s">
        <v>171</v>
      </c>
      <c r="C333" s="110" t="s">
        <v>382</v>
      </c>
      <c r="D333" s="105" t="s">
        <v>183</v>
      </c>
      <c r="E333" s="170">
        <v>100</v>
      </c>
      <c r="F333" s="170">
        <v>100</v>
      </c>
      <c r="G333" s="170">
        <v>100</v>
      </c>
    </row>
    <row r="334" spans="1:7" ht="18.75" x14ac:dyDescent="0.25">
      <c r="A334" s="353" t="s">
        <v>90</v>
      </c>
      <c r="B334" s="137" t="s">
        <v>175</v>
      </c>
      <c r="C334" s="82" t="s">
        <v>476</v>
      </c>
      <c r="D334" s="137" t="s">
        <v>158</v>
      </c>
      <c r="E334" s="165">
        <f>Заходи!G287</f>
        <v>60</v>
      </c>
      <c r="F334" s="165">
        <f>Заходи!J287</f>
        <v>60</v>
      </c>
      <c r="G334" s="165">
        <f>Заходи!M287</f>
        <v>67</v>
      </c>
    </row>
    <row r="335" spans="1:7" ht="37.5" x14ac:dyDescent="0.25">
      <c r="A335" s="354"/>
      <c r="B335" s="139" t="s">
        <v>170</v>
      </c>
      <c r="C335" s="109" t="s">
        <v>478</v>
      </c>
      <c r="D335" s="106" t="s">
        <v>477</v>
      </c>
      <c r="E335" s="167">
        <v>1500</v>
      </c>
      <c r="F335" s="167">
        <v>3350</v>
      </c>
      <c r="G335" s="167">
        <v>3350</v>
      </c>
    </row>
    <row r="336" spans="1:7" ht="18.75" x14ac:dyDescent="0.3">
      <c r="A336" s="354"/>
      <c r="B336" s="107" t="s">
        <v>180</v>
      </c>
      <c r="C336" s="152" t="s">
        <v>479</v>
      </c>
      <c r="D336" s="105" t="s">
        <v>158</v>
      </c>
      <c r="E336" s="169">
        <f>E334/E335</f>
        <v>0.04</v>
      </c>
      <c r="F336" s="169">
        <f t="shared" ref="F336:G336" si="86">F334/F335</f>
        <v>1.7910447761194031E-2</v>
      </c>
      <c r="G336" s="169">
        <f t="shared" si="86"/>
        <v>0.02</v>
      </c>
    </row>
    <row r="337" spans="1:7" ht="18.75" x14ac:dyDescent="0.25">
      <c r="A337" s="355"/>
      <c r="B337" s="107" t="s">
        <v>171</v>
      </c>
      <c r="C337" s="85" t="s">
        <v>382</v>
      </c>
      <c r="D337" s="105" t="s">
        <v>183</v>
      </c>
      <c r="E337" s="170">
        <v>100</v>
      </c>
      <c r="F337" s="170">
        <v>100</v>
      </c>
      <c r="G337" s="170">
        <v>100</v>
      </c>
    </row>
    <row r="338" spans="1:7" ht="37.5" x14ac:dyDescent="0.25">
      <c r="A338" s="333" t="s">
        <v>91</v>
      </c>
      <c r="B338" s="137" t="s">
        <v>175</v>
      </c>
      <c r="C338" s="82" t="s">
        <v>480</v>
      </c>
      <c r="D338" s="137" t="s">
        <v>158</v>
      </c>
      <c r="E338" s="165">
        <f>Заходи!G291</f>
        <v>406.5</v>
      </c>
      <c r="F338" s="165">
        <f>Заходи!J291</f>
        <v>335</v>
      </c>
      <c r="G338" s="165">
        <f>Заходи!M291</f>
        <v>560</v>
      </c>
    </row>
    <row r="339" spans="1:7" ht="18.75" x14ac:dyDescent="0.25">
      <c r="A339" s="333"/>
      <c r="B339" s="139" t="s">
        <v>170</v>
      </c>
      <c r="C339" s="109" t="s">
        <v>481</v>
      </c>
      <c r="D339" s="106" t="s">
        <v>221</v>
      </c>
      <c r="E339" s="171">
        <v>116</v>
      </c>
      <c r="F339" s="171">
        <v>118</v>
      </c>
      <c r="G339" s="171">
        <v>59</v>
      </c>
    </row>
    <row r="340" spans="1:7" ht="18.75" x14ac:dyDescent="0.25">
      <c r="A340" s="333"/>
      <c r="B340" s="107" t="s">
        <v>180</v>
      </c>
      <c r="C340" s="109" t="s">
        <v>482</v>
      </c>
      <c r="D340" s="105" t="s">
        <v>158</v>
      </c>
      <c r="E340" s="138">
        <f>E338/E339</f>
        <v>3.5043103448275863</v>
      </c>
      <c r="F340" s="138">
        <f t="shared" ref="F340:G340" si="87">F338/F339</f>
        <v>2.8389830508474576</v>
      </c>
      <c r="G340" s="138">
        <f t="shared" si="87"/>
        <v>9.4915254237288131</v>
      </c>
    </row>
    <row r="341" spans="1:7" ht="18.75" x14ac:dyDescent="0.25">
      <c r="A341" s="333"/>
      <c r="B341" s="107" t="s">
        <v>171</v>
      </c>
      <c r="C341" s="85" t="s">
        <v>382</v>
      </c>
      <c r="D341" s="105" t="s">
        <v>183</v>
      </c>
      <c r="E341" s="170">
        <v>100</v>
      </c>
      <c r="F341" s="170">
        <v>100</v>
      </c>
      <c r="G341" s="170">
        <v>100</v>
      </c>
    </row>
    <row r="342" spans="1:7" ht="37.5" x14ac:dyDescent="0.25">
      <c r="A342" s="333" t="s">
        <v>92</v>
      </c>
      <c r="B342" s="137" t="s">
        <v>175</v>
      </c>
      <c r="C342" s="82" t="s">
        <v>483</v>
      </c>
      <c r="D342" s="137" t="s">
        <v>158</v>
      </c>
      <c r="E342" s="165">
        <f>Заходи!G295</f>
        <v>525</v>
      </c>
      <c r="F342" s="165">
        <f>Заходи!J295</f>
        <v>909.7</v>
      </c>
      <c r="G342" s="165">
        <f>Заходи!M295</f>
        <v>610</v>
      </c>
    </row>
    <row r="343" spans="1:7" ht="18.75" x14ac:dyDescent="0.25">
      <c r="A343" s="333"/>
      <c r="B343" s="139" t="s">
        <v>170</v>
      </c>
      <c r="C343" s="109" t="s">
        <v>484</v>
      </c>
      <c r="D343" s="105" t="s">
        <v>221</v>
      </c>
      <c r="E343" s="138">
        <v>50</v>
      </c>
      <c r="F343" s="138">
        <v>71</v>
      </c>
      <c r="G343" s="138">
        <v>50</v>
      </c>
    </row>
    <row r="344" spans="1:7" ht="18.75" x14ac:dyDescent="0.25">
      <c r="A344" s="333"/>
      <c r="B344" s="107" t="s">
        <v>180</v>
      </c>
      <c r="C344" s="109" t="s">
        <v>485</v>
      </c>
      <c r="D344" s="114" t="s">
        <v>158</v>
      </c>
      <c r="E344" s="138">
        <f>E342/E343</f>
        <v>10.5</v>
      </c>
      <c r="F344" s="138">
        <f t="shared" ref="F344:G344" si="88">F342/F343</f>
        <v>12.812676056338029</v>
      </c>
      <c r="G344" s="138">
        <f t="shared" si="88"/>
        <v>12.2</v>
      </c>
    </row>
    <row r="345" spans="1:7" ht="18.75" x14ac:dyDescent="0.25">
      <c r="A345" s="333"/>
      <c r="B345" s="107" t="s">
        <v>171</v>
      </c>
      <c r="C345" s="85" t="s">
        <v>382</v>
      </c>
      <c r="D345" s="105" t="s">
        <v>183</v>
      </c>
      <c r="E345" s="170">
        <v>100</v>
      </c>
      <c r="F345" s="170">
        <v>100</v>
      </c>
      <c r="G345" s="170">
        <v>100</v>
      </c>
    </row>
    <row r="346" spans="1:7" ht="37.5" x14ac:dyDescent="0.25">
      <c r="A346" s="353" t="s">
        <v>93</v>
      </c>
      <c r="B346" s="137" t="s">
        <v>175</v>
      </c>
      <c r="C346" s="82" t="s">
        <v>486</v>
      </c>
      <c r="D346" s="137" t="s">
        <v>158</v>
      </c>
      <c r="E346" s="165">
        <f>Заходи!G299</f>
        <v>2103</v>
      </c>
      <c r="F346" s="165">
        <f>Заходи!J299</f>
        <v>4976.26</v>
      </c>
      <c r="G346" s="165">
        <f>Заходи!M299</f>
        <v>0</v>
      </c>
    </row>
    <row r="347" spans="1:7" ht="18.75" x14ac:dyDescent="0.25">
      <c r="A347" s="354"/>
      <c r="B347" s="139" t="s">
        <v>170</v>
      </c>
      <c r="C347" s="109" t="s">
        <v>487</v>
      </c>
      <c r="D347" s="106" t="s">
        <v>221</v>
      </c>
      <c r="E347" s="167">
        <v>1</v>
      </c>
      <c r="F347" s="167">
        <v>1</v>
      </c>
      <c r="G347" s="167"/>
    </row>
    <row r="348" spans="1:7" ht="18.75" x14ac:dyDescent="0.25">
      <c r="A348" s="354"/>
      <c r="B348" s="107" t="s">
        <v>180</v>
      </c>
      <c r="C348" s="109" t="s">
        <v>488</v>
      </c>
      <c r="D348" s="105" t="s">
        <v>158</v>
      </c>
      <c r="E348" s="169">
        <f>E346/E347</f>
        <v>2103</v>
      </c>
      <c r="F348" s="169">
        <f t="shared" ref="F348" si="89">F346/F347</f>
        <v>4976.26</v>
      </c>
      <c r="G348" s="169"/>
    </row>
    <row r="349" spans="1:7" ht="18.75" x14ac:dyDescent="0.25">
      <c r="A349" s="355"/>
      <c r="B349" s="107" t="s">
        <v>171</v>
      </c>
      <c r="C349" s="85" t="s">
        <v>382</v>
      </c>
      <c r="D349" s="105" t="s">
        <v>183</v>
      </c>
      <c r="E349" s="170">
        <v>100</v>
      </c>
      <c r="F349" s="170">
        <v>100</v>
      </c>
      <c r="G349" s="170">
        <v>100</v>
      </c>
    </row>
    <row r="350" spans="1:7" ht="18.75" x14ac:dyDescent="0.25">
      <c r="A350" s="333" t="s">
        <v>94</v>
      </c>
      <c r="B350" s="137" t="s">
        <v>175</v>
      </c>
      <c r="C350" s="82" t="s">
        <v>489</v>
      </c>
      <c r="D350" s="137" t="s">
        <v>158</v>
      </c>
      <c r="E350" s="165">
        <f>Заходи!G303</f>
        <v>1696.16</v>
      </c>
      <c r="F350" s="165">
        <f>Заходи!J303</f>
        <v>1950.58</v>
      </c>
      <c r="G350" s="165">
        <f>Заходи!M303</f>
        <v>2165</v>
      </c>
    </row>
    <row r="351" spans="1:7" ht="18.75" x14ac:dyDescent="0.25">
      <c r="A351" s="333"/>
      <c r="B351" s="139" t="s">
        <v>170</v>
      </c>
      <c r="C351" s="109" t="s">
        <v>490</v>
      </c>
      <c r="D351" s="106" t="s">
        <v>221</v>
      </c>
      <c r="E351" s="171">
        <v>12</v>
      </c>
      <c r="F351" s="171">
        <v>12</v>
      </c>
      <c r="G351" s="171">
        <v>12</v>
      </c>
    </row>
    <row r="352" spans="1:7" ht="18.75" x14ac:dyDescent="0.25">
      <c r="A352" s="333"/>
      <c r="B352" s="107" t="s">
        <v>180</v>
      </c>
      <c r="C352" s="109" t="s">
        <v>491</v>
      </c>
      <c r="D352" s="105" t="s">
        <v>158</v>
      </c>
      <c r="E352" s="138">
        <f>E350/E351</f>
        <v>141.34666666666666</v>
      </c>
      <c r="F352" s="138">
        <f t="shared" ref="F352:G352" si="90">F350/F351</f>
        <v>162.54833333333332</v>
      </c>
      <c r="G352" s="138">
        <f t="shared" si="90"/>
        <v>180.41666666666666</v>
      </c>
    </row>
    <row r="353" spans="1:7" ht="18.75" x14ac:dyDescent="0.25">
      <c r="A353" s="333"/>
      <c r="B353" s="107" t="s">
        <v>171</v>
      </c>
      <c r="C353" s="85" t="s">
        <v>382</v>
      </c>
      <c r="D353" s="105" t="s">
        <v>183</v>
      </c>
      <c r="E353" s="170">
        <v>100</v>
      </c>
      <c r="F353" s="170">
        <v>100</v>
      </c>
      <c r="G353" s="170">
        <v>100</v>
      </c>
    </row>
    <row r="354" spans="1:7" ht="18.75" x14ac:dyDescent="0.25">
      <c r="A354" s="333" t="s">
        <v>95</v>
      </c>
      <c r="B354" s="137" t="s">
        <v>175</v>
      </c>
      <c r="C354" s="82" t="s">
        <v>493</v>
      </c>
      <c r="D354" s="137" t="s">
        <v>158</v>
      </c>
      <c r="E354" s="165">
        <f>Заходи!G307</f>
        <v>70.099999999999994</v>
      </c>
      <c r="F354" s="165">
        <f>Заходи!J307</f>
        <v>340</v>
      </c>
      <c r="G354" s="165">
        <f>Заходи!M307</f>
        <v>575</v>
      </c>
    </row>
    <row r="355" spans="1:7" ht="18.75" x14ac:dyDescent="0.25">
      <c r="A355" s="333"/>
      <c r="B355" s="139" t="s">
        <v>170</v>
      </c>
      <c r="C355" s="109" t="s">
        <v>487</v>
      </c>
      <c r="D355" s="105" t="s">
        <v>221</v>
      </c>
      <c r="E355" s="185">
        <v>2</v>
      </c>
      <c r="F355" s="185">
        <v>9</v>
      </c>
      <c r="G355" s="185">
        <v>15</v>
      </c>
    </row>
    <row r="356" spans="1:7" ht="18.75" x14ac:dyDescent="0.25">
      <c r="A356" s="333"/>
      <c r="B356" s="107" t="s">
        <v>180</v>
      </c>
      <c r="C356" s="109" t="s">
        <v>492</v>
      </c>
      <c r="D356" s="104" t="s">
        <v>158</v>
      </c>
      <c r="E356" s="138">
        <f>E354/E355</f>
        <v>35.049999999999997</v>
      </c>
      <c r="F356" s="138">
        <f t="shared" ref="F356:G356" si="91">F354/F355</f>
        <v>37.777777777777779</v>
      </c>
      <c r="G356" s="138">
        <f t="shared" si="91"/>
        <v>38.333333333333336</v>
      </c>
    </row>
    <row r="357" spans="1:7" ht="18.75" x14ac:dyDescent="0.25">
      <c r="A357" s="333"/>
      <c r="B357" s="107" t="s">
        <v>171</v>
      </c>
      <c r="C357" s="110" t="s">
        <v>382</v>
      </c>
      <c r="D357" s="105" t="s">
        <v>183</v>
      </c>
      <c r="E357" s="170">
        <v>100</v>
      </c>
      <c r="F357" s="170">
        <v>100</v>
      </c>
      <c r="G357" s="170">
        <v>100</v>
      </c>
    </row>
    <row r="358" spans="1:7" ht="18.75" x14ac:dyDescent="0.25">
      <c r="A358" s="353" t="s">
        <v>96</v>
      </c>
      <c r="B358" s="137" t="s">
        <v>175</v>
      </c>
      <c r="C358" s="82" t="s">
        <v>494</v>
      </c>
      <c r="D358" s="137" t="s">
        <v>158</v>
      </c>
      <c r="E358" s="165">
        <f>Заходи!G311</f>
        <v>48</v>
      </c>
      <c r="F358" s="165">
        <f>Заходи!J311</f>
        <v>50</v>
      </c>
      <c r="G358" s="165">
        <f>Заходи!M311</f>
        <v>75</v>
      </c>
    </row>
    <row r="359" spans="1:7" ht="37.5" x14ac:dyDescent="0.25">
      <c r="A359" s="354"/>
      <c r="B359" s="139" t="s">
        <v>170</v>
      </c>
      <c r="C359" s="109" t="s">
        <v>495</v>
      </c>
      <c r="D359" s="106" t="s">
        <v>304</v>
      </c>
      <c r="E359" s="176">
        <v>12</v>
      </c>
      <c r="F359" s="176">
        <v>12</v>
      </c>
      <c r="G359" s="176">
        <v>12</v>
      </c>
    </row>
    <row r="360" spans="1:7" ht="37.5" x14ac:dyDescent="0.25">
      <c r="A360" s="354"/>
      <c r="B360" s="107" t="s">
        <v>180</v>
      </c>
      <c r="C360" s="109" t="s">
        <v>496</v>
      </c>
      <c r="D360" s="105" t="s">
        <v>158</v>
      </c>
      <c r="E360" s="169">
        <f>E358/E359</f>
        <v>4</v>
      </c>
      <c r="F360" s="169">
        <f t="shared" ref="F360:G360" si="92">F358/F359</f>
        <v>4.166666666666667</v>
      </c>
      <c r="G360" s="169">
        <f t="shared" si="92"/>
        <v>6.25</v>
      </c>
    </row>
    <row r="361" spans="1:7" ht="18.75" x14ac:dyDescent="0.25">
      <c r="A361" s="355"/>
      <c r="B361" s="107" t="s">
        <v>171</v>
      </c>
      <c r="C361" s="85" t="s">
        <v>497</v>
      </c>
      <c r="D361" s="105" t="s">
        <v>183</v>
      </c>
      <c r="E361" s="170">
        <v>100</v>
      </c>
      <c r="F361" s="170">
        <v>100</v>
      </c>
      <c r="G361" s="170">
        <v>100</v>
      </c>
    </row>
    <row r="362" spans="1:7" ht="18.75" x14ac:dyDescent="0.25">
      <c r="A362" s="353" t="s">
        <v>97</v>
      </c>
      <c r="B362" s="137" t="s">
        <v>175</v>
      </c>
      <c r="C362" s="82" t="s">
        <v>498</v>
      </c>
      <c r="D362" s="137" t="s">
        <v>158</v>
      </c>
      <c r="E362" s="165">
        <f>Заходи!G315</f>
        <v>271.95999999999998</v>
      </c>
      <c r="F362" s="165">
        <f>Заходи!J315</f>
        <v>1195.47</v>
      </c>
      <c r="G362" s="165">
        <f>Заходи!M315</f>
        <v>19388</v>
      </c>
    </row>
    <row r="363" spans="1:7" ht="18.75" x14ac:dyDescent="0.25">
      <c r="A363" s="354"/>
      <c r="B363" s="139" t="s">
        <v>170</v>
      </c>
      <c r="C363" s="109" t="s">
        <v>499</v>
      </c>
      <c r="D363" s="113" t="s">
        <v>221</v>
      </c>
      <c r="E363" s="176">
        <v>10</v>
      </c>
      <c r="F363" s="176">
        <v>25</v>
      </c>
      <c r="G363" s="176">
        <v>40</v>
      </c>
    </row>
    <row r="364" spans="1:7" ht="18.75" x14ac:dyDescent="0.25">
      <c r="A364" s="354"/>
      <c r="B364" s="107" t="s">
        <v>180</v>
      </c>
      <c r="C364" s="109" t="s">
        <v>500</v>
      </c>
      <c r="D364" s="112" t="s">
        <v>158</v>
      </c>
      <c r="E364" s="172">
        <f>E362/E363</f>
        <v>27.195999999999998</v>
      </c>
      <c r="F364" s="172">
        <f t="shared" ref="F364" si="93">F362/F363</f>
        <v>47.818800000000003</v>
      </c>
      <c r="G364" s="172">
        <f>G362/G363</f>
        <v>484.7</v>
      </c>
    </row>
    <row r="365" spans="1:7" ht="18.75" x14ac:dyDescent="0.25">
      <c r="A365" s="355"/>
      <c r="B365" s="107" t="s">
        <v>171</v>
      </c>
      <c r="C365" s="85" t="s">
        <v>501</v>
      </c>
      <c r="D365" s="112" t="s">
        <v>183</v>
      </c>
      <c r="E365" s="170">
        <v>100</v>
      </c>
      <c r="F365" s="170">
        <v>100</v>
      </c>
      <c r="G365" s="170">
        <v>100</v>
      </c>
    </row>
    <row r="366" spans="1:7" ht="18.75" x14ac:dyDescent="0.25">
      <c r="A366" s="333" t="s">
        <v>98</v>
      </c>
      <c r="B366" s="137" t="s">
        <v>175</v>
      </c>
      <c r="C366" s="82" t="s">
        <v>502</v>
      </c>
      <c r="D366" s="137" t="s">
        <v>158</v>
      </c>
      <c r="E366" s="165">
        <f>Заходи!G319</f>
        <v>0</v>
      </c>
      <c r="F366" s="165">
        <f>Заходи!J319</f>
        <v>6146.5</v>
      </c>
      <c r="G366" s="165">
        <f>Заходи!M319</f>
        <v>0</v>
      </c>
    </row>
    <row r="367" spans="1:7" ht="18.75" x14ac:dyDescent="0.25">
      <c r="A367" s="333"/>
      <c r="B367" s="139" t="s">
        <v>170</v>
      </c>
      <c r="C367" s="109" t="s">
        <v>503</v>
      </c>
      <c r="D367" s="113" t="s">
        <v>221</v>
      </c>
      <c r="E367" s="171">
        <v>0</v>
      </c>
      <c r="F367" s="171">
        <v>1</v>
      </c>
      <c r="G367" s="171">
        <v>0</v>
      </c>
    </row>
    <row r="368" spans="1:7" ht="18.75" x14ac:dyDescent="0.25">
      <c r="A368" s="333"/>
      <c r="B368" s="107" t="s">
        <v>180</v>
      </c>
      <c r="C368" s="109" t="s">
        <v>504</v>
      </c>
      <c r="D368" s="112" t="s">
        <v>158</v>
      </c>
      <c r="E368" s="138"/>
      <c r="F368" s="138">
        <f t="shared" ref="F368" si="94">F366/F367</f>
        <v>6146.5</v>
      </c>
      <c r="G368" s="138"/>
    </row>
    <row r="369" spans="1:7" ht="18.75" x14ac:dyDescent="0.25">
      <c r="A369" s="333"/>
      <c r="B369" s="107" t="s">
        <v>171</v>
      </c>
      <c r="C369" s="85" t="s">
        <v>382</v>
      </c>
      <c r="D369" s="112" t="s">
        <v>183</v>
      </c>
      <c r="E369" s="170"/>
      <c r="F369" s="170">
        <v>100</v>
      </c>
      <c r="G369" s="170"/>
    </row>
    <row r="370" spans="1:7" ht="37.5" x14ac:dyDescent="0.25">
      <c r="A370" s="333" t="s">
        <v>99</v>
      </c>
      <c r="B370" s="137" t="s">
        <v>175</v>
      </c>
      <c r="C370" s="82" t="s">
        <v>505</v>
      </c>
      <c r="D370" s="137" t="s">
        <v>158</v>
      </c>
      <c r="E370" s="165">
        <f>Заходи!G323</f>
        <v>0</v>
      </c>
      <c r="F370" s="165">
        <f>Заходи!J323</f>
        <v>2523.6999999999998</v>
      </c>
      <c r="G370" s="165">
        <f>Заходи!M323</f>
        <v>0</v>
      </c>
    </row>
    <row r="371" spans="1:7" ht="18.75" x14ac:dyDescent="0.25">
      <c r="A371" s="333"/>
      <c r="B371" s="139" t="s">
        <v>170</v>
      </c>
      <c r="C371" s="109" t="s">
        <v>506</v>
      </c>
      <c r="D371" s="112" t="s">
        <v>221</v>
      </c>
      <c r="E371" s="185"/>
      <c r="F371" s="185">
        <v>1</v>
      </c>
      <c r="G371" s="185"/>
    </row>
    <row r="372" spans="1:7" ht="18.75" x14ac:dyDescent="0.25">
      <c r="A372" s="333"/>
      <c r="B372" s="107" t="s">
        <v>180</v>
      </c>
      <c r="C372" s="109" t="s">
        <v>507</v>
      </c>
      <c r="D372" s="111" t="s">
        <v>508</v>
      </c>
      <c r="E372" s="138"/>
      <c r="F372" s="138">
        <f>F370/F371</f>
        <v>2523.6999999999998</v>
      </c>
      <c r="G372" s="138"/>
    </row>
    <row r="373" spans="1:7" ht="18.75" x14ac:dyDescent="0.25">
      <c r="A373" s="333"/>
      <c r="B373" s="107" t="s">
        <v>171</v>
      </c>
      <c r="C373" s="110" t="s">
        <v>382</v>
      </c>
      <c r="D373" s="112" t="s">
        <v>183</v>
      </c>
      <c r="E373" s="170">
        <v>100</v>
      </c>
      <c r="F373" s="170">
        <v>100</v>
      </c>
      <c r="G373" s="170"/>
    </row>
    <row r="374" spans="1:7" ht="39" customHeight="1" x14ac:dyDescent="0.25">
      <c r="A374" s="356" t="s">
        <v>448</v>
      </c>
      <c r="B374" s="357"/>
      <c r="C374" s="110"/>
      <c r="D374" s="112"/>
      <c r="E374" s="188">
        <f>E375</f>
        <v>955.1</v>
      </c>
      <c r="F374" s="188">
        <f t="shared" ref="F374:G374" si="95">F375</f>
        <v>180.2</v>
      </c>
      <c r="G374" s="188">
        <f t="shared" si="95"/>
        <v>0</v>
      </c>
    </row>
    <row r="375" spans="1:7" ht="39" x14ac:dyDescent="0.25">
      <c r="A375" s="153" t="s">
        <v>446</v>
      </c>
      <c r="B375" s="84"/>
      <c r="C375" s="90"/>
      <c r="D375" s="84"/>
      <c r="E375" s="189">
        <f>E376+E387+E407+E421</f>
        <v>955.1</v>
      </c>
      <c r="F375" s="189">
        <f>F376+F387+F407+F421</f>
        <v>180.2</v>
      </c>
      <c r="G375" s="189">
        <f>G377+G388+G408+G421</f>
        <v>0</v>
      </c>
    </row>
    <row r="376" spans="1:7" ht="19.5" customHeight="1" x14ac:dyDescent="0.25">
      <c r="A376" s="321" t="s">
        <v>118</v>
      </c>
      <c r="B376" s="330" t="s">
        <v>175</v>
      </c>
      <c r="C376" s="94" t="s">
        <v>21</v>
      </c>
      <c r="D376" s="136"/>
      <c r="E376" s="190">
        <f>E377+E378+E379</f>
        <v>182.5</v>
      </c>
      <c r="F376" s="190">
        <f t="shared" ref="F376:G376" si="96">F377+F378+F379</f>
        <v>0</v>
      </c>
      <c r="G376" s="190">
        <f t="shared" si="96"/>
        <v>0</v>
      </c>
    </row>
    <row r="377" spans="1:7" ht="37.5" x14ac:dyDescent="0.25">
      <c r="A377" s="322"/>
      <c r="B377" s="331"/>
      <c r="C377" s="96" t="s">
        <v>459</v>
      </c>
      <c r="D377" s="330" t="s">
        <v>158</v>
      </c>
      <c r="E377" s="165">
        <v>150</v>
      </c>
      <c r="F377" s="165">
        <v>0</v>
      </c>
      <c r="G377" s="165">
        <f>Заходи!M331</f>
        <v>0</v>
      </c>
    </row>
    <row r="378" spans="1:7" ht="37.5" x14ac:dyDescent="0.25">
      <c r="A378" s="322"/>
      <c r="B378" s="331"/>
      <c r="C378" s="96" t="s">
        <v>460</v>
      </c>
      <c r="D378" s="331"/>
      <c r="E378" s="165">
        <v>20</v>
      </c>
      <c r="F378" s="165">
        <v>0</v>
      </c>
      <c r="G378" s="165"/>
    </row>
    <row r="379" spans="1:7" ht="37.5" x14ac:dyDescent="0.25">
      <c r="A379" s="322"/>
      <c r="B379" s="332"/>
      <c r="C379" s="96" t="s">
        <v>461</v>
      </c>
      <c r="D379" s="332"/>
      <c r="E379" s="165">
        <v>12.5</v>
      </c>
      <c r="F379" s="165">
        <v>0</v>
      </c>
      <c r="G379" s="165"/>
    </row>
    <row r="380" spans="1:7" ht="37.5" x14ac:dyDescent="0.25">
      <c r="A380" s="322"/>
      <c r="B380" s="324" t="s">
        <v>170</v>
      </c>
      <c r="C380" s="109" t="s">
        <v>464</v>
      </c>
      <c r="D380" s="339" t="s">
        <v>221</v>
      </c>
      <c r="E380" s="167">
        <v>15</v>
      </c>
      <c r="F380" s="167"/>
      <c r="G380" s="167">
        <v>0</v>
      </c>
    </row>
    <row r="381" spans="1:7" ht="18.75" x14ac:dyDescent="0.25">
      <c r="A381" s="322"/>
      <c r="B381" s="325"/>
      <c r="C381" s="109" t="s">
        <v>462</v>
      </c>
      <c r="D381" s="340"/>
      <c r="E381" s="167">
        <v>20</v>
      </c>
      <c r="F381" s="167"/>
      <c r="G381" s="167"/>
    </row>
    <row r="382" spans="1:7" ht="37.5" x14ac:dyDescent="0.25">
      <c r="A382" s="322"/>
      <c r="B382" s="326"/>
      <c r="C382" s="109" t="s">
        <v>463</v>
      </c>
      <c r="D382" s="341"/>
      <c r="E382" s="167">
        <v>25</v>
      </c>
      <c r="F382" s="167"/>
      <c r="G382" s="167"/>
    </row>
    <row r="383" spans="1:7" ht="37.5" x14ac:dyDescent="0.3">
      <c r="A383" s="322"/>
      <c r="B383" s="327" t="s">
        <v>180</v>
      </c>
      <c r="C383" s="145" t="s">
        <v>466</v>
      </c>
      <c r="D383" s="339" t="s">
        <v>158</v>
      </c>
      <c r="E383" s="169">
        <f>E377/E380</f>
        <v>10</v>
      </c>
      <c r="F383" s="169"/>
      <c r="G383" s="169">
        <v>0</v>
      </c>
    </row>
    <row r="384" spans="1:7" ht="37.5" x14ac:dyDescent="0.3">
      <c r="A384" s="322"/>
      <c r="B384" s="328"/>
      <c r="C384" s="145" t="s">
        <v>467</v>
      </c>
      <c r="D384" s="340"/>
      <c r="E384" s="169">
        <f t="shared" ref="E384:E385" si="97">E378/E381</f>
        <v>1</v>
      </c>
      <c r="F384" s="169"/>
      <c r="G384" s="169"/>
    </row>
    <row r="385" spans="1:7" ht="37.5" x14ac:dyDescent="0.3">
      <c r="A385" s="322"/>
      <c r="B385" s="329"/>
      <c r="C385" s="145" t="s">
        <v>465</v>
      </c>
      <c r="D385" s="341"/>
      <c r="E385" s="169">
        <f t="shared" si="97"/>
        <v>0.5</v>
      </c>
      <c r="F385" s="169"/>
      <c r="G385" s="169"/>
    </row>
    <row r="386" spans="1:7" ht="18.75" x14ac:dyDescent="0.25">
      <c r="A386" s="323"/>
      <c r="B386" s="107" t="s">
        <v>171</v>
      </c>
      <c r="C386" s="85" t="s">
        <v>468</v>
      </c>
      <c r="D386" s="112" t="s">
        <v>183</v>
      </c>
      <c r="E386" s="170">
        <v>100</v>
      </c>
      <c r="F386" s="170"/>
      <c r="G386" s="170"/>
    </row>
    <row r="387" spans="1:7" ht="18.75" x14ac:dyDescent="0.25">
      <c r="A387" s="321" t="s">
        <v>119</v>
      </c>
      <c r="B387" s="330" t="s">
        <v>175</v>
      </c>
      <c r="C387" s="94" t="s">
        <v>21</v>
      </c>
      <c r="D387" s="330" t="s">
        <v>158</v>
      </c>
      <c r="E387" s="190">
        <f>E388+E389+E390+E391+E392+E393</f>
        <v>136.22999999999999</v>
      </c>
      <c r="F387" s="190">
        <f t="shared" ref="F387:G387" si="98">F388+F389+F390+F391+F392+F393</f>
        <v>35.6</v>
      </c>
      <c r="G387" s="190">
        <f t="shared" si="98"/>
        <v>0</v>
      </c>
    </row>
    <row r="388" spans="1:7" ht="37.5" x14ac:dyDescent="0.25">
      <c r="A388" s="322"/>
      <c r="B388" s="331"/>
      <c r="C388" s="96" t="s">
        <v>661</v>
      </c>
      <c r="D388" s="331"/>
      <c r="E388" s="165">
        <v>9.6</v>
      </c>
      <c r="F388" s="165">
        <v>1.5</v>
      </c>
      <c r="G388" s="165">
        <f>Заходи!M335</f>
        <v>0</v>
      </c>
    </row>
    <row r="389" spans="1:7" ht="37.5" x14ac:dyDescent="0.25">
      <c r="A389" s="322"/>
      <c r="B389" s="331"/>
      <c r="C389" s="96" t="s">
        <v>662</v>
      </c>
      <c r="D389" s="331"/>
      <c r="E389" s="165">
        <v>30</v>
      </c>
      <c r="F389" s="165">
        <v>2</v>
      </c>
      <c r="G389" s="165"/>
    </row>
    <row r="390" spans="1:7" ht="37.5" x14ac:dyDescent="0.25">
      <c r="A390" s="322"/>
      <c r="B390" s="331"/>
      <c r="C390" s="96" t="s">
        <v>663</v>
      </c>
      <c r="D390" s="331"/>
      <c r="E390" s="165">
        <v>53.25</v>
      </c>
      <c r="F390" s="165">
        <v>2.1</v>
      </c>
      <c r="G390" s="165"/>
    </row>
    <row r="391" spans="1:7" ht="37.5" x14ac:dyDescent="0.25">
      <c r="A391" s="322"/>
      <c r="B391" s="331"/>
      <c r="C391" s="96" t="s">
        <v>664</v>
      </c>
      <c r="D391" s="331"/>
      <c r="E391" s="165">
        <v>33.299999999999997</v>
      </c>
      <c r="F391" s="165">
        <v>12</v>
      </c>
      <c r="G391" s="165"/>
    </row>
    <row r="392" spans="1:7" ht="37.5" x14ac:dyDescent="0.25">
      <c r="A392" s="322"/>
      <c r="B392" s="331"/>
      <c r="C392" s="96" t="s">
        <v>665</v>
      </c>
      <c r="D392" s="331"/>
      <c r="E392" s="165">
        <v>8.16</v>
      </c>
      <c r="F392" s="165">
        <v>14</v>
      </c>
      <c r="G392" s="165"/>
    </row>
    <row r="393" spans="1:7" ht="37.5" x14ac:dyDescent="0.25">
      <c r="A393" s="322"/>
      <c r="B393" s="332"/>
      <c r="C393" s="96" t="s">
        <v>666</v>
      </c>
      <c r="D393" s="332"/>
      <c r="E393" s="165">
        <v>1.92</v>
      </c>
      <c r="F393" s="165">
        <v>4</v>
      </c>
      <c r="G393" s="165"/>
    </row>
    <row r="394" spans="1:7" ht="37.5" x14ac:dyDescent="0.25">
      <c r="A394" s="322"/>
      <c r="B394" s="324" t="s">
        <v>170</v>
      </c>
      <c r="C394" s="109" t="s">
        <v>667</v>
      </c>
      <c r="D394" s="339" t="s">
        <v>672</v>
      </c>
      <c r="E394" s="191">
        <v>30</v>
      </c>
      <c r="F394" s="191">
        <v>10</v>
      </c>
      <c r="G394" s="191"/>
    </row>
    <row r="395" spans="1:7" ht="37.5" x14ac:dyDescent="0.25">
      <c r="A395" s="322"/>
      <c r="B395" s="325"/>
      <c r="C395" s="109" t="s">
        <v>668</v>
      </c>
      <c r="D395" s="340"/>
      <c r="E395" s="167">
        <v>30</v>
      </c>
      <c r="F395" s="167">
        <v>5</v>
      </c>
      <c r="G395" s="167"/>
    </row>
    <row r="396" spans="1:7" ht="37.5" x14ac:dyDescent="0.25">
      <c r="A396" s="322"/>
      <c r="B396" s="325"/>
      <c r="C396" s="109" t="s">
        <v>669</v>
      </c>
      <c r="D396" s="340"/>
      <c r="E396" s="167">
        <v>30</v>
      </c>
      <c r="F396" s="167">
        <v>3</v>
      </c>
      <c r="G396" s="167"/>
    </row>
    <row r="397" spans="1:7" ht="37.5" x14ac:dyDescent="0.25">
      <c r="A397" s="322"/>
      <c r="B397" s="325"/>
      <c r="C397" s="109" t="s">
        <v>670</v>
      </c>
      <c r="D397" s="340"/>
      <c r="E397" s="167">
        <v>90</v>
      </c>
      <c r="F397" s="167">
        <v>10</v>
      </c>
      <c r="G397" s="167"/>
    </row>
    <row r="398" spans="1:7" ht="37.5" x14ac:dyDescent="0.25">
      <c r="A398" s="322"/>
      <c r="B398" s="325"/>
      <c r="C398" s="109" t="s">
        <v>671</v>
      </c>
      <c r="D398" s="341"/>
      <c r="E398" s="167">
        <v>12</v>
      </c>
      <c r="F398" s="167">
        <v>5</v>
      </c>
      <c r="G398" s="167"/>
    </row>
    <row r="399" spans="1:7" ht="18.75" x14ac:dyDescent="0.25">
      <c r="A399" s="322"/>
      <c r="B399" s="326"/>
      <c r="C399" s="109" t="s">
        <v>569</v>
      </c>
      <c r="D399" s="121" t="s">
        <v>355</v>
      </c>
      <c r="E399" s="167">
        <v>12</v>
      </c>
      <c r="F399" s="167">
        <v>5</v>
      </c>
      <c r="G399" s="167"/>
    </row>
    <row r="400" spans="1:7" ht="37.5" x14ac:dyDescent="0.3">
      <c r="A400" s="322"/>
      <c r="B400" s="327" t="s">
        <v>180</v>
      </c>
      <c r="C400" s="145" t="s">
        <v>678</v>
      </c>
      <c r="D400" s="339" t="s">
        <v>158</v>
      </c>
      <c r="E400" s="169">
        <f>E388/E395</f>
        <v>0.32</v>
      </c>
      <c r="F400" s="169">
        <f>F388/F394</f>
        <v>0.15</v>
      </c>
      <c r="G400" s="169"/>
    </row>
    <row r="401" spans="1:7" ht="37.5" x14ac:dyDescent="0.3">
      <c r="A401" s="322"/>
      <c r="B401" s="328"/>
      <c r="C401" s="145" t="s">
        <v>677</v>
      </c>
      <c r="D401" s="340"/>
      <c r="E401" s="169">
        <f t="shared" ref="E401:E405" si="99">E389/E396</f>
        <v>1</v>
      </c>
      <c r="F401" s="169">
        <f t="shared" ref="F401:F405" si="100">F389/F395</f>
        <v>0.4</v>
      </c>
      <c r="G401" s="169"/>
    </row>
    <row r="402" spans="1:7" ht="37.5" x14ac:dyDescent="0.3">
      <c r="A402" s="322"/>
      <c r="B402" s="328"/>
      <c r="C402" s="145" t="s">
        <v>676</v>
      </c>
      <c r="D402" s="340"/>
      <c r="E402" s="169">
        <f t="shared" si="99"/>
        <v>0.59166666666666667</v>
      </c>
      <c r="F402" s="169">
        <f t="shared" si="100"/>
        <v>0.70000000000000007</v>
      </c>
      <c r="G402" s="169"/>
    </row>
    <row r="403" spans="1:7" ht="37.5" x14ac:dyDescent="0.3">
      <c r="A403" s="322"/>
      <c r="B403" s="328"/>
      <c r="C403" s="145" t="s">
        <v>675</v>
      </c>
      <c r="D403" s="340"/>
      <c r="E403" s="169">
        <f t="shared" si="99"/>
        <v>2.7749999999999999</v>
      </c>
      <c r="F403" s="169">
        <f t="shared" si="100"/>
        <v>1.2</v>
      </c>
      <c r="G403" s="169"/>
    </row>
    <row r="404" spans="1:7" ht="37.5" x14ac:dyDescent="0.3">
      <c r="A404" s="322"/>
      <c r="B404" s="328"/>
      <c r="C404" s="145" t="s">
        <v>674</v>
      </c>
      <c r="D404" s="340"/>
      <c r="E404" s="169">
        <f t="shared" si="99"/>
        <v>0.68</v>
      </c>
      <c r="F404" s="169">
        <f t="shared" si="100"/>
        <v>2.8</v>
      </c>
      <c r="G404" s="169"/>
    </row>
    <row r="405" spans="1:7" ht="37.5" x14ac:dyDescent="0.3">
      <c r="A405" s="322"/>
      <c r="B405" s="329"/>
      <c r="C405" s="145" t="s">
        <v>673</v>
      </c>
      <c r="D405" s="341"/>
      <c r="E405" s="169">
        <f t="shared" si="99"/>
        <v>6</v>
      </c>
      <c r="F405" s="169">
        <f t="shared" si="100"/>
        <v>0.8</v>
      </c>
      <c r="G405" s="169"/>
    </row>
    <row r="406" spans="1:7" ht="18.75" x14ac:dyDescent="0.25">
      <c r="A406" s="323"/>
      <c r="B406" s="107" t="s">
        <v>171</v>
      </c>
      <c r="C406" s="85" t="s">
        <v>634</v>
      </c>
      <c r="D406" s="112" t="s">
        <v>183</v>
      </c>
      <c r="E406" s="170">
        <v>100</v>
      </c>
      <c r="F406" s="170">
        <v>100</v>
      </c>
      <c r="G406" s="170"/>
    </row>
    <row r="407" spans="1:7" ht="18.75" x14ac:dyDescent="0.25">
      <c r="A407" s="321" t="s">
        <v>120</v>
      </c>
      <c r="B407" s="330" t="s">
        <v>175</v>
      </c>
      <c r="C407" s="94" t="s">
        <v>21</v>
      </c>
      <c r="D407" s="137"/>
      <c r="E407" s="190">
        <f>E408+E409+E410+E411</f>
        <v>563.16999999999996</v>
      </c>
      <c r="F407" s="190">
        <v>93.5</v>
      </c>
      <c r="G407" s="190"/>
    </row>
    <row r="408" spans="1:7" ht="37.5" x14ac:dyDescent="0.25">
      <c r="A408" s="322"/>
      <c r="B408" s="331"/>
      <c r="C408" s="96" t="s">
        <v>570</v>
      </c>
      <c r="D408" s="330" t="s">
        <v>158</v>
      </c>
      <c r="E408" s="165">
        <v>508.75</v>
      </c>
      <c r="F408" s="165">
        <v>93.5</v>
      </c>
      <c r="G408" s="165">
        <f>Заходи!M339</f>
        <v>0</v>
      </c>
    </row>
    <row r="409" spans="1:7" ht="37.5" x14ac:dyDescent="0.25">
      <c r="A409" s="322"/>
      <c r="B409" s="331"/>
      <c r="C409" s="96" t="s">
        <v>571</v>
      </c>
      <c r="D409" s="331"/>
      <c r="E409" s="165">
        <v>16.32</v>
      </c>
      <c r="F409" s="165"/>
      <c r="G409" s="165"/>
    </row>
    <row r="410" spans="1:7" ht="37.5" x14ac:dyDescent="0.25">
      <c r="A410" s="322"/>
      <c r="B410" s="331"/>
      <c r="C410" s="96" t="s">
        <v>572</v>
      </c>
      <c r="D410" s="331"/>
      <c r="E410" s="165">
        <v>33.299999999999997</v>
      </c>
      <c r="F410" s="165"/>
      <c r="G410" s="165"/>
    </row>
    <row r="411" spans="1:7" ht="37.5" x14ac:dyDescent="0.25">
      <c r="A411" s="322"/>
      <c r="B411" s="332"/>
      <c r="C411" s="96" t="s">
        <v>568</v>
      </c>
      <c r="D411" s="332"/>
      <c r="E411" s="165">
        <v>4.8</v>
      </c>
      <c r="F411" s="165"/>
      <c r="G411" s="165"/>
    </row>
    <row r="412" spans="1:7" ht="37.5" x14ac:dyDescent="0.25">
      <c r="A412" s="322"/>
      <c r="B412" s="324" t="s">
        <v>170</v>
      </c>
      <c r="C412" s="109" t="s">
        <v>573</v>
      </c>
      <c r="D412" s="339" t="s">
        <v>672</v>
      </c>
      <c r="E412" s="171">
        <v>250</v>
      </c>
      <c r="F412" s="171">
        <v>50</v>
      </c>
      <c r="G412" s="171"/>
    </row>
    <row r="413" spans="1:7" ht="37.5" x14ac:dyDescent="0.25">
      <c r="A413" s="322"/>
      <c r="B413" s="325"/>
      <c r="C413" s="109" t="s">
        <v>574</v>
      </c>
      <c r="D413" s="340"/>
      <c r="E413" s="171">
        <v>24</v>
      </c>
      <c r="F413" s="171"/>
      <c r="G413" s="171"/>
    </row>
    <row r="414" spans="1:7" ht="37.5" x14ac:dyDescent="0.25">
      <c r="A414" s="322"/>
      <c r="B414" s="325"/>
      <c r="C414" s="109" t="s">
        <v>575</v>
      </c>
      <c r="D414" s="341"/>
      <c r="E414" s="171">
        <v>90</v>
      </c>
      <c r="F414" s="171"/>
      <c r="G414" s="171"/>
    </row>
    <row r="415" spans="1:7" ht="18.75" x14ac:dyDescent="0.25">
      <c r="A415" s="322"/>
      <c r="B415" s="326"/>
      <c r="C415" s="109" t="s">
        <v>576</v>
      </c>
      <c r="D415" s="121" t="s">
        <v>355</v>
      </c>
      <c r="E415" s="171">
        <v>30</v>
      </c>
      <c r="F415" s="171"/>
      <c r="G415" s="171"/>
    </row>
    <row r="416" spans="1:7" ht="37.5" x14ac:dyDescent="0.3">
      <c r="A416" s="322"/>
      <c r="B416" s="327" t="s">
        <v>180</v>
      </c>
      <c r="C416" s="145" t="s">
        <v>577</v>
      </c>
      <c r="D416" s="339" t="s">
        <v>158</v>
      </c>
      <c r="E416" s="138">
        <f>E408/E412</f>
        <v>2.0350000000000001</v>
      </c>
      <c r="F416" s="138">
        <f t="shared" ref="F416" si="101">F408/F412</f>
        <v>1.87</v>
      </c>
      <c r="G416" s="138"/>
    </row>
    <row r="417" spans="1:7" ht="37.5" x14ac:dyDescent="0.3">
      <c r="A417" s="322"/>
      <c r="B417" s="328"/>
      <c r="C417" s="145" t="s">
        <v>578</v>
      </c>
      <c r="D417" s="340"/>
      <c r="E417" s="138">
        <f t="shared" ref="E417:E419" si="102">E409/E413</f>
        <v>0.68</v>
      </c>
      <c r="F417" s="138"/>
      <c r="G417" s="138"/>
    </row>
    <row r="418" spans="1:7" ht="37.5" x14ac:dyDescent="0.3">
      <c r="A418" s="322"/>
      <c r="B418" s="328"/>
      <c r="C418" s="145" t="s">
        <v>579</v>
      </c>
      <c r="D418" s="340"/>
      <c r="E418" s="138">
        <f t="shared" si="102"/>
        <v>0.37</v>
      </c>
      <c r="F418" s="138"/>
      <c r="G418" s="138"/>
    </row>
    <row r="419" spans="1:7" ht="37.5" x14ac:dyDescent="0.3">
      <c r="A419" s="322"/>
      <c r="B419" s="329"/>
      <c r="C419" s="154" t="s">
        <v>580</v>
      </c>
      <c r="D419" s="341"/>
      <c r="E419" s="138">
        <f t="shared" si="102"/>
        <v>0.16</v>
      </c>
      <c r="F419" s="138"/>
      <c r="G419" s="138"/>
    </row>
    <row r="420" spans="1:7" ht="18.75" x14ac:dyDescent="0.25">
      <c r="A420" s="323"/>
      <c r="B420" s="107" t="s">
        <v>171</v>
      </c>
      <c r="C420" s="85" t="s">
        <v>634</v>
      </c>
      <c r="D420" s="112" t="s">
        <v>183</v>
      </c>
      <c r="E420" s="170">
        <v>100</v>
      </c>
      <c r="F420" s="170">
        <v>100</v>
      </c>
      <c r="G420" s="170"/>
    </row>
    <row r="421" spans="1:7" ht="18.75" x14ac:dyDescent="0.25">
      <c r="A421" s="333" t="s">
        <v>121</v>
      </c>
      <c r="B421" s="137" t="s">
        <v>175</v>
      </c>
      <c r="C421" s="96" t="s">
        <v>581</v>
      </c>
      <c r="D421" s="137" t="s">
        <v>158</v>
      </c>
      <c r="E421" s="165">
        <f>Заходи!G343</f>
        <v>73.2</v>
      </c>
      <c r="F421" s="165">
        <f>Заходи!J343</f>
        <v>51.1</v>
      </c>
      <c r="G421" s="165">
        <f>Заходи!M343</f>
        <v>0</v>
      </c>
    </row>
    <row r="422" spans="1:7" ht="18.75" x14ac:dyDescent="0.3">
      <c r="A422" s="333"/>
      <c r="B422" s="139" t="s">
        <v>170</v>
      </c>
      <c r="C422" s="145" t="s">
        <v>582</v>
      </c>
      <c r="D422" s="112" t="s">
        <v>304</v>
      </c>
      <c r="E422" s="185">
        <v>12</v>
      </c>
      <c r="F422" s="185">
        <v>3</v>
      </c>
      <c r="G422" s="185"/>
    </row>
    <row r="423" spans="1:7" ht="18.75" x14ac:dyDescent="0.3">
      <c r="A423" s="333"/>
      <c r="B423" s="107" t="s">
        <v>180</v>
      </c>
      <c r="C423" s="145" t="s">
        <v>583</v>
      </c>
      <c r="D423" s="111" t="s">
        <v>285</v>
      </c>
      <c r="E423" s="138">
        <f>E421/E422</f>
        <v>6.1000000000000005</v>
      </c>
      <c r="F423" s="138">
        <f>F421/F422</f>
        <v>17.033333333333335</v>
      </c>
      <c r="G423" s="138"/>
    </row>
    <row r="424" spans="1:7" ht="18.75" x14ac:dyDescent="0.25">
      <c r="A424" s="333"/>
      <c r="B424" s="107" t="s">
        <v>171</v>
      </c>
      <c r="C424" s="85" t="s">
        <v>634</v>
      </c>
      <c r="D424" s="112" t="s">
        <v>183</v>
      </c>
      <c r="E424" s="170">
        <v>100</v>
      </c>
      <c r="F424" s="170">
        <v>100</v>
      </c>
      <c r="G424" s="170"/>
    </row>
    <row r="425" spans="1:7" ht="19.5" x14ac:dyDescent="0.25">
      <c r="A425" s="95" t="s">
        <v>458</v>
      </c>
      <c r="B425" s="107"/>
      <c r="C425" s="122"/>
      <c r="D425" s="115"/>
      <c r="E425" s="162">
        <f>E427</f>
        <v>855.7</v>
      </c>
      <c r="F425" s="162">
        <f t="shared" ref="F425:G425" si="103">F427</f>
        <v>100</v>
      </c>
      <c r="G425" s="162">
        <f t="shared" si="103"/>
        <v>2487</v>
      </c>
    </row>
    <row r="426" spans="1:7" ht="37.5" x14ac:dyDescent="0.25">
      <c r="A426" s="85" t="s">
        <v>197</v>
      </c>
      <c r="B426" s="114"/>
      <c r="C426" s="86"/>
      <c r="D426" s="114"/>
      <c r="E426" s="163"/>
      <c r="F426" s="163"/>
      <c r="G426" s="163"/>
    </row>
    <row r="427" spans="1:7" ht="19.5" x14ac:dyDescent="0.35">
      <c r="A427" s="93" t="s">
        <v>450</v>
      </c>
      <c r="B427" s="87"/>
      <c r="C427" s="88"/>
      <c r="D427" s="88"/>
      <c r="E427" s="164">
        <f>E428+E432</f>
        <v>855.7</v>
      </c>
      <c r="F427" s="164">
        <f>F428+F432</f>
        <v>100</v>
      </c>
      <c r="G427" s="164">
        <f>G428+G432</f>
        <v>2487</v>
      </c>
    </row>
    <row r="428" spans="1:7" ht="18.75" x14ac:dyDescent="0.25">
      <c r="A428" s="321" t="s">
        <v>451</v>
      </c>
      <c r="B428" s="137" t="s">
        <v>175</v>
      </c>
      <c r="C428" s="82" t="s">
        <v>452</v>
      </c>
      <c r="D428" s="137" t="s">
        <v>158</v>
      </c>
      <c r="E428" s="165">
        <f>Заходи!G351</f>
        <v>300.7</v>
      </c>
      <c r="F428" s="165">
        <f>Заходи!J351</f>
        <v>100</v>
      </c>
      <c r="G428" s="165">
        <f>Заходи!M351</f>
        <v>387</v>
      </c>
    </row>
    <row r="429" spans="1:7" ht="18.75" x14ac:dyDescent="0.25">
      <c r="A429" s="322"/>
      <c r="B429" s="139" t="s">
        <v>170</v>
      </c>
      <c r="C429" s="109" t="s">
        <v>454</v>
      </c>
      <c r="D429" s="115" t="s">
        <v>221</v>
      </c>
      <c r="E429" s="176">
        <v>215</v>
      </c>
      <c r="F429" s="176">
        <v>55</v>
      </c>
      <c r="G429" s="176">
        <v>190</v>
      </c>
    </row>
    <row r="430" spans="1:7" ht="18.75" x14ac:dyDescent="0.25">
      <c r="A430" s="322"/>
      <c r="B430" s="107" t="s">
        <v>180</v>
      </c>
      <c r="C430" s="109" t="s">
        <v>455</v>
      </c>
      <c r="D430" s="114" t="s">
        <v>158</v>
      </c>
      <c r="E430" s="182">
        <f>E428/E429</f>
        <v>1.3986046511627905</v>
      </c>
      <c r="F430" s="182">
        <f t="shared" ref="F430:G430" si="104">F428/F429</f>
        <v>1.8181818181818181</v>
      </c>
      <c r="G430" s="182">
        <f t="shared" si="104"/>
        <v>2.0368421052631578</v>
      </c>
    </row>
    <row r="431" spans="1:7" ht="18.75" x14ac:dyDescent="0.25">
      <c r="A431" s="323"/>
      <c r="B431" s="107" t="s">
        <v>171</v>
      </c>
      <c r="C431" s="110" t="s">
        <v>453</v>
      </c>
      <c r="D431" s="114" t="s">
        <v>183</v>
      </c>
      <c r="E431" s="170">
        <v>100</v>
      </c>
      <c r="F431" s="170">
        <v>100</v>
      </c>
      <c r="G431" s="170">
        <v>100</v>
      </c>
    </row>
    <row r="432" spans="1:7" ht="18.75" x14ac:dyDescent="0.25">
      <c r="A432" s="321" t="s">
        <v>124</v>
      </c>
      <c r="B432" s="137" t="s">
        <v>175</v>
      </c>
      <c r="C432" s="82" t="s">
        <v>456</v>
      </c>
      <c r="D432" s="137" t="s">
        <v>158</v>
      </c>
      <c r="E432" s="165">
        <f>Заходи!G355</f>
        <v>555</v>
      </c>
      <c r="F432" s="165">
        <f>Заходи!J355</f>
        <v>0</v>
      </c>
      <c r="G432" s="165">
        <f>Заходи!M355</f>
        <v>2100</v>
      </c>
    </row>
    <row r="433" spans="1:7" ht="37.5" x14ac:dyDescent="0.25">
      <c r="A433" s="322"/>
      <c r="B433" s="139" t="s">
        <v>170</v>
      </c>
      <c r="C433" s="109" t="s">
        <v>434</v>
      </c>
      <c r="D433" s="115" t="s">
        <v>221</v>
      </c>
      <c r="E433" s="176">
        <v>8</v>
      </c>
      <c r="F433" s="176">
        <v>0</v>
      </c>
      <c r="G433" s="176">
        <v>9</v>
      </c>
    </row>
    <row r="434" spans="1:7" ht="37.5" x14ac:dyDescent="0.25">
      <c r="A434" s="322"/>
      <c r="B434" s="107" t="s">
        <v>180</v>
      </c>
      <c r="C434" s="109" t="s">
        <v>457</v>
      </c>
      <c r="D434" s="114" t="s">
        <v>158</v>
      </c>
      <c r="E434" s="182">
        <f>E432/E433</f>
        <v>69.375</v>
      </c>
      <c r="F434" s="182"/>
      <c r="G434" s="182">
        <f t="shared" ref="G434" si="105">G432/G433</f>
        <v>233.33333333333334</v>
      </c>
    </row>
    <row r="435" spans="1:7" ht="18.75" x14ac:dyDescent="0.25">
      <c r="A435" s="323"/>
      <c r="B435" s="107" t="s">
        <v>171</v>
      </c>
      <c r="C435" s="85" t="s">
        <v>410</v>
      </c>
      <c r="D435" s="114" t="s">
        <v>183</v>
      </c>
      <c r="E435" s="170">
        <v>100</v>
      </c>
      <c r="F435" s="170">
        <v>100</v>
      </c>
      <c r="G435" s="170">
        <v>100</v>
      </c>
    </row>
    <row r="436" spans="1:7" ht="19.5" x14ac:dyDescent="0.25">
      <c r="A436" s="95" t="s">
        <v>510</v>
      </c>
      <c r="B436" s="114"/>
      <c r="C436" s="115"/>
      <c r="D436" s="115"/>
      <c r="E436" s="162">
        <f>E438</f>
        <v>6071.4</v>
      </c>
      <c r="F436" s="162">
        <f t="shared" ref="F436:G436" si="106">F438</f>
        <v>56207.8</v>
      </c>
      <c r="G436" s="162">
        <f t="shared" si="106"/>
        <v>71492</v>
      </c>
    </row>
    <row r="437" spans="1:7" ht="37.5" x14ac:dyDescent="0.25">
      <c r="A437" s="85" t="s">
        <v>197</v>
      </c>
      <c r="B437" s="114"/>
      <c r="C437" s="86"/>
      <c r="D437" s="114"/>
      <c r="E437" s="163"/>
      <c r="F437" s="163"/>
      <c r="G437" s="163"/>
    </row>
    <row r="438" spans="1:7" ht="39" x14ac:dyDescent="0.35">
      <c r="A438" s="93" t="s">
        <v>509</v>
      </c>
      <c r="B438" s="87"/>
      <c r="C438" s="88"/>
      <c r="D438" s="88"/>
      <c r="E438" s="164">
        <f>E439+E443+E447+E451+E455+E459+E463+E467</f>
        <v>6071.4</v>
      </c>
      <c r="F438" s="164">
        <f>F439+F443+F447+F451+F455+F459+F463+F467</f>
        <v>56207.8</v>
      </c>
      <c r="G438" s="164">
        <f>G439+G443+G447+G451+G455+G459+G463+G467</f>
        <v>71492</v>
      </c>
    </row>
    <row r="439" spans="1:7" ht="18.75" x14ac:dyDescent="0.25">
      <c r="A439" s="321" t="s">
        <v>126</v>
      </c>
      <c r="B439" s="137" t="s">
        <v>175</v>
      </c>
      <c r="C439" s="82" t="s">
        <v>513</v>
      </c>
      <c r="D439" s="137" t="s">
        <v>158</v>
      </c>
      <c r="E439" s="165">
        <f>Заходи!G363</f>
        <v>588.4</v>
      </c>
      <c r="F439" s="165">
        <f>Заходи!J363</f>
        <v>578</v>
      </c>
      <c r="G439" s="165">
        <f>Заходи!M363</f>
        <v>640</v>
      </c>
    </row>
    <row r="440" spans="1:7" ht="37.5" x14ac:dyDescent="0.25">
      <c r="A440" s="322"/>
      <c r="B440" s="135" t="s">
        <v>170</v>
      </c>
      <c r="C440" s="109" t="s">
        <v>511</v>
      </c>
      <c r="D440" s="115" t="s">
        <v>304</v>
      </c>
      <c r="E440" s="186">
        <v>12</v>
      </c>
      <c r="F440" s="186">
        <v>12</v>
      </c>
      <c r="G440" s="186">
        <v>12</v>
      </c>
    </row>
    <row r="441" spans="1:7" ht="37.5" x14ac:dyDescent="0.25">
      <c r="A441" s="322"/>
      <c r="B441" s="107" t="s">
        <v>180</v>
      </c>
      <c r="C441" s="109" t="s">
        <v>512</v>
      </c>
      <c r="D441" s="114" t="s">
        <v>158</v>
      </c>
      <c r="E441" s="182">
        <f>E439/E440</f>
        <v>49.033333333333331</v>
      </c>
      <c r="F441" s="182">
        <f t="shared" ref="F441:G441" si="107">F439/F440</f>
        <v>48.166666666666664</v>
      </c>
      <c r="G441" s="182">
        <f t="shared" si="107"/>
        <v>53.333333333333336</v>
      </c>
    </row>
    <row r="442" spans="1:7" ht="18.75" x14ac:dyDescent="0.25">
      <c r="A442" s="323"/>
      <c r="B442" s="107" t="s">
        <v>171</v>
      </c>
      <c r="C442" s="109" t="s">
        <v>518</v>
      </c>
      <c r="D442" s="114" t="s">
        <v>183</v>
      </c>
      <c r="E442" s="170">
        <v>100</v>
      </c>
      <c r="F442" s="170">
        <v>100</v>
      </c>
      <c r="G442" s="170">
        <v>100</v>
      </c>
    </row>
    <row r="443" spans="1:7" ht="18.75" x14ac:dyDescent="0.25">
      <c r="A443" s="321" t="s">
        <v>127</v>
      </c>
      <c r="B443" s="107" t="s">
        <v>175</v>
      </c>
      <c r="C443" s="108" t="s">
        <v>514</v>
      </c>
      <c r="D443" s="114" t="s">
        <v>158</v>
      </c>
      <c r="E443" s="165">
        <f>Заходи!G367</f>
        <v>0</v>
      </c>
      <c r="F443" s="165">
        <f>Заходи!J367</f>
        <v>0</v>
      </c>
      <c r="G443" s="165">
        <f>Заходи!M367</f>
        <v>1300</v>
      </c>
    </row>
    <row r="444" spans="1:7" ht="18.75" x14ac:dyDescent="0.25">
      <c r="A444" s="322"/>
      <c r="B444" s="139" t="s">
        <v>170</v>
      </c>
      <c r="C444" s="109" t="s">
        <v>515</v>
      </c>
      <c r="D444" s="115" t="s">
        <v>221</v>
      </c>
      <c r="E444" s="176"/>
      <c r="F444" s="176"/>
      <c r="G444" s="176">
        <v>33</v>
      </c>
    </row>
    <row r="445" spans="1:7" ht="18.75" x14ac:dyDescent="0.25">
      <c r="A445" s="322"/>
      <c r="B445" s="107" t="s">
        <v>180</v>
      </c>
      <c r="C445" s="109" t="s">
        <v>516</v>
      </c>
      <c r="D445" s="114" t="s">
        <v>158</v>
      </c>
      <c r="E445" s="182"/>
      <c r="F445" s="182"/>
      <c r="G445" s="182">
        <v>39.39</v>
      </c>
    </row>
    <row r="446" spans="1:7" ht="18.75" x14ac:dyDescent="0.25">
      <c r="A446" s="323"/>
      <c r="B446" s="107" t="s">
        <v>171</v>
      </c>
      <c r="C446" s="85" t="s">
        <v>517</v>
      </c>
      <c r="D446" s="114" t="s">
        <v>183</v>
      </c>
      <c r="E446" s="170"/>
      <c r="F446" s="170"/>
      <c r="G446" s="170">
        <v>100</v>
      </c>
    </row>
    <row r="447" spans="1:7" ht="18.75" x14ac:dyDescent="0.25">
      <c r="A447" s="321" t="s">
        <v>128</v>
      </c>
      <c r="B447" s="137" t="s">
        <v>175</v>
      </c>
      <c r="C447" s="82" t="s">
        <v>519</v>
      </c>
      <c r="D447" s="137" t="s">
        <v>158</v>
      </c>
      <c r="E447" s="165">
        <f>Заходи!G371</f>
        <v>200</v>
      </c>
      <c r="F447" s="165">
        <f>Заходи!J371</f>
        <v>0</v>
      </c>
      <c r="G447" s="165">
        <f>Заходи!M371</f>
        <v>634.20000000000005</v>
      </c>
    </row>
    <row r="448" spans="1:7" ht="37.5" x14ac:dyDescent="0.25">
      <c r="A448" s="322"/>
      <c r="B448" s="139" t="s">
        <v>170</v>
      </c>
      <c r="C448" s="109" t="s">
        <v>520</v>
      </c>
      <c r="D448" s="115" t="s">
        <v>221</v>
      </c>
      <c r="E448" s="176">
        <v>55</v>
      </c>
      <c r="F448" s="176">
        <v>0</v>
      </c>
      <c r="G448" s="176">
        <v>200</v>
      </c>
    </row>
    <row r="449" spans="1:7" ht="37.5" x14ac:dyDescent="0.25">
      <c r="A449" s="322"/>
      <c r="B449" s="107" t="s">
        <v>180</v>
      </c>
      <c r="C449" s="109" t="s">
        <v>435</v>
      </c>
      <c r="D449" s="114" t="s">
        <v>158</v>
      </c>
      <c r="E449" s="182">
        <f>E447/E448</f>
        <v>3.6363636363636362</v>
      </c>
      <c r="F449" s="182"/>
      <c r="G449" s="182">
        <f t="shared" ref="G449" si="108">G447/G448</f>
        <v>3.1710000000000003</v>
      </c>
    </row>
    <row r="450" spans="1:7" ht="18.75" x14ac:dyDescent="0.25">
      <c r="A450" s="323"/>
      <c r="B450" s="107" t="s">
        <v>171</v>
      </c>
      <c r="C450" s="85" t="s">
        <v>521</v>
      </c>
      <c r="D450" s="114" t="s">
        <v>183</v>
      </c>
      <c r="E450" s="170">
        <v>100</v>
      </c>
      <c r="F450" s="170"/>
      <c r="G450" s="170">
        <v>100</v>
      </c>
    </row>
    <row r="451" spans="1:7" ht="37.5" x14ac:dyDescent="0.25">
      <c r="A451" s="321" t="s">
        <v>129</v>
      </c>
      <c r="B451" s="137" t="s">
        <v>175</v>
      </c>
      <c r="C451" s="82" t="s">
        <v>522</v>
      </c>
      <c r="D451" s="137" t="s">
        <v>158</v>
      </c>
      <c r="E451" s="165">
        <f>Заходи!G375</f>
        <v>78.900000000000006</v>
      </c>
      <c r="F451" s="165">
        <f>Заходи!J375</f>
        <v>100</v>
      </c>
      <c r="G451" s="165">
        <f>Заходи!M375</f>
        <v>393</v>
      </c>
    </row>
    <row r="452" spans="1:7" ht="18.75" x14ac:dyDescent="0.3">
      <c r="A452" s="322"/>
      <c r="B452" s="135" t="s">
        <v>170</v>
      </c>
      <c r="C452" s="155" t="s">
        <v>523</v>
      </c>
      <c r="D452" s="115" t="s">
        <v>221</v>
      </c>
      <c r="E452" s="186">
        <v>5</v>
      </c>
      <c r="F452" s="186">
        <v>5</v>
      </c>
      <c r="G452" s="186">
        <v>5</v>
      </c>
    </row>
    <row r="453" spans="1:7" ht="37.5" x14ac:dyDescent="0.25">
      <c r="A453" s="322"/>
      <c r="B453" s="107" t="s">
        <v>180</v>
      </c>
      <c r="C453" s="109" t="s">
        <v>524</v>
      </c>
      <c r="D453" s="114" t="s">
        <v>158</v>
      </c>
      <c r="E453" s="182">
        <f>E451/E452</f>
        <v>15.780000000000001</v>
      </c>
      <c r="F453" s="182">
        <f t="shared" ref="F453:G453" si="109">F451/F452</f>
        <v>20</v>
      </c>
      <c r="G453" s="182">
        <f t="shared" si="109"/>
        <v>78.599999999999994</v>
      </c>
    </row>
    <row r="454" spans="1:7" ht="18.75" x14ac:dyDescent="0.25">
      <c r="A454" s="323"/>
      <c r="B454" s="107" t="s">
        <v>171</v>
      </c>
      <c r="C454" s="109" t="s">
        <v>525</v>
      </c>
      <c r="D454" s="114" t="s">
        <v>183</v>
      </c>
      <c r="E454" s="170">
        <v>100</v>
      </c>
      <c r="F454" s="170">
        <v>100</v>
      </c>
      <c r="G454" s="170">
        <v>100</v>
      </c>
    </row>
    <row r="455" spans="1:7" ht="37.5" x14ac:dyDescent="0.25">
      <c r="A455" s="321" t="s">
        <v>130</v>
      </c>
      <c r="B455" s="137" t="s">
        <v>175</v>
      </c>
      <c r="C455" s="82" t="s">
        <v>526</v>
      </c>
      <c r="D455" s="137" t="s">
        <v>158</v>
      </c>
      <c r="E455" s="165">
        <f>Заходи!G379</f>
        <v>0</v>
      </c>
      <c r="F455" s="165">
        <f>Заходи!J379</f>
        <v>0</v>
      </c>
      <c r="G455" s="165">
        <f>Заходи!M379</f>
        <v>17</v>
      </c>
    </row>
    <row r="456" spans="1:7" ht="18.75" x14ac:dyDescent="0.25">
      <c r="A456" s="322"/>
      <c r="B456" s="139" t="s">
        <v>170</v>
      </c>
      <c r="C456" s="109" t="s">
        <v>527</v>
      </c>
      <c r="D456" s="115" t="s">
        <v>221</v>
      </c>
      <c r="E456" s="176"/>
      <c r="F456" s="176">
        <v>0</v>
      </c>
      <c r="G456" s="176">
        <v>20</v>
      </c>
    </row>
    <row r="457" spans="1:7" ht="37.5" x14ac:dyDescent="0.25">
      <c r="A457" s="322"/>
      <c r="B457" s="107" t="s">
        <v>180</v>
      </c>
      <c r="C457" s="109" t="s">
        <v>528</v>
      </c>
      <c r="D457" s="114" t="s">
        <v>158</v>
      </c>
      <c r="E457" s="182"/>
      <c r="F457" s="182"/>
      <c r="G457" s="182">
        <f t="shared" ref="G457" si="110">G455/G456</f>
        <v>0.85</v>
      </c>
    </row>
    <row r="458" spans="1:7" ht="18.75" x14ac:dyDescent="0.25">
      <c r="A458" s="323"/>
      <c r="B458" s="107" t="s">
        <v>171</v>
      </c>
      <c r="C458" s="85" t="s">
        <v>529</v>
      </c>
      <c r="D458" s="114" t="s">
        <v>183</v>
      </c>
      <c r="E458" s="170"/>
      <c r="F458" s="170"/>
      <c r="G458" s="170">
        <v>100</v>
      </c>
    </row>
    <row r="459" spans="1:7" ht="37.5" x14ac:dyDescent="0.25">
      <c r="A459" s="321" t="s">
        <v>131</v>
      </c>
      <c r="B459" s="137" t="s">
        <v>175</v>
      </c>
      <c r="C459" s="82" t="s">
        <v>530</v>
      </c>
      <c r="D459" s="137" t="s">
        <v>158</v>
      </c>
      <c r="E459" s="165">
        <f>Заходи!G383</f>
        <v>195</v>
      </c>
      <c r="F459" s="165">
        <f>Заходи!J383</f>
        <v>318</v>
      </c>
      <c r="G459" s="165">
        <f>Заходи!M383</f>
        <v>224</v>
      </c>
    </row>
    <row r="460" spans="1:7" ht="18.75" x14ac:dyDescent="0.25">
      <c r="A460" s="322"/>
      <c r="B460" s="135" t="s">
        <v>170</v>
      </c>
      <c r="C460" s="109" t="s">
        <v>531</v>
      </c>
      <c r="D460" s="115" t="s">
        <v>221</v>
      </c>
      <c r="E460" s="186">
        <v>6</v>
      </c>
      <c r="F460" s="186">
        <v>9</v>
      </c>
      <c r="G460" s="186">
        <v>6</v>
      </c>
    </row>
    <row r="461" spans="1:7" ht="18.75" x14ac:dyDescent="0.25">
      <c r="A461" s="322"/>
      <c r="B461" s="107" t="s">
        <v>180</v>
      </c>
      <c r="C461" s="109" t="s">
        <v>532</v>
      </c>
      <c r="D461" s="114" t="s">
        <v>158</v>
      </c>
      <c r="E461" s="182">
        <f>E459/E460</f>
        <v>32.5</v>
      </c>
      <c r="F461" s="182">
        <f t="shared" ref="F461:G461" si="111">F459/F460</f>
        <v>35.333333333333336</v>
      </c>
      <c r="G461" s="182">
        <f t="shared" si="111"/>
        <v>37.333333333333336</v>
      </c>
    </row>
    <row r="462" spans="1:7" ht="18.75" x14ac:dyDescent="0.25">
      <c r="A462" s="323"/>
      <c r="B462" s="107" t="s">
        <v>171</v>
      </c>
      <c r="C462" s="85" t="s">
        <v>529</v>
      </c>
      <c r="D462" s="114" t="s">
        <v>183</v>
      </c>
      <c r="E462" s="170">
        <v>100</v>
      </c>
      <c r="F462" s="170">
        <v>100</v>
      </c>
      <c r="G462" s="170">
        <v>100</v>
      </c>
    </row>
    <row r="463" spans="1:7" ht="37.5" x14ac:dyDescent="0.25">
      <c r="A463" s="321" t="s">
        <v>132</v>
      </c>
      <c r="B463" s="137" t="s">
        <v>175</v>
      </c>
      <c r="C463" s="82" t="s">
        <v>533</v>
      </c>
      <c r="D463" s="137" t="s">
        <v>158</v>
      </c>
      <c r="E463" s="165">
        <f>Заходи!G387</f>
        <v>9.1</v>
      </c>
      <c r="F463" s="165">
        <f>Заходи!J387</f>
        <v>0</v>
      </c>
      <c r="G463" s="165">
        <f>Заходи!M387</f>
        <v>50</v>
      </c>
    </row>
    <row r="464" spans="1:7" ht="18.75" x14ac:dyDescent="0.25">
      <c r="A464" s="322"/>
      <c r="B464" s="139" t="s">
        <v>170</v>
      </c>
      <c r="C464" s="109" t="s">
        <v>527</v>
      </c>
      <c r="D464" s="115" t="s">
        <v>221</v>
      </c>
      <c r="E464" s="176">
        <v>1</v>
      </c>
      <c r="F464" s="176">
        <v>0</v>
      </c>
      <c r="G464" s="176">
        <v>2</v>
      </c>
    </row>
    <row r="465" spans="1:7" ht="18.75" x14ac:dyDescent="0.25">
      <c r="A465" s="322"/>
      <c r="B465" s="107" t="s">
        <v>180</v>
      </c>
      <c r="C465" s="109" t="s">
        <v>534</v>
      </c>
      <c r="D465" s="114" t="s">
        <v>158</v>
      </c>
      <c r="E465" s="182">
        <f>E463/E464</f>
        <v>9.1</v>
      </c>
      <c r="F465" s="182"/>
      <c r="G465" s="182">
        <f t="shared" ref="G465" si="112">G463/G464</f>
        <v>25</v>
      </c>
    </row>
    <row r="466" spans="1:7" ht="18.75" x14ac:dyDescent="0.25">
      <c r="A466" s="323"/>
      <c r="B466" s="107" t="s">
        <v>171</v>
      </c>
      <c r="C466" s="85" t="s">
        <v>410</v>
      </c>
      <c r="D466" s="114" t="s">
        <v>183</v>
      </c>
      <c r="E466" s="170">
        <v>100</v>
      </c>
      <c r="F466" s="170"/>
      <c r="G466" s="170">
        <v>100</v>
      </c>
    </row>
    <row r="467" spans="1:7" ht="57" customHeight="1" x14ac:dyDescent="0.25">
      <c r="A467" s="321" t="s">
        <v>695</v>
      </c>
      <c r="B467" s="137" t="s">
        <v>175</v>
      </c>
      <c r="C467" s="82" t="s">
        <v>535</v>
      </c>
      <c r="D467" s="137" t="s">
        <v>158</v>
      </c>
      <c r="E467" s="165">
        <f>Заходи!G391</f>
        <v>5000</v>
      </c>
      <c r="F467" s="165">
        <f>Заходи!J391</f>
        <v>55211.8</v>
      </c>
      <c r="G467" s="165">
        <f>Заходи!M391</f>
        <v>68233.8</v>
      </c>
    </row>
    <row r="468" spans="1:7" ht="43.5" customHeight="1" x14ac:dyDescent="0.25">
      <c r="A468" s="322"/>
      <c r="B468" s="135" t="s">
        <v>170</v>
      </c>
      <c r="C468" s="109" t="s">
        <v>536</v>
      </c>
      <c r="D468" s="115" t="s">
        <v>221</v>
      </c>
      <c r="E468" s="186">
        <v>1</v>
      </c>
      <c r="F468" s="186">
        <v>1</v>
      </c>
      <c r="G468" s="186">
        <v>1</v>
      </c>
    </row>
    <row r="469" spans="1:7" ht="60" customHeight="1" x14ac:dyDescent="0.25">
      <c r="A469" s="322"/>
      <c r="B469" s="107" t="s">
        <v>180</v>
      </c>
      <c r="C469" s="109" t="s">
        <v>537</v>
      </c>
      <c r="D469" s="114" t="s">
        <v>158</v>
      </c>
      <c r="E469" s="182">
        <f>E467/E468</f>
        <v>5000</v>
      </c>
      <c r="F469" s="182">
        <f t="shared" ref="F469:G469" si="113">F467/F468</f>
        <v>55211.8</v>
      </c>
      <c r="G469" s="182">
        <f t="shared" si="113"/>
        <v>68233.8</v>
      </c>
    </row>
    <row r="470" spans="1:7" ht="123" customHeight="1" x14ac:dyDescent="0.25">
      <c r="A470" s="323"/>
      <c r="B470" s="107" t="s">
        <v>171</v>
      </c>
      <c r="C470" s="85" t="s">
        <v>529</v>
      </c>
      <c r="D470" s="114" t="s">
        <v>183</v>
      </c>
      <c r="E470" s="170">
        <v>100</v>
      </c>
      <c r="F470" s="170">
        <v>100</v>
      </c>
      <c r="G470" s="170">
        <v>100</v>
      </c>
    </row>
    <row r="471" spans="1:7" ht="39" x14ac:dyDescent="0.25">
      <c r="A471" s="95" t="s">
        <v>539</v>
      </c>
      <c r="B471" s="107"/>
      <c r="C471" s="122"/>
      <c r="D471" s="115"/>
      <c r="E471" s="162">
        <f>E473</f>
        <v>350</v>
      </c>
      <c r="F471" s="162">
        <f t="shared" ref="F471:G471" si="114">F473</f>
        <v>881.62</v>
      </c>
      <c r="G471" s="162">
        <f t="shared" si="114"/>
        <v>14195.76</v>
      </c>
    </row>
    <row r="472" spans="1:7" ht="37.5" x14ac:dyDescent="0.25">
      <c r="A472" s="85" t="s">
        <v>197</v>
      </c>
      <c r="B472" s="107"/>
      <c r="C472" s="108"/>
      <c r="D472" s="114"/>
      <c r="E472" s="163"/>
      <c r="F472" s="163"/>
      <c r="G472" s="163"/>
    </row>
    <row r="473" spans="1:7" ht="19.5" x14ac:dyDescent="0.35">
      <c r="A473" s="93" t="s">
        <v>538</v>
      </c>
      <c r="B473" s="123"/>
      <c r="C473" s="124"/>
      <c r="D473" s="88"/>
      <c r="E473" s="164">
        <f>E474</f>
        <v>350</v>
      </c>
      <c r="F473" s="164">
        <f t="shared" ref="F473:G473" si="115">F474</f>
        <v>881.62</v>
      </c>
      <c r="G473" s="164">
        <f t="shared" si="115"/>
        <v>14195.76</v>
      </c>
    </row>
    <row r="474" spans="1:7" ht="37.5" x14ac:dyDescent="0.25">
      <c r="A474" s="321" t="s">
        <v>156</v>
      </c>
      <c r="B474" s="137" t="s">
        <v>175</v>
      </c>
      <c r="C474" s="96" t="s">
        <v>639</v>
      </c>
      <c r="D474" s="137" t="s">
        <v>158</v>
      </c>
      <c r="E474" s="165">
        <f>Заходи!G395</f>
        <v>350</v>
      </c>
      <c r="F474" s="165">
        <f>Заходи!J395</f>
        <v>881.62</v>
      </c>
      <c r="G474" s="165">
        <f>Заходи!M395</f>
        <v>14195.76</v>
      </c>
    </row>
    <row r="475" spans="1:7" ht="37.5" x14ac:dyDescent="0.25">
      <c r="A475" s="322"/>
      <c r="B475" s="139" t="s">
        <v>170</v>
      </c>
      <c r="C475" s="109" t="s">
        <v>641</v>
      </c>
      <c r="D475" s="115" t="s">
        <v>221</v>
      </c>
      <c r="E475" s="176">
        <v>1</v>
      </c>
      <c r="F475" s="176">
        <v>3</v>
      </c>
      <c r="G475" s="176">
        <v>5</v>
      </c>
    </row>
    <row r="476" spans="1:7" ht="37.5" x14ac:dyDescent="0.25">
      <c r="A476" s="322"/>
      <c r="B476" s="107" t="s">
        <v>180</v>
      </c>
      <c r="C476" s="109" t="s">
        <v>640</v>
      </c>
      <c r="D476" s="114" t="s">
        <v>158</v>
      </c>
      <c r="E476" s="182">
        <f>E474/E475</f>
        <v>350</v>
      </c>
      <c r="F476" s="182">
        <f t="shared" ref="F476" si="116">F474/F475</f>
        <v>293.87333333333333</v>
      </c>
      <c r="G476" s="182">
        <f>G474/G475</f>
        <v>2839.152</v>
      </c>
    </row>
    <row r="477" spans="1:7" ht="18.75" x14ac:dyDescent="0.25">
      <c r="A477" s="323"/>
      <c r="B477" s="107" t="s">
        <v>171</v>
      </c>
      <c r="C477" s="85" t="s">
        <v>529</v>
      </c>
      <c r="D477" s="114" t="s">
        <v>183</v>
      </c>
      <c r="E477" s="170">
        <v>100</v>
      </c>
      <c r="F477" s="170">
        <v>100</v>
      </c>
      <c r="G477" s="170">
        <v>100</v>
      </c>
    </row>
    <row r="478" spans="1:7" ht="19.5" x14ac:dyDescent="0.25">
      <c r="A478" s="95" t="s">
        <v>540</v>
      </c>
      <c r="B478" s="107"/>
      <c r="C478" s="122"/>
      <c r="D478" s="115"/>
      <c r="E478" s="162">
        <f>E480</f>
        <v>2900</v>
      </c>
      <c r="F478" s="162">
        <f t="shared" ref="F478:G478" si="117">F480</f>
        <v>1966.8</v>
      </c>
      <c r="G478" s="162">
        <f t="shared" si="117"/>
        <v>5281.3</v>
      </c>
    </row>
    <row r="479" spans="1:7" ht="37.5" x14ac:dyDescent="0.25">
      <c r="A479" s="85" t="s">
        <v>197</v>
      </c>
      <c r="B479" s="107"/>
      <c r="C479" s="108"/>
      <c r="D479" s="114"/>
      <c r="E479" s="163"/>
      <c r="F479" s="163"/>
      <c r="G479" s="163"/>
    </row>
    <row r="480" spans="1:7" ht="19.5" x14ac:dyDescent="0.35">
      <c r="A480" s="93" t="s">
        <v>541</v>
      </c>
      <c r="B480" s="123"/>
      <c r="C480" s="124"/>
      <c r="D480" s="88"/>
      <c r="E480" s="164">
        <f>E481+E486+E491</f>
        <v>2900</v>
      </c>
      <c r="F480" s="164">
        <f t="shared" ref="F480:G480" si="118">F481+F486+F491</f>
        <v>1966.8</v>
      </c>
      <c r="G480" s="164">
        <f t="shared" si="118"/>
        <v>5281.3</v>
      </c>
    </row>
    <row r="481" spans="1:7" ht="56.25" x14ac:dyDescent="0.25">
      <c r="A481" s="321" t="s">
        <v>134</v>
      </c>
      <c r="B481" s="137" t="s">
        <v>175</v>
      </c>
      <c r="C481" s="82" t="s">
        <v>638</v>
      </c>
      <c r="D481" s="137" t="s">
        <v>158</v>
      </c>
      <c r="E481" s="165">
        <f>Заходи!G403</f>
        <v>500</v>
      </c>
      <c r="F481" s="165">
        <f>Заходи!J403</f>
        <v>200</v>
      </c>
      <c r="G481" s="165">
        <f>Заходи!M403</f>
        <v>1781.3</v>
      </c>
    </row>
    <row r="482" spans="1:7" ht="37.5" x14ac:dyDescent="0.25">
      <c r="A482" s="322"/>
      <c r="B482" s="324" t="s">
        <v>170</v>
      </c>
      <c r="C482" s="109" t="s">
        <v>631</v>
      </c>
      <c r="D482" s="339" t="s">
        <v>221</v>
      </c>
      <c r="E482" s="186">
        <v>500</v>
      </c>
      <c r="F482" s="186">
        <v>500</v>
      </c>
      <c r="G482" s="186">
        <v>500</v>
      </c>
    </row>
    <row r="483" spans="1:7" ht="37.5" x14ac:dyDescent="0.25">
      <c r="A483" s="322"/>
      <c r="B483" s="326"/>
      <c r="C483" s="109" t="s">
        <v>635</v>
      </c>
      <c r="D483" s="341"/>
      <c r="E483" s="186">
        <v>500</v>
      </c>
      <c r="F483" s="186">
        <v>500</v>
      </c>
      <c r="G483" s="186">
        <v>500</v>
      </c>
    </row>
    <row r="484" spans="1:7" ht="18.75" x14ac:dyDescent="0.25">
      <c r="A484" s="322"/>
      <c r="B484" s="107" t="s">
        <v>180</v>
      </c>
      <c r="C484" s="109" t="s">
        <v>636</v>
      </c>
      <c r="D484" s="114" t="s">
        <v>158</v>
      </c>
      <c r="E484" s="182">
        <f t="shared" ref="E484:F484" si="119">E481/E483</f>
        <v>1</v>
      </c>
      <c r="F484" s="182">
        <f t="shared" si="119"/>
        <v>0.4</v>
      </c>
      <c r="G484" s="182">
        <f>G481/G483</f>
        <v>3.5625999999999998</v>
      </c>
    </row>
    <row r="485" spans="1:7" ht="18.75" x14ac:dyDescent="0.25">
      <c r="A485" s="323"/>
      <c r="B485" s="107" t="s">
        <v>171</v>
      </c>
      <c r="C485" s="85" t="s">
        <v>529</v>
      </c>
      <c r="D485" s="114" t="s">
        <v>183</v>
      </c>
      <c r="E485" s="170">
        <v>100</v>
      </c>
      <c r="F485" s="170">
        <v>100</v>
      </c>
      <c r="G485" s="170">
        <v>100</v>
      </c>
    </row>
    <row r="486" spans="1:7" ht="93.75" x14ac:dyDescent="0.25">
      <c r="A486" s="321" t="s">
        <v>135</v>
      </c>
      <c r="B486" s="137" t="s">
        <v>175</v>
      </c>
      <c r="C486" s="82" t="s">
        <v>637</v>
      </c>
      <c r="D486" s="137" t="s">
        <v>158</v>
      </c>
      <c r="E486" s="165">
        <f>Заходи!G407</f>
        <v>1400</v>
      </c>
      <c r="F486" s="165">
        <f>Заходи!J407</f>
        <v>925.09999999999991</v>
      </c>
      <c r="G486" s="165">
        <f>Заходи!M407</f>
        <v>2500</v>
      </c>
    </row>
    <row r="487" spans="1:7" ht="37.5" x14ac:dyDescent="0.25">
      <c r="A487" s="322"/>
      <c r="B487" s="324" t="s">
        <v>170</v>
      </c>
      <c r="C487" s="109" t="s">
        <v>631</v>
      </c>
      <c r="D487" s="339" t="s">
        <v>221</v>
      </c>
      <c r="E487" s="186">
        <v>30</v>
      </c>
      <c r="F487" s="186">
        <v>30</v>
      </c>
      <c r="G487" s="186">
        <v>30</v>
      </c>
    </row>
    <row r="488" spans="1:7" ht="37.5" x14ac:dyDescent="0.25">
      <c r="A488" s="322"/>
      <c r="B488" s="326"/>
      <c r="C488" s="109" t="s">
        <v>635</v>
      </c>
      <c r="D488" s="341"/>
      <c r="E488" s="186">
        <v>30</v>
      </c>
      <c r="F488" s="186">
        <v>30</v>
      </c>
      <c r="G488" s="186">
        <v>30</v>
      </c>
    </row>
    <row r="489" spans="1:7" ht="18.75" x14ac:dyDescent="0.25">
      <c r="A489" s="322"/>
      <c r="B489" s="107" t="s">
        <v>180</v>
      </c>
      <c r="C489" s="109" t="s">
        <v>636</v>
      </c>
      <c r="D489" s="114" t="s">
        <v>158</v>
      </c>
      <c r="E489" s="182">
        <f>E486/E487</f>
        <v>46.666666666666664</v>
      </c>
      <c r="F489" s="182">
        <f t="shared" ref="F489" si="120">F486/F487</f>
        <v>30.836666666666662</v>
      </c>
      <c r="G489" s="182">
        <f t="shared" ref="G489" si="121">G486/G487</f>
        <v>83.333333333333329</v>
      </c>
    </row>
    <row r="490" spans="1:7" ht="18.75" x14ac:dyDescent="0.25">
      <c r="A490" s="323"/>
      <c r="B490" s="107" t="s">
        <v>171</v>
      </c>
      <c r="C490" s="85" t="s">
        <v>529</v>
      </c>
      <c r="D490" s="114" t="s">
        <v>183</v>
      </c>
      <c r="E490" s="170">
        <v>100</v>
      </c>
      <c r="F490" s="170">
        <v>100</v>
      </c>
      <c r="G490" s="170">
        <v>100</v>
      </c>
    </row>
    <row r="491" spans="1:7" ht="66.75" customHeight="1" x14ac:dyDescent="0.3">
      <c r="A491" s="321" t="s">
        <v>136</v>
      </c>
      <c r="B491" s="137" t="s">
        <v>175</v>
      </c>
      <c r="C491" s="134" t="s">
        <v>632</v>
      </c>
      <c r="D491" s="137" t="s">
        <v>158</v>
      </c>
      <c r="E491" s="165">
        <f>Заходи!G411</f>
        <v>1000</v>
      </c>
      <c r="F491" s="165">
        <f>Заходи!J411</f>
        <v>841.7</v>
      </c>
      <c r="G491" s="165">
        <f>Заходи!M411</f>
        <v>1000</v>
      </c>
    </row>
    <row r="492" spans="1:7" ht="37.5" x14ac:dyDescent="0.25">
      <c r="A492" s="322"/>
      <c r="B492" s="324" t="s">
        <v>170</v>
      </c>
      <c r="C492" s="109" t="s">
        <v>631</v>
      </c>
      <c r="D492" s="339" t="s">
        <v>221</v>
      </c>
      <c r="E492" s="176">
        <v>3</v>
      </c>
      <c r="F492" s="176">
        <v>6</v>
      </c>
      <c r="G492" s="176">
        <v>3</v>
      </c>
    </row>
    <row r="493" spans="1:7" ht="37.5" x14ac:dyDescent="0.25">
      <c r="A493" s="322"/>
      <c r="B493" s="326"/>
      <c r="C493" s="109" t="s">
        <v>635</v>
      </c>
      <c r="D493" s="341"/>
      <c r="E493" s="176">
        <v>3</v>
      </c>
      <c r="F493" s="176">
        <v>6</v>
      </c>
      <c r="G493" s="176">
        <v>3</v>
      </c>
    </row>
    <row r="494" spans="1:7" ht="18.75" x14ac:dyDescent="0.25">
      <c r="A494" s="322"/>
      <c r="B494" s="107" t="s">
        <v>180</v>
      </c>
      <c r="C494" s="109" t="s">
        <v>633</v>
      </c>
      <c r="D494" s="114" t="s">
        <v>158</v>
      </c>
      <c r="E494" s="182">
        <f>E491/E493</f>
        <v>333.33333333333331</v>
      </c>
      <c r="F494" s="182">
        <f t="shared" ref="F494:G494" si="122">F491/F493</f>
        <v>140.28333333333333</v>
      </c>
      <c r="G494" s="182">
        <f t="shared" si="122"/>
        <v>333.33333333333331</v>
      </c>
    </row>
    <row r="495" spans="1:7" ht="18.75" x14ac:dyDescent="0.25">
      <c r="A495" s="323"/>
      <c r="B495" s="107" t="s">
        <v>171</v>
      </c>
      <c r="C495" s="85" t="s">
        <v>634</v>
      </c>
      <c r="D495" s="114" t="s">
        <v>183</v>
      </c>
      <c r="E495" s="170">
        <v>100</v>
      </c>
      <c r="F495" s="170">
        <v>100</v>
      </c>
      <c r="G495" s="170">
        <v>100</v>
      </c>
    </row>
    <row r="496" spans="1:7" ht="19.5" x14ac:dyDescent="0.25">
      <c r="A496" s="95" t="s">
        <v>543</v>
      </c>
      <c r="B496" s="107"/>
      <c r="C496" s="122"/>
      <c r="D496" s="115"/>
      <c r="E496" s="162">
        <f>E498</f>
        <v>7151.6</v>
      </c>
      <c r="F496" s="162">
        <f t="shared" ref="F496:G496" si="123">F498</f>
        <v>2160</v>
      </c>
      <c r="G496" s="162">
        <f t="shared" si="123"/>
        <v>8000</v>
      </c>
    </row>
    <row r="497" spans="1:7" ht="37.5" x14ac:dyDescent="0.25">
      <c r="A497" s="85" t="s">
        <v>197</v>
      </c>
      <c r="B497" s="107"/>
      <c r="C497" s="108"/>
      <c r="D497" s="114"/>
      <c r="E497" s="163"/>
      <c r="F497" s="163"/>
      <c r="G497" s="163"/>
    </row>
    <row r="498" spans="1:7" ht="39" x14ac:dyDescent="0.35">
      <c r="A498" s="93" t="s">
        <v>542</v>
      </c>
      <c r="B498" s="123"/>
      <c r="C498" s="124"/>
      <c r="D498" s="88"/>
      <c r="E498" s="164">
        <f>E499</f>
        <v>7151.6</v>
      </c>
      <c r="F498" s="164">
        <f t="shared" ref="F498:G498" si="124">F499</f>
        <v>2160</v>
      </c>
      <c r="G498" s="164">
        <f t="shared" si="124"/>
        <v>8000</v>
      </c>
    </row>
    <row r="499" spans="1:7" ht="37.5" x14ac:dyDescent="0.25">
      <c r="A499" s="321" t="s">
        <v>137</v>
      </c>
      <c r="B499" s="137" t="s">
        <v>175</v>
      </c>
      <c r="C499" s="82" t="s">
        <v>628</v>
      </c>
      <c r="D499" s="137" t="s">
        <v>158</v>
      </c>
      <c r="E499" s="165">
        <f>Заходи!G415</f>
        <v>7151.6</v>
      </c>
      <c r="F499" s="165">
        <f>Заходи!J415</f>
        <v>2160</v>
      </c>
      <c r="G499" s="165">
        <f>Заходи!M415</f>
        <v>8000</v>
      </c>
    </row>
    <row r="500" spans="1:7" ht="37.5" x14ac:dyDescent="0.25">
      <c r="A500" s="322"/>
      <c r="B500" s="139" t="s">
        <v>170</v>
      </c>
      <c r="C500" s="109" t="s">
        <v>629</v>
      </c>
      <c r="D500" s="115" t="s">
        <v>221</v>
      </c>
      <c r="E500" s="176">
        <v>2</v>
      </c>
      <c r="F500" s="176">
        <v>1</v>
      </c>
      <c r="G500" s="176">
        <v>2</v>
      </c>
    </row>
    <row r="501" spans="1:7" ht="18.75" x14ac:dyDescent="0.25">
      <c r="A501" s="322"/>
      <c r="B501" s="107" t="s">
        <v>180</v>
      </c>
      <c r="C501" s="109" t="s">
        <v>630</v>
      </c>
      <c r="D501" s="114" t="s">
        <v>158</v>
      </c>
      <c r="E501" s="182">
        <f t="shared" ref="E501:G501" si="125">E499/E500</f>
        <v>3575.8</v>
      </c>
      <c r="F501" s="182">
        <f t="shared" si="125"/>
        <v>2160</v>
      </c>
      <c r="G501" s="182">
        <f t="shared" si="125"/>
        <v>4000</v>
      </c>
    </row>
    <row r="502" spans="1:7" ht="18.75" x14ac:dyDescent="0.25">
      <c r="A502" s="323"/>
      <c r="B502" s="107" t="s">
        <v>171</v>
      </c>
      <c r="C502" s="85" t="s">
        <v>529</v>
      </c>
      <c r="D502" s="114" t="s">
        <v>183</v>
      </c>
      <c r="E502" s="170">
        <v>100</v>
      </c>
      <c r="F502" s="170">
        <v>100</v>
      </c>
      <c r="G502" s="170">
        <v>100</v>
      </c>
    </row>
    <row r="503" spans="1:7" ht="19.5" x14ac:dyDescent="0.25">
      <c r="A503" s="95" t="s">
        <v>545</v>
      </c>
      <c r="B503" s="107"/>
      <c r="C503" s="122"/>
      <c r="D503" s="115"/>
      <c r="E503" s="162">
        <f>E505</f>
        <v>12000</v>
      </c>
      <c r="F503" s="162">
        <f>F505</f>
        <v>13823.532999999999</v>
      </c>
      <c r="G503" s="162">
        <f t="shared" ref="G503" si="126">G505</f>
        <v>15000</v>
      </c>
    </row>
    <row r="504" spans="1:7" ht="37.5" x14ac:dyDescent="0.25">
      <c r="A504" s="85" t="s">
        <v>197</v>
      </c>
      <c r="B504" s="107"/>
      <c r="C504" s="108"/>
      <c r="D504" s="114"/>
      <c r="E504" s="163"/>
      <c r="F504" s="163"/>
      <c r="G504" s="163"/>
    </row>
    <row r="505" spans="1:7" ht="39" x14ac:dyDescent="0.35">
      <c r="A505" s="93" t="s">
        <v>544</v>
      </c>
      <c r="B505" s="123"/>
      <c r="C505" s="124"/>
      <c r="D505" s="88"/>
      <c r="E505" s="164">
        <f>E506</f>
        <v>12000</v>
      </c>
      <c r="F505" s="164">
        <f>F506</f>
        <v>13823.532999999999</v>
      </c>
      <c r="G505" s="164">
        <f t="shared" ref="G505" si="127">G506</f>
        <v>15000</v>
      </c>
    </row>
    <row r="506" spans="1:7" ht="18.75" x14ac:dyDescent="0.25">
      <c r="A506" s="321" t="s">
        <v>138</v>
      </c>
      <c r="B506" s="137" t="s">
        <v>175</v>
      </c>
      <c r="C506" s="82" t="s">
        <v>627</v>
      </c>
      <c r="D506" s="137" t="s">
        <v>158</v>
      </c>
      <c r="E506" s="165">
        <f>Заходи!G420</f>
        <v>12000</v>
      </c>
      <c r="F506" s="165">
        <f>Заходи!J420</f>
        <v>13823.532999999999</v>
      </c>
      <c r="G506" s="165">
        <f>Заходи!M420</f>
        <v>15000</v>
      </c>
    </row>
    <row r="507" spans="1:7" ht="18.75" x14ac:dyDescent="0.25">
      <c r="A507" s="322"/>
      <c r="B507" s="139" t="s">
        <v>170</v>
      </c>
      <c r="C507" s="109" t="s">
        <v>625</v>
      </c>
      <c r="D507" s="115" t="s">
        <v>221</v>
      </c>
      <c r="E507" s="176">
        <v>1</v>
      </c>
      <c r="F507" s="176">
        <v>1</v>
      </c>
      <c r="G507" s="176">
        <v>1</v>
      </c>
    </row>
    <row r="508" spans="1:7" ht="18.75" x14ac:dyDescent="0.25">
      <c r="A508" s="322"/>
      <c r="B508" s="107" t="s">
        <v>180</v>
      </c>
      <c r="C508" s="109" t="s">
        <v>626</v>
      </c>
      <c r="D508" s="114" t="s">
        <v>158</v>
      </c>
      <c r="E508" s="182">
        <f>E506/E507</f>
        <v>12000</v>
      </c>
      <c r="F508" s="182">
        <f>F506/F507</f>
        <v>13823.532999999999</v>
      </c>
      <c r="G508" s="182">
        <f t="shared" ref="G508" si="128">G506/G507</f>
        <v>15000</v>
      </c>
    </row>
    <row r="509" spans="1:7" ht="18.75" x14ac:dyDescent="0.25">
      <c r="A509" s="323"/>
      <c r="B509" s="107" t="s">
        <v>171</v>
      </c>
      <c r="C509" s="85" t="s">
        <v>529</v>
      </c>
      <c r="D509" s="114" t="s">
        <v>183</v>
      </c>
      <c r="E509" s="170">
        <v>100</v>
      </c>
      <c r="F509" s="170">
        <v>100</v>
      </c>
      <c r="G509" s="170">
        <v>100</v>
      </c>
    </row>
    <row r="510" spans="1:7" ht="39" x14ac:dyDescent="0.25">
      <c r="A510" s="95" t="s">
        <v>548</v>
      </c>
      <c r="B510" s="107"/>
      <c r="C510" s="122"/>
      <c r="D510" s="115"/>
      <c r="E510" s="162">
        <f>E512</f>
        <v>110</v>
      </c>
      <c r="F510" s="162">
        <f t="shared" ref="F510:G510" si="129">F512</f>
        <v>450</v>
      </c>
      <c r="G510" s="162">
        <f t="shared" si="129"/>
        <v>940</v>
      </c>
    </row>
    <row r="511" spans="1:7" ht="37.5" x14ac:dyDescent="0.25">
      <c r="A511" s="85" t="s">
        <v>197</v>
      </c>
      <c r="B511" s="107"/>
      <c r="C511" s="108"/>
      <c r="D511" s="114"/>
      <c r="E511" s="163"/>
      <c r="F511" s="163"/>
      <c r="G511" s="163"/>
    </row>
    <row r="512" spans="1:7" ht="39" x14ac:dyDescent="0.35">
      <c r="A512" s="93" t="s">
        <v>546</v>
      </c>
      <c r="B512" s="123"/>
      <c r="C512" s="124"/>
      <c r="D512" s="88"/>
      <c r="E512" s="164">
        <f>E513</f>
        <v>110</v>
      </c>
      <c r="F512" s="164">
        <f t="shared" ref="F512" si="130">F513</f>
        <v>450</v>
      </c>
      <c r="G512" s="164">
        <f t="shared" ref="G512" si="131">G513</f>
        <v>940</v>
      </c>
    </row>
    <row r="513" spans="1:7" ht="37.5" x14ac:dyDescent="0.25">
      <c r="A513" s="321" t="s">
        <v>547</v>
      </c>
      <c r="B513" s="137" t="s">
        <v>175</v>
      </c>
      <c r="C513" s="82" t="s">
        <v>620</v>
      </c>
      <c r="D513" s="137" t="s">
        <v>158</v>
      </c>
      <c r="E513" s="165">
        <f>Заходи!G423</f>
        <v>110</v>
      </c>
      <c r="F513" s="165">
        <f>Заходи!J423</f>
        <v>450</v>
      </c>
      <c r="G513" s="165">
        <f>Заходи!M423</f>
        <v>940</v>
      </c>
    </row>
    <row r="514" spans="1:7" ht="112.5" x14ac:dyDescent="0.25">
      <c r="A514" s="322"/>
      <c r="B514" s="324" t="s">
        <v>170</v>
      </c>
      <c r="C514" s="109" t="s">
        <v>621</v>
      </c>
      <c r="D514" s="339" t="s">
        <v>622</v>
      </c>
      <c r="E514" s="176"/>
      <c r="F514" s="176">
        <v>354</v>
      </c>
      <c r="G514" s="176">
        <v>300</v>
      </c>
    </row>
    <row r="515" spans="1:7" ht="33" customHeight="1" x14ac:dyDescent="0.25">
      <c r="A515" s="322"/>
      <c r="B515" s="326"/>
      <c r="C515" s="109" t="s">
        <v>623</v>
      </c>
      <c r="D515" s="341"/>
      <c r="E515" s="176">
        <v>7</v>
      </c>
      <c r="F515" s="176">
        <v>0</v>
      </c>
      <c r="G515" s="176">
        <v>20</v>
      </c>
    </row>
    <row r="516" spans="1:7" ht="37.5" x14ac:dyDescent="0.25">
      <c r="A516" s="322"/>
      <c r="B516" s="107" t="s">
        <v>180</v>
      </c>
      <c r="C516" s="109" t="s">
        <v>624</v>
      </c>
      <c r="D516" s="114" t="s">
        <v>158</v>
      </c>
      <c r="E516" s="182">
        <f>E513/(E514+E515)</f>
        <v>15.714285714285714</v>
      </c>
      <c r="F516" s="182">
        <f>F513/(F514+F515)</f>
        <v>1.271186440677966</v>
      </c>
      <c r="G516" s="182">
        <f>G513/(G514+G515)</f>
        <v>2.9375</v>
      </c>
    </row>
    <row r="517" spans="1:7" ht="18.75" x14ac:dyDescent="0.25">
      <c r="A517" s="323"/>
      <c r="B517" s="107" t="s">
        <v>171</v>
      </c>
      <c r="C517" s="85" t="s">
        <v>529</v>
      </c>
      <c r="D517" s="114" t="s">
        <v>183</v>
      </c>
      <c r="E517" s="170">
        <v>100</v>
      </c>
      <c r="F517" s="170">
        <v>100</v>
      </c>
      <c r="G517" s="170">
        <v>100</v>
      </c>
    </row>
    <row r="518" spans="1:7" ht="58.5" x14ac:dyDescent="0.25">
      <c r="A518" s="95" t="s">
        <v>550</v>
      </c>
      <c r="B518" s="107"/>
      <c r="C518" s="122"/>
      <c r="D518" s="115"/>
      <c r="E518" s="162">
        <f>E520</f>
        <v>17761.3</v>
      </c>
      <c r="F518" s="162">
        <f>F520</f>
        <v>33413.189999999995</v>
      </c>
      <c r="G518" s="162">
        <f>G520</f>
        <v>153870</v>
      </c>
    </row>
    <row r="519" spans="1:7" ht="37.5" x14ac:dyDescent="0.25">
      <c r="A519" s="85" t="s">
        <v>197</v>
      </c>
      <c r="B519" s="107"/>
      <c r="C519" s="108"/>
      <c r="D519" s="114"/>
      <c r="E519" s="163"/>
      <c r="F519" s="163"/>
      <c r="G519" s="163"/>
    </row>
    <row r="520" spans="1:7" ht="19.5" x14ac:dyDescent="0.35">
      <c r="A520" s="93" t="s">
        <v>549</v>
      </c>
      <c r="B520" s="123"/>
      <c r="C520" s="124"/>
      <c r="D520" s="88"/>
      <c r="E520" s="164">
        <f>E521+E525+E529</f>
        <v>17761.3</v>
      </c>
      <c r="F520" s="164">
        <f>F521+F525+F529</f>
        <v>33413.189999999995</v>
      </c>
      <c r="G520" s="164">
        <f>G521+G525+G529</f>
        <v>153870</v>
      </c>
    </row>
    <row r="521" spans="1:7" ht="18.75" x14ac:dyDescent="0.25">
      <c r="A521" s="321" t="s">
        <v>141</v>
      </c>
      <c r="B521" s="137" t="s">
        <v>175</v>
      </c>
      <c r="C521" s="82" t="s">
        <v>614</v>
      </c>
      <c r="D521" s="137" t="s">
        <v>158</v>
      </c>
      <c r="E521" s="165">
        <f>Заходи!G432</f>
        <v>12983.3</v>
      </c>
      <c r="F521" s="165">
        <f>Заходи!J432</f>
        <v>16043.379999999997</v>
      </c>
      <c r="G521" s="165">
        <f>Заходи!M432</f>
        <v>77570</v>
      </c>
    </row>
    <row r="522" spans="1:7" ht="18.75" x14ac:dyDescent="0.25">
      <c r="A522" s="322"/>
      <c r="B522" s="139" t="s">
        <v>170</v>
      </c>
      <c r="C522" s="109" t="s">
        <v>527</v>
      </c>
      <c r="D522" s="115" t="s">
        <v>221</v>
      </c>
      <c r="E522" s="176">
        <v>5</v>
      </c>
      <c r="F522" s="176">
        <v>20</v>
      </c>
      <c r="G522" s="176">
        <v>18</v>
      </c>
    </row>
    <row r="523" spans="1:7" ht="37.5" x14ac:dyDescent="0.25">
      <c r="A523" s="322"/>
      <c r="B523" s="107" t="s">
        <v>180</v>
      </c>
      <c r="C523" s="109" t="s">
        <v>619</v>
      </c>
      <c r="D523" s="114" t="s">
        <v>158</v>
      </c>
      <c r="E523" s="182">
        <f t="shared" ref="E523:G523" si="132">E521/E522</f>
        <v>2596.66</v>
      </c>
      <c r="F523" s="182">
        <f t="shared" si="132"/>
        <v>802.16899999999987</v>
      </c>
      <c r="G523" s="182">
        <f t="shared" si="132"/>
        <v>4309.4444444444443</v>
      </c>
    </row>
    <row r="524" spans="1:7" ht="18.75" x14ac:dyDescent="0.25">
      <c r="A524" s="323"/>
      <c r="B524" s="107" t="s">
        <v>171</v>
      </c>
      <c r="C524" s="85" t="s">
        <v>529</v>
      </c>
      <c r="D524" s="114" t="s">
        <v>183</v>
      </c>
      <c r="E524" s="170">
        <v>100</v>
      </c>
      <c r="F524" s="170">
        <v>100</v>
      </c>
      <c r="G524" s="170">
        <v>100</v>
      </c>
    </row>
    <row r="525" spans="1:7" ht="37.5" x14ac:dyDescent="0.25">
      <c r="A525" s="321" t="s">
        <v>142</v>
      </c>
      <c r="B525" s="137" t="s">
        <v>175</v>
      </c>
      <c r="C525" s="82" t="s">
        <v>615</v>
      </c>
      <c r="D525" s="137" t="s">
        <v>158</v>
      </c>
      <c r="E525" s="165">
        <f>Заходи!G435</f>
        <v>4778</v>
      </c>
      <c r="F525" s="165">
        <f>Заходи!J435</f>
        <v>8129.6999999999971</v>
      </c>
      <c r="G525" s="165">
        <f>Заходи!M435</f>
        <v>56300</v>
      </c>
    </row>
    <row r="526" spans="1:7" ht="18.75" x14ac:dyDescent="0.25">
      <c r="A526" s="322"/>
      <c r="B526" s="139" t="s">
        <v>170</v>
      </c>
      <c r="C526" s="109" t="s">
        <v>527</v>
      </c>
      <c r="D526" s="115" t="s">
        <v>221</v>
      </c>
      <c r="E526" s="176">
        <v>8</v>
      </c>
      <c r="F526" s="176">
        <v>16</v>
      </c>
      <c r="G526" s="176">
        <v>15</v>
      </c>
    </row>
    <row r="527" spans="1:7" ht="37.5" x14ac:dyDescent="0.25">
      <c r="A527" s="322"/>
      <c r="B527" s="107" t="s">
        <v>180</v>
      </c>
      <c r="C527" s="109" t="s">
        <v>618</v>
      </c>
      <c r="D527" s="114" t="s">
        <v>158</v>
      </c>
      <c r="E527" s="182">
        <f t="shared" ref="E527:G527" si="133">E525/E526</f>
        <v>597.25</v>
      </c>
      <c r="F527" s="182">
        <f t="shared" si="133"/>
        <v>508.10624999999982</v>
      </c>
      <c r="G527" s="182">
        <f t="shared" si="133"/>
        <v>3753.3333333333335</v>
      </c>
    </row>
    <row r="528" spans="1:7" ht="18.75" x14ac:dyDescent="0.25">
      <c r="A528" s="323"/>
      <c r="B528" s="107" t="s">
        <v>171</v>
      </c>
      <c r="C528" s="85" t="s">
        <v>529</v>
      </c>
      <c r="D528" s="114" t="s">
        <v>183</v>
      </c>
      <c r="E528" s="170">
        <v>100</v>
      </c>
      <c r="F528" s="170">
        <v>100</v>
      </c>
      <c r="G528" s="170">
        <v>100</v>
      </c>
    </row>
    <row r="529" spans="1:7" ht="37.5" x14ac:dyDescent="0.25">
      <c r="A529" s="321" t="s">
        <v>143</v>
      </c>
      <c r="B529" s="137" t="s">
        <v>175</v>
      </c>
      <c r="C529" s="82" t="s">
        <v>616</v>
      </c>
      <c r="D529" s="137" t="s">
        <v>158</v>
      </c>
      <c r="E529" s="165">
        <f>Заходи!G439</f>
        <v>0</v>
      </c>
      <c r="F529" s="165">
        <f>Заходи!J439</f>
        <v>9240.11</v>
      </c>
      <c r="G529" s="165">
        <f>Заходи!M439</f>
        <v>20000</v>
      </c>
    </row>
    <row r="530" spans="1:7" ht="18.75" x14ac:dyDescent="0.25">
      <c r="A530" s="322"/>
      <c r="B530" s="139" t="s">
        <v>170</v>
      </c>
      <c r="C530" s="109" t="s">
        <v>527</v>
      </c>
      <c r="D530" s="115" t="s">
        <v>221</v>
      </c>
      <c r="E530" s="176"/>
      <c r="F530" s="176">
        <v>1</v>
      </c>
      <c r="G530" s="176">
        <v>3</v>
      </c>
    </row>
    <row r="531" spans="1:7" ht="37.5" x14ac:dyDescent="0.25">
      <c r="A531" s="322"/>
      <c r="B531" s="107" t="s">
        <v>180</v>
      </c>
      <c r="C531" s="109" t="s">
        <v>617</v>
      </c>
      <c r="D531" s="114" t="s">
        <v>158</v>
      </c>
      <c r="E531" s="182"/>
      <c r="F531" s="182">
        <f t="shared" ref="F531:G531" si="134">F529/F530</f>
        <v>9240.11</v>
      </c>
      <c r="G531" s="182">
        <f t="shared" si="134"/>
        <v>6666.666666666667</v>
      </c>
    </row>
    <row r="532" spans="1:7" ht="18.75" x14ac:dyDescent="0.25">
      <c r="A532" s="323"/>
      <c r="B532" s="107" t="s">
        <v>171</v>
      </c>
      <c r="C532" s="85" t="s">
        <v>529</v>
      </c>
      <c r="D532" s="114" t="s">
        <v>183</v>
      </c>
      <c r="E532" s="170"/>
      <c r="F532" s="170">
        <v>100</v>
      </c>
      <c r="G532" s="170">
        <v>100</v>
      </c>
    </row>
    <row r="533" spans="1:7" ht="39" x14ac:dyDescent="0.25">
      <c r="A533" s="95" t="s">
        <v>552</v>
      </c>
      <c r="B533" s="107"/>
      <c r="C533" s="122"/>
      <c r="D533" s="115"/>
      <c r="E533" s="162">
        <f>E535</f>
        <v>-8179.09</v>
      </c>
      <c r="F533" s="162">
        <f t="shared" ref="F533:G533" si="135">F535</f>
        <v>-8134.09</v>
      </c>
      <c r="G533" s="162">
        <f t="shared" si="135"/>
        <v>-8084.09</v>
      </c>
    </row>
    <row r="534" spans="1:7" ht="56.25" x14ac:dyDescent="0.25">
      <c r="A534" s="85" t="s">
        <v>553</v>
      </c>
      <c r="B534" s="107"/>
      <c r="C534" s="108"/>
      <c r="D534" s="114"/>
      <c r="E534" s="163"/>
      <c r="F534" s="163"/>
      <c r="G534" s="163"/>
    </row>
    <row r="535" spans="1:7" ht="19.5" x14ac:dyDescent="0.35">
      <c r="A535" s="93" t="s">
        <v>551</v>
      </c>
      <c r="B535" s="123"/>
      <c r="C535" s="124"/>
      <c r="D535" s="88"/>
      <c r="E535" s="164">
        <f>E536+E540</f>
        <v>-8179.09</v>
      </c>
      <c r="F535" s="164">
        <f t="shared" ref="F535:G535" si="136">F536+F540</f>
        <v>-8134.09</v>
      </c>
      <c r="G535" s="164">
        <f t="shared" si="136"/>
        <v>-8084.09</v>
      </c>
    </row>
    <row r="536" spans="1:7" ht="18.75" x14ac:dyDescent="0.25">
      <c r="A536" s="321" t="s">
        <v>145</v>
      </c>
      <c r="B536" s="137" t="s">
        <v>175</v>
      </c>
      <c r="C536" s="96" t="s">
        <v>611</v>
      </c>
      <c r="D536" s="137" t="s">
        <v>158</v>
      </c>
      <c r="E536" s="165">
        <f>Заходи!G447</f>
        <v>-7654.09</v>
      </c>
      <c r="F536" s="165">
        <f>Заходи!J447</f>
        <v>-7654.09</v>
      </c>
      <c r="G536" s="165">
        <f>Заходи!M447</f>
        <v>-7654.09</v>
      </c>
    </row>
    <row r="537" spans="1:7" ht="18.75" x14ac:dyDescent="0.25">
      <c r="A537" s="322"/>
      <c r="B537" s="139" t="s">
        <v>170</v>
      </c>
      <c r="C537" s="109" t="s">
        <v>612</v>
      </c>
      <c r="D537" s="115" t="s">
        <v>221</v>
      </c>
      <c r="E537" s="176">
        <v>2</v>
      </c>
      <c r="F537" s="176">
        <v>2</v>
      </c>
      <c r="G537" s="176">
        <v>2</v>
      </c>
    </row>
    <row r="538" spans="1:7" ht="18.75" x14ac:dyDescent="0.25">
      <c r="A538" s="322"/>
      <c r="B538" s="107" t="s">
        <v>180</v>
      </c>
      <c r="C538" s="109" t="s">
        <v>613</v>
      </c>
      <c r="D538" s="114" t="s">
        <v>158</v>
      </c>
      <c r="E538" s="182">
        <v>3827</v>
      </c>
      <c r="F538" s="182">
        <v>3827</v>
      </c>
      <c r="G538" s="182">
        <v>3827</v>
      </c>
    </row>
    <row r="539" spans="1:7" ht="18.75" x14ac:dyDescent="0.25">
      <c r="A539" s="323"/>
      <c r="B539" s="107" t="s">
        <v>171</v>
      </c>
      <c r="C539" s="85" t="s">
        <v>529</v>
      </c>
      <c r="D539" s="114" t="s">
        <v>183</v>
      </c>
      <c r="E539" s="170">
        <v>100</v>
      </c>
      <c r="F539" s="170">
        <v>100</v>
      </c>
      <c r="G539" s="170">
        <v>100</v>
      </c>
    </row>
    <row r="540" spans="1:7" ht="18.75" x14ac:dyDescent="0.25">
      <c r="A540" s="321" t="s">
        <v>146</v>
      </c>
      <c r="B540" s="137" t="s">
        <v>175</v>
      </c>
      <c r="C540" s="96" t="s">
        <v>611</v>
      </c>
      <c r="D540" s="137" t="s">
        <v>158</v>
      </c>
      <c r="E540" s="165">
        <f>Заходи!G451</f>
        <v>-525</v>
      </c>
      <c r="F540" s="165">
        <f>Заходи!J451</f>
        <v>-480</v>
      </c>
      <c r="G540" s="165">
        <f>Заходи!M451</f>
        <v>-430</v>
      </c>
    </row>
    <row r="541" spans="1:7" ht="18.75" x14ac:dyDescent="0.25">
      <c r="A541" s="322"/>
      <c r="B541" s="139" t="s">
        <v>170</v>
      </c>
      <c r="C541" s="109" t="s">
        <v>612</v>
      </c>
      <c r="D541" s="115" t="s">
        <v>221</v>
      </c>
      <c r="E541" s="176">
        <v>1</v>
      </c>
      <c r="F541" s="176">
        <v>1</v>
      </c>
      <c r="G541" s="176">
        <v>1</v>
      </c>
    </row>
    <row r="542" spans="1:7" ht="18.75" x14ac:dyDescent="0.25">
      <c r="A542" s="322"/>
      <c r="B542" s="107" t="s">
        <v>180</v>
      </c>
      <c r="C542" s="109" t="s">
        <v>613</v>
      </c>
      <c r="D542" s="114" t="s">
        <v>158</v>
      </c>
      <c r="E542" s="182">
        <v>525</v>
      </c>
      <c r="F542" s="182">
        <v>480</v>
      </c>
      <c r="G542" s="182">
        <v>480</v>
      </c>
    </row>
    <row r="543" spans="1:7" ht="18.75" x14ac:dyDescent="0.25">
      <c r="A543" s="323"/>
      <c r="B543" s="107" t="s">
        <v>171</v>
      </c>
      <c r="C543" s="85" t="s">
        <v>529</v>
      </c>
      <c r="D543" s="114" t="s">
        <v>183</v>
      </c>
      <c r="E543" s="170">
        <v>100</v>
      </c>
      <c r="F543" s="170">
        <v>100</v>
      </c>
      <c r="G543" s="170">
        <v>100</v>
      </c>
    </row>
    <row r="544" spans="1:7" ht="175.5" x14ac:dyDescent="0.25">
      <c r="A544" s="156" t="s">
        <v>558</v>
      </c>
      <c r="B544" s="107"/>
      <c r="C544" s="122"/>
      <c r="D544" s="115"/>
      <c r="E544" s="162">
        <f>E546</f>
        <v>263876.7</v>
      </c>
      <c r="F544" s="162">
        <f t="shared" ref="F544:G544" si="137">F546</f>
        <v>0</v>
      </c>
      <c r="G544" s="162">
        <f t="shared" si="137"/>
        <v>0</v>
      </c>
    </row>
    <row r="545" spans="1:7" ht="37.5" x14ac:dyDescent="0.25">
      <c r="A545" s="109" t="s">
        <v>559</v>
      </c>
      <c r="B545" s="107"/>
      <c r="C545" s="108"/>
      <c r="D545" s="114"/>
      <c r="E545" s="163"/>
      <c r="F545" s="163"/>
      <c r="G545" s="163"/>
    </row>
    <row r="546" spans="1:7" ht="78" x14ac:dyDescent="0.35">
      <c r="A546" s="93" t="s">
        <v>554</v>
      </c>
      <c r="B546" s="123"/>
      <c r="C546" s="124"/>
      <c r="D546" s="88"/>
      <c r="E546" s="164">
        <f>E547</f>
        <v>263876.7</v>
      </c>
      <c r="F546" s="164">
        <f t="shared" ref="F546:G546" si="138">F547</f>
        <v>0</v>
      </c>
      <c r="G546" s="164">
        <f t="shared" si="138"/>
        <v>0</v>
      </c>
    </row>
    <row r="547" spans="1:7" ht="18.75" x14ac:dyDescent="0.25">
      <c r="A547" s="321" t="s">
        <v>555</v>
      </c>
      <c r="B547" s="107" t="s">
        <v>175</v>
      </c>
      <c r="C547" s="108" t="s">
        <v>602</v>
      </c>
      <c r="D547" s="114" t="s">
        <v>158</v>
      </c>
      <c r="E547" s="165">
        <f>Заходи!G455</f>
        <v>263876.7</v>
      </c>
      <c r="F547" s="165">
        <f>Заходи!J455</f>
        <v>0</v>
      </c>
      <c r="G547" s="165">
        <f>Заходи!M455</f>
        <v>0</v>
      </c>
    </row>
    <row r="548" spans="1:7" ht="18.75" x14ac:dyDescent="0.25">
      <c r="A548" s="322"/>
      <c r="B548" s="139" t="s">
        <v>170</v>
      </c>
      <c r="C548" s="109" t="s">
        <v>601</v>
      </c>
      <c r="D548" s="115" t="s">
        <v>221</v>
      </c>
      <c r="E548" s="176">
        <v>2</v>
      </c>
      <c r="F548" s="176">
        <v>0</v>
      </c>
      <c r="G548" s="176"/>
    </row>
    <row r="549" spans="1:7" ht="18.75" x14ac:dyDescent="0.25">
      <c r="A549" s="322"/>
      <c r="B549" s="107" t="s">
        <v>180</v>
      </c>
      <c r="C549" s="109" t="s">
        <v>603</v>
      </c>
      <c r="D549" s="114" t="s">
        <v>158</v>
      </c>
      <c r="E549" s="182">
        <f>E547/E548</f>
        <v>131938.35</v>
      </c>
      <c r="F549" s="182"/>
      <c r="G549" s="182"/>
    </row>
    <row r="550" spans="1:7" ht="18.75" x14ac:dyDescent="0.25">
      <c r="A550" s="323"/>
      <c r="B550" s="107" t="s">
        <v>171</v>
      </c>
      <c r="C550" s="85" t="s">
        <v>529</v>
      </c>
      <c r="D550" s="114" t="s">
        <v>183</v>
      </c>
      <c r="E550" s="182">
        <v>100</v>
      </c>
      <c r="F550" s="170"/>
      <c r="G550" s="170"/>
    </row>
    <row r="551" spans="1:7" ht="58.5" x14ac:dyDescent="0.25">
      <c r="A551" s="156" t="s">
        <v>557</v>
      </c>
      <c r="B551" s="107"/>
      <c r="C551" s="122"/>
      <c r="D551" s="115"/>
      <c r="E551" s="162">
        <f>E553</f>
        <v>0</v>
      </c>
      <c r="F551" s="162">
        <f t="shared" ref="F551:G551" si="139">F553</f>
        <v>32285</v>
      </c>
      <c r="G551" s="162">
        <f t="shared" si="139"/>
        <v>30000</v>
      </c>
    </row>
    <row r="552" spans="1:7" ht="37.5" x14ac:dyDescent="0.25">
      <c r="A552" s="85" t="s">
        <v>197</v>
      </c>
      <c r="B552" s="107"/>
      <c r="C552" s="108"/>
      <c r="D552" s="114"/>
      <c r="E552" s="163"/>
      <c r="F552" s="163"/>
      <c r="G552" s="163"/>
    </row>
    <row r="553" spans="1:7" ht="58.5" x14ac:dyDescent="0.35">
      <c r="A553" s="93" t="s">
        <v>556</v>
      </c>
      <c r="B553" s="123"/>
      <c r="C553" s="124"/>
      <c r="D553" s="88"/>
      <c r="E553" s="164">
        <f>E554+E558</f>
        <v>0</v>
      </c>
      <c r="F553" s="164">
        <f t="shared" ref="F553:G553" si="140">F554+F558</f>
        <v>32285</v>
      </c>
      <c r="G553" s="164">
        <f t="shared" si="140"/>
        <v>30000</v>
      </c>
    </row>
    <row r="554" spans="1:7" ht="18.75" x14ac:dyDescent="0.25">
      <c r="A554" s="321" t="s">
        <v>149</v>
      </c>
      <c r="B554" s="137" t="s">
        <v>175</v>
      </c>
      <c r="C554" s="96" t="s">
        <v>600</v>
      </c>
      <c r="D554" s="137" t="s">
        <v>158</v>
      </c>
      <c r="E554" s="165">
        <f>Заходи!G463</f>
        <v>0</v>
      </c>
      <c r="F554" s="165">
        <f>Заходи!J463</f>
        <v>32000</v>
      </c>
      <c r="G554" s="165">
        <f>Заходи!M463</f>
        <v>30000</v>
      </c>
    </row>
    <row r="555" spans="1:7" ht="37.5" x14ac:dyDescent="0.25">
      <c r="A555" s="322"/>
      <c r="B555" s="139" t="s">
        <v>170</v>
      </c>
      <c r="C555" s="109" t="s">
        <v>434</v>
      </c>
      <c r="D555" s="115" t="s">
        <v>221</v>
      </c>
      <c r="E555" s="176"/>
      <c r="F555" s="176">
        <v>130</v>
      </c>
      <c r="G555" s="176">
        <v>110</v>
      </c>
    </row>
    <row r="556" spans="1:7" ht="37.5" x14ac:dyDescent="0.25">
      <c r="A556" s="322"/>
      <c r="B556" s="107" t="s">
        <v>180</v>
      </c>
      <c r="C556" s="109" t="s">
        <v>528</v>
      </c>
      <c r="D556" s="114" t="s">
        <v>158</v>
      </c>
      <c r="E556" s="182"/>
      <c r="F556" s="182">
        <f>F554/F555</f>
        <v>246.15384615384616</v>
      </c>
      <c r="G556" s="182">
        <f>G554/G555</f>
        <v>272.72727272727275</v>
      </c>
    </row>
    <row r="557" spans="1:7" ht="18.75" x14ac:dyDescent="0.25">
      <c r="A557" s="323"/>
      <c r="B557" s="107" t="s">
        <v>171</v>
      </c>
      <c r="C557" s="85" t="s">
        <v>529</v>
      </c>
      <c r="D557" s="114" t="s">
        <v>183</v>
      </c>
      <c r="E557" s="170"/>
      <c r="F557" s="170">
        <v>100</v>
      </c>
      <c r="G557" s="170">
        <v>100</v>
      </c>
    </row>
    <row r="558" spans="1:7" ht="37.5" x14ac:dyDescent="0.25">
      <c r="A558" s="321" t="s">
        <v>150</v>
      </c>
      <c r="B558" s="137" t="s">
        <v>175</v>
      </c>
      <c r="C558" s="96" t="s">
        <v>597</v>
      </c>
      <c r="D558" s="137" t="s">
        <v>158</v>
      </c>
      <c r="E558" s="165">
        <f>Заходи!G467</f>
        <v>0</v>
      </c>
      <c r="F558" s="165">
        <f>Заходи!J467</f>
        <v>285</v>
      </c>
      <c r="G558" s="165">
        <f>Заходи!M467</f>
        <v>0</v>
      </c>
    </row>
    <row r="559" spans="1:7" ht="18.75" x14ac:dyDescent="0.25">
      <c r="A559" s="322"/>
      <c r="B559" s="139" t="s">
        <v>170</v>
      </c>
      <c r="C559" s="109" t="s">
        <v>598</v>
      </c>
      <c r="D559" s="115" t="s">
        <v>221</v>
      </c>
      <c r="E559" s="176"/>
      <c r="F559" s="176">
        <v>1</v>
      </c>
      <c r="G559" s="176"/>
    </row>
    <row r="560" spans="1:7" ht="18.75" x14ac:dyDescent="0.25">
      <c r="A560" s="322"/>
      <c r="B560" s="107" t="s">
        <v>180</v>
      </c>
      <c r="C560" s="109" t="s">
        <v>599</v>
      </c>
      <c r="D560" s="114" t="s">
        <v>158</v>
      </c>
      <c r="E560" s="182"/>
      <c r="F560" s="182">
        <f>F558/F559</f>
        <v>285</v>
      </c>
      <c r="G560" s="182"/>
    </row>
    <row r="561" spans="1:7" ht="18.75" x14ac:dyDescent="0.25">
      <c r="A561" s="323"/>
      <c r="B561" s="107" t="s">
        <v>171</v>
      </c>
      <c r="C561" s="85" t="s">
        <v>529</v>
      </c>
      <c r="D561" s="114" t="s">
        <v>183</v>
      </c>
      <c r="E561" s="170"/>
      <c r="F561" s="170">
        <v>100</v>
      </c>
      <c r="G561" s="170"/>
    </row>
    <row r="562" spans="1:7" ht="39" x14ac:dyDescent="0.25">
      <c r="A562" s="156" t="s">
        <v>561</v>
      </c>
      <c r="B562" s="107"/>
      <c r="C562" s="122"/>
      <c r="D562" s="122"/>
      <c r="E562" s="192">
        <f>E564</f>
        <v>0</v>
      </c>
      <c r="F562" s="192">
        <f t="shared" ref="F562:G562" si="141">F564</f>
        <v>17709</v>
      </c>
      <c r="G562" s="192">
        <f t="shared" si="141"/>
        <v>0</v>
      </c>
    </row>
    <row r="563" spans="1:7" ht="37.5" x14ac:dyDescent="0.25">
      <c r="A563" s="85" t="s">
        <v>197</v>
      </c>
      <c r="B563" s="107"/>
      <c r="C563" s="108"/>
      <c r="D563" s="107"/>
      <c r="E563" s="193"/>
      <c r="F563" s="193"/>
      <c r="G563" s="193"/>
    </row>
    <row r="564" spans="1:7" ht="39" x14ac:dyDescent="0.35">
      <c r="A564" s="93" t="s">
        <v>563</v>
      </c>
      <c r="B564" s="123"/>
      <c r="C564" s="124"/>
      <c r="D564" s="124"/>
      <c r="E564" s="164">
        <f>E565</f>
        <v>0</v>
      </c>
      <c r="F564" s="164">
        <f>F565</f>
        <v>17709</v>
      </c>
      <c r="G564" s="164">
        <f>G565</f>
        <v>0</v>
      </c>
    </row>
    <row r="565" spans="1:7" ht="37.5" x14ac:dyDescent="0.25">
      <c r="A565" s="321" t="s">
        <v>564</v>
      </c>
      <c r="B565" s="137" t="s">
        <v>175</v>
      </c>
      <c r="C565" s="82" t="s">
        <v>562</v>
      </c>
      <c r="D565" s="137" t="s">
        <v>158</v>
      </c>
      <c r="E565" s="191">
        <f>Заходи!G480</f>
        <v>0</v>
      </c>
      <c r="F565" s="191">
        <f>17709</f>
        <v>17709</v>
      </c>
      <c r="G565" s="191">
        <f>Заходи!M480</f>
        <v>0</v>
      </c>
    </row>
    <row r="566" spans="1:7" ht="37.5" x14ac:dyDescent="0.25">
      <c r="A566" s="322"/>
      <c r="B566" s="139" t="s">
        <v>170</v>
      </c>
      <c r="C566" s="109" t="s">
        <v>565</v>
      </c>
      <c r="D566" s="122" t="s">
        <v>221</v>
      </c>
      <c r="E566" s="186"/>
      <c r="F566" s="186">
        <v>2</v>
      </c>
      <c r="G566" s="186">
        <v>0</v>
      </c>
    </row>
    <row r="567" spans="1:7" ht="37.5" x14ac:dyDescent="0.25">
      <c r="A567" s="322"/>
      <c r="B567" s="107" t="s">
        <v>180</v>
      </c>
      <c r="C567" s="109" t="s">
        <v>566</v>
      </c>
      <c r="D567" s="107" t="s">
        <v>158</v>
      </c>
      <c r="E567" s="194"/>
      <c r="F567" s="194">
        <f>F565/F566</f>
        <v>8854.5</v>
      </c>
      <c r="G567" s="194"/>
    </row>
    <row r="568" spans="1:7" ht="18.75" x14ac:dyDescent="0.25">
      <c r="A568" s="323"/>
      <c r="B568" s="107" t="s">
        <v>171</v>
      </c>
      <c r="C568" s="85" t="s">
        <v>529</v>
      </c>
      <c r="D568" s="107" t="s">
        <v>183</v>
      </c>
      <c r="E568" s="195"/>
      <c r="F568" s="195">
        <v>100</v>
      </c>
      <c r="G568" s="195"/>
    </row>
    <row r="569" spans="1:7" ht="39" x14ac:dyDescent="0.25">
      <c r="A569" s="156" t="s">
        <v>584</v>
      </c>
      <c r="B569" s="107"/>
      <c r="C569" s="122"/>
      <c r="D569" s="122"/>
      <c r="E569" s="192">
        <f>E571</f>
        <v>0</v>
      </c>
      <c r="F569" s="192">
        <f t="shared" ref="F569:G569" si="142">F571</f>
        <v>200000</v>
      </c>
      <c r="G569" s="192">
        <f t="shared" si="142"/>
        <v>0</v>
      </c>
    </row>
    <row r="570" spans="1:7" ht="37.5" x14ac:dyDescent="0.25">
      <c r="A570" s="109" t="s">
        <v>197</v>
      </c>
      <c r="B570" s="107"/>
      <c r="C570" s="108"/>
      <c r="D570" s="107"/>
      <c r="E570" s="193"/>
      <c r="F570" s="193"/>
      <c r="G570" s="193"/>
    </row>
    <row r="571" spans="1:7" ht="39" x14ac:dyDescent="0.35">
      <c r="A571" s="126" t="s">
        <v>585</v>
      </c>
      <c r="B571" s="123"/>
      <c r="C571" s="124"/>
      <c r="D571" s="124"/>
      <c r="E571" s="164">
        <f>E572</f>
        <v>0</v>
      </c>
      <c r="F571" s="164">
        <f>F572</f>
        <v>200000</v>
      </c>
      <c r="G571" s="164">
        <f>G572</f>
        <v>0</v>
      </c>
    </row>
    <row r="572" spans="1:7" ht="37.5" x14ac:dyDescent="0.25">
      <c r="A572" s="321" t="s">
        <v>590</v>
      </c>
      <c r="B572" s="107" t="s">
        <v>175</v>
      </c>
      <c r="C572" s="108" t="s">
        <v>591</v>
      </c>
      <c r="D572" s="107" t="s">
        <v>158</v>
      </c>
      <c r="E572" s="191">
        <f>Заходи!G467</f>
        <v>0</v>
      </c>
      <c r="F572" s="196">
        <f>200000</f>
        <v>200000</v>
      </c>
      <c r="G572" s="191">
        <f>Заходи!M467</f>
        <v>0</v>
      </c>
    </row>
    <row r="573" spans="1:7" ht="37.5" x14ac:dyDescent="0.25">
      <c r="A573" s="322"/>
      <c r="B573" s="139" t="s">
        <v>170</v>
      </c>
      <c r="C573" s="109" t="s">
        <v>588</v>
      </c>
      <c r="D573" s="122" t="s">
        <v>221</v>
      </c>
      <c r="E573" s="186"/>
      <c r="F573" s="186">
        <v>1</v>
      </c>
      <c r="G573" s="186">
        <v>0</v>
      </c>
    </row>
    <row r="574" spans="1:7" ht="37.5" x14ac:dyDescent="0.25">
      <c r="A574" s="322"/>
      <c r="B574" s="107" t="s">
        <v>180</v>
      </c>
      <c r="C574" s="109" t="s">
        <v>589</v>
      </c>
      <c r="D574" s="107" t="s">
        <v>158</v>
      </c>
      <c r="E574" s="194"/>
      <c r="F574" s="194">
        <f>F572/F573</f>
        <v>200000</v>
      </c>
      <c r="G574" s="194"/>
    </row>
    <row r="575" spans="1:7" ht="18.75" x14ac:dyDescent="0.25">
      <c r="A575" s="323"/>
      <c r="B575" s="107" t="s">
        <v>171</v>
      </c>
      <c r="C575" s="85" t="s">
        <v>529</v>
      </c>
      <c r="D575" s="107" t="s">
        <v>183</v>
      </c>
      <c r="E575" s="195"/>
      <c r="F575" s="195">
        <v>100</v>
      </c>
      <c r="G575" s="195"/>
    </row>
    <row r="576" spans="1:7" ht="58.5" x14ac:dyDescent="0.25">
      <c r="A576" s="156" t="s">
        <v>567</v>
      </c>
      <c r="B576" s="107"/>
      <c r="C576" s="122"/>
      <c r="D576" s="122"/>
      <c r="E576" s="192">
        <f>E578</f>
        <v>0</v>
      </c>
      <c r="F576" s="192">
        <f t="shared" ref="F576:G576" si="143">F578</f>
        <v>15622.98</v>
      </c>
      <c r="G576" s="192">
        <f t="shared" si="143"/>
        <v>15622.98</v>
      </c>
    </row>
    <row r="577" spans="1:7" ht="37.5" x14ac:dyDescent="0.25">
      <c r="A577" s="109" t="s">
        <v>197</v>
      </c>
      <c r="B577" s="107"/>
      <c r="C577" s="108"/>
      <c r="D577" s="107"/>
      <c r="E577" s="193"/>
      <c r="F577" s="193"/>
      <c r="G577" s="193"/>
    </row>
    <row r="578" spans="1:7" ht="58.5" x14ac:dyDescent="0.35">
      <c r="A578" s="126" t="s">
        <v>586</v>
      </c>
      <c r="B578" s="123"/>
      <c r="C578" s="124"/>
      <c r="D578" s="124"/>
      <c r="E578" s="164">
        <f>E579</f>
        <v>0</v>
      </c>
      <c r="F578" s="164">
        <f>F579</f>
        <v>15622.98</v>
      </c>
      <c r="G578" s="164">
        <f>G579</f>
        <v>15622.98</v>
      </c>
    </row>
    <row r="579" spans="1:7" ht="18.75" x14ac:dyDescent="0.25">
      <c r="A579" s="321" t="s">
        <v>587</v>
      </c>
      <c r="B579" s="137" t="s">
        <v>175</v>
      </c>
      <c r="C579" s="96" t="s">
        <v>596</v>
      </c>
      <c r="D579" s="137" t="s">
        <v>158</v>
      </c>
      <c r="E579" s="165">
        <f>Заходи!G487</f>
        <v>0</v>
      </c>
      <c r="F579" s="197">
        <f>15622.98</f>
        <v>15622.98</v>
      </c>
      <c r="G579" s="165">
        <f>Заходи!O429</f>
        <v>15622.98</v>
      </c>
    </row>
    <row r="580" spans="1:7" ht="37.5" x14ac:dyDescent="0.25">
      <c r="A580" s="322"/>
      <c r="B580" s="139" t="s">
        <v>170</v>
      </c>
      <c r="C580" s="109" t="s">
        <v>565</v>
      </c>
      <c r="D580" s="122" t="s">
        <v>221</v>
      </c>
      <c r="E580" s="186"/>
      <c r="F580" s="186">
        <v>1</v>
      </c>
      <c r="G580" s="186">
        <v>1</v>
      </c>
    </row>
    <row r="581" spans="1:7" ht="37.5" x14ac:dyDescent="0.25">
      <c r="A581" s="322"/>
      <c r="B581" s="107" t="s">
        <v>180</v>
      </c>
      <c r="C581" s="109" t="s">
        <v>566</v>
      </c>
      <c r="D581" s="107" t="s">
        <v>158</v>
      </c>
      <c r="E581" s="194"/>
      <c r="F581" s="194">
        <f>F579/F580</f>
        <v>15622.98</v>
      </c>
      <c r="G581" s="194">
        <f>G579/G580</f>
        <v>15622.98</v>
      </c>
    </row>
    <row r="582" spans="1:7" ht="18.75" x14ac:dyDescent="0.25">
      <c r="A582" s="323"/>
      <c r="B582" s="107" t="s">
        <v>171</v>
      </c>
      <c r="C582" s="85" t="s">
        <v>529</v>
      </c>
      <c r="D582" s="107" t="s">
        <v>183</v>
      </c>
      <c r="E582" s="195"/>
      <c r="F582" s="195">
        <v>100</v>
      </c>
      <c r="G582" s="195">
        <v>100</v>
      </c>
    </row>
    <row r="583" spans="1:7" ht="19.5" x14ac:dyDescent="0.25">
      <c r="A583" s="208" t="s">
        <v>699</v>
      </c>
      <c r="B583" s="207"/>
      <c r="C583" s="205"/>
      <c r="D583" s="205"/>
      <c r="E583" s="192">
        <f>E585</f>
        <v>0</v>
      </c>
      <c r="F583" s="192">
        <f t="shared" ref="F583:G583" si="144">F585</f>
        <v>0</v>
      </c>
      <c r="G583" s="192">
        <f t="shared" si="144"/>
        <v>100</v>
      </c>
    </row>
    <row r="584" spans="1:7" ht="37.5" x14ac:dyDescent="0.25">
      <c r="A584" s="109" t="s">
        <v>197</v>
      </c>
      <c r="B584" s="207"/>
      <c r="C584" s="108"/>
      <c r="D584" s="207"/>
      <c r="E584" s="193"/>
      <c r="F584" s="193"/>
      <c r="G584" s="193"/>
    </row>
    <row r="585" spans="1:7" ht="19.5" x14ac:dyDescent="0.35">
      <c r="A585" s="126" t="s">
        <v>700</v>
      </c>
      <c r="B585" s="123"/>
      <c r="C585" s="124"/>
      <c r="D585" s="124"/>
      <c r="E585" s="164">
        <f>E586</f>
        <v>0</v>
      </c>
      <c r="F585" s="164">
        <f>F586</f>
        <v>0</v>
      </c>
      <c r="G585" s="164">
        <f>G586</f>
        <v>100</v>
      </c>
    </row>
    <row r="586" spans="1:7" ht="18.75" x14ac:dyDescent="0.25">
      <c r="A586" s="321" t="s">
        <v>701</v>
      </c>
      <c r="B586" s="137" t="s">
        <v>175</v>
      </c>
      <c r="C586" s="96" t="s">
        <v>596</v>
      </c>
      <c r="D586" s="137" t="s">
        <v>158</v>
      </c>
      <c r="E586" s="165">
        <f>Заходи!G471</f>
        <v>0</v>
      </c>
      <c r="F586" s="197">
        <f>Заходи!J471</f>
        <v>0</v>
      </c>
      <c r="G586" s="165">
        <f>Заходи!M471</f>
        <v>100</v>
      </c>
    </row>
    <row r="587" spans="1:7" ht="37.5" x14ac:dyDescent="0.25">
      <c r="A587" s="322"/>
      <c r="B587" s="206" t="s">
        <v>170</v>
      </c>
      <c r="C587" s="109" t="s">
        <v>702</v>
      </c>
      <c r="D587" s="205" t="s">
        <v>221</v>
      </c>
      <c r="E587" s="186"/>
      <c r="F587" s="186"/>
      <c r="G587" s="186">
        <v>1</v>
      </c>
    </row>
    <row r="588" spans="1:7" ht="18.75" x14ac:dyDescent="0.25">
      <c r="A588" s="322"/>
      <c r="B588" s="207" t="s">
        <v>180</v>
      </c>
      <c r="C588" s="109" t="s">
        <v>703</v>
      </c>
      <c r="D588" s="207" t="s">
        <v>158</v>
      </c>
      <c r="E588" s="194"/>
      <c r="F588" s="194"/>
      <c r="G588" s="194">
        <f>G586/G587</f>
        <v>100</v>
      </c>
    </row>
    <row r="589" spans="1:7" ht="18.75" x14ac:dyDescent="0.25">
      <c r="A589" s="323"/>
      <c r="B589" s="207" t="s">
        <v>171</v>
      </c>
      <c r="C589" s="85" t="s">
        <v>529</v>
      </c>
      <c r="D589" s="207" t="s">
        <v>183</v>
      </c>
      <c r="E589" s="195"/>
      <c r="F589" s="195"/>
      <c r="G589" s="195">
        <v>100</v>
      </c>
    </row>
    <row r="590" spans="1:7" ht="18.75" x14ac:dyDescent="0.25">
      <c r="A590" s="209"/>
      <c r="B590" s="210"/>
      <c r="C590" s="211"/>
      <c r="D590" s="210"/>
      <c r="E590" s="212"/>
      <c r="F590" s="212"/>
      <c r="G590" s="212"/>
    </row>
    <row r="591" spans="1:7" ht="18.75" x14ac:dyDescent="0.25">
      <c r="A591" s="209"/>
      <c r="B591" s="210"/>
      <c r="C591" s="211"/>
      <c r="D591" s="210"/>
      <c r="E591" s="212"/>
      <c r="F591" s="212"/>
      <c r="G591" s="212"/>
    </row>
    <row r="592" spans="1:7" ht="18.75" x14ac:dyDescent="0.25">
      <c r="A592" s="209"/>
      <c r="B592" s="210"/>
      <c r="C592" s="211"/>
      <c r="D592" s="210"/>
      <c r="E592" s="212"/>
      <c r="F592" s="212"/>
      <c r="G592" s="212"/>
    </row>
    <row r="593" spans="1:7" ht="18.75" x14ac:dyDescent="0.25">
      <c r="A593" s="209"/>
      <c r="B593" s="210"/>
      <c r="C593" s="211"/>
      <c r="D593" s="210"/>
      <c r="E593" s="212"/>
      <c r="F593" s="212"/>
      <c r="G593" s="212"/>
    </row>
    <row r="594" spans="1:7" ht="18.75" x14ac:dyDescent="0.25">
      <c r="A594" s="209"/>
      <c r="B594" s="210"/>
      <c r="C594" s="211"/>
      <c r="D594" s="210"/>
      <c r="E594" s="212"/>
      <c r="F594" s="212"/>
      <c r="G594" s="212"/>
    </row>
    <row r="595" spans="1:7" ht="18.75" x14ac:dyDescent="0.25">
      <c r="A595" s="209"/>
      <c r="B595" s="210"/>
      <c r="C595" s="211"/>
      <c r="D595" s="210"/>
      <c r="E595" s="212"/>
      <c r="F595" s="212"/>
      <c r="G595" s="212"/>
    </row>
    <row r="596" spans="1:7" ht="18.75" x14ac:dyDescent="0.3">
      <c r="A596" s="2"/>
      <c r="B596" s="2"/>
      <c r="C596" s="2"/>
      <c r="D596" s="2"/>
      <c r="E596" s="2"/>
      <c r="F596" s="2"/>
      <c r="G596" s="2"/>
    </row>
    <row r="597" spans="1:7" ht="20.25" x14ac:dyDescent="0.3">
      <c r="A597" s="308" t="s">
        <v>694</v>
      </c>
      <c r="B597" s="308"/>
      <c r="C597" s="157" t="s">
        <v>160</v>
      </c>
      <c r="D597" s="2"/>
      <c r="G597" s="2"/>
    </row>
    <row r="598" spans="1:7" ht="18.75" x14ac:dyDescent="0.3">
      <c r="A598" s="92"/>
      <c r="C598" s="92"/>
      <c r="D598" s="92"/>
      <c r="E598" s="2"/>
      <c r="F598" s="2"/>
      <c r="G598" s="2"/>
    </row>
  </sheetData>
  <mergeCells count="196">
    <mergeCell ref="B19:B21"/>
    <mergeCell ref="B125:B127"/>
    <mergeCell ref="B150:B156"/>
    <mergeCell ref="B115:B116"/>
    <mergeCell ref="D115:D116"/>
    <mergeCell ref="D120:D121"/>
    <mergeCell ref="B160:B161"/>
    <mergeCell ref="D137:D138"/>
    <mergeCell ref="D28:D29"/>
    <mergeCell ref="D73:D74"/>
    <mergeCell ref="D71:D72"/>
    <mergeCell ref="D80:D81"/>
    <mergeCell ref="D92:D94"/>
    <mergeCell ref="D95:D96"/>
    <mergeCell ref="B92:B99"/>
    <mergeCell ref="D97:D98"/>
    <mergeCell ref="D160:D161"/>
    <mergeCell ref="D153:D155"/>
    <mergeCell ref="D132:D133"/>
    <mergeCell ref="D67:D70"/>
    <mergeCell ref="B58:B59"/>
    <mergeCell ref="D58:D59"/>
    <mergeCell ref="B71:B72"/>
    <mergeCell ref="A281:A284"/>
    <mergeCell ref="A306:A310"/>
    <mergeCell ref="B487:B488"/>
    <mergeCell ref="A451:A454"/>
    <mergeCell ref="A455:A458"/>
    <mergeCell ref="A295:A298"/>
    <mergeCell ref="A288:A291"/>
    <mergeCell ref="D412:D414"/>
    <mergeCell ref="D416:D419"/>
    <mergeCell ref="B307:B308"/>
    <mergeCell ref="D307:D308"/>
    <mergeCell ref="B482:B483"/>
    <mergeCell ref="A265:A268"/>
    <mergeCell ref="A195:A198"/>
    <mergeCell ref="A199:A202"/>
    <mergeCell ref="A203:A206"/>
    <mergeCell ref="D11:D12"/>
    <mergeCell ref="D13:D14"/>
    <mergeCell ref="B11:B14"/>
    <mergeCell ref="B15:B18"/>
    <mergeCell ref="D15:D18"/>
    <mergeCell ref="A238:A241"/>
    <mergeCell ref="A230:A233"/>
    <mergeCell ref="A234:A237"/>
    <mergeCell ref="A222:A225"/>
    <mergeCell ref="A226:A229"/>
    <mergeCell ref="A214:A217"/>
    <mergeCell ref="A218:A221"/>
    <mergeCell ref="D125:D127"/>
    <mergeCell ref="B128:B129"/>
    <mergeCell ref="D128:D129"/>
    <mergeCell ref="A91:A106"/>
    <mergeCell ref="B100:B103"/>
    <mergeCell ref="B104:B106"/>
    <mergeCell ref="D23:D24"/>
    <mergeCell ref="C19:C21"/>
    <mergeCell ref="A245:A248"/>
    <mergeCell ref="A249:A252"/>
    <mergeCell ref="A481:A485"/>
    <mergeCell ref="A486:A490"/>
    <mergeCell ref="B514:B515"/>
    <mergeCell ref="A334:A337"/>
    <mergeCell ref="A338:A341"/>
    <mergeCell ref="A326:A329"/>
    <mergeCell ref="A330:A333"/>
    <mergeCell ref="A311:A314"/>
    <mergeCell ref="A318:A321"/>
    <mergeCell ref="A325:B325"/>
    <mergeCell ref="A506:A509"/>
    <mergeCell ref="A459:A462"/>
    <mergeCell ref="A376:A386"/>
    <mergeCell ref="B376:B379"/>
    <mergeCell ref="A362:A365"/>
    <mergeCell ref="A366:A369"/>
    <mergeCell ref="B383:B385"/>
    <mergeCell ref="A443:A446"/>
    <mergeCell ref="A439:A442"/>
    <mergeCell ref="A257:A260"/>
    <mergeCell ref="A269:A272"/>
    <mergeCell ref="A261:A264"/>
    <mergeCell ref="D514:D515"/>
    <mergeCell ref="B492:B493"/>
    <mergeCell ref="D492:D493"/>
    <mergeCell ref="A342:A345"/>
    <mergeCell ref="A346:A349"/>
    <mergeCell ref="A350:A353"/>
    <mergeCell ref="A428:A431"/>
    <mergeCell ref="A432:A435"/>
    <mergeCell ref="B380:B382"/>
    <mergeCell ref="D380:D382"/>
    <mergeCell ref="D377:D379"/>
    <mergeCell ref="D383:D385"/>
    <mergeCell ref="A358:A361"/>
    <mergeCell ref="A354:A357"/>
    <mergeCell ref="A370:A373"/>
    <mergeCell ref="A374:B374"/>
    <mergeCell ref="D387:D393"/>
    <mergeCell ref="D394:D398"/>
    <mergeCell ref="D400:D405"/>
    <mergeCell ref="D408:D411"/>
    <mergeCell ref="A513:A517"/>
    <mergeCell ref="D487:D488"/>
    <mergeCell ref="D482:D483"/>
    <mergeCell ref="D1:G1"/>
    <mergeCell ref="A2:G2"/>
    <mergeCell ref="A3:A4"/>
    <mergeCell ref="B3:B4"/>
    <mergeCell ref="C3:C4"/>
    <mergeCell ref="D3:D4"/>
    <mergeCell ref="E3:G3"/>
    <mergeCell ref="A44:A47"/>
    <mergeCell ref="A48:A52"/>
    <mergeCell ref="B49:B50"/>
    <mergeCell ref="D49:D50"/>
    <mergeCell ref="A32:A39"/>
    <mergeCell ref="D33:D34"/>
    <mergeCell ref="A40:A43"/>
    <mergeCell ref="B33:B36"/>
    <mergeCell ref="D35:D36"/>
    <mergeCell ref="B37:B38"/>
    <mergeCell ref="D6:D7"/>
    <mergeCell ref="E6:E7"/>
    <mergeCell ref="F6:F7"/>
    <mergeCell ref="G6:G7"/>
    <mergeCell ref="D19:D21"/>
    <mergeCell ref="A22:A26"/>
    <mergeCell ref="B23:B24"/>
    <mergeCell ref="A66:A74"/>
    <mergeCell ref="B67:B70"/>
    <mergeCell ref="A6:A18"/>
    <mergeCell ref="B6:B10"/>
    <mergeCell ref="A27:A31"/>
    <mergeCell ref="B28:B29"/>
    <mergeCell ref="A141:A144"/>
    <mergeCell ref="A131:A135"/>
    <mergeCell ref="B132:B133"/>
    <mergeCell ref="A84:A87"/>
    <mergeCell ref="B73:B74"/>
    <mergeCell ref="A62:A65"/>
    <mergeCell ref="A107:A110"/>
    <mergeCell ref="A114:A118"/>
    <mergeCell ref="A79:A83"/>
    <mergeCell ref="B80:B81"/>
    <mergeCell ref="B137:B138"/>
    <mergeCell ref="A53:A56"/>
    <mergeCell ref="A57:A61"/>
    <mergeCell ref="A126:A130"/>
    <mergeCell ref="A136:A140"/>
    <mergeCell ref="A119:A123"/>
    <mergeCell ref="B120:B121"/>
    <mergeCell ref="A75:A78"/>
    <mergeCell ref="A145:A148"/>
    <mergeCell ref="A273:A276"/>
    <mergeCell ref="A277:A280"/>
    <mergeCell ref="A253:A256"/>
    <mergeCell ref="A558:A561"/>
    <mergeCell ref="A491:A495"/>
    <mergeCell ref="A499:A502"/>
    <mergeCell ref="A172:A175"/>
    <mergeCell ref="A149:A158"/>
    <mergeCell ref="A159:A163"/>
    <mergeCell ref="A554:A557"/>
    <mergeCell ref="A521:A524"/>
    <mergeCell ref="A525:A528"/>
    <mergeCell ref="A529:A532"/>
    <mergeCell ref="A536:A539"/>
    <mergeCell ref="A540:A543"/>
    <mergeCell ref="A187:A190"/>
    <mergeCell ref="A191:A194"/>
    <mergeCell ref="A176:A179"/>
    <mergeCell ref="A183:A186"/>
    <mergeCell ref="A207:A210"/>
    <mergeCell ref="A547:A550"/>
    <mergeCell ref="A168:A171"/>
    <mergeCell ref="A164:A167"/>
    <mergeCell ref="A597:B597"/>
    <mergeCell ref="A565:A568"/>
    <mergeCell ref="A579:A582"/>
    <mergeCell ref="B394:B399"/>
    <mergeCell ref="B400:B405"/>
    <mergeCell ref="B412:B415"/>
    <mergeCell ref="B416:B419"/>
    <mergeCell ref="A387:A406"/>
    <mergeCell ref="B387:B393"/>
    <mergeCell ref="B407:B411"/>
    <mergeCell ref="A407:A420"/>
    <mergeCell ref="A572:A575"/>
    <mergeCell ref="A421:A424"/>
    <mergeCell ref="A463:A466"/>
    <mergeCell ref="A467:A470"/>
    <mergeCell ref="A447:A450"/>
    <mergeCell ref="A474:A477"/>
    <mergeCell ref="A586:A589"/>
  </mergeCells>
  <printOptions horizontalCentered="1"/>
  <pageMargins left="0.31496062992125984" right="0.31496062992125984" top="0.74803149606299213" bottom="0.35433070866141736" header="0.11811023622047245" footer="0.11811023622047245"/>
  <pageSetup paperSize="9" scale="38" fitToHeight="14" orientation="landscape" r:id="rId1"/>
  <rowBreaks count="9" manualBreakCount="9">
    <brk id="26" max="6" man="1"/>
    <brk id="65" max="6" man="1"/>
    <brk id="158" max="6" man="1"/>
    <brk id="210" max="6" man="1"/>
    <brk id="252" max="6" man="1"/>
    <brk id="298" max="6" man="1"/>
    <brk id="341" max="6" man="1"/>
    <brk id="438" max="6" man="1"/>
    <brk id="48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Заходи</vt:lpstr>
      <vt:lpstr>Результативні</vt:lpstr>
      <vt:lpstr>Заходи!Область_печати</vt:lpstr>
      <vt:lpstr>Результативні!Область_печати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2024-10-14T07:48:39Z</dcterms:modified>
</cp:coreProperties>
</file>