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45"/>
  </bookViews>
  <sheets>
    <sheet name="Дод.2" sheetId="1" r:id="rId1"/>
    <sheet name="Дод.3" sheetId="2" r:id="rId2"/>
  </sheets>
  <definedNames>
    <definedName name="_xlnm.Print_Titles" localSheetId="0">Дод.2!$9:$12</definedName>
    <definedName name="_xlnm.Print_Titles" localSheetId="1">Дод.3!$9:$11</definedName>
    <definedName name="_xlnm.Print_Area" localSheetId="0">Дод.2!$A$1:$N$322</definedName>
    <definedName name="_xlnm.Print_Area" localSheetId="1">Дод.3!$A$1:$G$281</definedName>
  </definedNames>
  <calcPr calcId="162913" iterateDelta="1E-4"/>
</workbook>
</file>

<file path=xl/calcChain.xml><?xml version="1.0" encoding="utf-8"?>
<calcChain xmlns="http://schemas.openxmlformats.org/spreadsheetml/2006/main">
  <c r="O123" i="1" l="1"/>
  <c r="N242" i="1" l="1"/>
  <c r="K250" i="1" l="1"/>
  <c r="M110" i="1"/>
  <c r="M113" i="1"/>
  <c r="G214" i="2" l="1"/>
  <c r="F214" i="2" l="1"/>
  <c r="I155" i="2"/>
  <c r="I153" i="2"/>
  <c r="G152" i="2"/>
  <c r="G19" i="2"/>
  <c r="G13" i="2"/>
  <c r="G259" i="2"/>
  <c r="G255" i="2"/>
  <c r="G209" i="2" l="1"/>
  <c r="G208" i="2"/>
  <c r="G84" i="2"/>
  <c r="G88" i="2" s="1"/>
  <c r="L113" i="1" l="1"/>
  <c r="L246" i="1" l="1"/>
  <c r="N235" i="1"/>
  <c r="M83" i="1" l="1"/>
  <c r="M85" i="1"/>
  <c r="M90" i="1"/>
  <c r="N247" i="1" l="1"/>
  <c r="L247" i="1" s="1"/>
  <c r="N236" i="1"/>
  <c r="L236" i="1" s="1"/>
  <c r="L248" i="1"/>
  <c r="N191" i="1" l="1"/>
  <c r="L281" i="1" l="1"/>
  <c r="L280" i="1"/>
  <c r="N271" i="1"/>
  <c r="L271" i="1" s="1"/>
  <c r="N270" i="1"/>
  <c r="L270" i="1" s="1"/>
  <c r="N199" i="1" l="1"/>
  <c r="N212" i="1"/>
  <c r="L212" i="1" s="1"/>
  <c r="N211" i="1"/>
  <c r="L211" i="1" s="1"/>
  <c r="L249" i="1"/>
  <c r="N237" i="1"/>
  <c r="N17" i="1" s="1"/>
  <c r="L17" i="1" s="1"/>
  <c r="L199" i="1" l="1"/>
  <c r="L20" i="1" s="1"/>
  <c r="N20" i="1"/>
  <c r="L237" i="1"/>
  <c r="N198" i="1"/>
  <c r="L198" i="1" l="1"/>
  <c r="N282" i="1" l="1"/>
  <c r="N272" i="1" s="1"/>
  <c r="N184" i="1"/>
  <c r="N190" i="1"/>
  <c r="N186" i="1"/>
  <c r="N183" i="1" s="1"/>
  <c r="M187" i="1"/>
  <c r="M184" i="1"/>
  <c r="N181" i="1" l="1"/>
  <c r="N279" i="1"/>
  <c r="M57" i="1" l="1"/>
  <c r="N276" i="1" l="1"/>
  <c r="K220" i="1" l="1"/>
  <c r="G154" i="2" l="1"/>
  <c r="F13" i="2"/>
  <c r="E13" i="2"/>
  <c r="E15" i="2"/>
  <c r="J113" i="1"/>
  <c r="J76" i="1"/>
  <c r="J119" i="1"/>
  <c r="F183" i="2" l="1"/>
  <c r="G183" i="2"/>
  <c r="G184" i="2"/>
  <c r="G185" i="2"/>
  <c r="F263" i="2" l="1"/>
  <c r="G104" i="2"/>
  <c r="G101" i="2"/>
  <c r="G103" i="2" s="1"/>
  <c r="L108" i="1"/>
  <c r="F100" i="2"/>
  <c r="E92" i="2" l="1"/>
  <c r="K242" i="1" l="1"/>
  <c r="J57" i="1"/>
  <c r="J49" i="1"/>
  <c r="M49" i="1"/>
  <c r="J48" i="1" l="1"/>
  <c r="K232" i="1"/>
  <c r="N217" i="1" l="1"/>
  <c r="N222" i="1"/>
  <c r="G243" i="2" s="1"/>
  <c r="L224" i="1"/>
  <c r="L222" i="1" s="1"/>
  <c r="J118" i="1"/>
  <c r="F109" i="2" s="1"/>
  <c r="I119" i="1"/>
  <c r="I118" i="1" s="1"/>
  <c r="K251" i="1" l="1"/>
  <c r="K253" i="1"/>
  <c r="I254" i="1"/>
  <c r="I253" i="1" s="1"/>
  <c r="I223" i="1"/>
  <c r="K222" i="1"/>
  <c r="I222" i="1" l="1"/>
  <c r="F243" i="2"/>
  <c r="M114" i="1"/>
  <c r="L114" i="1" s="1"/>
  <c r="L110" i="1" l="1"/>
  <c r="K191" i="1"/>
  <c r="E230" i="2" l="1"/>
  <c r="E229" i="2"/>
  <c r="E228" i="2"/>
  <c r="E221" i="2"/>
  <c r="G186" i="1"/>
  <c r="F187" i="1"/>
  <c r="F186" i="1" s="1"/>
  <c r="E217" i="2" l="1"/>
  <c r="G183" i="1"/>
  <c r="G135" i="1"/>
  <c r="G137" i="2"/>
  <c r="F137" i="2"/>
  <c r="F144" i="2"/>
  <c r="I136" i="1"/>
  <c r="L136" i="1"/>
  <c r="H191" i="1"/>
  <c r="H190" i="1" s="1"/>
  <c r="G273" i="2" l="1"/>
  <c r="G277" i="2" s="1"/>
  <c r="G272" i="2"/>
  <c r="G276" i="2" s="1"/>
  <c r="K276" i="1" l="1"/>
  <c r="F273" i="2" s="1"/>
  <c r="F277" i="2" s="1"/>
  <c r="K282" i="1"/>
  <c r="F272" i="2" s="1"/>
  <c r="F276" i="2" s="1"/>
  <c r="K272" i="1" l="1"/>
  <c r="N269" i="1"/>
  <c r="L269" i="1" s="1"/>
  <c r="N268" i="1"/>
  <c r="L268" i="1" s="1"/>
  <c r="L272" i="1"/>
  <c r="N267" i="1"/>
  <c r="K267" i="1"/>
  <c r="L273" i="1"/>
  <c r="L275" i="1"/>
  <c r="L276" i="1"/>
  <c r="L277" i="1"/>
  <c r="L278" i="1"/>
  <c r="L279" i="1"/>
  <c r="L282" i="1"/>
  <c r="L274" i="1"/>
  <c r="N234" i="1"/>
  <c r="N266" i="1" l="1"/>
  <c r="L266" i="1" s="1"/>
  <c r="L267" i="1"/>
  <c r="F19" i="2"/>
  <c r="E18" i="2"/>
  <c r="G15" i="2"/>
  <c r="F15" i="2"/>
  <c r="G271" i="2" l="1"/>
  <c r="E214" i="2"/>
  <c r="G155" i="2" l="1"/>
  <c r="F155" i="2"/>
  <c r="E155" i="2"/>
  <c r="G153" i="2"/>
  <c r="F153" i="2"/>
  <c r="E153" i="2"/>
  <c r="E19" i="2"/>
  <c r="F154" i="2"/>
  <c r="F152" i="2"/>
  <c r="K186" i="1" l="1"/>
  <c r="M126" i="1" l="1"/>
  <c r="L127" i="1"/>
  <c r="M33" i="1"/>
  <c r="J31" i="1"/>
  <c r="M30" i="1"/>
  <c r="M28" i="1"/>
  <c r="M34" i="1"/>
  <c r="M138" i="1"/>
  <c r="I139" i="1"/>
  <c r="J138" i="1"/>
  <c r="M130" i="1"/>
  <c r="J130" i="1"/>
  <c r="L115" i="1"/>
  <c r="L109" i="1"/>
  <c r="M109" i="1"/>
  <c r="J117" i="1"/>
  <c r="J112" i="1" s="1"/>
  <c r="L106" i="1"/>
  <c r="L107" i="1"/>
  <c r="M94" i="1"/>
  <c r="L94" i="1" s="1"/>
  <c r="M97" i="1"/>
  <c r="L97" i="1" s="1"/>
  <c r="L98" i="1"/>
  <c r="L96" i="1"/>
  <c r="L95" i="1"/>
  <c r="I92" i="1"/>
  <c r="L86" i="1"/>
  <c r="L87" i="1"/>
  <c r="L90" i="1"/>
  <c r="L91" i="1"/>
  <c r="L92" i="1"/>
  <c r="M84" i="1"/>
  <c r="J85" i="1"/>
  <c r="I87" i="1"/>
  <c r="L57" i="1"/>
  <c r="M56" i="1"/>
  <c r="M44" i="1"/>
  <c r="L47" i="1"/>
  <c r="I138" i="1" l="1"/>
  <c r="J135" i="1"/>
  <c r="L138" i="1"/>
  <c r="M135" i="1"/>
  <c r="L56" i="1"/>
  <c r="G35" i="2"/>
  <c r="G43" i="2" s="1"/>
  <c r="L126" i="1"/>
  <c r="G118" i="2"/>
  <c r="L44" i="1"/>
  <c r="M93" i="1"/>
  <c r="L93" i="1" s="1"/>
  <c r="K183" i="1" l="1"/>
  <c r="L310" i="1" l="1"/>
  <c r="L288" i="1" s="1"/>
  <c r="I288" i="1"/>
  <c r="F310" i="1"/>
  <c r="O310" i="1" l="1"/>
  <c r="F288" i="1"/>
  <c r="L300" i="1"/>
  <c r="L287" i="1" s="1"/>
  <c r="I287" i="1"/>
  <c r="F300" i="1"/>
  <c r="K293" i="1"/>
  <c r="K286" i="1" s="1"/>
  <c r="J292" i="1"/>
  <c r="K292" i="1"/>
  <c r="K285" i="1" s="1"/>
  <c r="K284" i="1" s="1"/>
  <c r="N292" i="1"/>
  <c r="N285" i="1" s="1"/>
  <c r="N284" i="1" s="1"/>
  <c r="G292" i="1"/>
  <c r="O300" i="1" l="1"/>
  <c r="F287" i="1"/>
  <c r="L298" i="1"/>
  <c r="F298" i="1"/>
  <c r="I298" i="1"/>
  <c r="I299" i="1"/>
  <c r="I293" i="1" s="1"/>
  <c r="I286" i="1" s="1"/>
  <c r="F295" i="1"/>
  <c r="F296" i="1"/>
  <c r="F297" i="1"/>
  <c r="F294" i="1"/>
  <c r="L295" i="1"/>
  <c r="L296" i="1"/>
  <c r="L297" i="1"/>
  <c r="L294" i="1"/>
  <c r="I295" i="1"/>
  <c r="I296" i="1"/>
  <c r="I297" i="1"/>
  <c r="I294" i="1"/>
  <c r="M289" i="1"/>
  <c r="M285" i="1" s="1"/>
  <c r="M284" i="1" s="1"/>
  <c r="J289" i="1"/>
  <c r="J285" i="1" s="1"/>
  <c r="J284" i="1" s="1"/>
  <c r="G289" i="1"/>
  <c r="G285" i="1" s="1"/>
  <c r="G284" i="1" s="1"/>
  <c r="L291" i="1"/>
  <c r="I291" i="1"/>
  <c r="F291" i="1"/>
  <c r="L290" i="1"/>
  <c r="I290" i="1"/>
  <c r="F290" i="1"/>
  <c r="I289" i="1" l="1"/>
  <c r="L289" i="1"/>
  <c r="I292" i="1"/>
  <c r="L292" i="1"/>
  <c r="F292" i="1"/>
  <c r="F289" i="1"/>
  <c r="G28" i="1"/>
  <c r="F28" i="1" s="1"/>
  <c r="L28" i="1"/>
  <c r="J62" i="1"/>
  <c r="I117" i="1"/>
  <c r="I115" i="1"/>
  <c r="H257" i="1"/>
  <c r="I285" i="1" l="1"/>
  <c r="I284" i="1" s="1"/>
  <c r="J27" i="1"/>
  <c r="J17" i="1" s="1"/>
  <c r="J35" i="1"/>
  <c r="I35" i="1" s="1"/>
  <c r="O292" i="1"/>
  <c r="L285" i="1"/>
  <c r="L284" i="1" s="1"/>
  <c r="O289" i="1"/>
  <c r="F285" i="1"/>
  <c r="F284" i="1" s="1"/>
  <c r="I112" i="1"/>
  <c r="I62" i="1" s="1"/>
  <c r="I27" i="1" s="1"/>
  <c r="I17" i="1" s="1"/>
  <c r="J56" i="1" l="1"/>
  <c r="F35" i="2" s="1"/>
  <c r="F43" i="2" s="1"/>
  <c r="I57" i="1"/>
  <c r="I56" i="1" s="1"/>
  <c r="J167" i="1"/>
  <c r="J166" i="1"/>
  <c r="J159" i="1"/>
  <c r="J158" i="1"/>
  <c r="J55" i="1"/>
  <c r="J54" i="1"/>
  <c r="J52" i="1"/>
  <c r="J51" i="1"/>
  <c r="J28" i="1" s="1"/>
  <c r="J29" i="1"/>
  <c r="I28" i="1" l="1"/>
  <c r="J157" i="1"/>
  <c r="I277" i="1"/>
  <c r="K269" i="1"/>
  <c r="I269" i="1" s="1"/>
  <c r="K221" i="1"/>
  <c r="K217" i="1"/>
  <c r="J127" i="1"/>
  <c r="J126" i="1" s="1"/>
  <c r="J103" i="1"/>
  <c r="J107" i="1"/>
  <c r="J101" i="1"/>
  <c r="K214" i="1" l="1"/>
  <c r="K213" i="1"/>
  <c r="G194" i="1"/>
  <c r="J194" i="1"/>
  <c r="M194" i="1"/>
  <c r="E246" i="2" l="1"/>
  <c r="E252" i="2" s="1"/>
  <c r="E245" i="2"/>
  <c r="E251" i="2" s="1"/>
  <c r="G234" i="2"/>
  <c r="G230" i="2"/>
  <c r="G229" i="2"/>
  <c r="G228" i="2"/>
  <c r="F230" i="2"/>
  <c r="F229" i="2"/>
  <c r="F228" i="2"/>
  <c r="G221" i="2"/>
  <c r="F221" i="2"/>
  <c r="E200" i="2"/>
  <c r="E199" i="2"/>
  <c r="E188" i="2"/>
  <c r="E152" i="2" s="1"/>
  <c r="F185" i="2"/>
  <c r="F184" i="2"/>
  <c r="E171" i="2"/>
  <c r="E170" i="2"/>
  <c r="E169" i="2"/>
  <c r="E168" i="2"/>
  <c r="E167" i="2"/>
  <c r="E166" i="2"/>
  <c r="E154" i="2" l="1"/>
  <c r="E173" i="2"/>
  <c r="E172" i="2"/>
  <c r="E174" i="2"/>
  <c r="G146" i="2" l="1"/>
  <c r="G148" i="2" s="1"/>
  <c r="F146" i="2"/>
  <c r="F148" i="2" s="1"/>
  <c r="E146" i="2"/>
  <c r="E144" i="2"/>
  <c r="E137" i="2"/>
  <c r="E133" i="2"/>
  <c r="E135" i="2" s="1"/>
  <c r="G128" i="2"/>
  <c r="F128" i="2"/>
  <c r="F130" i="2" s="1"/>
  <c r="E128" i="2"/>
  <c r="E132" i="2" s="1"/>
  <c r="E118" i="2"/>
  <c r="F118" i="2"/>
  <c r="G114" i="2"/>
  <c r="E114" i="2"/>
  <c r="E150" i="2" l="1"/>
  <c r="E148" i="2"/>
  <c r="G150" i="2"/>
  <c r="F150" i="2"/>
  <c r="G132" i="2"/>
  <c r="F132" i="2"/>
  <c r="G130" i="2"/>
  <c r="E130" i="2"/>
  <c r="E98" i="2" l="1"/>
  <c r="G82" i="2"/>
  <c r="F85" i="2"/>
  <c r="F89" i="2" s="1"/>
  <c r="G85" i="2"/>
  <c r="G89" i="2" s="1"/>
  <c r="E76" i="2"/>
  <c r="G70" i="2"/>
  <c r="F70" i="2"/>
  <c r="G55" i="2" l="1"/>
  <c r="F55" i="2"/>
  <c r="G28" i="2" l="1"/>
  <c r="E28" i="2"/>
  <c r="N185" i="1" l="1"/>
  <c r="K184" i="1"/>
  <c r="H184" i="1"/>
  <c r="H213" i="1"/>
  <c r="N213" i="1"/>
  <c r="L185" i="1" l="1"/>
  <c r="N19" i="1"/>
  <c r="L19" i="1" s="1"/>
  <c r="F213" i="1"/>
  <c r="E240" i="2"/>
  <c r="L213" i="1"/>
  <c r="G240" i="2"/>
  <c r="K201" i="1"/>
  <c r="K204" i="1"/>
  <c r="K203" i="1"/>
  <c r="I272" i="1"/>
  <c r="I275" i="1"/>
  <c r="I278" i="1"/>
  <c r="I279" i="1"/>
  <c r="I273" i="1"/>
  <c r="I282" i="1"/>
  <c r="E242" i="2" l="1"/>
  <c r="G242" i="2"/>
  <c r="J184" i="1"/>
  <c r="G34" i="1"/>
  <c r="J34" i="1"/>
  <c r="G30" i="1"/>
  <c r="I125" i="1"/>
  <c r="I124" i="1"/>
  <c r="J123" i="1"/>
  <c r="F114" i="2" s="1"/>
  <c r="F117" i="2" s="1"/>
  <c r="N182" i="1" l="1"/>
  <c r="I123" i="1"/>
  <c r="I267" i="1"/>
  <c r="K205" i="1"/>
  <c r="I276" i="1"/>
  <c r="L184" i="1"/>
  <c r="F183" i="1" l="1"/>
  <c r="K190" i="1"/>
  <c r="K181" i="1" s="1"/>
  <c r="I191" i="1"/>
  <c r="F191" i="1"/>
  <c r="K268" i="1"/>
  <c r="K266" i="1" s="1"/>
  <c r="I266" i="1" s="1"/>
  <c r="K257" i="1"/>
  <c r="K256" i="1"/>
  <c r="H256" i="1"/>
  <c r="H255" i="1" s="1"/>
  <c r="E264" i="2" s="1"/>
  <c r="E266" i="2" s="1"/>
  <c r="H250" i="1"/>
  <c r="E260" i="2" s="1"/>
  <c r="E262" i="2" s="1"/>
  <c r="N197" i="1"/>
  <c r="L234" i="1"/>
  <c r="K234" i="1"/>
  <c r="I234" i="1" s="1"/>
  <c r="N233" i="1"/>
  <c r="L233" i="1" s="1"/>
  <c r="K233" i="1"/>
  <c r="I233" i="1" s="1"/>
  <c r="N232" i="1"/>
  <c r="L232" i="1" s="1"/>
  <c r="N231" i="1"/>
  <c r="K231" i="1"/>
  <c r="H227" i="1"/>
  <c r="H197" i="1" s="1"/>
  <c r="H21" i="1" s="1"/>
  <c r="H226" i="1"/>
  <c r="N216" i="1"/>
  <c r="L216" i="1" s="1"/>
  <c r="N215" i="1"/>
  <c r="L215" i="1" s="1"/>
  <c r="K215" i="1"/>
  <c r="I215" i="1" s="1"/>
  <c r="N214" i="1"/>
  <c r="L214" i="1" s="1"/>
  <c r="H216" i="1"/>
  <c r="F216" i="1" s="1"/>
  <c r="H215" i="1"/>
  <c r="F215" i="1" s="1"/>
  <c r="H214" i="1"/>
  <c r="F214" i="1" s="1"/>
  <c r="G254" i="2" l="1"/>
  <c r="G258" i="2" s="1"/>
  <c r="N230" i="1"/>
  <c r="N195" i="1"/>
  <c r="N15" i="1" s="1"/>
  <c r="N21" i="1"/>
  <c r="L21" i="1" s="1"/>
  <c r="L197" i="1"/>
  <c r="F234" i="2"/>
  <c r="H196" i="1"/>
  <c r="H18" i="1"/>
  <c r="E234" i="2"/>
  <c r="H185" i="1"/>
  <c r="H19" i="1" s="1"/>
  <c r="I232" i="1"/>
  <c r="F254" i="2"/>
  <c r="F258" i="2" s="1"/>
  <c r="K185" i="1"/>
  <c r="K19" i="1" s="1"/>
  <c r="F227" i="1"/>
  <c r="F197" i="1" s="1"/>
  <c r="F21" i="1" s="1"/>
  <c r="I257" i="1"/>
  <c r="F226" i="1"/>
  <c r="L235" i="1"/>
  <c r="I268" i="1"/>
  <c r="I190" i="1"/>
  <c r="F190" i="1"/>
  <c r="H225" i="1"/>
  <c r="I231" i="1"/>
  <c r="F257" i="1"/>
  <c r="L231" i="1"/>
  <c r="L195" i="1" s="1"/>
  <c r="K255" i="1"/>
  <c r="F255" i="1"/>
  <c r="N210" i="1"/>
  <c r="L210" i="1" s="1"/>
  <c r="K210" i="1"/>
  <c r="I210" i="1" s="1"/>
  <c r="H210" i="1"/>
  <c r="F210" i="1" s="1"/>
  <c r="N208" i="1"/>
  <c r="L208" i="1" s="1"/>
  <c r="K208" i="1"/>
  <c r="I208" i="1" s="1"/>
  <c r="H208" i="1"/>
  <c r="F208" i="1" s="1"/>
  <c r="N209" i="1"/>
  <c r="L209" i="1" s="1"/>
  <c r="K209" i="1"/>
  <c r="I209" i="1" s="1"/>
  <c r="H209" i="1"/>
  <c r="F209" i="1" s="1"/>
  <c r="N207" i="1"/>
  <c r="L207" i="1" s="1"/>
  <c r="H207" i="1"/>
  <c r="F207" i="1" s="1"/>
  <c r="H203" i="1"/>
  <c r="F203" i="1" s="1"/>
  <c r="N204" i="1"/>
  <c r="L204" i="1" s="1"/>
  <c r="I204" i="1"/>
  <c r="H204" i="1"/>
  <c r="F204" i="1" s="1"/>
  <c r="N206" i="1"/>
  <c r="L206" i="1" s="1"/>
  <c r="K206" i="1"/>
  <c r="I206" i="1" s="1"/>
  <c r="N205" i="1"/>
  <c r="L205" i="1" s="1"/>
  <c r="I205" i="1"/>
  <c r="H206" i="1"/>
  <c r="F206" i="1" s="1"/>
  <c r="H205" i="1"/>
  <c r="F205" i="1" s="1"/>
  <c r="I203" i="1"/>
  <c r="N203" i="1"/>
  <c r="L203" i="1" s="1"/>
  <c r="N202" i="1"/>
  <c r="L202" i="1" s="1"/>
  <c r="K202" i="1"/>
  <c r="I202" i="1" s="1"/>
  <c r="H202" i="1"/>
  <c r="F202" i="1" s="1"/>
  <c r="N201" i="1"/>
  <c r="L201" i="1" s="1"/>
  <c r="I201" i="1"/>
  <c r="H201" i="1"/>
  <c r="F201" i="1" s="1"/>
  <c r="N200" i="1"/>
  <c r="L200" i="1" s="1"/>
  <c r="H200" i="1"/>
  <c r="F200" i="1" s="1"/>
  <c r="G147" i="1"/>
  <c r="F147" i="1" s="1"/>
  <c r="M147" i="1"/>
  <c r="J147" i="1"/>
  <c r="L147" i="1"/>
  <c r="M149" i="1"/>
  <c r="L149" i="1" s="1"/>
  <c r="J149" i="1"/>
  <c r="I149" i="1" s="1"/>
  <c r="G149" i="1"/>
  <c r="F149" i="1" s="1"/>
  <c r="M148" i="1"/>
  <c r="L148" i="1" s="1"/>
  <c r="J148" i="1"/>
  <c r="I148" i="1" s="1"/>
  <c r="G148" i="1"/>
  <c r="F148" i="1" s="1"/>
  <c r="M146" i="1"/>
  <c r="L146" i="1" s="1"/>
  <c r="J146" i="1"/>
  <c r="I146" i="1" s="1"/>
  <c r="G146" i="1"/>
  <c r="F146" i="1" s="1"/>
  <c r="M145" i="1"/>
  <c r="L145" i="1" s="1"/>
  <c r="J145" i="1"/>
  <c r="I145" i="1" s="1"/>
  <c r="G145" i="1"/>
  <c r="F145" i="1" s="1"/>
  <c r="M144" i="1"/>
  <c r="J144" i="1"/>
  <c r="I144" i="1" s="1"/>
  <c r="G144" i="1"/>
  <c r="F144" i="1" s="1"/>
  <c r="G33" i="1"/>
  <c r="L33" i="1"/>
  <c r="J33" i="1"/>
  <c r="I33" i="1" s="1"/>
  <c r="I127" i="1"/>
  <c r="M37" i="1"/>
  <c r="L37" i="1" s="1"/>
  <c r="J37" i="1"/>
  <c r="I37" i="1" s="1"/>
  <c r="M36" i="1"/>
  <c r="L36" i="1" s="1"/>
  <c r="J36" i="1"/>
  <c r="I36" i="1" s="1"/>
  <c r="G37" i="1"/>
  <c r="F37" i="1" s="1"/>
  <c r="G36" i="1"/>
  <c r="F36" i="1" s="1"/>
  <c r="F133" i="1"/>
  <c r="F131" i="1"/>
  <c r="I131" i="1"/>
  <c r="L131" i="1"/>
  <c r="L139" i="1"/>
  <c r="F139" i="1"/>
  <c r="F137" i="1"/>
  <c r="L34" i="1"/>
  <c r="I34" i="1"/>
  <c r="F34" i="1"/>
  <c r="M32" i="1"/>
  <c r="L32" i="1" s="1"/>
  <c r="J32" i="1"/>
  <c r="I32" i="1" s="1"/>
  <c r="G32" i="1"/>
  <c r="F32" i="1" s="1"/>
  <c r="M31" i="1"/>
  <c r="L31" i="1" s="1"/>
  <c r="I31" i="1"/>
  <c r="G31" i="1"/>
  <c r="F31" i="1" s="1"/>
  <c r="L30" i="1"/>
  <c r="F30" i="1"/>
  <c r="M29" i="1"/>
  <c r="I29" i="1"/>
  <c r="G29" i="1"/>
  <c r="N194" i="1" l="1"/>
  <c r="N14" i="1" s="1"/>
  <c r="L230" i="1"/>
  <c r="L194" i="1" s="1"/>
  <c r="O190" i="1"/>
  <c r="L29" i="1"/>
  <c r="Q28" i="1"/>
  <c r="F29" i="1"/>
  <c r="O28" i="1"/>
  <c r="F196" i="1"/>
  <c r="F18" i="1"/>
  <c r="I255" i="1"/>
  <c r="F264" i="2"/>
  <c r="F266" i="2" s="1"/>
  <c r="I185" i="1"/>
  <c r="I19" i="1" s="1"/>
  <c r="K182" i="1"/>
  <c r="F225" i="1"/>
  <c r="E244" i="2"/>
  <c r="F271" i="2"/>
  <c r="F185" i="1"/>
  <c r="F19" i="1" s="1"/>
  <c r="H182" i="1"/>
  <c r="H181" i="1" s="1"/>
  <c r="G253" i="2"/>
  <c r="G238" i="2" s="1"/>
  <c r="I184" i="1"/>
  <c r="Q144" i="1"/>
  <c r="L144" i="1"/>
  <c r="O144" i="1"/>
  <c r="P144" i="1"/>
  <c r="I147" i="1"/>
  <c r="F33" i="1"/>
  <c r="K195" i="1"/>
  <c r="I251" i="1"/>
  <c r="F252" i="1"/>
  <c r="F251" i="1"/>
  <c r="F250" i="1"/>
  <c r="G63" i="1"/>
  <c r="E46" i="2" s="1"/>
  <c r="J44" i="1"/>
  <c r="G44" i="1"/>
  <c r="E27" i="2" s="1"/>
  <c r="E30" i="2" s="1"/>
  <c r="F27" i="2" l="1"/>
  <c r="I250" i="1"/>
  <c r="F260" i="2"/>
  <c r="E29" i="2"/>
  <c r="E50" i="2"/>
  <c r="E48" i="2"/>
  <c r="I44" i="1"/>
  <c r="J86" i="1"/>
  <c r="J84" i="1" s="1"/>
  <c r="J95" i="1"/>
  <c r="I239" i="1"/>
  <c r="K247" i="1"/>
  <c r="K235" i="1" s="1"/>
  <c r="K197" i="1" s="1"/>
  <c r="K21" i="1" s="1"/>
  <c r="J83" i="1" l="1"/>
  <c r="F76" i="2" s="1"/>
  <c r="F262" i="2"/>
  <c r="J30" i="1"/>
  <c r="P28" i="1" s="1"/>
  <c r="J94" i="1"/>
  <c r="J93" i="1" s="1"/>
  <c r="K216" i="1"/>
  <c r="K15" i="1"/>
  <c r="F255" i="2"/>
  <c r="F259" i="2" s="1"/>
  <c r="K207" i="1"/>
  <c r="I207" i="1" s="1"/>
  <c r="I216" i="1"/>
  <c r="I235" i="1"/>
  <c r="I197" i="1" s="1"/>
  <c r="I21" i="1" s="1"/>
  <c r="K230" i="1"/>
  <c r="K194" i="1" s="1"/>
  <c r="K200" i="1"/>
  <c r="I200" i="1" s="1"/>
  <c r="I30" i="1"/>
  <c r="H264" i="1"/>
  <c r="F265" i="1"/>
  <c r="I256" i="1"/>
  <c r="I260" i="1"/>
  <c r="H195" i="1" l="1"/>
  <c r="H15" i="1" s="1"/>
  <c r="H194" i="1"/>
  <c r="H14" i="1" s="1"/>
  <c r="K14" i="1"/>
  <c r="E268" i="2"/>
  <c r="I230" i="1"/>
  <c r="F253" i="2"/>
  <c r="F240" i="2"/>
  <c r="F264" i="1"/>
  <c r="F194" i="1" s="1"/>
  <c r="I213" i="1"/>
  <c r="I195" i="1" s="1"/>
  <c r="I214" i="1"/>
  <c r="I242" i="1"/>
  <c r="I247" i="1"/>
  <c r="L239" i="1"/>
  <c r="L240" i="1"/>
  <c r="L241" i="1"/>
  <c r="L242" i="1"/>
  <c r="L243" i="1"/>
  <c r="L244" i="1"/>
  <c r="L245" i="1"/>
  <c r="L238" i="1"/>
  <c r="F229" i="1"/>
  <c r="F228" i="1"/>
  <c r="L217" i="1"/>
  <c r="I218" i="1"/>
  <c r="I219" i="1"/>
  <c r="I220" i="1"/>
  <c r="I221" i="1"/>
  <c r="I217" i="1"/>
  <c r="F218" i="1"/>
  <c r="F219" i="1"/>
  <c r="F220" i="1"/>
  <c r="F221" i="1"/>
  <c r="F217" i="1"/>
  <c r="F256" i="1"/>
  <c r="F259" i="1"/>
  <c r="F260" i="1"/>
  <c r="F262" i="1"/>
  <c r="F263" i="1"/>
  <c r="F261" i="1"/>
  <c r="F258" i="1"/>
  <c r="F238" i="2" l="1"/>
  <c r="G237" i="2" s="1"/>
  <c r="I194" i="1"/>
  <c r="F195" i="1"/>
  <c r="O194" i="1"/>
  <c r="O213" i="1"/>
  <c r="F242" i="2"/>
  <c r="E270" i="2"/>
  <c r="E238" i="2"/>
  <c r="E237" i="2" s="1"/>
  <c r="F189" i="1"/>
  <c r="G188" i="1"/>
  <c r="G181" i="1" s="1"/>
  <c r="L187" i="1"/>
  <c r="I187" i="1"/>
  <c r="M186" i="1"/>
  <c r="J186" i="1"/>
  <c r="M177" i="1"/>
  <c r="J177" i="1"/>
  <c r="I178" i="1"/>
  <c r="L178" i="1"/>
  <c r="G175" i="1"/>
  <c r="F176" i="1"/>
  <c r="L174" i="1"/>
  <c r="L173" i="1"/>
  <c r="I174" i="1"/>
  <c r="I173" i="1"/>
  <c r="M172" i="1"/>
  <c r="J172" i="1"/>
  <c r="G217" i="2" l="1"/>
  <c r="G215" i="2" s="1"/>
  <c r="L186" i="1"/>
  <c r="M183" i="1"/>
  <c r="M182" i="1" s="1"/>
  <c r="M181" i="1"/>
  <c r="L181" i="1" s="1"/>
  <c r="J183" i="1"/>
  <c r="J182" i="1" s="1"/>
  <c r="I182" i="1" s="1"/>
  <c r="J181" i="1"/>
  <c r="I181" i="1" s="1"/>
  <c r="F237" i="2"/>
  <c r="I186" i="1"/>
  <c r="F217" i="2"/>
  <c r="F215" i="2" s="1"/>
  <c r="I172" i="1"/>
  <c r="F191" i="2"/>
  <c r="J152" i="1"/>
  <c r="I152" i="1" s="1"/>
  <c r="F203" i="2"/>
  <c r="F208" i="2" s="1"/>
  <c r="G184" i="1"/>
  <c r="G182" i="1" s="1"/>
  <c r="F182" i="1" s="1"/>
  <c r="E231" i="2"/>
  <c r="E215" i="2" s="1"/>
  <c r="L172" i="1"/>
  <c r="G191" i="2"/>
  <c r="G152" i="1"/>
  <c r="F152" i="1" s="1"/>
  <c r="E195" i="2"/>
  <c r="M152" i="1"/>
  <c r="L152" i="1" s="1"/>
  <c r="G203" i="2"/>
  <c r="L182" i="1"/>
  <c r="F181" i="1"/>
  <c r="F175" i="1"/>
  <c r="O175" i="1" s="1"/>
  <c r="L177" i="1"/>
  <c r="I177" i="1"/>
  <c r="F188" i="1"/>
  <c r="O188" i="1" s="1"/>
  <c r="O172" i="1" l="1"/>
  <c r="F184" i="1"/>
  <c r="L183" i="1"/>
  <c r="G194" i="2"/>
  <c r="G193" i="2"/>
  <c r="E233" i="2"/>
  <c r="F193" i="2"/>
  <c r="I183" i="1"/>
  <c r="O182" i="1"/>
  <c r="O186" i="1"/>
  <c r="O177" i="1"/>
  <c r="O181" i="1" l="1"/>
  <c r="G169" i="1" l="1"/>
  <c r="F171" i="1"/>
  <c r="F170" i="1"/>
  <c r="F169" i="1" l="1"/>
  <c r="O169" i="1" s="1"/>
  <c r="E187" i="2"/>
  <c r="I166" i="1"/>
  <c r="I167" i="1"/>
  <c r="I168" i="1"/>
  <c r="L166" i="1"/>
  <c r="L167" i="1"/>
  <c r="L168" i="1"/>
  <c r="M165" i="1"/>
  <c r="G176" i="2" s="1"/>
  <c r="J165" i="1"/>
  <c r="F162" i="1"/>
  <c r="F163" i="1"/>
  <c r="F164" i="1"/>
  <c r="G161" i="1"/>
  <c r="M157" i="1"/>
  <c r="G157" i="1"/>
  <c r="I159" i="1"/>
  <c r="I160" i="1"/>
  <c r="I158" i="1"/>
  <c r="L159" i="1"/>
  <c r="L160" i="1"/>
  <c r="L158" i="1"/>
  <c r="F154" i="1"/>
  <c r="F156" i="1"/>
  <c r="F155" i="1"/>
  <c r="G153" i="1"/>
  <c r="E158" i="2" s="1"/>
  <c r="L135" i="1"/>
  <c r="L134" i="1" s="1"/>
  <c r="I135" i="1"/>
  <c r="I134" i="1" s="1"/>
  <c r="F135" i="1"/>
  <c r="F138" i="1"/>
  <c r="O135" i="1" l="1"/>
  <c r="J151" i="1"/>
  <c r="I151" i="1" s="1"/>
  <c r="F161" i="2"/>
  <c r="F161" i="1"/>
  <c r="O161" i="1" s="1"/>
  <c r="E165" i="2"/>
  <c r="E175" i="2" s="1"/>
  <c r="I165" i="1"/>
  <c r="F176" i="2"/>
  <c r="E190" i="2"/>
  <c r="E189" i="2"/>
  <c r="F194" i="2"/>
  <c r="E160" i="2"/>
  <c r="M151" i="1"/>
  <c r="L151" i="1" s="1"/>
  <c r="G161" i="2"/>
  <c r="L165" i="1"/>
  <c r="O165" i="1" s="1"/>
  <c r="G151" i="1"/>
  <c r="F151" i="1" s="1"/>
  <c r="G150" i="1"/>
  <c r="M143" i="1"/>
  <c r="L143" i="1" s="1"/>
  <c r="J143" i="1"/>
  <c r="I143" i="1" s="1"/>
  <c r="G143" i="1"/>
  <c r="F143" i="1" s="1"/>
  <c r="J150" i="1"/>
  <c r="M150" i="1"/>
  <c r="F153" i="1"/>
  <c r="O153" i="1" s="1"/>
  <c r="I157" i="1"/>
  <c r="L157" i="1"/>
  <c r="J134" i="1"/>
  <c r="O138" i="1"/>
  <c r="M134" i="1"/>
  <c r="G134" i="1"/>
  <c r="F134" i="1" s="1"/>
  <c r="F136" i="1"/>
  <c r="O136" i="1" s="1"/>
  <c r="J129" i="1"/>
  <c r="G129" i="1"/>
  <c r="F129" i="1" s="1"/>
  <c r="F132" i="1"/>
  <c r="O132" i="1" s="1"/>
  <c r="L130" i="1"/>
  <c r="I130" i="1"/>
  <c r="M129" i="1"/>
  <c r="L129" i="1" s="1"/>
  <c r="J128" i="1"/>
  <c r="I128" i="1" s="1"/>
  <c r="F130" i="1"/>
  <c r="F164" i="2" l="1"/>
  <c r="F156" i="2"/>
  <c r="F186" i="2"/>
  <c r="G186" i="2"/>
  <c r="F163" i="2"/>
  <c r="G156" i="2"/>
  <c r="G164" i="2"/>
  <c r="G163" i="2"/>
  <c r="E156" i="2"/>
  <c r="O157" i="1"/>
  <c r="M142" i="1"/>
  <c r="L142" i="1" s="1"/>
  <c r="L150" i="1"/>
  <c r="G142" i="1"/>
  <c r="F142" i="1" s="1"/>
  <c r="F150" i="1"/>
  <c r="J142" i="1"/>
  <c r="I142" i="1" s="1"/>
  <c r="I150" i="1"/>
  <c r="O130" i="1"/>
  <c r="G128" i="1"/>
  <c r="F128" i="1" s="1"/>
  <c r="M128" i="1"/>
  <c r="L128" i="1" s="1"/>
  <c r="I129" i="1"/>
  <c r="O129" i="1" s="1"/>
  <c r="I126" i="1"/>
  <c r="O126" i="1" s="1"/>
  <c r="M120" i="1"/>
  <c r="J120" i="1"/>
  <c r="I113" i="1"/>
  <c r="F115" i="1"/>
  <c r="F116" i="1"/>
  <c r="F113" i="1"/>
  <c r="F122" i="1"/>
  <c r="F121" i="1"/>
  <c r="G120" i="1"/>
  <c r="J110" i="1"/>
  <c r="J109" i="1" s="1"/>
  <c r="G111" i="1"/>
  <c r="G35" i="1" s="1"/>
  <c r="F35" i="1" s="1"/>
  <c r="G110" i="1"/>
  <c r="G109" i="1" l="1"/>
  <c r="F105" i="2"/>
  <c r="F107" i="2" s="1"/>
  <c r="I120" i="1"/>
  <c r="F110" i="2"/>
  <c r="F110" i="1"/>
  <c r="E105" i="2"/>
  <c r="E107" i="2" s="1"/>
  <c r="I110" i="1"/>
  <c r="I109" i="1" s="1"/>
  <c r="G105" i="2"/>
  <c r="G107" i="2" s="1"/>
  <c r="F120" i="1"/>
  <c r="E110" i="2"/>
  <c r="E113" i="2" s="1"/>
  <c r="L120" i="1"/>
  <c r="G110" i="2"/>
  <c r="O142" i="1"/>
  <c r="F111" i="1"/>
  <c r="G61" i="1"/>
  <c r="J106" i="1"/>
  <c r="I106" i="1" s="1"/>
  <c r="I107" i="1"/>
  <c r="F105" i="1"/>
  <c r="G104" i="1"/>
  <c r="E94" i="2" s="1"/>
  <c r="E100" i="2" s="1"/>
  <c r="J102" i="1"/>
  <c r="G102" i="1"/>
  <c r="L103" i="1"/>
  <c r="I103" i="1"/>
  <c r="F103" i="1"/>
  <c r="E93" i="2" l="1"/>
  <c r="E99" i="2" s="1"/>
  <c r="F109" i="1"/>
  <c r="O110" i="1"/>
  <c r="L102" i="1"/>
  <c r="I102" i="1"/>
  <c r="F104" i="1"/>
  <c r="O120" i="1"/>
  <c r="G26" i="1"/>
  <c r="G16" i="1" s="1"/>
  <c r="F61" i="1"/>
  <c r="G99" i="1"/>
  <c r="F102" i="1"/>
  <c r="J100" i="1"/>
  <c r="F92" i="2" s="1"/>
  <c r="F98" i="2" s="1"/>
  <c r="L101" i="1"/>
  <c r="I101" i="1"/>
  <c r="F101" i="1"/>
  <c r="F100" i="1"/>
  <c r="M99" i="1" l="1"/>
  <c r="F99" i="1"/>
  <c r="E90" i="2"/>
  <c r="J99" i="1"/>
  <c r="F26" i="1"/>
  <c r="F16" i="1" s="1"/>
  <c r="I100" i="1"/>
  <c r="L100" i="1"/>
  <c r="G94" i="1"/>
  <c r="E84" i="2" s="1"/>
  <c r="E88" i="2" s="1"/>
  <c r="G97" i="1"/>
  <c r="I97" i="1"/>
  <c r="I98" i="1"/>
  <c r="I96" i="1"/>
  <c r="I95" i="1"/>
  <c r="F98" i="1"/>
  <c r="F95" i="1"/>
  <c r="L89" i="1"/>
  <c r="I89" i="1"/>
  <c r="I90" i="1"/>
  <c r="I91" i="1"/>
  <c r="I86" i="1"/>
  <c r="L85" i="1"/>
  <c r="I85" i="1"/>
  <c r="G79" i="1"/>
  <c r="G78" i="1"/>
  <c r="F81" i="1"/>
  <c r="F82" i="1"/>
  <c r="F80" i="1"/>
  <c r="F78" i="1"/>
  <c r="L76" i="1"/>
  <c r="I76" i="1"/>
  <c r="F76" i="1"/>
  <c r="M75" i="1"/>
  <c r="J75" i="1"/>
  <c r="G75" i="1"/>
  <c r="L74" i="1"/>
  <c r="I74" i="1"/>
  <c r="F74" i="1"/>
  <c r="M73" i="1"/>
  <c r="M60" i="1" s="1"/>
  <c r="L60" i="1" s="1"/>
  <c r="J73" i="1"/>
  <c r="J60" i="1" s="1"/>
  <c r="I60" i="1" s="1"/>
  <c r="G73" i="1"/>
  <c r="G60" i="1" s="1"/>
  <c r="F60" i="1" s="1"/>
  <c r="F72" i="1"/>
  <c r="G71" i="1"/>
  <c r="M69" i="1"/>
  <c r="J69" i="1"/>
  <c r="G69" i="1"/>
  <c r="E51" i="2" s="1"/>
  <c r="L70" i="1"/>
  <c r="I70" i="1"/>
  <c r="F70" i="1"/>
  <c r="L65" i="1"/>
  <c r="L66" i="1"/>
  <c r="L67" i="1"/>
  <c r="L68" i="1"/>
  <c r="L64" i="1"/>
  <c r="M63" i="1"/>
  <c r="I65" i="1"/>
  <c r="I66" i="1"/>
  <c r="I67" i="1"/>
  <c r="I68" i="1"/>
  <c r="I64" i="1"/>
  <c r="J63" i="1"/>
  <c r="F46" i="2" s="1"/>
  <c r="F65" i="1"/>
  <c r="F66" i="1"/>
  <c r="F67" i="1"/>
  <c r="F68" i="1"/>
  <c r="F64" i="1"/>
  <c r="F63" i="1"/>
  <c r="J59" i="1" l="1"/>
  <c r="M59" i="1"/>
  <c r="J58" i="1"/>
  <c r="M58" i="1"/>
  <c r="G46" i="2"/>
  <c r="G50" i="2" s="1"/>
  <c r="L84" i="1"/>
  <c r="L83" i="1" s="1"/>
  <c r="G76" i="2"/>
  <c r="G77" i="1"/>
  <c r="E70" i="2"/>
  <c r="E73" i="2" s="1"/>
  <c r="F50" i="2"/>
  <c r="F48" i="2"/>
  <c r="I69" i="1"/>
  <c r="F51" i="2"/>
  <c r="F71" i="1"/>
  <c r="O71" i="1" s="1"/>
  <c r="E55" i="2"/>
  <c r="E57" i="2" s="1"/>
  <c r="F73" i="1"/>
  <c r="E58" i="2"/>
  <c r="E60" i="2" s="1"/>
  <c r="L73" i="1"/>
  <c r="G58" i="2"/>
  <c r="G60" i="2" s="1"/>
  <c r="F75" i="1"/>
  <c r="E62" i="2"/>
  <c r="L75" i="1"/>
  <c r="G62" i="2"/>
  <c r="I84" i="1"/>
  <c r="F84" i="2"/>
  <c r="F88" i="2" s="1"/>
  <c r="E54" i="2"/>
  <c r="E53" i="2"/>
  <c r="L69" i="1"/>
  <c r="G51" i="2"/>
  <c r="I73" i="1"/>
  <c r="F58" i="2"/>
  <c r="F60" i="2" s="1"/>
  <c r="I75" i="1"/>
  <c r="F62" i="2"/>
  <c r="F97" i="1"/>
  <c r="E85" i="2"/>
  <c r="E89" i="2" s="1"/>
  <c r="I99" i="1"/>
  <c r="F90" i="2"/>
  <c r="L99" i="1"/>
  <c r="O26" i="1"/>
  <c r="O84" i="1"/>
  <c r="I63" i="1"/>
  <c r="L63" i="1"/>
  <c r="F69" i="1"/>
  <c r="F94" i="1"/>
  <c r="G93" i="1"/>
  <c r="F93" i="1" s="1"/>
  <c r="I94" i="1"/>
  <c r="O100" i="1"/>
  <c r="F79" i="1"/>
  <c r="O78" i="1" s="1"/>
  <c r="F54" i="1"/>
  <c r="F55" i="1"/>
  <c r="G53" i="1"/>
  <c r="I54" i="1"/>
  <c r="I55" i="1"/>
  <c r="J53" i="1"/>
  <c r="L54" i="1"/>
  <c r="L55" i="1"/>
  <c r="M53" i="1"/>
  <c r="L52" i="1"/>
  <c r="I51" i="1"/>
  <c r="I52" i="1"/>
  <c r="F52" i="1"/>
  <c r="M50" i="1"/>
  <c r="J50" i="1"/>
  <c r="G50" i="1"/>
  <c r="M48" i="1"/>
  <c r="L48" i="1" s="1"/>
  <c r="G48" i="1"/>
  <c r="L49" i="1"/>
  <c r="I48" i="1"/>
  <c r="I49" i="1"/>
  <c r="F49" i="1"/>
  <c r="F44" i="1"/>
  <c r="O44" i="1" s="1"/>
  <c r="F46" i="1"/>
  <c r="F45" i="1"/>
  <c r="L45" i="1"/>
  <c r="L46" i="1"/>
  <c r="G27" i="2"/>
  <c r="L42" i="1"/>
  <c r="L43" i="1"/>
  <c r="I42" i="1"/>
  <c r="I43" i="1"/>
  <c r="F43" i="1"/>
  <c r="F42" i="1"/>
  <c r="M41" i="1"/>
  <c r="J41" i="1"/>
  <c r="G41" i="1"/>
  <c r="R14" i="1" l="1"/>
  <c r="T14" i="1"/>
  <c r="G59" i="1"/>
  <c r="G58" i="1" s="1"/>
  <c r="F58" i="1" s="1"/>
  <c r="J24" i="1"/>
  <c r="J14" i="1" s="1"/>
  <c r="S14" i="1"/>
  <c r="M24" i="1"/>
  <c r="M14" i="1" s="1"/>
  <c r="G48" i="2"/>
  <c r="L58" i="1"/>
  <c r="O69" i="1"/>
  <c r="G24" i="1"/>
  <c r="G14" i="1" s="1"/>
  <c r="M38" i="1"/>
  <c r="G31" i="2"/>
  <c r="M40" i="1"/>
  <c r="L40" i="1" s="1"/>
  <c r="G79" i="2"/>
  <c r="I83" i="1"/>
  <c r="F77" i="1"/>
  <c r="F22" i="2"/>
  <c r="J38" i="1"/>
  <c r="F31" i="2"/>
  <c r="J40" i="1"/>
  <c r="I59" i="1"/>
  <c r="I58" i="1"/>
  <c r="O73" i="1"/>
  <c r="O75" i="1"/>
  <c r="E74" i="2"/>
  <c r="E22" i="2"/>
  <c r="G22" i="2"/>
  <c r="E32" i="2"/>
  <c r="E40" i="2" s="1"/>
  <c r="E31" i="2"/>
  <c r="E44" i="2" s="1"/>
  <c r="G32" i="2"/>
  <c r="G40" i="2" s="1"/>
  <c r="I50" i="1"/>
  <c r="F33" i="2"/>
  <c r="F41" i="2" s="1"/>
  <c r="L53" i="1"/>
  <c r="G34" i="2"/>
  <c r="G42" i="2" s="1"/>
  <c r="F53" i="1"/>
  <c r="E34" i="2"/>
  <c r="E42" i="2" s="1"/>
  <c r="G53" i="2"/>
  <c r="G54" i="2"/>
  <c r="F80" i="2"/>
  <c r="F79" i="2"/>
  <c r="F53" i="2"/>
  <c r="F54" i="2"/>
  <c r="G29" i="2"/>
  <c r="G30" i="2"/>
  <c r="F32" i="2"/>
  <c r="F40" i="2" s="1"/>
  <c r="F50" i="1"/>
  <c r="E33" i="2"/>
  <c r="E41" i="2" s="1"/>
  <c r="L50" i="1"/>
  <c r="G33" i="2"/>
  <c r="G41" i="2" s="1"/>
  <c r="I53" i="1"/>
  <c r="F34" i="2"/>
  <c r="F42" i="2" s="1"/>
  <c r="E82" i="2"/>
  <c r="O99" i="1"/>
  <c r="I93" i="1"/>
  <c r="O93" i="1" s="1"/>
  <c r="F82" i="2"/>
  <c r="G80" i="2"/>
  <c r="J39" i="1"/>
  <c r="G39" i="1"/>
  <c r="G38" i="1"/>
  <c r="M39" i="1"/>
  <c r="F48" i="1"/>
  <c r="O48" i="1" s="1"/>
  <c r="G40" i="1"/>
  <c r="F40" i="1" s="1"/>
  <c r="O63" i="1"/>
  <c r="F41" i="1"/>
  <c r="L41" i="1"/>
  <c r="I41" i="1"/>
  <c r="L59" i="1"/>
  <c r="O49" i="1"/>
  <c r="I24" i="1" l="1"/>
  <c r="I14" i="1" s="1"/>
  <c r="J25" i="1"/>
  <c r="J15" i="1" s="1"/>
  <c r="M25" i="1"/>
  <c r="M15" i="1" s="1"/>
  <c r="G25" i="1"/>
  <c r="G15" i="1" s="1"/>
  <c r="G20" i="2"/>
  <c r="G16" i="2" s="1"/>
  <c r="F20" i="2"/>
  <c r="F16" i="2" s="1"/>
  <c r="G44" i="2"/>
  <c r="I40" i="1"/>
  <c r="E20" i="2"/>
  <c r="E16" i="2" s="1"/>
  <c r="F26" i="2"/>
  <c r="F24" i="2"/>
  <c r="O41" i="1"/>
  <c r="O53" i="1"/>
  <c r="F59" i="1"/>
  <c r="L24" i="1"/>
  <c r="L14" i="1" s="1"/>
  <c r="F24" i="1"/>
  <c r="F14" i="1" s="1"/>
  <c r="O50" i="1"/>
  <c r="G24" i="2"/>
  <c r="G26" i="2"/>
  <c r="E24" i="2"/>
  <c r="O58" i="1"/>
  <c r="F44" i="2"/>
  <c r="L38" i="1"/>
  <c r="F38" i="1"/>
  <c r="I38" i="1"/>
  <c r="L39" i="1"/>
  <c r="F39" i="1"/>
  <c r="I39" i="1"/>
  <c r="P14" i="1" l="1"/>
  <c r="I16" i="2"/>
  <c r="O24" i="1"/>
  <c r="O38" i="1"/>
  <c r="F25" i="1"/>
  <c r="F15" i="1" s="1"/>
  <c r="L25" i="1"/>
  <c r="L15" i="1" s="1"/>
  <c r="I25" i="1"/>
  <c r="I15" i="1" s="1"/>
  <c r="O25" i="1" l="1"/>
</calcChain>
</file>

<file path=xl/sharedStrings.xml><?xml version="1.0" encoding="utf-8"?>
<sst xmlns="http://schemas.openxmlformats.org/spreadsheetml/2006/main" count="1510" uniqueCount="428">
  <si>
    <t>№ оперативної цілі</t>
  </si>
  <si>
    <t>Назва завдання та заходу</t>
  </si>
  <si>
    <t>КПКВК</t>
  </si>
  <si>
    <t>Виконавець ГРБК</t>
  </si>
  <si>
    <t>Джерела фінансування</t>
  </si>
  <si>
    <t>Обсяги фінансування програми,тис.грн.</t>
  </si>
  <si>
    <t>2022 рік (план)</t>
  </si>
  <si>
    <t>2023 рік (план)</t>
  </si>
  <si>
    <t>2024 рік (план)</t>
  </si>
  <si>
    <t>Усього</t>
  </si>
  <si>
    <t>заг.фонд</t>
  </si>
  <si>
    <t>спец.фонд.</t>
  </si>
  <si>
    <t>Всього на виконання програми, у т.ч.</t>
  </si>
  <si>
    <t>Бюджет ТГ</t>
  </si>
  <si>
    <t>Додаток 2</t>
  </si>
  <si>
    <t>Перелік завдань і заходів цільової програми</t>
  </si>
  <si>
    <t>Додаток 3</t>
  </si>
  <si>
    <t>Результативні показники/індикатори програми</t>
  </si>
  <si>
    <t>Назва індикатора,завдання, заходу , відповідального виконавця, головного розпорядника бюджетних коштів,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</si>
  <si>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</si>
  <si>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</si>
  <si>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</si>
  <si>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Планові значення показників за роками виконання</t>
  </si>
  <si>
    <t>2022 рік</t>
  </si>
  <si>
    <t>2023 рік</t>
  </si>
  <si>
    <t>2024 рік</t>
  </si>
  <si>
    <t>Продукту</t>
  </si>
  <si>
    <t xml:space="preserve">Якості </t>
  </si>
  <si>
    <t>Витрат</t>
  </si>
  <si>
    <t>Ефективності</t>
  </si>
  <si>
    <t>Комплексна Програма Сумської міської територіальної громади "Охорона здоров'я" на 2022-2024 роки" (зі змінами)</t>
  </si>
  <si>
    <t>Розвиток первинної медико-санітарної допомоги</t>
  </si>
  <si>
    <t>1.1.2. Сприяння забезпеченню проведення туберкулінодіагностики (закупівля туберкуліну)</t>
  </si>
  <si>
    <t>1.1.1. Покриття вартості комунальних послуг та енергоносіїв</t>
  </si>
  <si>
    <t>1.1.3.  Сприяння забезпеченню лікувальним харчуванням  дітей хворих на   рідкісні (орфанні) захворювання</t>
  </si>
  <si>
    <t>1.1.5. Сприяння забезпеченню спеціальним харчуванням дітей народжених від ВІЛ-  інфікованих матерів</t>
  </si>
  <si>
    <t>Завдання 1.1., усього</t>
  </si>
  <si>
    <t>Завдання 1.2., усього</t>
  </si>
  <si>
    <t>Розвиток вторинної (спеціалізованої)/третинної (високоспеціалізованої) медичної допомоги</t>
  </si>
  <si>
    <t>1.2.1. Покриття вартості комунальних послуг та енергоносіїв</t>
  </si>
  <si>
    <t>1.2.2. Сприяння забезпеченню надання антирабічної допомоги</t>
  </si>
  <si>
    <t>1.2.3. Сприяння забезпеченню  первинного підвищення кваліфікації випускників вищих медичних закладів (інтернатура 3 рік навчання)</t>
  </si>
  <si>
    <t>1.2.4. Проведення обов'язкових  профілактичних оглядів  з видачею  особистих медичних книжок працівникам бюджетної сфери</t>
  </si>
  <si>
    <t>1.2.5. Забезпечення функціонування відділення медико-соціальної допомоги дітям та молоді "Клініка, дружня до молоді" та утримання лікарів логопедів</t>
  </si>
  <si>
    <t xml:space="preserve">Забезпечення надання акушерсько - гінекологічної допомоги </t>
  </si>
  <si>
    <t>Завдання 1.3., усього</t>
  </si>
  <si>
    <t>1.3.1. Покриття вартості комунальних послуг та енергоносіїв</t>
  </si>
  <si>
    <t>1.3.2. Сприяння забезпеченню  первинного підвищення кваліфікації випускників вищих медичних закладів (інтернатура 3 рік навчання)</t>
  </si>
  <si>
    <t>Завдання 1.4., усього</t>
  </si>
  <si>
    <t xml:space="preserve">Збереження стоматологічного здоров'я населення </t>
  </si>
  <si>
    <t>Завдання 2.1., усього</t>
  </si>
  <si>
    <t>Виконання соціальних гарантій пільгових категорій громадян</t>
  </si>
  <si>
    <t>Завдання3.1., усього</t>
  </si>
  <si>
    <t>Інші заклади</t>
  </si>
  <si>
    <t>Зміцнення та оновлення матеріально-технічної бази закладів охорони здоров'я</t>
  </si>
  <si>
    <t xml:space="preserve">4.1.1. Придбання обладнання          </t>
  </si>
  <si>
    <t>Управління охорони здоров'я СМР</t>
  </si>
  <si>
    <t>0712111</t>
  </si>
  <si>
    <t>КНП "Центр первинної медико-санітарної допомоги №1" СМР</t>
  </si>
  <si>
    <t>КНП "Центр первинної медико-санітарної допомоги №2" СМР</t>
  </si>
  <si>
    <t>0712152</t>
  </si>
  <si>
    <t>1.1.4. Сприяння забезпеченню продуктами харчування дітей віком від 0-2 років з малозабезпечених сімей</t>
  </si>
  <si>
    <t>0712010</t>
  </si>
  <si>
    <t>КНП "Центральна міська клінічна лікарня" СМР</t>
  </si>
  <si>
    <t>КНП "Клінічна ліарня №4" СМР</t>
  </si>
  <si>
    <t>КНП "Клінічна ліарня №5" СМР</t>
  </si>
  <si>
    <t>КНП "Дитяча клінічна лікарня Св.Зінаїди"СМР</t>
  </si>
  <si>
    <t>КНП "Клінічна лікарня Св.Пантлеймона" СМР</t>
  </si>
  <si>
    <t>Інша субвенція з бюджету Миколаївської селищної ТГ</t>
  </si>
  <si>
    <t>0712030</t>
  </si>
  <si>
    <t xml:space="preserve">1.4.1. Сприяння наданню амбулаторної стоматологічної допомоги  дорослому населенню пільгових категорій  </t>
  </si>
  <si>
    <t>0712100</t>
  </si>
  <si>
    <t xml:space="preserve">2.1.2. Сприяння забезпеченню  безоплатного та пільгового відпуску лікарських засобів під час амбулаторного лікування окремих груп населення та за певними категоріями захворювань </t>
  </si>
  <si>
    <t>2.1.1. Сприяння забезпеченню  пільгової категорії  населення лікарськими засобами за безкоштовними рецептами</t>
  </si>
  <si>
    <t>2.1.3. Забезпечення осіб з інвалідністю, дітей з інвалідністю технічними та іншими засобами для догляду у домашніх умовах</t>
  </si>
  <si>
    <t>2.1.4. Сприяння забезпеченню осіб з інвалідністю, дітей з інвалідністю медичними засобами та іншими засобами для використання в амбулаторних умовах</t>
  </si>
  <si>
    <t>КНП "Клінічна стоматологічна поліклініка" СМР</t>
  </si>
  <si>
    <t>2.1.6. Сприяння забезпеченню надання громадянам послуг з проведення зубопротезування на пільгових умовах</t>
  </si>
  <si>
    <t>2.1.7. Сприяння забезпеченню слуховими апаратами та мовними процесорами дорослого населення з інвалідністю</t>
  </si>
  <si>
    <t>2.1.8. Сприяння забезпеченню слуховими апаратами, мовними процесорами та іншими технічними виробами підлягаючих дорослих осіб</t>
  </si>
  <si>
    <t>0712151</t>
  </si>
  <si>
    <t>Управління охорони здоров'я Сумської міської ради</t>
  </si>
  <si>
    <t>КНП СОР "Сумський обласний центр екстренної медичної допомоги та медицини катастроф"</t>
  </si>
  <si>
    <t>КНП "Клінічна лікарня Святого Пантлеймона" СМР</t>
  </si>
  <si>
    <t>0712070</t>
  </si>
  <si>
    <t>КНП "Дитяча клінічна лікарня Святої Зінаїди" СМР</t>
  </si>
  <si>
    <t>КНП "Клінічна лікарня № 4" СМР</t>
  </si>
  <si>
    <t>КНП "Клінічна лікарня № 5" СМР</t>
  </si>
  <si>
    <t>КНП "Клінічний пологовий будинок Пресвятої Діви Марії" СМР</t>
  </si>
  <si>
    <t xml:space="preserve">КНП "Клінічна стоматологічна поліклініка" СМР </t>
  </si>
  <si>
    <t>1517322</t>
  </si>
  <si>
    <t>Управління капітального будівництва та дорожнього господарства Сумської міської ради</t>
  </si>
  <si>
    <t>Управління капітального будівництва та дорожнього господарства  СМР</t>
  </si>
  <si>
    <t>Управління капітального будівництва та дорожнього господарства СМР</t>
  </si>
  <si>
    <t>0717361</t>
  </si>
  <si>
    <t>"Субвеція з місцевого бюджету на закупівлю опорними закладами охорони здоров'я послуг щодо проектування та встановлення кисневих станцій за рахунок залишку коштів відповідної субвенції з державного бюджет, що утворився на початок бюджетного періоду"</t>
  </si>
  <si>
    <t>КНП "Центр первинної медико-санітарної допомоги № 1" СМР</t>
  </si>
  <si>
    <t>Усього по підпрограмі 1</t>
  </si>
  <si>
    <t>Усього по підпрограмі 2</t>
  </si>
  <si>
    <t xml:space="preserve">Усього по підпрограмі 4 </t>
  </si>
  <si>
    <t>Разом по заходу 4.1.1.</t>
  </si>
  <si>
    <t>Разом по заходу 4.1.3.</t>
  </si>
  <si>
    <t>Інші надходження (спеціальний фонд)</t>
  </si>
  <si>
    <t xml:space="preserve">Усього по підпрограмі 3 </t>
  </si>
  <si>
    <t>Програма 1 Покращення надання медичної допомоги населенню</t>
  </si>
  <si>
    <t>обсяг видатків</t>
  </si>
  <si>
    <t>од.</t>
  </si>
  <si>
    <t>грн.</t>
  </si>
  <si>
    <t>кількість установ</t>
  </si>
  <si>
    <t>середні витрати на 1 заклад</t>
  </si>
  <si>
    <t>рівень забезпечення</t>
  </si>
  <si>
    <t>%</t>
  </si>
  <si>
    <t>динаміка обсягу витрат на забезпечення покриття вартості комінальних послуг та енергоносіїв порівняно допопереднього року</t>
  </si>
  <si>
    <t>1.1.1. Покриття вартості комунальних послуг та енергоносіїв, КПКВК 0712111</t>
  </si>
  <si>
    <t>Всього на виконання підпрограми 1</t>
  </si>
  <si>
    <t>1.1.2. Сприяння забезпеченню проведення туберкулінодіагностики (закупівля туберкуліну), КПКВК 0712152</t>
  </si>
  <si>
    <t xml:space="preserve"> 1.2.1. Покриття вартості комунальних послуг та енергоносіїв, КПКВК 0712010</t>
  </si>
  <si>
    <t>1.2.2. Сприяння забезпеченню надання антирабічної допомоги, КПКВК 0712010</t>
  </si>
  <si>
    <t>1.2.3. Сприяння забезпеченню  первинного підвищення кваліфікації випускників вищих медичних закладів (інтернатура 3 рік навчання), КПКВК 0712010</t>
  </si>
  <si>
    <t>1.2.4. Проведення обов'язкових  профілактичних оглядів  з видачею  особистих медичних книжок працівникам бюджетної сфери, КПКВК 0712152</t>
  </si>
  <si>
    <t>1.2.5. Забезпеченню функціонування відділення медико-соціальної допомоги дітям та молоді "Клініка, дружня до молоді" та утримання лікарів логопедів, КПКВК 0712010</t>
  </si>
  <si>
    <t>1.3.1. Покриття вартості комунальних послуг та енергоносіїв, КПКВК 0712030</t>
  </si>
  <si>
    <t xml:space="preserve">1.4.1.Сприяння наданню амбулаторної стоматологічної допомоги  дорослому населенню пільгових категорій , КПКВК 0712100          </t>
  </si>
  <si>
    <t>ПІДПРОГРАМА 2. Забезпечення соціальних стандартів у сфері охорони здоров'я</t>
  </si>
  <si>
    <t xml:space="preserve">2.1.1.Сприяння забезпеченню пільгової категорії населення лікарськими засобами за безкоштовними рецептами  , КПКВК 0712152 </t>
  </si>
  <si>
    <t>2.1.2.Сприяння забезпеченню  безоплатного та пільгового відпуску лікарських засобів під час амбулаторного лікування окремих груп населення та за певними категоріями захворювань, КПКВК 0712152</t>
  </si>
  <si>
    <t>2.1.3. Забезпечення осіб з інвалідністю, дітей з інвалідністю технічними та іншими засобами для догляду у домашніх умовах , КПКВК 0712152</t>
  </si>
  <si>
    <t>2.1.4. Забезпечення осіб з інвалідністю, дітей з інвалідністю медичними засобами та іншими засобами для використання в амбулаторних умовах, КПКВК 0712152</t>
  </si>
  <si>
    <t>2.1.5. Сприяння забезпеченню надання громадянам  послуг по зубопротезуванню на пільгових умовах, КПКВК 0712152</t>
  </si>
  <si>
    <t>2.1.6. Сприяння забезпеченню надання громадянам  послуг з проведення зубопротезування на пільгових умовах,КПКВК 0712152</t>
  </si>
  <si>
    <t>2.1.7. Сприяння забезпеченню слуховими апаратами та мовними процесорами дорослого населення з інвалідністю, КПКВК 0712010</t>
  </si>
  <si>
    <t>2.1.8. Сприяння забезпеченню слуховими апаратами, мовними процесорами та іншими технічними виробами підлягаючих дорослих осіб,КПКВК 0712010</t>
  </si>
  <si>
    <t>кількість дітей, яким планується  провести туберкулінодіагностику</t>
  </si>
  <si>
    <t>осіб</t>
  </si>
  <si>
    <t>витрати на одного пацієнта</t>
  </si>
  <si>
    <t>динамика обсягу витрат на проведення туберкулінодіагностики (придбання туберкуліну) порівняно до попереднього року</t>
  </si>
  <si>
    <t>лікувальне харчування для  дітей  з рідкісними (орфанними) захворюваннями</t>
  </si>
  <si>
    <t>продукти  харчування дітей віком від 0-2 років  з малозабезпечених сімей</t>
  </si>
  <si>
    <t>продукти дитячого харчування дітям, народженим від ВІЛ-інфікованих матерів</t>
  </si>
  <si>
    <t>кількість дітей  з рідкісними (орфанними) захворюваннями</t>
  </si>
  <si>
    <t>кількість дітей   віком від 0-2 років з малозабезпечених  сімей</t>
  </si>
  <si>
    <t>кількість дітей, народжених від ВІЛ-інфікованих матерів</t>
  </si>
  <si>
    <t>середні витрати  на одну дитину з орфанними захворюваннями,</t>
  </si>
  <si>
    <t>середні витрати  на одну дитину від 0-2 років з малозабезпечених  сімей</t>
  </si>
  <si>
    <t>середні витрати на одну дитину народжену від ВІЛ - інфікованої матері</t>
  </si>
  <si>
    <t>динамика обсягу витрат на забезпечення  лікувальним харчуванням  дітей хворих на орфанні  рідкісні захворювання,   продуктами харчування дітей віком від 0-2 років з малозабезпечених сімей та дітей народжених від ВІЛ -  інфікованих матерів порівняно до попереднього року</t>
  </si>
  <si>
    <t xml:space="preserve"> середні витрати на 1 заклад</t>
  </si>
  <si>
    <t>рівень забезпечення видатками</t>
  </si>
  <si>
    <t>динамика обсягу витрат на забезпечення покриття вартості комунальних послуг та енергоносіїв порівняно до попереднього року</t>
  </si>
  <si>
    <t>кількість осіб, яким проводиться щеплення ( по медичним висновкам)</t>
  </si>
  <si>
    <t>середні витрати на одну особу</t>
  </si>
  <si>
    <t>динаміка забезпечення надання антирабічної допомоги порівняно до попереднього року</t>
  </si>
  <si>
    <t>кількість штатних одиниць лікарів-інтернів</t>
  </si>
  <si>
    <t>витрати на утримання 1 посади лікаря - інтерна</t>
  </si>
  <si>
    <t>грн</t>
  </si>
  <si>
    <t>кількість працівників бюджетної сфери,  яким проводяться обов'язкові  профілактичні огляди  з видачею  особистих медичних книжок</t>
  </si>
  <si>
    <t>середня вартість проведеного медичного огляду однієї особи</t>
  </si>
  <si>
    <t>рівень охоплення</t>
  </si>
  <si>
    <t xml:space="preserve"> од.</t>
  </si>
  <si>
    <t>кількість штатних одиниць</t>
  </si>
  <si>
    <t>в т.ч. лікарі</t>
  </si>
  <si>
    <t>кількість лікарських відвідувань</t>
  </si>
  <si>
    <t>кількість  проведених бесід, семінарів, лекцій</t>
  </si>
  <si>
    <t>кількість лікарських відвідувань на одну штатну посаду лікаря</t>
  </si>
  <si>
    <t>кількість проведених лекцій, бесід, семінарів на 1 лікаря</t>
  </si>
  <si>
    <t>зниження незапланованої вагітності у неповнолітніх</t>
  </si>
  <si>
    <t>кількість медичних працівників, що входять до складу комісії</t>
  </si>
  <si>
    <t>середні витрати на 1 обстеження</t>
  </si>
  <si>
    <t>середні витрати на одного медичного працівника</t>
  </si>
  <si>
    <t>рівень охоплення  медичними оглядами</t>
  </si>
  <si>
    <t>кількість кандидатів на військову службу</t>
  </si>
  <si>
    <t>рівень охоплення медичними оглядами</t>
  </si>
  <si>
    <t>в т.ч.:</t>
  </si>
  <si>
    <t>витрати на закупівлю ендопротезів колінних і кульшових суглобів</t>
  </si>
  <si>
    <t>витрати на закупівлю ендопротезів судин</t>
  </si>
  <si>
    <t>кількість пацієнтів, яким проводиться ендопротезування колінних і кульшових суглобів</t>
  </si>
  <si>
    <t>кількість пацієнтів, яким проводиться ендопротезування судин</t>
  </si>
  <si>
    <t>середні витрати на одного пацієнта при  ендопротезвунні  колінних і кульшових суглобів</t>
  </si>
  <si>
    <t>середні витрати на одного пацієнта при ендопротезвунні  судин</t>
  </si>
  <si>
    <t>придбання  медичного  препарату  "Октагам" для дітей, хворих  на вроджений імунодифіцит</t>
  </si>
  <si>
    <t>придбання медичних препаратів "Хуміра" , "Актембра","Методжект" для дітей хворих на ревматоїдний артрит</t>
  </si>
  <si>
    <t>придбання медичного препарату "Диспорт" для дітей хворих на церебральний параліч</t>
  </si>
  <si>
    <t>кількість дітей, які отримають медичний препарат "Диспорт"</t>
  </si>
  <si>
    <t>кількість дітей хворих на ювенальний ревматоїдний артрит , які отримають дороговартісні препарати</t>
  </si>
  <si>
    <t>кількість дітей, які отримають медичний препарат "Октагам"</t>
  </si>
  <si>
    <t>Середні витрати на одну дитину хвору на ювенальний ревматоїдний артрит</t>
  </si>
  <si>
    <t>Середні витрати на одну дитину хвору на вроджений імунодифіцит</t>
  </si>
  <si>
    <t>Середні витрати на одну дитину хвору на церебральний параліч</t>
  </si>
  <si>
    <t>кількість осіб, яким планується встановлення ортопедичних металоконструкцій</t>
  </si>
  <si>
    <t>середні видатки на одну особу</t>
  </si>
  <si>
    <t>кількість штатних посад,од.</t>
  </si>
  <si>
    <t>у т.ч.</t>
  </si>
  <si>
    <t>лікарів</t>
  </si>
  <si>
    <t>жінки</t>
  </si>
  <si>
    <t>чоловіки</t>
  </si>
  <si>
    <t>кількість пролікованих хворих</t>
  </si>
  <si>
    <t>кількість лікарських відвідувань на одну лікарську посаду</t>
  </si>
  <si>
    <t>відсоток осіб, що отримали лікування потребуючих</t>
  </si>
  <si>
    <t xml:space="preserve"> %</t>
  </si>
  <si>
    <t xml:space="preserve">грн. </t>
  </si>
  <si>
    <t>1.3.2. Сприяння забезпеченню  первинного підвищення кваліфікації випускників вищих медичних закладів (інтернатура 3 рік навчання), КПКВК 0712030</t>
  </si>
  <si>
    <t xml:space="preserve">грн </t>
  </si>
  <si>
    <t>середня вартість 1 лікарського відвідування (враховані видатки на комунальні послуги та енергоносії)</t>
  </si>
  <si>
    <t>кількість відвідувань на одну штатну посаду лікаря</t>
  </si>
  <si>
    <t>кількість пролікованих пацієнтів на одного лікаря</t>
  </si>
  <si>
    <t>кількість пролікованих пацієнтів</t>
  </si>
  <si>
    <t xml:space="preserve"> середні витрати на 1 заклад </t>
  </si>
  <si>
    <t>динамика обсягу витрат на забезпечення покриття вартості комунальних послуг та енергоносіїв порвняно до попереднього року</t>
  </si>
  <si>
    <t>Всього на виконання підпрограми 2</t>
  </si>
  <si>
    <t>кількість осіб пільгової категорії  населення, які отримають ліки на пільгових умовах</t>
  </si>
  <si>
    <t>динамика обсягу витрат на забезпечення пільгової категорії населення лікарськими засобами за безкоштовними рецептами порвняно до попереднього року</t>
  </si>
  <si>
    <t>придбання підгузків</t>
  </si>
  <si>
    <t>придбання калоприймачів, катетерів, уропрезервативи</t>
  </si>
  <si>
    <t>придбання прокладок урологічних</t>
  </si>
  <si>
    <t>кількість осіб, які отримають калоприймачі, катетери,уропрезервативи</t>
  </si>
  <si>
    <t>кількість осіб, які  отримають прокладок урологічних</t>
  </si>
  <si>
    <t>кількість осіб, які отримають підгузки</t>
  </si>
  <si>
    <t>витрати на одну особу, які отримали підгузки</t>
  </si>
  <si>
    <t>витрати на одну особу, які отримали калоприймачи, катетери, уропрезервативи</t>
  </si>
  <si>
    <t>витрати на одну особу, які отримали прокладки урологічної</t>
  </si>
  <si>
    <t>динамика обсягу витрат на забезпечення пільгової категорії населення  технічними та іншими засобами порівняно до попереднього року</t>
  </si>
  <si>
    <t>кількість осіб, які отримають послуги з зубного протезування</t>
  </si>
  <si>
    <t>середня вартість зубопротезування на одного пацієнта</t>
  </si>
  <si>
    <t>динамика обсягу витрат на забезпечення надання громадянам послуг по зубопротезуванню на пільгових умовах порвняно до попереднього року</t>
  </si>
  <si>
    <t>кількість осіб, яким встановлені/будуть встановлені до кінця року слухові апарати</t>
  </si>
  <si>
    <t>кількість осіб, яким встановлені/будуть встановлені до кінця року мовні процесори</t>
  </si>
  <si>
    <t>середні видатки на одну особу,щодо встановлення слухового апарату</t>
  </si>
  <si>
    <t>середні видатки на одну особу,щодо встановлення мовного процесора</t>
  </si>
  <si>
    <t>кількість  установ</t>
  </si>
  <si>
    <t>питома вага використаних коштів до затверджених по слуховим апаратам</t>
  </si>
  <si>
    <t>питома вага використаних коштів до затверджених по мовним процесорам</t>
  </si>
  <si>
    <t>Всього на виконання підпрограми 3</t>
  </si>
  <si>
    <t>ПІДПРОГРАМА3. Інші заходи та заклади у сфері охорони здоров'я</t>
  </si>
  <si>
    <t>кількість установ:</t>
  </si>
  <si>
    <t>обсяг витрат</t>
  </si>
  <si>
    <t>централізована бухгалтерія</t>
  </si>
  <si>
    <t>інформаційно-аналітичний центр медичної статистик</t>
  </si>
  <si>
    <t>кількість аналітичних довідок, письмових роз`яснень, іншої інформації наданих інформаційно-аналітичного центру медичної статистики</t>
  </si>
  <si>
    <t>кількість рахунків на одного працівника централізованої бухгалтерії</t>
  </si>
  <si>
    <t>кількість звітних форм на одного працівника централізованої бухгалтерії</t>
  </si>
  <si>
    <t>кількість аналітичних довідок, письмових роз`яснень, іншої інформації працівників інформаційно-аналітичного центру медичної статистики</t>
  </si>
  <si>
    <t>кількість рахунків</t>
  </si>
  <si>
    <t>кількість звітних форм та інформацій працівників бухгалтерії</t>
  </si>
  <si>
    <t>кількість медичних закладів, які обслуговує централізована бухгалтерія</t>
  </si>
  <si>
    <t xml:space="preserve"> інформаційно-аналітичного центру</t>
  </si>
  <si>
    <t xml:space="preserve"> централізованої бухгалтерії</t>
  </si>
  <si>
    <t>кількість штатних одиниць:</t>
  </si>
  <si>
    <t>кількість обладнання</t>
  </si>
  <si>
    <t xml:space="preserve">середні видатки на придбання одиниці обладнання </t>
  </si>
  <si>
    <t>обсяг надходжень в натуральній формі</t>
  </si>
  <si>
    <t>Всього на виконання підпрограми 4</t>
  </si>
  <si>
    <t>ПІДПРОГРАМА 4. Приведення закладів охорони здоров'я у відповідність до сучасних потреб (зазначити назву та мету програми)</t>
  </si>
  <si>
    <t>4.1.1. Придбання обладнання, КПКВК 0712010, КПКВК 0712152, КПКВК 0712070</t>
  </si>
  <si>
    <t>обсяг видатків на придбання довгострокового обладнаня</t>
  </si>
  <si>
    <t>кількість  обладнання</t>
  </si>
  <si>
    <t>капітальний ремонт приміщень</t>
  </si>
  <si>
    <t xml:space="preserve">благоустрій території </t>
  </si>
  <si>
    <t>обсяг видатків на проведення капітальних ремонтів, за напрямами:</t>
  </si>
  <si>
    <t>середня вартість об'єкту, за напрямами :</t>
  </si>
  <si>
    <t>Обсяг видатків:</t>
  </si>
  <si>
    <t>обсяг видатків на реконструкцію</t>
  </si>
  <si>
    <t>обсяг видатків на проведення капітальних ремонтів</t>
  </si>
  <si>
    <t>кількість установ,для яких передбачено кошти на проведення капітальних ремонтів</t>
  </si>
  <si>
    <t>середній обсяг витрат на реконструкцію 1 об'єкта</t>
  </si>
  <si>
    <t>середній обсяг витрат на проведення капітального ремонту в розрахунку на 1 установу</t>
  </si>
  <si>
    <t>кількість об'єктів,які планується реконструювати</t>
  </si>
  <si>
    <t>середня вартість інвестиційного проєкту</t>
  </si>
  <si>
    <t>кількість інвестиційних проєктів</t>
  </si>
  <si>
    <t>обсяг видатків на участь у інвестиційних проєктах, що реалізуються за рахунок коштів ДФРР</t>
  </si>
  <si>
    <t>обсяг видатків направлених на закупівлю послуг щодо встановлення кисневих станцій</t>
  </si>
  <si>
    <t>кількість кисневих станцій для встановлення</t>
  </si>
  <si>
    <t>питома вага використаних коштів щодо затверджених видатків</t>
  </si>
  <si>
    <t>середні витрати для закупівлі послуг на встановлення кисневих станцій</t>
  </si>
  <si>
    <t>середні витрати для проведення ремонтів об'єктів тимчасових укриттів</t>
  </si>
  <si>
    <t>обсяг витрат для проведення капітальних ремонтів тимчасових укриттів</t>
  </si>
  <si>
    <t>обсяг видатків для проведення капітальних ремонтів захисних споруд</t>
  </si>
  <si>
    <t>обсяг видатків:</t>
  </si>
  <si>
    <t>обсяг видатків для реконструкції захисних споруд</t>
  </si>
  <si>
    <t>кількість установ де планується проведення капітальних ремонтів захисних споруд</t>
  </si>
  <si>
    <t>середні витрати для проведення ремонтів захисних споруд</t>
  </si>
  <si>
    <t>Всього на виконання програми (без коштів на виконання інших цільових програм)</t>
  </si>
  <si>
    <t>Всього</t>
  </si>
  <si>
    <t>1.</t>
  </si>
  <si>
    <t>2.</t>
  </si>
  <si>
    <t>3.</t>
  </si>
  <si>
    <t>4.</t>
  </si>
  <si>
    <t>Підпрограма 1 Покращення надання медичної допомоги населенню</t>
  </si>
  <si>
    <t>мета: Реалізація державної політики в галузі охорони здоров'я на території СМТГ</t>
  </si>
  <si>
    <t>Підпрограма4 Приведення закладів охорони здоров'я у відповідність до сучасних потреб</t>
  </si>
  <si>
    <t>Підпрограма3 Інші заходи та заклади у сфері охорони здоров'я</t>
  </si>
  <si>
    <t xml:space="preserve">Підпрограма 2 Забезпечення соціальних стандартів у сфері охорони здоров'я </t>
  </si>
  <si>
    <t>Завдання 1.1. Розвиток первинної медико-санітарної допомоги</t>
  </si>
  <si>
    <t>Завдання 2.1. Виконання соціальних гарантій пільгових категорій громадян</t>
  </si>
  <si>
    <t>Завдання 4.1. Зміцнення та оновлення матеріально-технічної бази закладів охорони здоров'я</t>
  </si>
  <si>
    <t>1.1.6.Сприяння забезпеченню спеціальним харчуванням дітей з хворобою Крона</t>
  </si>
  <si>
    <t>кількість дітей з хворобою Крона</t>
  </si>
  <si>
    <t>забезпеченню спеціальним харчуванням дітей з хворобою Крона</t>
  </si>
  <si>
    <t>середні витрати на одну дитину з хворобою Крона</t>
  </si>
  <si>
    <t>Інша субвенція з місцевих бюджетів</t>
  </si>
  <si>
    <t>Програма Сумської міської територіальної громади «Соціальна підтримка Захисників і Захисниць України та членів їх сімей» на 2022-2024 роки</t>
  </si>
  <si>
    <t>Програма підвищення енергоефективності в бюджетній сфері Сумської міської територіальної громади на 2022-2024 роки</t>
  </si>
  <si>
    <t>КНП "Клінічна лікарня № 4"СМР</t>
  </si>
  <si>
    <t>КНП "Клінічна лікарня № 5"СМР</t>
  </si>
  <si>
    <t>Інші джерела коштів (Грант GIZ)</t>
  </si>
  <si>
    <t>Медичне обслуговування населення за програмою медичних гарантій</t>
  </si>
  <si>
    <t>КНП "Центр первинної медико-санітарної допомоги № 2" СМР</t>
  </si>
  <si>
    <t>НСЗУ</t>
  </si>
  <si>
    <t>Надання медичної допомоги на платній основі</t>
  </si>
  <si>
    <t>Власні надходження КНП</t>
  </si>
  <si>
    <t>Всього на виконання в т.ч.:</t>
  </si>
  <si>
    <r>
      <t>КНП "Центр первинної медико-санітарної допомоги № 1" СМР</t>
    </r>
    <r>
      <rPr>
        <i/>
        <sz val="12"/>
        <rFont val="Times New Roman"/>
        <family val="1"/>
        <charset val="204"/>
      </rPr>
      <t xml:space="preserve"> </t>
    </r>
  </si>
  <si>
    <t>Мета програми: Збереження та зміцнення здоров’я мешканців Сумської міської ТГ, підвищення ефективності заходів, спрямованих на профілактику захворювань, зниження рівнів захворюваності, інвалідності і смертності населення, підвищення якості життя, поліпшення рівня надання медичної допомоги, забезпечення захисту прав громадян на охорону здоров’я</t>
  </si>
  <si>
    <t>Разом по заходу 1.2.7.</t>
  </si>
  <si>
    <t>КНП "Клінічна лікарня Святого Пантелеймона" СМР</t>
  </si>
  <si>
    <t>КНП "Клінічна лікарня №4"СМР</t>
  </si>
  <si>
    <t xml:space="preserve">Крім цього інші джерела фінансування </t>
  </si>
  <si>
    <t>до наказу Сумської міської військової</t>
  </si>
  <si>
    <t xml:space="preserve">                  адміністрації</t>
  </si>
  <si>
    <t xml:space="preserve">                  від                           №           - СМР</t>
  </si>
  <si>
    <t>Сумської міської ради</t>
  </si>
  <si>
    <t xml:space="preserve"> Завдання 1.2. Розвиток вторинної (спеціалізованої)/третинної (високоспеціалізованої) медичної допомоги</t>
  </si>
  <si>
    <t>Завдання 1.3. Забезпечення надання акушерсько - гінекологічної допомоги</t>
  </si>
  <si>
    <t>Завдання 1.4. Збереження стоматологічного здоров'я населення</t>
  </si>
  <si>
    <t>Завдання 3.1. Інші заклади</t>
  </si>
  <si>
    <t>Якості</t>
  </si>
  <si>
    <t>динаміка обсягу витрат в порівнянні до попереднього року,%</t>
  </si>
  <si>
    <t>кількість осіб пільгової категорії  населення</t>
  </si>
  <si>
    <t>кількість осіб з інвалідністю які отримують послуги та мед засоби</t>
  </si>
  <si>
    <t>динаміка обсягу витрат в порівнянні до попереднього року</t>
  </si>
  <si>
    <t>кількість хворих пролікованих в стаціонарах</t>
  </si>
  <si>
    <t>рівень росту пролікованих хворих до попереднього року</t>
  </si>
  <si>
    <t>кількість відвідувань до поліклінічних відділень</t>
  </si>
  <si>
    <t>динаміка відвідувань до попереднього року</t>
  </si>
  <si>
    <t>0712011</t>
  </si>
  <si>
    <t>кількість установ де планується виготовлення ПКД</t>
  </si>
  <si>
    <t>середні витрати для виготовлення ПКД</t>
  </si>
  <si>
    <t>2.1.5. Сприяння забезпеченю надання громадянам послуг по зубопротезуванню на пільгових умовах</t>
  </si>
  <si>
    <t>1.4.2. Покриття вартості комунальних послуг та енергоносіїв, КПКВК 0712100</t>
  </si>
  <si>
    <t>1.4.2. Покриття вартості комунальних послуг та енергоносіїв</t>
  </si>
  <si>
    <t xml:space="preserve">3.1.1. Забезпечення діяльності централізованої бухгалтерії /відділу централізованого бухгалтерського обліку та економічного планування, інформаційно-аналітичного центру медичної статистики / віддлу інформаційно-аналітичного забезпечення та комунікацій управління охорони здоров'я СМР                   </t>
  </si>
  <si>
    <t>3.1.2. Придбання обладнання</t>
  </si>
  <si>
    <t>3.1.3. Сприяння розвитку закладів охорони здоров'я за рахунок надходжень благодійної допомоги</t>
  </si>
  <si>
    <t>адміністрації</t>
  </si>
  <si>
    <t>адміністрацї</t>
  </si>
  <si>
    <t>4.1.2. Погашення кредиторської заборгованості</t>
  </si>
  <si>
    <t>4.1.3. Проведення капітальних ремонтів</t>
  </si>
  <si>
    <t>4.1.4. Проведення капітальних ремонтів/реконструкція</t>
  </si>
  <si>
    <t>4.1.5. Участь у інвестиційних проєктах, що реалізуються за рахунок коштів державного фонду регіонального розвитку</t>
  </si>
  <si>
    <t>4.1.6. Погашення кредиторської заборгованості</t>
  </si>
  <si>
    <t>4.1.7. Закупівля послуг щодо проектування та встановлення кисневих станцій.</t>
  </si>
  <si>
    <t>4.1.8. Проведення капітальних ремонтів об'єктів тимчасових укриттів</t>
  </si>
  <si>
    <t>4.1.9. Облаштування захисних споруд</t>
  </si>
  <si>
    <t>68,1 насос</t>
  </si>
  <si>
    <t>68 тис.насос, 95,8 акомулят.батареї</t>
  </si>
  <si>
    <t>обсяг видатків для сприяння наданню вторинної допомоги</t>
  </si>
  <si>
    <t>огбсяг видатків</t>
  </si>
  <si>
    <t xml:space="preserve">обсяг видатків </t>
  </si>
  <si>
    <t>обсяг аитрат на придбання дітям дороговартісних медичних препаратів</t>
  </si>
  <si>
    <t>кількість дітей, які отримають дороговартісні медичні препарати</t>
  </si>
  <si>
    <t>середні витрати на одну дитину на рік, яка торимає дороговартісні медичні препарати</t>
  </si>
  <si>
    <t>динаміка обсягу витрат на забезпечення покриття вартості дороговартісних медичних препаратів до попереднього року</t>
  </si>
  <si>
    <t xml:space="preserve">3.1.2. Придбання обладнання, КПКВК 0712152  </t>
  </si>
  <si>
    <t xml:space="preserve">3.1.3. Сприяння розвитку закладів охорони здоров'я за рахунок надходжень благодійної допомоги, КПКВК 0712152  </t>
  </si>
  <si>
    <t>4.1.3. Проведення капітальних ремонтів, КПКВК 0712010, КПКВК 0712152</t>
  </si>
  <si>
    <t>4.1.5. Участь у інвестиційних проєктах, що реалізуються за рахунок коштів державного фонду регіонального розвитку, КПКВК 0717361</t>
  </si>
  <si>
    <t>4.1.7. Закупівля послуг щодо проектування та встановлення кисневих станцій, КПКВК 0712010</t>
  </si>
  <si>
    <t>4.1.8. Проведення капітальних ремонтів об'єктів тимчасових укриттів, КПКВК 0712010</t>
  </si>
  <si>
    <t>4.1.9. Облаштування захисних споруд, КПКВК 0712010,КПКВК 0712010,КПКВК 1517322</t>
  </si>
  <si>
    <t xml:space="preserve">1.2.6. Сприяння організації призову громадян на військову службу. </t>
  </si>
  <si>
    <t>1.2.7. Медичне забезпечення  приписки до призовної дільниці, призову громадян на військову службу та організації проведення медичного огляду військовозобов'язаних</t>
  </si>
  <si>
    <t>1.2.8. Проведення ендопротезування в т.ч.:</t>
  </si>
  <si>
    <t>1.2.8.1 Ендопротезування великих суглобів</t>
  </si>
  <si>
    <t>1.2.8.2. Ендопротезування судин</t>
  </si>
  <si>
    <t>1.2.9. Сприяння забезпеченню дороговартісними лікарськими засобами</t>
  </si>
  <si>
    <t xml:space="preserve">1.2.9.1. Препарат "Диспорт" для дітей хворих на церебральний параліч </t>
  </si>
  <si>
    <t>1.2.9.2. Препарат "Октагам" для дітей, хворих на вроджений імунодефіцит</t>
  </si>
  <si>
    <t>1.2.9.3. Препарат "Хуміра","Актембра","Методжект" для дітей хворих на рквматоїдний артрит</t>
  </si>
  <si>
    <t>1.2.9.4. Дороговартісні препарати для дітей хворих на ювенільний ревматоїдний артрит</t>
  </si>
  <si>
    <t>1.2.10. Сприяння забезпеченню дитячого населення доровартісними медичними препаратами.</t>
  </si>
  <si>
    <t>1.2.11. Сприяння наданню вторинної допомоги</t>
  </si>
  <si>
    <t>1.2.12. Видатки установи за придбане обладнання та отримані послуги у 2022 році, але не проведені УДКС</t>
  </si>
  <si>
    <t>1.2.13. Забезпечення ортопедичними металоконструкціями для лікування військовослужбовців ЗСУ</t>
  </si>
  <si>
    <t>1.2.14. Придбання металоконструкцій  для забезпечення лікування  військовослужбовців  ЗСУ (металоконструкції для остеосинтезу  та для пластики  зв'язкового апарату)</t>
  </si>
  <si>
    <t>1.2.15. Забезпечення безпребійного функціонування інфекційного боксованого  відділення КНП "Дитяча клінічна лікарня Святої Зінаїди" СМР</t>
  </si>
  <si>
    <t>1.2.6.Сприяння організації призову громадян на військову службу. КПКВК 0712010, КПКВК 0712152</t>
  </si>
  <si>
    <t>1.2.7. Медичне забезпечення  приписки до призовної дільниці, призову громадян на військову службу та організації проведення медичного огляду військовозобов'язаних. КПКВК 0712152,КПКВК 0712010</t>
  </si>
  <si>
    <t>1.2.8. Проведення ендопротезування, КПКВК 0712010</t>
  </si>
  <si>
    <t>1.2.9. Сприяння забезпеченню дороговартісними лікарськими засобами (1.2.9.1. Препарат "Диспорт" для дітей хворих на церебральний параліч; 1.2.9.3.  Препарат "Октагам" для дітей хворих  на вроджений імунодифіцит. 1.2.9.5. Препарат "Хуміра" , "Актембра","Методжект" для дітей хворих на ревматоїдний артрит),КПКВК 0712010</t>
  </si>
  <si>
    <t>1.2.11. Сприяння наданню вторинної допомоги, КПКВК 0712010</t>
  </si>
  <si>
    <t>1.2.13. Забезпечення ортопедичними металоконструкціями для лікування військовослужбовців ЗСУ. КПКВК 0712010</t>
  </si>
  <si>
    <t>1.2.14. Придбання металоконструкцій  для забезпечення лікування  військовослужбовців  ЗСУ (металоконструкції для остеосинтезу  та для пластики  зв'язкового апарату). КПКВК 0712010</t>
  </si>
  <si>
    <t>1.2.15.  Забезпечення безпребійного функціонування інфекційного боксованого  відділення КНП "Дитяча клінічна лікарня Святої Зінаїди" СМР, КПКВК 0712010</t>
  </si>
  <si>
    <t>кількість об'єктів капітального ремонту, за напрямами:</t>
  </si>
  <si>
    <t>КНП "Клінічна лікарня №5"СМР</t>
  </si>
  <si>
    <t>0719770</t>
  </si>
  <si>
    <t xml:space="preserve">КУ СОР "Сумський геріатричний пансіонат для ВВ та праці" </t>
  </si>
  <si>
    <t>Інша субвенція з місцевого бюджету</t>
  </si>
  <si>
    <t>0712161</t>
  </si>
  <si>
    <t>0712162</t>
  </si>
  <si>
    <t>ДБ</t>
  </si>
  <si>
    <t>1517330</t>
  </si>
  <si>
    <t>Разом по заходу 1.2.6.</t>
  </si>
  <si>
    <t>Разом по заходу 1.2.11.</t>
  </si>
  <si>
    <t>Разом по заходу 4.1.4.</t>
  </si>
  <si>
    <t>Разом по заходу 4.1.9.</t>
  </si>
  <si>
    <t>Разом по заходу 4.1.7.</t>
  </si>
  <si>
    <t>4.1.4. Проведення капітальних ремонтів/реконструкція, КПКВК 0712010, КПКВК 0712151, КПКВК 0712030, КПКВК 0712100,КПКВК 1517322,КПКВК 1517330</t>
  </si>
  <si>
    <t>Начальник  управління охорони здоров'я</t>
  </si>
  <si>
    <t>Олена ЧУМАЧЕНКО</t>
  </si>
  <si>
    <t>60інтернет</t>
  </si>
  <si>
    <t>1.1.3.; 1.1.4.; 1.1.5; 1.1.6 Сприяння забезпеченню лікувальним харчуванням  дітей хворих на рідкісні (орфанні) захворювання;   Сприяння забезпеченню продуктами харчування дітей віком від    0-2 років з малозабезпечених сімей ;Сприяння забезпеченню продуктами харчування дітей народжених від ВІЛ-  інфікованих матерів. Сприяння забезпеченню спеціальним харчуванням дітей з хворобою Крона, КПКВК 0712152</t>
  </si>
  <si>
    <t>1.2.10. Сприяння забезпеченню дитячого населення доровартісними медичними препаратами, КПКВК 0712010</t>
  </si>
  <si>
    <t xml:space="preserve">3.1.1.  Забезпечення діяльності централізованої бухгалтерії /відділу централізованого бухгалтерського обліку та економічного планування, інформаційно-аналітичного центру медичної статистики / віддлу інформаційно-аналітичного забезпечення та комунікацій управління охорони здоров'я СМР, КПКВК 0712151                         </t>
  </si>
  <si>
    <t>витрати на придбання слухових апаратів для дорослого населення</t>
  </si>
  <si>
    <t>витрати на придбання мовних процесорів для дорослого населення</t>
  </si>
  <si>
    <t>кількість осіб, яким планується/встановлено до кінця року слухові апарати</t>
  </si>
  <si>
    <t>кількість осіб, яким планується/встановлено до кінця року мовні процесори</t>
  </si>
  <si>
    <t>грн/осіб</t>
  </si>
  <si>
    <t>динаміка обсягу витрат на забезпечення слуховими апаратами дорослого населення до попереднього року</t>
  </si>
  <si>
    <t>динаміка обсягу витрат на забезпечення мовними процесорами дорослого населення до попереднього року</t>
  </si>
  <si>
    <t>30інтернет</t>
  </si>
  <si>
    <t>655 захист кисн</t>
  </si>
  <si>
    <t>1310рекон.залізобет.конструкцій дизел електростанц</t>
  </si>
  <si>
    <t>Неврологічне відділення Клінічна лікарня №4</t>
  </si>
  <si>
    <t>Реконструкція неврологічного відділення КУ "СМКЛ №4" по вул. Металургів,38"</t>
  </si>
  <si>
    <t>Капітальний ремонт ІІ поверху поліклінічного відділення КНП "ЦМКЛ" СМР  за адресою м.Суми, вул.Сумської артбригади,13</t>
  </si>
  <si>
    <t xml:space="preserve">"Реконструкція будівлі господарчого корпусу (Т-1) КНп "Клінічна лікарня №5"СМР, за адресою м.Суми, вул.Марко Вовчок,2" </t>
  </si>
  <si>
    <t>від 28.10.2024 № 333-СМР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</si>
</sst>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>
      <alignment horizontal="left"/>
    </xf>
  </cellStyleXfs>
  <cellXfs count="289">
    <xf numFmtId="0" fontId="0" fillId="0" borderId="0" xfId="0"/>
    <xf numFmtId="3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3" fontId="14" fillId="2" borderId="1" xfId="0" applyNumberFormat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3" fontId="3" fillId="2" borderId="1" xfId="2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Alignment="1">
      <alignment vertical="top"/>
    </xf>
    <xf numFmtId="3" fontId="3" fillId="2" borderId="1" xfId="0" applyNumberFormat="1" applyFont="1" applyFill="1" applyBorder="1" applyAlignment="1">
      <alignment vertical="top" wrapText="1"/>
    </xf>
    <xf numFmtId="0" fontId="7" fillId="2" borderId="0" xfId="0" applyFont="1" applyFill="1"/>
    <xf numFmtId="0" fontId="2" fillId="2" borderId="0" xfId="0" applyFont="1" applyFill="1"/>
    <xf numFmtId="0" fontId="2" fillId="2" borderId="0" xfId="0" applyFont="1" applyFill="1" applyAlignment="1"/>
    <xf numFmtId="0" fontId="6" fillId="2" borderId="0" xfId="0" applyFont="1" applyFill="1" applyAlignment="1"/>
    <xf numFmtId="0" fontId="15" fillId="2" borderId="0" xfId="0" applyFont="1" applyFill="1" applyBorder="1" applyAlignment="1"/>
    <xf numFmtId="0" fontId="2" fillId="2" borderId="1" xfId="0" applyFont="1" applyFill="1" applyBorder="1"/>
    <xf numFmtId="3" fontId="2" fillId="2" borderId="0" xfId="0" applyNumberFormat="1" applyFont="1" applyFill="1"/>
    <xf numFmtId="3" fontId="6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1" fontId="2" fillId="2" borderId="0" xfId="0" applyNumberFormat="1" applyFont="1" applyFill="1"/>
    <xf numFmtId="0" fontId="2" fillId="2" borderId="0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2" borderId="0" xfId="0" applyFont="1" applyFill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7" fillId="2" borderId="0" xfId="0" applyFont="1" applyFill="1" applyAlignment="1"/>
    <xf numFmtId="164" fontId="2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left"/>
    </xf>
    <xf numFmtId="1" fontId="6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 applyFill="1"/>
    <xf numFmtId="0" fontId="0" fillId="0" borderId="0" xfId="0" applyFill="1"/>
    <xf numFmtId="0" fontId="7" fillId="0" borderId="0" xfId="0" applyFont="1" applyFill="1" applyAlignment="1"/>
    <xf numFmtId="0" fontId="7" fillId="0" borderId="0" xfId="0" applyFont="1" applyFill="1"/>
    <xf numFmtId="0" fontId="10" fillId="0" borderId="1" xfId="0" applyFont="1" applyFill="1" applyBorder="1"/>
    <xf numFmtId="0" fontId="12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/>
    <xf numFmtId="164" fontId="0" fillId="0" borderId="0" xfId="0" applyNumberFormat="1" applyFill="1"/>
    <xf numFmtId="0" fontId="8" fillId="0" borderId="1" xfId="0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/>
    <xf numFmtId="164" fontId="10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0" fillId="0" borderId="0" xfId="0" applyNumberFormat="1" applyFont="1" applyFill="1"/>
    <xf numFmtId="164" fontId="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4" fontId="0" fillId="0" borderId="0" xfId="0" applyNumberFormat="1" applyFill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164" fontId="8" fillId="0" borderId="2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vertical="top"/>
    </xf>
    <xf numFmtId="49" fontId="8" fillId="0" borderId="1" xfId="0" applyNumberFormat="1" applyFont="1" applyFill="1" applyBorder="1"/>
    <xf numFmtId="0" fontId="10" fillId="0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right" vertical="top"/>
    </xf>
    <xf numFmtId="164" fontId="8" fillId="0" borderId="1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left"/>
    </xf>
    <xf numFmtId="164" fontId="8" fillId="0" borderId="4" xfId="0" applyNumberFormat="1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right" vertical="top" wrapText="1"/>
    </xf>
    <xf numFmtId="164" fontId="8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/>
    <xf numFmtId="164" fontId="8" fillId="0" borderId="1" xfId="0" applyNumberFormat="1" applyFont="1" applyFill="1" applyBorder="1"/>
    <xf numFmtId="0" fontId="10" fillId="0" borderId="4" xfId="0" applyFont="1" applyFill="1" applyBorder="1" applyAlignment="1">
      <alignment horizontal="right" vertical="top" wrapText="1"/>
    </xf>
    <xf numFmtId="164" fontId="10" fillId="0" borderId="4" xfId="0" applyNumberFormat="1" applyFont="1" applyFill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4" fillId="0" borderId="9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164" fontId="20" fillId="0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 wrapText="1"/>
    </xf>
    <xf numFmtId="0" fontId="8" fillId="0" borderId="1" xfId="0" applyFont="1" applyFill="1" applyBorder="1" applyAlignment="1">
      <alignment vertical="top"/>
    </xf>
    <xf numFmtId="0" fontId="0" fillId="0" borderId="3" xfId="0" applyFill="1" applyBorder="1"/>
    <xf numFmtId="0" fontId="0" fillId="0" borderId="0" xfId="0" applyFill="1" applyBorder="1"/>
    <xf numFmtId="16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2" fillId="0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/>
    <xf numFmtId="0" fontId="6" fillId="2" borderId="1" xfId="0" applyFont="1" applyFill="1" applyBorder="1" applyAlignment="1"/>
    <xf numFmtId="3" fontId="6" fillId="2" borderId="1" xfId="0" applyNumberFormat="1" applyFont="1" applyFill="1" applyBorder="1"/>
    <xf numFmtId="0" fontId="6" fillId="2" borderId="5" xfId="0" applyFont="1" applyFill="1" applyBorder="1" applyAlignment="1"/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0" fillId="0" borderId="0" xfId="0" applyFill="1" applyAlignment="1">
      <alignment horizontal="left"/>
    </xf>
    <xf numFmtId="0" fontId="4" fillId="2" borderId="9" xfId="0" applyFont="1" applyFill="1" applyBorder="1" applyAlignment="1">
      <alignment horizontal="left" vertical="top" wrapText="1"/>
    </xf>
    <xf numFmtId="49" fontId="4" fillId="2" borderId="12" xfId="0" applyNumberFormat="1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right" vertical="top" wrapText="1"/>
    </xf>
    <xf numFmtId="164" fontId="8" fillId="2" borderId="4" xfId="0" applyNumberFormat="1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top" wrapText="1"/>
    </xf>
    <xf numFmtId="49" fontId="8" fillId="0" borderId="4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16" fillId="0" borderId="0" xfId="0" applyFont="1" applyFill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wrapText="1"/>
    </xf>
    <xf numFmtId="0" fontId="21" fillId="0" borderId="3" xfId="0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0" borderId="14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/>
    </xf>
    <xf numFmtId="0" fontId="8" fillId="0" borderId="1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10" fillId="0" borderId="1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49" fontId="13" fillId="0" borderId="5" xfId="0" applyNumberFormat="1" applyFont="1" applyFill="1" applyBorder="1" applyAlignment="1">
      <alignment horizontal="left" vertical="top" wrapText="1"/>
    </xf>
    <xf numFmtId="49" fontId="13" fillId="0" borderId="6" xfId="0" applyNumberFormat="1" applyFont="1" applyFill="1" applyBorder="1" applyAlignment="1">
      <alignment horizontal="left" vertical="top" wrapText="1"/>
    </xf>
    <xf numFmtId="49" fontId="13" fillId="0" borderId="7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right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10" fillId="0" borderId="14" xfId="0" applyFont="1" applyFill="1" applyBorder="1" applyAlignment="1">
      <alignment horizontal="center" vertical="top"/>
    </xf>
    <xf numFmtId="0" fontId="10" fillId="0" borderId="9" xfId="0" applyFont="1" applyFill="1" applyBorder="1" applyAlignment="1">
      <alignment horizontal="center" vertical="top"/>
    </xf>
    <xf numFmtId="0" fontId="10" fillId="0" borderId="15" xfId="0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10" fillId="0" borderId="12" xfId="0" applyFont="1" applyFill="1" applyBorder="1" applyAlignment="1">
      <alignment horizontal="center" vertical="top"/>
    </xf>
    <xf numFmtId="49" fontId="10" fillId="0" borderId="5" xfId="0" applyNumberFormat="1" applyFont="1" applyFill="1" applyBorder="1" applyAlignment="1">
      <alignment horizontal="left" vertical="top" wrapText="1"/>
    </xf>
    <xf numFmtId="49" fontId="10" fillId="0" borderId="6" xfId="0" applyNumberFormat="1" applyFont="1" applyFill="1" applyBorder="1" applyAlignment="1">
      <alignment horizontal="left" vertical="top" wrapText="1"/>
    </xf>
    <xf numFmtId="49" fontId="10" fillId="0" borderId="7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19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4" xfId="2"/>
    <cellStyle name="Обычный_Запит ПЦМ 2012 свод4 по уо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3"/>
  <sheetViews>
    <sheetView tabSelected="1" view="pageBreakPreview" zoomScale="80" zoomScaleNormal="80" zoomScaleSheetLayoutView="80" workbookViewId="0">
      <pane ySplit="12" topLeftCell="A13" activePane="bottomLeft" state="frozen"/>
      <selection pane="bottomLeft" activeCell="O222" sqref="O222"/>
    </sheetView>
  </sheetViews>
  <sheetFormatPr defaultColWidth="9.140625" defaultRowHeight="15" outlineLevelRow="4" x14ac:dyDescent="0.25"/>
  <cols>
    <col min="1" max="1" width="5.42578125" style="54" customWidth="1"/>
    <col min="2" max="2" width="34.28515625" style="54" customWidth="1"/>
    <col min="3" max="3" width="10" style="54" bestFit="1" customWidth="1"/>
    <col min="4" max="4" width="13.85546875" style="54" customWidth="1"/>
    <col min="5" max="5" width="18.140625" style="54" customWidth="1"/>
    <col min="6" max="6" width="12.42578125" style="54" bestFit="1" customWidth="1"/>
    <col min="7" max="7" width="10.5703125" style="54" bestFit="1" customWidth="1"/>
    <col min="8" max="8" width="10.7109375" style="54" customWidth="1"/>
    <col min="9" max="9" width="11.85546875" style="54" customWidth="1"/>
    <col min="10" max="10" width="10.85546875" style="54" bestFit="1" customWidth="1"/>
    <col min="11" max="11" width="12.140625" style="54" customWidth="1"/>
    <col min="12" max="12" width="11.5703125" style="54" bestFit="1" customWidth="1"/>
    <col min="13" max="13" width="12.42578125" style="54" customWidth="1"/>
    <col min="14" max="14" width="11.140625" style="54" customWidth="1"/>
    <col min="15" max="15" width="14.28515625" style="54" customWidth="1"/>
    <col min="16" max="16" width="12.28515625" style="54" customWidth="1"/>
    <col min="17" max="17" width="9.140625" style="54"/>
    <col min="18" max="18" width="11.5703125" style="54" customWidth="1"/>
    <col min="19" max="19" width="11.7109375" style="54" customWidth="1"/>
    <col min="20" max="20" width="10.140625" style="54" customWidth="1"/>
    <col min="21" max="21" width="10.85546875" style="54" customWidth="1"/>
    <col min="22" max="16384" width="9.140625" style="54"/>
  </cols>
  <sheetData>
    <row r="1" spans="1:29" ht="24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247" t="s">
        <v>14</v>
      </c>
      <c r="L1" s="247"/>
      <c r="M1" s="247"/>
      <c r="N1" s="247"/>
    </row>
    <row r="2" spans="1:29" ht="24.75" customHeight="1" x14ac:dyDescent="0.3">
      <c r="A2" s="53"/>
      <c r="B2" s="53"/>
      <c r="C2" s="53"/>
      <c r="D2" s="53"/>
      <c r="E2" s="53"/>
      <c r="F2" s="53"/>
      <c r="G2" s="53"/>
      <c r="H2" s="53"/>
      <c r="I2" s="53"/>
      <c r="J2" s="55"/>
      <c r="K2" s="252" t="s">
        <v>316</v>
      </c>
      <c r="L2" s="252"/>
      <c r="M2" s="252"/>
      <c r="N2" s="252"/>
    </row>
    <row r="3" spans="1:29" ht="29.25" customHeight="1" x14ac:dyDescent="0.3">
      <c r="A3" s="53"/>
      <c r="B3" s="53"/>
      <c r="C3" s="53"/>
      <c r="D3" s="53"/>
      <c r="E3" s="53"/>
      <c r="F3" s="53"/>
      <c r="G3" s="53"/>
      <c r="H3" s="53"/>
      <c r="I3" s="53"/>
      <c r="J3" s="55" t="s">
        <v>317</v>
      </c>
      <c r="K3" s="252" t="s">
        <v>343</v>
      </c>
      <c r="L3" s="252"/>
      <c r="M3" s="252"/>
      <c r="N3" s="252"/>
    </row>
    <row r="4" spans="1:29" ht="21.7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5" t="s">
        <v>318</v>
      </c>
      <c r="K4" s="252" t="s">
        <v>427</v>
      </c>
      <c r="L4" s="252"/>
      <c r="M4" s="252"/>
      <c r="N4" s="252"/>
    </row>
    <row r="5" spans="1:29" ht="29.2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29" ht="19.5" customHeight="1" x14ac:dyDescent="0.3">
      <c r="A6" s="53"/>
      <c r="B6" s="56"/>
      <c r="C6" s="56"/>
      <c r="D6" s="173" t="s">
        <v>15</v>
      </c>
      <c r="E6" s="173"/>
      <c r="F6" s="173"/>
      <c r="G6" s="173"/>
      <c r="H6" s="173"/>
      <c r="I6" s="173"/>
      <c r="J6" s="173"/>
      <c r="K6" s="56"/>
      <c r="L6" s="56"/>
      <c r="M6" s="56"/>
      <c r="N6" s="56"/>
    </row>
    <row r="7" spans="1:29" ht="21.75" customHeight="1" x14ac:dyDescent="0.3">
      <c r="A7" s="53"/>
      <c r="B7" s="174" t="s">
        <v>30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56"/>
    </row>
    <row r="8" spans="1:29" ht="18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29" ht="25.5" customHeight="1" x14ac:dyDescent="0.25">
      <c r="A9" s="185" t="s">
        <v>0</v>
      </c>
      <c r="B9" s="179" t="s">
        <v>1</v>
      </c>
      <c r="C9" s="182" t="s">
        <v>2</v>
      </c>
      <c r="D9" s="179" t="s">
        <v>3</v>
      </c>
      <c r="E9" s="179" t="s">
        <v>4</v>
      </c>
      <c r="F9" s="188" t="s">
        <v>5</v>
      </c>
      <c r="G9" s="188"/>
      <c r="H9" s="188"/>
      <c r="I9" s="188"/>
      <c r="J9" s="188"/>
      <c r="K9" s="188"/>
      <c r="L9" s="188"/>
      <c r="M9" s="188"/>
      <c r="N9" s="188"/>
    </row>
    <row r="10" spans="1:29" ht="22.5" customHeight="1" x14ac:dyDescent="0.25">
      <c r="A10" s="186"/>
      <c r="B10" s="180"/>
      <c r="C10" s="183"/>
      <c r="D10" s="180"/>
      <c r="E10" s="180"/>
      <c r="F10" s="189" t="s">
        <v>6</v>
      </c>
      <c r="G10" s="189"/>
      <c r="H10" s="189"/>
      <c r="I10" s="189" t="s">
        <v>7</v>
      </c>
      <c r="J10" s="189"/>
      <c r="K10" s="189"/>
      <c r="L10" s="189" t="s">
        <v>8</v>
      </c>
      <c r="M10" s="189"/>
      <c r="N10" s="189"/>
    </row>
    <row r="11" spans="1:29" ht="18.75" customHeight="1" x14ac:dyDescent="0.25">
      <c r="A11" s="187"/>
      <c r="B11" s="181"/>
      <c r="C11" s="184"/>
      <c r="D11" s="181"/>
      <c r="E11" s="181"/>
      <c r="F11" s="57" t="s">
        <v>9</v>
      </c>
      <c r="G11" s="57" t="s">
        <v>10</v>
      </c>
      <c r="H11" s="57" t="s">
        <v>11</v>
      </c>
      <c r="I11" s="57" t="s">
        <v>9</v>
      </c>
      <c r="J11" s="57" t="s">
        <v>10</v>
      </c>
      <c r="K11" s="57" t="s">
        <v>11</v>
      </c>
      <c r="L11" s="57" t="s">
        <v>9</v>
      </c>
      <c r="M11" s="57" t="s">
        <v>10</v>
      </c>
      <c r="N11" s="57" t="s">
        <v>11</v>
      </c>
    </row>
    <row r="12" spans="1:29" ht="15.75" x14ac:dyDescent="0.25">
      <c r="A12" s="58">
        <v>1</v>
      </c>
      <c r="B12" s="58">
        <v>2</v>
      </c>
      <c r="C12" s="58">
        <v>3</v>
      </c>
      <c r="D12" s="58">
        <v>4</v>
      </c>
      <c r="E12" s="58">
        <v>5</v>
      </c>
      <c r="F12" s="58">
        <v>6</v>
      </c>
      <c r="G12" s="58">
        <v>7</v>
      </c>
      <c r="H12" s="58">
        <v>8</v>
      </c>
      <c r="I12" s="58">
        <v>9</v>
      </c>
      <c r="J12" s="58">
        <v>10</v>
      </c>
      <c r="K12" s="58">
        <v>11</v>
      </c>
      <c r="L12" s="58">
        <v>12</v>
      </c>
      <c r="M12" s="58">
        <v>13</v>
      </c>
      <c r="N12" s="58">
        <v>14</v>
      </c>
    </row>
    <row r="13" spans="1:29" ht="51" customHeight="1" x14ac:dyDescent="0.25">
      <c r="A13" s="177" t="s">
        <v>311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29" ht="29.25" customHeight="1" x14ac:dyDescent="0.25">
      <c r="A14" s="177" t="s">
        <v>12</v>
      </c>
      <c r="B14" s="177"/>
      <c r="C14" s="177"/>
      <c r="D14" s="175" t="s">
        <v>281</v>
      </c>
      <c r="E14" s="176"/>
      <c r="F14" s="59">
        <f t="shared" ref="F14:N14" si="0">F24+F142+F181+F194</f>
        <v>225046.12</v>
      </c>
      <c r="G14" s="59">
        <f t="shared" si="0"/>
        <v>100957.1</v>
      </c>
      <c r="H14" s="59">
        <f t="shared" si="0"/>
        <v>124089.01999999999</v>
      </c>
      <c r="I14" s="59">
        <f t="shared" si="0"/>
        <v>375309.72500000003</v>
      </c>
      <c r="J14" s="59">
        <f t="shared" si="0"/>
        <v>116512.3</v>
      </c>
      <c r="K14" s="59">
        <f t="shared" si="0"/>
        <v>258797.42500000002</v>
      </c>
      <c r="L14" s="59">
        <f t="shared" si="0"/>
        <v>246270.82499999998</v>
      </c>
      <c r="M14" s="59">
        <f t="shared" si="0"/>
        <v>121884.29999999999</v>
      </c>
      <c r="N14" s="59">
        <f t="shared" si="0"/>
        <v>124386.52499999999</v>
      </c>
      <c r="P14" s="60">
        <f>F14+I14+L14</f>
        <v>846626.66999999993</v>
      </c>
      <c r="Q14" s="60"/>
      <c r="R14" s="60">
        <f>G41+G44+G48+G50+G53+G56+G63+G69+G71+G73+G75+G78+G79+G93+G99+G109+G120+G130+G132+G136+G138+G153+G157+G161+G165+G169+G172+G175+G177+G186+G188+G16</f>
        <v>101452.10000000002</v>
      </c>
      <c r="S14" s="60">
        <f>J41+J44+J48+J50+J53+J56+J63+J69+J71+J73+J75+J83+J93+J99+J109+J120+J123+J126+J130+J132+J136+J138+J153+J157+J161+J165+J169+J172+J175+J177+J186+J188+J17+J118</f>
        <v>116765</v>
      </c>
      <c r="T14" s="60">
        <f>M41+M44+M48+M50+M53+M56+M63+M69+M73+M71+M75+M78+M79+M83+M93+M99+M109+M120+M123+M126+M130+M132+M136+M138+M153+M157+M161+M165+M169+M172+M175+M177+M186+M188+M108</f>
        <v>121884.3</v>
      </c>
      <c r="U14" s="60"/>
      <c r="V14" s="60"/>
      <c r="W14" s="60"/>
      <c r="X14" s="60"/>
      <c r="Y14" s="60"/>
      <c r="Z14" s="60"/>
      <c r="AA14" s="60"/>
      <c r="AB14" s="60"/>
      <c r="AC14" s="60"/>
    </row>
    <row r="15" spans="1:29" ht="19.5" customHeight="1" x14ac:dyDescent="0.25">
      <c r="A15" s="177"/>
      <c r="B15" s="177"/>
      <c r="C15" s="177"/>
      <c r="D15" s="147" t="s">
        <v>56</v>
      </c>
      <c r="E15" s="61" t="s">
        <v>13</v>
      </c>
      <c r="F15" s="59">
        <f>F25+F143+F183+F184+F195</f>
        <v>201177.3</v>
      </c>
      <c r="G15" s="59">
        <f>G25+G143+G183+G184</f>
        <v>100462.09999999999</v>
      </c>
      <c r="H15" s="59">
        <f>H25+H143+H183+H184+H195</f>
        <v>100715.2</v>
      </c>
      <c r="I15" s="59">
        <f>I25+I143+I183+I184+I195</f>
        <v>362923.92499999999</v>
      </c>
      <c r="J15" s="59">
        <f>J25+J143+J183+J184</f>
        <v>116259.59999999999</v>
      </c>
      <c r="K15" s="59">
        <f>K25+K143+K183+K184+K195</f>
        <v>246664.32500000001</v>
      </c>
      <c r="L15" s="59">
        <f>L25+L143+L183+L184+L195</f>
        <v>202582.52499999997</v>
      </c>
      <c r="M15" s="59">
        <f>M25+M143+M183+M184</f>
        <v>121884.29999999997</v>
      </c>
      <c r="N15" s="59">
        <f>N25+N143+N183+N184+N195</f>
        <v>80698.225000000006</v>
      </c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</row>
    <row r="16" spans="1:29" ht="65.25" customHeight="1" x14ac:dyDescent="0.25">
      <c r="A16" s="177"/>
      <c r="B16" s="177"/>
      <c r="C16" s="177"/>
      <c r="D16" s="155"/>
      <c r="E16" s="61" t="s">
        <v>68</v>
      </c>
      <c r="F16" s="62">
        <f>F26</f>
        <v>495</v>
      </c>
      <c r="G16" s="62">
        <f>G26</f>
        <v>495</v>
      </c>
      <c r="H16" s="62"/>
      <c r="I16" s="63"/>
      <c r="J16" s="63"/>
      <c r="K16" s="63"/>
      <c r="L16" s="64"/>
      <c r="M16" s="64"/>
      <c r="N16" s="64"/>
    </row>
    <row r="17" spans="1:17" ht="61.5" customHeight="1" x14ac:dyDescent="0.25">
      <c r="A17" s="177"/>
      <c r="B17" s="177"/>
      <c r="C17" s="177"/>
      <c r="D17" s="155"/>
      <c r="E17" s="61" t="s">
        <v>298</v>
      </c>
      <c r="F17" s="62"/>
      <c r="G17" s="62"/>
      <c r="H17" s="62"/>
      <c r="I17" s="63">
        <f>I27</f>
        <v>252.7</v>
      </c>
      <c r="J17" s="63">
        <f>J27</f>
        <v>252.7</v>
      </c>
      <c r="K17" s="63"/>
      <c r="L17" s="65">
        <f>N17</f>
        <v>52.4</v>
      </c>
      <c r="M17" s="66"/>
      <c r="N17" s="65">
        <f>N237</f>
        <v>52.4</v>
      </c>
    </row>
    <row r="18" spans="1:17" ht="181.5" customHeight="1" x14ac:dyDescent="0.25">
      <c r="A18" s="177"/>
      <c r="B18" s="177"/>
      <c r="C18" s="177"/>
      <c r="D18" s="155"/>
      <c r="E18" s="67" t="s">
        <v>95</v>
      </c>
      <c r="F18" s="62">
        <f>F257</f>
        <v>1836.72</v>
      </c>
      <c r="G18" s="63"/>
      <c r="H18" s="62">
        <f>H257</f>
        <v>1836.72</v>
      </c>
      <c r="I18" s="63"/>
      <c r="J18" s="63"/>
      <c r="K18" s="63"/>
      <c r="L18" s="64"/>
      <c r="M18" s="64"/>
      <c r="N18" s="64"/>
    </row>
    <row r="19" spans="1:17" ht="70.5" customHeight="1" x14ac:dyDescent="0.25">
      <c r="A19" s="177"/>
      <c r="B19" s="177"/>
      <c r="C19" s="177"/>
      <c r="D19" s="155"/>
      <c r="E19" s="61" t="s">
        <v>102</v>
      </c>
      <c r="F19" s="62">
        <f t="shared" ref="F19" si="1">F185</f>
        <v>16537.099999999999</v>
      </c>
      <c r="G19" s="62"/>
      <c r="H19" s="62">
        <f>H185</f>
        <v>16537.099999999999</v>
      </c>
      <c r="I19" s="62">
        <f t="shared" ref="I19:K19" si="2">I185</f>
        <v>3061.1000000000004</v>
      </c>
      <c r="J19" s="62"/>
      <c r="K19" s="62">
        <f t="shared" si="2"/>
        <v>3061.1000000000004</v>
      </c>
      <c r="L19" s="62">
        <f>N19</f>
        <v>350.7</v>
      </c>
      <c r="M19" s="59"/>
      <c r="N19" s="62">
        <f t="shared" ref="N19" si="3">N185</f>
        <v>350.7</v>
      </c>
    </row>
    <row r="20" spans="1:17" ht="33" customHeight="1" x14ac:dyDescent="0.25">
      <c r="A20" s="177"/>
      <c r="B20" s="177"/>
      <c r="C20" s="177"/>
      <c r="D20" s="148"/>
      <c r="E20" s="61" t="s">
        <v>399</v>
      </c>
      <c r="F20" s="62"/>
      <c r="G20" s="62"/>
      <c r="H20" s="62"/>
      <c r="I20" s="62"/>
      <c r="J20" s="62"/>
      <c r="K20" s="62"/>
      <c r="L20" s="62">
        <f>L199</f>
        <v>31936.6</v>
      </c>
      <c r="M20" s="59"/>
      <c r="N20" s="62">
        <f>N199</f>
        <v>31936.6</v>
      </c>
    </row>
    <row r="21" spans="1:17" ht="116.25" customHeight="1" x14ac:dyDescent="0.25">
      <c r="A21" s="177"/>
      <c r="B21" s="177"/>
      <c r="C21" s="177"/>
      <c r="D21" s="68" t="s">
        <v>93</v>
      </c>
      <c r="E21" s="61" t="s">
        <v>13</v>
      </c>
      <c r="F21" s="62">
        <f t="shared" ref="F21" si="4">F197</f>
        <v>5000</v>
      </c>
      <c r="G21" s="62"/>
      <c r="H21" s="62">
        <f>H197</f>
        <v>5000</v>
      </c>
      <c r="I21" s="62">
        <f t="shared" ref="I21:K21" si="5">I197</f>
        <v>9072</v>
      </c>
      <c r="J21" s="62"/>
      <c r="K21" s="62">
        <f t="shared" si="5"/>
        <v>9072</v>
      </c>
      <c r="L21" s="65">
        <f>N21</f>
        <v>11348.6</v>
      </c>
      <c r="M21" s="59"/>
      <c r="N21" s="65">
        <f>N197</f>
        <v>11348.6</v>
      </c>
    </row>
    <row r="22" spans="1:17" ht="21.75" customHeight="1" x14ac:dyDescent="0.25">
      <c r="A22" s="178" t="s">
        <v>286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50"/>
    </row>
    <row r="23" spans="1:17" ht="24.75" customHeight="1" x14ac:dyDescent="0.25">
      <c r="A23" s="149" t="s">
        <v>287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50"/>
    </row>
    <row r="24" spans="1:17" ht="15.75" x14ac:dyDescent="0.25">
      <c r="A24" s="151" t="s">
        <v>282</v>
      </c>
      <c r="B24" s="161" t="s">
        <v>97</v>
      </c>
      <c r="C24" s="162"/>
      <c r="D24" s="162"/>
      <c r="E24" s="163"/>
      <c r="F24" s="65">
        <f>G24</f>
        <v>80227.900000000009</v>
      </c>
      <c r="G24" s="65">
        <f>G41+G44+G48+G50+G53+G63+G69+G71+G73+G75+G78+G79+G84+G85+G93+G99+G110+G120+G126+G130+G132+G136+G138+G111</f>
        <v>80227.900000000009</v>
      </c>
      <c r="H24" s="66"/>
      <c r="I24" s="65">
        <f>J24</f>
        <v>92503.3</v>
      </c>
      <c r="J24" s="65">
        <f>J41+J44+J48+J50+J53+J63+J69+J71+J73+J75+J78+J79+J84+J85+J93+J99+J110+J120+J126+J130+J132+J136+J138+J111+J123+J56+J112+J118</f>
        <v>92503.3</v>
      </c>
      <c r="K24" s="66"/>
      <c r="L24" s="66">
        <f>M24</f>
        <v>96955.999999999985</v>
      </c>
      <c r="M24" s="65">
        <f>M41+M44+M48+M50+M53+M63+M69+M71+M73+M75+M78+M79+M84+M85+M93+M99+M110+M120+M126+M130+M132+M136+M138+M111+M123+M56+M108</f>
        <v>96955.999999999985</v>
      </c>
      <c r="N24" s="66"/>
      <c r="O24" s="69">
        <f>F24+I24+L24</f>
        <v>269687.2</v>
      </c>
    </row>
    <row r="25" spans="1:17" ht="36" customHeight="1" x14ac:dyDescent="0.25">
      <c r="A25" s="151"/>
      <c r="B25" s="253"/>
      <c r="C25" s="254"/>
      <c r="D25" s="147" t="s">
        <v>56</v>
      </c>
      <c r="E25" s="61" t="s">
        <v>13</v>
      </c>
      <c r="F25" s="70">
        <f>G25</f>
        <v>79732.899999999994</v>
      </c>
      <c r="G25" s="70">
        <f>G39+G40+G59+G129+G135+G60</f>
        <v>79732.899999999994</v>
      </c>
      <c r="H25" s="71"/>
      <c r="I25" s="71">
        <f>J25</f>
        <v>92250.599999999991</v>
      </c>
      <c r="J25" s="70">
        <f>J39+J40+J59+J129+J135+J60</f>
        <v>92250.599999999991</v>
      </c>
      <c r="K25" s="71"/>
      <c r="L25" s="71">
        <f>M25</f>
        <v>96955.999999999971</v>
      </c>
      <c r="M25" s="70">
        <f>M39+M40+M59+M129+M135+M60</f>
        <v>96955.999999999971</v>
      </c>
      <c r="N25" s="71"/>
      <c r="O25" s="72">
        <f>F25+I25+L25</f>
        <v>268939.5</v>
      </c>
      <c r="P25" s="60"/>
    </row>
    <row r="26" spans="1:17" ht="70.5" customHeight="1" x14ac:dyDescent="0.25">
      <c r="A26" s="151"/>
      <c r="B26" s="255"/>
      <c r="C26" s="256"/>
      <c r="D26" s="155"/>
      <c r="E26" s="61" t="s">
        <v>68</v>
      </c>
      <c r="F26" s="70">
        <f>G26</f>
        <v>495</v>
      </c>
      <c r="G26" s="70">
        <f>G61</f>
        <v>495</v>
      </c>
      <c r="H26" s="71"/>
      <c r="I26" s="71"/>
      <c r="J26" s="71"/>
      <c r="K26" s="71"/>
      <c r="L26" s="71"/>
      <c r="M26" s="71"/>
      <c r="N26" s="71"/>
      <c r="O26" s="72">
        <f>F26+I26+L26</f>
        <v>495</v>
      </c>
    </row>
    <row r="27" spans="1:17" ht="32.25" customHeight="1" x14ac:dyDescent="0.25">
      <c r="A27" s="151"/>
      <c r="B27" s="257"/>
      <c r="C27" s="258"/>
      <c r="D27" s="148"/>
      <c r="E27" s="61" t="s">
        <v>298</v>
      </c>
      <c r="F27" s="70"/>
      <c r="G27" s="70"/>
      <c r="H27" s="71"/>
      <c r="I27" s="71">
        <f>I62</f>
        <v>252.7</v>
      </c>
      <c r="J27" s="71">
        <f>J62</f>
        <v>252.7</v>
      </c>
      <c r="K27" s="71"/>
      <c r="L27" s="71"/>
      <c r="M27" s="71"/>
      <c r="N27" s="71"/>
      <c r="O27" s="72"/>
    </row>
    <row r="28" spans="1:17" ht="31.5" hidden="1" outlineLevel="1" x14ac:dyDescent="0.25">
      <c r="A28" s="151"/>
      <c r="B28" s="73" t="s">
        <v>58</v>
      </c>
      <c r="C28" s="57"/>
      <c r="D28" s="156" t="s">
        <v>56</v>
      </c>
      <c r="E28" s="74" t="s">
        <v>13</v>
      </c>
      <c r="F28" s="70">
        <f>G28</f>
        <v>2834.8</v>
      </c>
      <c r="G28" s="70">
        <f>G42+G45+G51+G54</f>
        <v>2834.8</v>
      </c>
      <c r="H28" s="71"/>
      <c r="I28" s="71">
        <f>J28</f>
        <v>2804.7999999999997</v>
      </c>
      <c r="J28" s="71">
        <f>J42+J45+J51+J54</f>
        <v>2804.7999999999997</v>
      </c>
      <c r="K28" s="71"/>
      <c r="L28" s="71">
        <f>M28</f>
        <v>3353.9</v>
      </c>
      <c r="M28" s="70">
        <f>M42+M45+M51+M54</f>
        <v>3353.9</v>
      </c>
      <c r="N28" s="71"/>
      <c r="O28" s="60" t="e">
        <f>G28+G29+G30+G31+G32+G33+G34+G36+G37</f>
        <v>#REF!</v>
      </c>
      <c r="P28" s="60" t="e">
        <f>J28+J29+J30+J31+J32+J33+J34+J36+J37</f>
        <v>#REF!</v>
      </c>
      <c r="Q28" s="60" t="e">
        <f>M28+M29+M30+M31+M32+M33+M34+M36+M37</f>
        <v>#REF!</v>
      </c>
    </row>
    <row r="29" spans="1:17" ht="31.5" hidden="1" outlineLevel="1" x14ac:dyDescent="0.25">
      <c r="A29" s="151"/>
      <c r="B29" s="73" t="s">
        <v>59</v>
      </c>
      <c r="C29" s="57"/>
      <c r="D29" s="157"/>
      <c r="E29" s="74" t="s">
        <v>13</v>
      </c>
      <c r="F29" s="70">
        <f t="shared" ref="F29:F30" si="6">G29</f>
        <v>3968.5</v>
      </c>
      <c r="G29" s="70">
        <f>G43+G46+G49+G52+G55</f>
        <v>3968.5</v>
      </c>
      <c r="H29" s="71"/>
      <c r="I29" s="71">
        <f t="shared" ref="I29:I30" si="7">J29</f>
        <v>2392.6999999999998</v>
      </c>
      <c r="J29" s="70">
        <f>J43+J46+J49+J52+J55+J57</f>
        <v>2392.6999999999998</v>
      </c>
      <c r="K29" s="71"/>
      <c r="L29" s="71">
        <f t="shared" ref="L29:L30" si="8">M29</f>
        <v>3276.5</v>
      </c>
      <c r="M29" s="71">
        <f>M43+M46+M49+M52+M55</f>
        <v>3276.5</v>
      </c>
      <c r="N29" s="71"/>
    </row>
    <row r="30" spans="1:17" ht="31.5" hidden="1" outlineLevel="1" x14ac:dyDescent="0.25">
      <c r="A30" s="151"/>
      <c r="B30" s="71" t="s">
        <v>63</v>
      </c>
      <c r="C30" s="57"/>
      <c r="D30" s="157"/>
      <c r="E30" s="74" t="s">
        <v>13</v>
      </c>
      <c r="F30" s="70">
        <f t="shared" si="6"/>
        <v>9703.7000000000007</v>
      </c>
      <c r="G30" s="70">
        <f>G64+G70+G80+G89+G90+G95+G121+G124</f>
        <v>9703.7000000000007</v>
      </c>
      <c r="H30" s="71"/>
      <c r="I30" s="71">
        <f t="shared" si="7"/>
        <v>13564.800000000001</v>
      </c>
      <c r="J30" s="70">
        <f>J64+J70+J80+J89+J90+J95+J121+J124</f>
        <v>13564.800000000001</v>
      </c>
      <c r="K30" s="71"/>
      <c r="L30" s="71">
        <f t="shared" si="8"/>
        <v>15871.5</v>
      </c>
      <c r="M30" s="70">
        <f>M64+M70+M80+M89+M90+M95+M121+M124</f>
        <v>15871.5</v>
      </c>
      <c r="N30" s="71"/>
    </row>
    <row r="31" spans="1:17" ht="15.75" hidden="1" outlineLevel="1" x14ac:dyDescent="0.25">
      <c r="A31" s="151"/>
      <c r="B31" s="71" t="s">
        <v>64</v>
      </c>
      <c r="C31" s="57"/>
      <c r="D31" s="157"/>
      <c r="E31" s="74" t="s">
        <v>13</v>
      </c>
      <c r="F31" s="70">
        <f>G31</f>
        <v>15862.1</v>
      </c>
      <c r="G31" s="70">
        <f>G65+G74+G81</f>
        <v>15862.1</v>
      </c>
      <c r="H31" s="71"/>
      <c r="I31" s="71">
        <f>J31</f>
        <v>11613.3</v>
      </c>
      <c r="J31" s="70">
        <f>J65+J74+J81+J87</f>
        <v>11613.3</v>
      </c>
      <c r="K31" s="71"/>
      <c r="L31" s="71">
        <f>M31</f>
        <v>11936.5</v>
      </c>
      <c r="M31" s="71">
        <f>M65+M74+M81</f>
        <v>11936.5</v>
      </c>
      <c r="N31" s="71"/>
    </row>
    <row r="32" spans="1:17" ht="15.75" hidden="1" outlineLevel="1" x14ac:dyDescent="0.25">
      <c r="A32" s="151"/>
      <c r="B32" s="71" t="s">
        <v>65</v>
      </c>
      <c r="C32" s="57"/>
      <c r="D32" s="157"/>
      <c r="E32" s="74" t="s">
        <v>13</v>
      </c>
      <c r="F32" s="70">
        <f>G32</f>
        <v>12355</v>
      </c>
      <c r="G32" s="70">
        <f>G66+G72+G98</f>
        <v>12355</v>
      </c>
      <c r="H32" s="71"/>
      <c r="I32" s="71">
        <f>J32</f>
        <v>13398.8</v>
      </c>
      <c r="J32" s="71">
        <f>J66+J72+J98</f>
        <v>13398.8</v>
      </c>
      <c r="K32" s="71"/>
      <c r="L32" s="71">
        <f>M32</f>
        <v>14676.2</v>
      </c>
      <c r="M32" s="71">
        <f>M66+M72+M98</f>
        <v>14676.2</v>
      </c>
      <c r="N32" s="71"/>
    </row>
    <row r="33" spans="1:15" ht="23.25" hidden="1" customHeight="1" outlineLevel="1" x14ac:dyDescent="0.25">
      <c r="A33" s="151"/>
      <c r="B33" s="71" t="s">
        <v>66</v>
      </c>
      <c r="C33" s="57"/>
      <c r="D33" s="157"/>
      <c r="E33" s="74" t="s">
        <v>13</v>
      </c>
      <c r="F33" s="70">
        <f t="shared" ref="F33:F37" si="9">G33</f>
        <v>12581.599999999999</v>
      </c>
      <c r="G33" s="70">
        <f>G67+G76+G101+G103+G105+G107+G113+G127</f>
        <v>12581.599999999999</v>
      </c>
      <c r="H33" s="71"/>
      <c r="I33" s="71">
        <f t="shared" ref="I33:I37" si="10">J33</f>
        <v>24277.02</v>
      </c>
      <c r="J33" s="70">
        <f>J67+J76+J101+J103+J105+J107+J113+J127</f>
        <v>24277.02</v>
      </c>
      <c r="K33" s="71"/>
      <c r="L33" s="71">
        <f t="shared" ref="L33:L37" si="11">M33</f>
        <v>19558.099999999999</v>
      </c>
      <c r="M33" s="71">
        <f>M67+M76+M101+M103+M105+M107+M113+M127+M92</f>
        <v>19558.099999999999</v>
      </c>
      <c r="N33" s="71"/>
    </row>
    <row r="34" spans="1:15" ht="31.5" hidden="1" outlineLevel="1" x14ac:dyDescent="0.25">
      <c r="A34" s="151"/>
      <c r="B34" s="71" t="s">
        <v>67</v>
      </c>
      <c r="C34" s="57"/>
      <c r="D34" s="157"/>
      <c r="E34" s="74" t="s">
        <v>13</v>
      </c>
      <c r="F34" s="70">
        <f t="shared" si="9"/>
        <v>5407.9</v>
      </c>
      <c r="G34" s="70">
        <f>G68+G82+G91+G96+G115+G116+G122+G125</f>
        <v>5407.9</v>
      </c>
      <c r="H34" s="71"/>
      <c r="I34" s="70">
        <f t="shared" si="10"/>
        <v>7115.3</v>
      </c>
      <c r="J34" s="70">
        <f>J68+J82+J91+J96+J115+J116+J122+J125</f>
        <v>7115.3</v>
      </c>
      <c r="K34" s="71"/>
      <c r="L34" s="71">
        <f t="shared" si="11"/>
        <v>7723</v>
      </c>
      <c r="M34" s="71">
        <f>M68+M82+M91+M96+M115+M116+M122+M125+M47</f>
        <v>7723</v>
      </c>
      <c r="N34" s="71"/>
    </row>
    <row r="35" spans="1:15" ht="57" hidden="1" customHeight="1" outlineLevel="1" x14ac:dyDescent="0.25">
      <c r="A35" s="151"/>
      <c r="B35" s="71" t="s">
        <v>67</v>
      </c>
      <c r="C35" s="57"/>
      <c r="D35" s="157"/>
      <c r="E35" s="74" t="s">
        <v>68</v>
      </c>
      <c r="F35" s="70">
        <f>G35</f>
        <v>495</v>
      </c>
      <c r="G35" s="70">
        <f>G111</f>
        <v>495</v>
      </c>
      <c r="H35" s="71"/>
      <c r="I35" s="70">
        <f>J35</f>
        <v>252.7</v>
      </c>
      <c r="J35" s="70">
        <f>J62</f>
        <v>252.7</v>
      </c>
      <c r="K35" s="71"/>
      <c r="L35" s="71"/>
      <c r="M35" s="71"/>
      <c r="N35" s="71"/>
    </row>
    <row r="36" spans="1:15" ht="47.25" hidden="1" outlineLevel="1" x14ac:dyDescent="0.25">
      <c r="A36" s="151"/>
      <c r="B36" s="71" t="s">
        <v>88</v>
      </c>
      <c r="C36" s="57"/>
      <c r="D36" s="157"/>
      <c r="E36" s="74" t="s">
        <v>13</v>
      </c>
      <c r="F36" s="70">
        <f t="shared" si="9"/>
        <v>5125.6000000000004</v>
      </c>
      <c r="G36" s="70">
        <f>G131+G133</f>
        <v>5125.6000000000004</v>
      </c>
      <c r="H36" s="71"/>
      <c r="I36" s="70">
        <f t="shared" si="10"/>
        <v>4304</v>
      </c>
      <c r="J36" s="70">
        <f>J131+J133</f>
        <v>4304</v>
      </c>
      <c r="K36" s="71"/>
      <c r="L36" s="71">
        <f t="shared" si="11"/>
        <v>6012.4</v>
      </c>
      <c r="M36" s="71">
        <f>M131+M133</f>
        <v>6012.4</v>
      </c>
      <c r="N36" s="71"/>
    </row>
    <row r="37" spans="1:15" ht="31.5" hidden="1" outlineLevel="1" x14ac:dyDescent="0.25">
      <c r="A37" s="151"/>
      <c r="B37" s="71" t="s">
        <v>76</v>
      </c>
      <c r="C37" s="57"/>
      <c r="D37" s="158"/>
      <c r="E37" s="74" t="s">
        <v>13</v>
      </c>
      <c r="F37" s="70" t="e">
        <f t="shared" si="9"/>
        <v>#REF!</v>
      </c>
      <c r="G37" s="70" t="e">
        <f>G137+#REF!+G139</f>
        <v>#REF!</v>
      </c>
      <c r="H37" s="71"/>
      <c r="I37" s="71" t="e">
        <f t="shared" si="10"/>
        <v>#REF!</v>
      </c>
      <c r="J37" s="70" t="e">
        <f>J137+#REF!+J139</f>
        <v>#REF!</v>
      </c>
      <c r="K37" s="71"/>
      <c r="L37" s="71" t="e">
        <f t="shared" si="11"/>
        <v>#REF!</v>
      </c>
      <c r="M37" s="71" t="e">
        <f>M137+#REF!+M139</f>
        <v>#REF!</v>
      </c>
      <c r="N37" s="71"/>
    </row>
    <row r="38" spans="1:15" ht="15.75" collapsed="1" x14ac:dyDescent="0.25">
      <c r="A38" s="151"/>
      <c r="B38" s="190" t="s">
        <v>36</v>
      </c>
      <c r="C38" s="191"/>
      <c r="D38" s="191"/>
      <c r="E38" s="192"/>
      <c r="F38" s="65">
        <f>G38</f>
        <v>6803.3000000000011</v>
      </c>
      <c r="G38" s="65">
        <f>G41+G44+G48+G50+G53</f>
        <v>6803.3000000000011</v>
      </c>
      <c r="H38" s="65"/>
      <c r="I38" s="65">
        <f>J38</f>
        <v>5197.5</v>
      </c>
      <c r="J38" s="65">
        <f>J41+J44+J48+J50+J53+J56</f>
        <v>5197.5</v>
      </c>
      <c r="K38" s="65"/>
      <c r="L38" s="65">
        <f>M38</f>
        <v>7261.4000000000005</v>
      </c>
      <c r="M38" s="65">
        <f>M41+M44+M48+M50+M53+M56</f>
        <v>7261.4000000000005</v>
      </c>
      <c r="N38" s="65"/>
      <c r="O38" s="60">
        <f>F38+I38+L38</f>
        <v>19262.2</v>
      </c>
    </row>
    <row r="39" spans="1:15" ht="51.75" customHeight="1" x14ac:dyDescent="0.25">
      <c r="A39" s="151"/>
      <c r="B39" s="193" t="s">
        <v>31</v>
      </c>
      <c r="C39" s="75" t="s">
        <v>57</v>
      </c>
      <c r="D39" s="61" t="s">
        <v>56</v>
      </c>
      <c r="E39" s="76" t="s">
        <v>13</v>
      </c>
      <c r="F39" s="77">
        <f t="shared" ref="F39:F50" si="12">G39</f>
        <v>5307.1</v>
      </c>
      <c r="G39" s="77">
        <f>G41</f>
        <v>5307.1</v>
      </c>
      <c r="H39" s="73"/>
      <c r="I39" s="73">
        <f>J39</f>
        <v>4555</v>
      </c>
      <c r="J39" s="73">
        <f>J41</f>
        <v>4555</v>
      </c>
      <c r="K39" s="73"/>
      <c r="L39" s="73">
        <f>M39</f>
        <v>5716.1</v>
      </c>
      <c r="M39" s="73">
        <f>M41</f>
        <v>5716.1</v>
      </c>
      <c r="N39" s="73"/>
    </row>
    <row r="40" spans="1:15" ht="51.75" customHeight="1" x14ac:dyDescent="0.25">
      <c r="A40" s="151"/>
      <c r="B40" s="194"/>
      <c r="C40" s="78" t="s">
        <v>60</v>
      </c>
      <c r="D40" s="61" t="s">
        <v>56</v>
      </c>
      <c r="E40" s="76" t="s">
        <v>13</v>
      </c>
      <c r="F40" s="77">
        <f>G40</f>
        <v>1496.1999999999998</v>
      </c>
      <c r="G40" s="77">
        <f>G44+G48+G50+G53</f>
        <v>1496.1999999999998</v>
      </c>
      <c r="H40" s="73"/>
      <c r="I40" s="77">
        <f>J40</f>
        <v>642.5</v>
      </c>
      <c r="J40" s="77">
        <f>J44+J48+J50+J53+J56</f>
        <v>642.5</v>
      </c>
      <c r="K40" s="73"/>
      <c r="L40" s="73">
        <f>M40</f>
        <v>1545.3000000000002</v>
      </c>
      <c r="M40" s="77">
        <f>M44+M48+M50+M53+M56</f>
        <v>1545.3000000000002</v>
      </c>
      <c r="N40" s="73"/>
    </row>
    <row r="41" spans="1:15" ht="50.25" customHeight="1" x14ac:dyDescent="0.25">
      <c r="A41" s="151"/>
      <c r="B41" s="73" t="s">
        <v>33</v>
      </c>
      <c r="C41" s="75" t="s">
        <v>57</v>
      </c>
      <c r="D41" s="61" t="s">
        <v>56</v>
      </c>
      <c r="E41" s="61" t="s">
        <v>13</v>
      </c>
      <c r="F41" s="71">
        <f t="shared" si="12"/>
        <v>5307.1</v>
      </c>
      <c r="G41" s="71">
        <f>G42+G43</f>
        <v>5307.1</v>
      </c>
      <c r="H41" s="71"/>
      <c r="I41" s="70">
        <f>J41</f>
        <v>4555</v>
      </c>
      <c r="J41" s="70">
        <f>J42+J43</f>
        <v>4555</v>
      </c>
      <c r="K41" s="71"/>
      <c r="L41" s="71">
        <f>M41</f>
        <v>5716.1</v>
      </c>
      <c r="M41" s="71">
        <f>M42+M43</f>
        <v>5716.1</v>
      </c>
      <c r="N41" s="71"/>
      <c r="O41" s="60">
        <f>F41+I41+L41</f>
        <v>15578.2</v>
      </c>
    </row>
    <row r="42" spans="1:15" ht="41.25" hidden="1" customHeight="1" outlineLevel="1" x14ac:dyDescent="0.25">
      <c r="A42" s="151"/>
      <c r="B42" s="73" t="s">
        <v>58</v>
      </c>
      <c r="C42" s="75" t="s">
        <v>57</v>
      </c>
      <c r="D42" s="147" t="s">
        <v>56</v>
      </c>
      <c r="E42" s="147" t="s">
        <v>13</v>
      </c>
      <c r="F42" s="71">
        <f t="shared" si="12"/>
        <v>2756.4</v>
      </c>
      <c r="G42" s="71">
        <v>2756.4</v>
      </c>
      <c r="H42" s="71"/>
      <c r="I42" s="70">
        <f t="shared" ref="I42:I44" si="13">J42</f>
        <v>2642.2</v>
      </c>
      <c r="J42" s="70">
        <v>2642.2</v>
      </c>
      <c r="K42" s="71"/>
      <c r="L42" s="71">
        <f t="shared" ref="L42:L43" si="14">M42</f>
        <v>3105</v>
      </c>
      <c r="M42" s="71">
        <v>3105</v>
      </c>
      <c r="N42" s="71"/>
    </row>
    <row r="43" spans="1:15" ht="33" hidden="1" customHeight="1" outlineLevel="1" x14ac:dyDescent="0.25">
      <c r="A43" s="151"/>
      <c r="B43" s="73" t="s">
        <v>59</v>
      </c>
      <c r="C43" s="75" t="s">
        <v>57</v>
      </c>
      <c r="D43" s="148"/>
      <c r="E43" s="148"/>
      <c r="F43" s="71">
        <f t="shared" si="12"/>
        <v>2550.6999999999998</v>
      </c>
      <c r="G43" s="71">
        <v>2550.6999999999998</v>
      </c>
      <c r="H43" s="71"/>
      <c r="I43" s="70">
        <f t="shared" si="13"/>
        <v>1912.8</v>
      </c>
      <c r="J43" s="70">
        <v>1912.8</v>
      </c>
      <c r="K43" s="71"/>
      <c r="L43" s="71">
        <f t="shared" si="14"/>
        <v>2611.1</v>
      </c>
      <c r="M43" s="71">
        <v>2611.1</v>
      </c>
      <c r="N43" s="71"/>
    </row>
    <row r="44" spans="1:15" ht="72.75" customHeight="1" collapsed="1" x14ac:dyDescent="0.25">
      <c r="A44" s="151"/>
      <c r="B44" s="71" t="s">
        <v>32</v>
      </c>
      <c r="C44" s="78" t="s">
        <v>60</v>
      </c>
      <c r="D44" s="61" t="s">
        <v>56</v>
      </c>
      <c r="E44" s="61" t="s">
        <v>13</v>
      </c>
      <c r="F44" s="71">
        <f t="shared" si="12"/>
        <v>535.6</v>
      </c>
      <c r="G44" s="71">
        <f>G45+G46</f>
        <v>535.6</v>
      </c>
      <c r="H44" s="71"/>
      <c r="I44" s="71">
        <f t="shared" si="13"/>
        <v>76.2</v>
      </c>
      <c r="J44" s="71">
        <f>J45+J46</f>
        <v>76.2</v>
      </c>
      <c r="K44" s="71"/>
      <c r="L44" s="70">
        <f>M44</f>
        <v>207.60000000000002</v>
      </c>
      <c r="M44" s="70">
        <f>M45+M46+M47</f>
        <v>207.60000000000002</v>
      </c>
      <c r="N44" s="71"/>
      <c r="O44" s="60">
        <f>F44+I44+L44</f>
        <v>819.40000000000009</v>
      </c>
    </row>
    <row r="45" spans="1:15" ht="34.5" hidden="1" customHeight="1" outlineLevel="2" x14ac:dyDescent="0.25">
      <c r="A45" s="151"/>
      <c r="B45" s="73" t="s">
        <v>58</v>
      </c>
      <c r="C45" s="78" t="s">
        <v>60</v>
      </c>
      <c r="D45" s="147" t="s">
        <v>56</v>
      </c>
      <c r="E45" s="147" t="s">
        <v>13</v>
      </c>
      <c r="F45" s="71">
        <f t="shared" si="12"/>
        <v>65.8</v>
      </c>
      <c r="G45" s="71">
        <v>65.8</v>
      </c>
      <c r="H45" s="71"/>
      <c r="I45" s="71"/>
      <c r="J45" s="71"/>
      <c r="K45" s="71"/>
      <c r="L45" s="70">
        <f t="shared" ref="L45:L47" si="15">M45</f>
        <v>31.4</v>
      </c>
      <c r="M45" s="71">
        <v>31.4</v>
      </c>
      <c r="N45" s="71"/>
    </row>
    <row r="46" spans="1:15" ht="40.5" hidden="1" customHeight="1" outlineLevel="2" x14ac:dyDescent="0.25">
      <c r="A46" s="151"/>
      <c r="B46" s="73" t="s">
        <v>59</v>
      </c>
      <c r="C46" s="78" t="s">
        <v>60</v>
      </c>
      <c r="D46" s="155"/>
      <c r="E46" s="155"/>
      <c r="F46" s="71">
        <f t="shared" si="12"/>
        <v>469.8</v>
      </c>
      <c r="G46" s="71">
        <v>469.8</v>
      </c>
      <c r="H46" s="71"/>
      <c r="I46" s="71"/>
      <c r="J46" s="71">
        <v>76.2</v>
      </c>
      <c r="K46" s="71"/>
      <c r="L46" s="70">
        <f t="shared" si="15"/>
        <v>174.9</v>
      </c>
      <c r="M46" s="71">
        <v>174.9</v>
      </c>
      <c r="N46" s="71"/>
    </row>
    <row r="47" spans="1:15" ht="32.25" hidden="1" customHeight="1" outlineLevel="2" x14ac:dyDescent="0.25">
      <c r="A47" s="151"/>
      <c r="B47" s="73" t="s">
        <v>313</v>
      </c>
      <c r="C47" s="78" t="s">
        <v>60</v>
      </c>
      <c r="D47" s="148"/>
      <c r="E47" s="148"/>
      <c r="F47" s="71"/>
      <c r="G47" s="71"/>
      <c r="H47" s="71"/>
      <c r="I47" s="71"/>
      <c r="J47" s="71"/>
      <c r="K47" s="71"/>
      <c r="L47" s="70">
        <f t="shared" si="15"/>
        <v>1.3</v>
      </c>
      <c r="M47" s="71">
        <v>1.3</v>
      </c>
      <c r="N47" s="71"/>
    </row>
    <row r="48" spans="1:15" ht="63.75" customHeight="1" collapsed="1" x14ac:dyDescent="0.25">
      <c r="A48" s="151"/>
      <c r="B48" s="71" t="s">
        <v>34</v>
      </c>
      <c r="C48" s="78" t="s">
        <v>60</v>
      </c>
      <c r="D48" s="61" t="s">
        <v>56</v>
      </c>
      <c r="E48" s="61" t="s">
        <v>13</v>
      </c>
      <c r="F48" s="70">
        <f t="shared" si="12"/>
        <v>700</v>
      </c>
      <c r="G48" s="70">
        <f>G49</f>
        <v>700</v>
      </c>
      <c r="H48" s="70"/>
      <c r="I48" s="70">
        <f>J48</f>
        <v>339.7</v>
      </c>
      <c r="J48" s="70">
        <f>J49</f>
        <v>339.7</v>
      </c>
      <c r="K48" s="70"/>
      <c r="L48" s="70">
        <f>M48</f>
        <v>365.5</v>
      </c>
      <c r="M48" s="70">
        <f>M49</f>
        <v>365.5</v>
      </c>
      <c r="N48" s="70"/>
      <c r="O48" s="54">
        <f t="shared" ref="O48:O50" si="16">F48+I48+L48</f>
        <v>1405.2</v>
      </c>
    </row>
    <row r="49" spans="1:15" ht="36.75" hidden="1" customHeight="1" outlineLevel="1" x14ac:dyDescent="0.25">
      <c r="A49" s="151"/>
      <c r="B49" s="73" t="s">
        <v>59</v>
      </c>
      <c r="C49" s="78" t="s">
        <v>60</v>
      </c>
      <c r="D49" s="61" t="s">
        <v>56</v>
      </c>
      <c r="E49" s="61" t="s">
        <v>13</v>
      </c>
      <c r="F49" s="70">
        <f t="shared" si="12"/>
        <v>700</v>
      </c>
      <c r="G49" s="70">
        <v>700</v>
      </c>
      <c r="H49" s="70"/>
      <c r="I49" s="70">
        <f>J49</f>
        <v>339.7</v>
      </c>
      <c r="J49" s="70">
        <f>700-360.3</f>
        <v>339.7</v>
      </c>
      <c r="K49" s="70"/>
      <c r="L49" s="70">
        <f>M49</f>
        <v>365.5</v>
      </c>
      <c r="M49" s="70">
        <f>700-334.5</f>
        <v>365.5</v>
      </c>
      <c r="N49" s="70"/>
      <c r="O49" s="54">
        <f t="shared" si="16"/>
        <v>1405.2</v>
      </c>
    </row>
    <row r="50" spans="1:15" ht="67.5" customHeight="1" collapsed="1" x14ac:dyDescent="0.25">
      <c r="A50" s="151"/>
      <c r="B50" s="73" t="s">
        <v>61</v>
      </c>
      <c r="C50" s="78" t="s">
        <v>60</v>
      </c>
      <c r="D50" s="61" t="s">
        <v>56</v>
      </c>
      <c r="E50" s="61" t="s">
        <v>13</v>
      </c>
      <c r="F50" s="70">
        <f t="shared" si="12"/>
        <v>218.1</v>
      </c>
      <c r="G50" s="70">
        <f>G51+G52</f>
        <v>218.1</v>
      </c>
      <c r="H50" s="70"/>
      <c r="I50" s="70">
        <f>J50</f>
        <v>139.5</v>
      </c>
      <c r="J50" s="70">
        <f>J51+J52</f>
        <v>139.5</v>
      </c>
      <c r="K50" s="70"/>
      <c r="L50" s="70">
        <f>M50</f>
        <v>300</v>
      </c>
      <c r="M50" s="70">
        <f>M51+M52</f>
        <v>300</v>
      </c>
      <c r="N50" s="70"/>
      <c r="O50" s="54">
        <f t="shared" si="16"/>
        <v>657.6</v>
      </c>
    </row>
    <row r="51" spans="1:15" ht="33" hidden="1" customHeight="1" outlineLevel="2" x14ac:dyDescent="0.25">
      <c r="A51" s="151"/>
      <c r="B51" s="73" t="s">
        <v>58</v>
      </c>
      <c r="C51" s="78" t="s">
        <v>60</v>
      </c>
      <c r="D51" s="147" t="s">
        <v>56</v>
      </c>
      <c r="E51" s="147" t="s">
        <v>13</v>
      </c>
      <c r="F51" s="70"/>
      <c r="G51" s="70"/>
      <c r="H51" s="70"/>
      <c r="I51" s="70">
        <f t="shared" ref="I51:I52" si="17">J51</f>
        <v>139.5</v>
      </c>
      <c r="J51" s="70">
        <f>150-10.5</f>
        <v>139.5</v>
      </c>
      <c r="K51" s="70"/>
      <c r="L51" s="70"/>
      <c r="M51" s="70">
        <v>205</v>
      </c>
      <c r="N51" s="70"/>
    </row>
    <row r="52" spans="1:15" ht="33" hidden="1" customHeight="1" outlineLevel="2" x14ac:dyDescent="0.25">
      <c r="A52" s="151"/>
      <c r="B52" s="73" t="s">
        <v>59</v>
      </c>
      <c r="C52" s="78" t="s">
        <v>60</v>
      </c>
      <c r="D52" s="148"/>
      <c r="E52" s="148"/>
      <c r="F52" s="70">
        <f t="shared" ref="F52" si="18">G52</f>
        <v>218.1</v>
      </c>
      <c r="G52" s="70">
        <v>218.1</v>
      </c>
      <c r="H52" s="70"/>
      <c r="I52" s="70">
        <f t="shared" si="17"/>
        <v>0</v>
      </c>
      <c r="J52" s="70">
        <f>150-64-86</f>
        <v>0</v>
      </c>
      <c r="K52" s="70"/>
      <c r="L52" s="70">
        <f t="shared" ref="L52" si="19">M52</f>
        <v>95</v>
      </c>
      <c r="M52" s="70">
        <v>95</v>
      </c>
      <c r="N52" s="70"/>
    </row>
    <row r="53" spans="1:15" ht="71.25" customHeight="1" collapsed="1" x14ac:dyDescent="0.25">
      <c r="A53" s="151"/>
      <c r="B53" s="71" t="s">
        <v>35</v>
      </c>
      <c r="C53" s="78" t="s">
        <v>60</v>
      </c>
      <c r="D53" s="61" t="s">
        <v>56</v>
      </c>
      <c r="E53" s="61" t="s">
        <v>13</v>
      </c>
      <c r="F53" s="71">
        <f>G53</f>
        <v>42.5</v>
      </c>
      <c r="G53" s="71">
        <f>G54+G55</f>
        <v>42.5</v>
      </c>
      <c r="H53" s="71"/>
      <c r="I53" s="71">
        <f>J53</f>
        <v>23.1</v>
      </c>
      <c r="J53" s="71">
        <f>J54+J55</f>
        <v>23.1</v>
      </c>
      <c r="K53" s="71"/>
      <c r="L53" s="71">
        <f>M53</f>
        <v>42.5</v>
      </c>
      <c r="M53" s="71">
        <f>M54+M55</f>
        <v>42.5</v>
      </c>
      <c r="N53" s="71"/>
      <c r="O53" s="54">
        <f>F53+I53+L53</f>
        <v>108.1</v>
      </c>
    </row>
    <row r="54" spans="1:15" ht="33.75" hidden="1" customHeight="1" outlineLevel="3" x14ac:dyDescent="0.25">
      <c r="A54" s="151"/>
      <c r="B54" s="73" t="s">
        <v>58</v>
      </c>
      <c r="C54" s="78" t="s">
        <v>60</v>
      </c>
      <c r="D54" s="147" t="s">
        <v>56</v>
      </c>
      <c r="E54" s="147" t="s">
        <v>13</v>
      </c>
      <c r="F54" s="71">
        <f t="shared" ref="F54:F55" si="20">G54</f>
        <v>12.6</v>
      </c>
      <c r="G54" s="71">
        <v>12.6</v>
      </c>
      <c r="H54" s="71"/>
      <c r="I54" s="71">
        <f t="shared" ref="I54:I55" si="21">J54</f>
        <v>23.1</v>
      </c>
      <c r="J54" s="71">
        <f>12.6+10.5</f>
        <v>23.1</v>
      </c>
      <c r="K54" s="71"/>
      <c r="L54" s="71">
        <f t="shared" ref="L54:L55" si="22">M54</f>
        <v>12.5</v>
      </c>
      <c r="M54" s="71">
        <v>12.5</v>
      </c>
      <c r="N54" s="71"/>
    </row>
    <row r="55" spans="1:15" ht="31.5" hidden="1" outlineLevel="3" x14ac:dyDescent="0.25">
      <c r="A55" s="151"/>
      <c r="B55" s="73" t="s">
        <v>59</v>
      </c>
      <c r="C55" s="78" t="s">
        <v>60</v>
      </c>
      <c r="D55" s="148"/>
      <c r="E55" s="148"/>
      <c r="F55" s="71">
        <f t="shared" si="20"/>
        <v>29.9</v>
      </c>
      <c r="G55" s="71">
        <v>29.9</v>
      </c>
      <c r="H55" s="71"/>
      <c r="I55" s="71">
        <f t="shared" si="21"/>
        <v>0</v>
      </c>
      <c r="J55" s="71">
        <f>29.9-29.9</f>
        <v>0</v>
      </c>
      <c r="K55" s="71"/>
      <c r="L55" s="71">
        <f t="shared" si="22"/>
        <v>30</v>
      </c>
      <c r="M55" s="71">
        <v>30</v>
      </c>
      <c r="N55" s="71"/>
    </row>
    <row r="56" spans="1:15" ht="68.25" customHeight="1" collapsed="1" x14ac:dyDescent="0.25">
      <c r="A56" s="151"/>
      <c r="B56" s="71" t="s">
        <v>294</v>
      </c>
      <c r="C56" s="78" t="s">
        <v>60</v>
      </c>
      <c r="D56" s="61" t="s">
        <v>56</v>
      </c>
      <c r="E56" s="61" t="s">
        <v>13</v>
      </c>
      <c r="F56" s="71"/>
      <c r="G56" s="71"/>
      <c r="H56" s="71"/>
      <c r="I56" s="70">
        <f>I57</f>
        <v>64</v>
      </c>
      <c r="J56" s="70">
        <f>J57</f>
        <v>64</v>
      </c>
      <c r="K56" s="71"/>
      <c r="L56" s="71">
        <f>M56</f>
        <v>629.70000000000005</v>
      </c>
      <c r="M56" s="71">
        <f>M57</f>
        <v>629.70000000000005</v>
      </c>
      <c r="N56" s="71"/>
    </row>
    <row r="57" spans="1:15" ht="36" hidden="1" customHeight="1" outlineLevel="2" x14ac:dyDescent="0.25">
      <c r="A57" s="151"/>
      <c r="B57" s="73" t="s">
        <v>59</v>
      </c>
      <c r="C57" s="78" t="s">
        <v>60</v>
      </c>
      <c r="D57" s="61" t="s">
        <v>56</v>
      </c>
      <c r="E57" s="61" t="s">
        <v>13</v>
      </c>
      <c r="F57" s="71"/>
      <c r="G57" s="71"/>
      <c r="H57" s="71"/>
      <c r="I57" s="70">
        <f t="shared" ref="I57:I64" si="23">J57</f>
        <v>64</v>
      </c>
      <c r="J57" s="70">
        <f>64</f>
        <v>64</v>
      </c>
      <c r="K57" s="71"/>
      <c r="L57" s="71">
        <f>M57</f>
        <v>629.70000000000005</v>
      </c>
      <c r="M57" s="71">
        <f>250+334.5+45.2</f>
        <v>629.70000000000005</v>
      </c>
      <c r="N57" s="71"/>
    </row>
    <row r="58" spans="1:15" ht="15.75" collapsed="1" x14ac:dyDescent="0.25">
      <c r="A58" s="151"/>
      <c r="B58" s="190" t="s">
        <v>37</v>
      </c>
      <c r="C58" s="191"/>
      <c r="D58" s="191"/>
      <c r="E58" s="192"/>
      <c r="F58" s="65">
        <f>G58</f>
        <v>55910.299999999996</v>
      </c>
      <c r="G58" s="65">
        <f>G59+G61+G60</f>
        <v>55910.299999999996</v>
      </c>
      <c r="H58" s="66"/>
      <c r="I58" s="65">
        <f>J58</f>
        <v>70245.399999999994</v>
      </c>
      <c r="J58" s="65">
        <f>J59+J61+J62+J60</f>
        <v>70245.399999999994</v>
      </c>
      <c r="K58" s="66"/>
      <c r="L58" s="65">
        <f>M58</f>
        <v>71221.799999999988</v>
      </c>
      <c r="M58" s="65">
        <f>M59+M61+M62+M60</f>
        <v>71221.799999999988</v>
      </c>
      <c r="N58" s="66"/>
      <c r="O58" s="60">
        <f>F58+I58+L58</f>
        <v>197377.49999999997</v>
      </c>
    </row>
    <row r="59" spans="1:15" ht="27.75" customHeight="1" x14ac:dyDescent="0.25">
      <c r="A59" s="151"/>
      <c r="B59" s="193" t="s">
        <v>38</v>
      </c>
      <c r="C59" s="78" t="s">
        <v>62</v>
      </c>
      <c r="D59" s="147" t="s">
        <v>56</v>
      </c>
      <c r="E59" s="61" t="s">
        <v>13</v>
      </c>
      <c r="F59" s="70">
        <f>G59</f>
        <v>53191.299999999996</v>
      </c>
      <c r="G59" s="70">
        <f>G63+G69+G71+G75+G79+G85+G93+G99+G110+G120+G126</f>
        <v>53191.299999999996</v>
      </c>
      <c r="H59" s="71"/>
      <c r="I59" s="70">
        <f t="shared" si="23"/>
        <v>67768.7</v>
      </c>
      <c r="J59" s="70">
        <f>J63+J69+J71+J75+J79+J85+J93+J99+J110+J120+J126+J108+J118+J123</f>
        <v>67768.7</v>
      </c>
      <c r="K59" s="71"/>
      <c r="L59" s="71">
        <f>M59</f>
        <v>68771.799999999988</v>
      </c>
      <c r="M59" s="70">
        <f>M63+M69+M71+M75+M79+M85+M93+M99+M110+M120+M126+M108</f>
        <v>68771.799999999988</v>
      </c>
      <c r="N59" s="71"/>
    </row>
    <row r="60" spans="1:15" ht="27.75" customHeight="1" x14ac:dyDescent="0.25">
      <c r="A60" s="151"/>
      <c r="B60" s="246"/>
      <c r="C60" s="78" t="s">
        <v>60</v>
      </c>
      <c r="D60" s="155"/>
      <c r="E60" s="61" t="s">
        <v>13</v>
      </c>
      <c r="F60" s="70">
        <f>G60</f>
        <v>2224</v>
      </c>
      <c r="G60" s="70">
        <f>G73+G78+G84</f>
        <v>2224</v>
      </c>
      <c r="H60" s="71"/>
      <c r="I60" s="70">
        <f>J60</f>
        <v>2224</v>
      </c>
      <c r="J60" s="70">
        <f>J73+J78+J84</f>
        <v>2224</v>
      </c>
      <c r="K60" s="71"/>
      <c r="L60" s="70">
        <f>M60</f>
        <v>2450</v>
      </c>
      <c r="M60" s="70">
        <f>M73+M78+M84</f>
        <v>2450</v>
      </c>
      <c r="N60" s="71"/>
    </row>
    <row r="61" spans="1:15" ht="72.75" customHeight="1" x14ac:dyDescent="0.25">
      <c r="A61" s="151"/>
      <c r="B61" s="246"/>
      <c r="C61" s="78" t="s">
        <v>62</v>
      </c>
      <c r="D61" s="155"/>
      <c r="E61" s="61" t="s">
        <v>68</v>
      </c>
      <c r="F61" s="70">
        <f>G61</f>
        <v>495</v>
      </c>
      <c r="G61" s="70">
        <f>G111</f>
        <v>495</v>
      </c>
      <c r="H61" s="71"/>
      <c r="I61" s="71"/>
      <c r="J61" s="71"/>
      <c r="K61" s="71"/>
      <c r="L61" s="71"/>
      <c r="M61" s="71"/>
      <c r="N61" s="71"/>
    </row>
    <row r="62" spans="1:15" ht="54.75" customHeight="1" x14ac:dyDescent="0.25">
      <c r="A62" s="151"/>
      <c r="B62" s="194"/>
      <c r="C62" s="78" t="s">
        <v>62</v>
      </c>
      <c r="D62" s="148"/>
      <c r="E62" s="61" t="s">
        <v>298</v>
      </c>
      <c r="F62" s="70"/>
      <c r="G62" s="70"/>
      <c r="H62" s="71"/>
      <c r="I62" s="71">
        <f>I112</f>
        <v>252.7</v>
      </c>
      <c r="J62" s="71">
        <f>J112</f>
        <v>252.7</v>
      </c>
      <c r="K62" s="71"/>
      <c r="L62" s="71"/>
      <c r="M62" s="71"/>
      <c r="N62" s="71"/>
    </row>
    <row r="63" spans="1:15" ht="69" customHeight="1" x14ac:dyDescent="0.25">
      <c r="A63" s="151"/>
      <c r="B63" s="71" t="s">
        <v>39</v>
      </c>
      <c r="C63" s="78" t="s">
        <v>62</v>
      </c>
      <c r="D63" s="79" t="s">
        <v>56</v>
      </c>
      <c r="E63" s="61" t="s">
        <v>13</v>
      </c>
      <c r="F63" s="70">
        <f>G63</f>
        <v>42367.7</v>
      </c>
      <c r="G63" s="70">
        <f>G64+G65+G66+G67+G68</f>
        <v>42367.7</v>
      </c>
      <c r="H63" s="71"/>
      <c r="I63" s="71">
        <f t="shared" si="23"/>
        <v>43179.6</v>
      </c>
      <c r="J63" s="71">
        <f>J64+J65+J66+J67+J68</f>
        <v>43179.6</v>
      </c>
      <c r="K63" s="71"/>
      <c r="L63" s="71">
        <f>M63</f>
        <v>51534.7</v>
      </c>
      <c r="M63" s="71">
        <f>M64+M65+M66+M67+M68</f>
        <v>51534.7</v>
      </c>
      <c r="N63" s="71"/>
      <c r="O63" s="72">
        <f>F63+I63+L63</f>
        <v>137082</v>
      </c>
    </row>
    <row r="64" spans="1:15" ht="25.5" hidden="1" customHeight="1" outlineLevel="3" x14ac:dyDescent="0.25">
      <c r="A64" s="151"/>
      <c r="B64" s="71" t="s">
        <v>63</v>
      </c>
      <c r="C64" s="78" t="s">
        <v>62</v>
      </c>
      <c r="D64" s="147" t="s">
        <v>56</v>
      </c>
      <c r="E64" s="147" t="s">
        <v>13</v>
      </c>
      <c r="F64" s="70">
        <f>G64</f>
        <v>7485</v>
      </c>
      <c r="G64" s="70">
        <v>7485</v>
      </c>
      <c r="H64" s="71"/>
      <c r="I64" s="71">
        <f t="shared" si="23"/>
        <v>8047.6</v>
      </c>
      <c r="J64" s="71">
        <v>8047.6</v>
      </c>
      <c r="K64" s="71"/>
      <c r="L64" s="71">
        <f>M64</f>
        <v>10813.5</v>
      </c>
      <c r="M64" s="71">
        <v>10813.5</v>
      </c>
      <c r="N64" s="71"/>
      <c r="O64" s="72"/>
    </row>
    <row r="65" spans="1:15" ht="22.5" hidden="1" customHeight="1" outlineLevel="3" x14ac:dyDescent="0.25">
      <c r="A65" s="151"/>
      <c r="B65" s="71" t="s">
        <v>64</v>
      </c>
      <c r="C65" s="78" t="s">
        <v>62</v>
      </c>
      <c r="D65" s="155"/>
      <c r="E65" s="155"/>
      <c r="F65" s="70">
        <f t="shared" ref="F65:F70" si="24">G65</f>
        <v>9899.7000000000007</v>
      </c>
      <c r="G65" s="70">
        <v>9899.7000000000007</v>
      </c>
      <c r="H65" s="71"/>
      <c r="I65" s="71">
        <f t="shared" ref="I65:I70" si="25">J65</f>
        <v>8534.9</v>
      </c>
      <c r="J65" s="71">
        <v>8534.9</v>
      </c>
      <c r="K65" s="71"/>
      <c r="L65" s="71">
        <f t="shared" ref="L65:L70" si="26">M65</f>
        <v>9736.5</v>
      </c>
      <c r="M65" s="71">
        <v>9736.5</v>
      </c>
      <c r="N65" s="71"/>
      <c r="O65" s="72"/>
    </row>
    <row r="66" spans="1:15" ht="16.5" hidden="1" customHeight="1" outlineLevel="3" x14ac:dyDescent="0.25">
      <c r="A66" s="151"/>
      <c r="B66" s="71" t="s">
        <v>65</v>
      </c>
      <c r="C66" s="78" t="s">
        <v>62</v>
      </c>
      <c r="D66" s="155"/>
      <c r="E66" s="155"/>
      <c r="F66" s="70">
        <f t="shared" si="24"/>
        <v>11953.3</v>
      </c>
      <c r="G66" s="70">
        <v>11953.3</v>
      </c>
      <c r="H66" s="71"/>
      <c r="I66" s="71">
        <f t="shared" si="25"/>
        <v>13198.8</v>
      </c>
      <c r="J66" s="71">
        <v>13198.8</v>
      </c>
      <c r="K66" s="71"/>
      <c r="L66" s="71">
        <f t="shared" si="26"/>
        <v>14476.2</v>
      </c>
      <c r="M66" s="71">
        <v>14476.2</v>
      </c>
      <c r="N66" s="71"/>
      <c r="O66" s="72"/>
    </row>
    <row r="67" spans="1:15" ht="31.5" hidden="1" customHeight="1" outlineLevel="3" x14ac:dyDescent="0.25">
      <c r="A67" s="151"/>
      <c r="B67" s="71" t="s">
        <v>66</v>
      </c>
      <c r="C67" s="78" t="s">
        <v>62</v>
      </c>
      <c r="D67" s="155"/>
      <c r="E67" s="155"/>
      <c r="F67" s="70">
        <f t="shared" si="24"/>
        <v>8736</v>
      </c>
      <c r="G67" s="70">
        <v>8736</v>
      </c>
      <c r="H67" s="71"/>
      <c r="I67" s="71">
        <f t="shared" si="25"/>
        <v>8245.2999999999993</v>
      </c>
      <c r="J67" s="71">
        <v>8245.2999999999993</v>
      </c>
      <c r="K67" s="71"/>
      <c r="L67" s="71">
        <f t="shared" si="26"/>
        <v>10036.799999999999</v>
      </c>
      <c r="M67" s="71">
        <v>10036.799999999999</v>
      </c>
      <c r="N67" s="71"/>
      <c r="O67" s="72"/>
    </row>
    <row r="68" spans="1:15" ht="16.5" hidden="1" customHeight="1" outlineLevel="3" x14ac:dyDescent="0.25">
      <c r="A68" s="151"/>
      <c r="B68" s="71" t="s">
        <v>67</v>
      </c>
      <c r="C68" s="78" t="s">
        <v>62</v>
      </c>
      <c r="D68" s="148"/>
      <c r="E68" s="148"/>
      <c r="F68" s="70">
        <f t="shared" si="24"/>
        <v>4293.7</v>
      </c>
      <c r="G68" s="70">
        <v>4293.7</v>
      </c>
      <c r="H68" s="71"/>
      <c r="I68" s="71">
        <f t="shared" si="25"/>
        <v>5153</v>
      </c>
      <c r="J68" s="71">
        <v>5153</v>
      </c>
      <c r="K68" s="71"/>
      <c r="L68" s="71">
        <f t="shared" si="26"/>
        <v>6471.7</v>
      </c>
      <c r="M68" s="71">
        <v>6471.7</v>
      </c>
      <c r="N68" s="71"/>
      <c r="O68" s="72"/>
    </row>
    <row r="69" spans="1:15" ht="72" customHeight="1" collapsed="1" x14ac:dyDescent="0.25">
      <c r="A69" s="151"/>
      <c r="B69" s="71" t="s">
        <v>40</v>
      </c>
      <c r="C69" s="78" t="s">
        <v>62</v>
      </c>
      <c r="D69" s="79" t="s">
        <v>56</v>
      </c>
      <c r="E69" s="61" t="s">
        <v>13</v>
      </c>
      <c r="F69" s="71">
        <f t="shared" si="24"/>
        <v>318.7</v>
      </c>
      <c r="G69" s="71">
        <f>G70</f>
        <v>318.7</v>
      </c>
      <c r="H69" s="71"/>
      <c r="I69" s="71">
        <f t="shared" si="25"/>
        <v>318.7</v>
      </c>
      <c r="J69" s="71">
        <f>J70</f>
        <v>318.7</v>
      </c>
      <c r="K69" s="71"/>
      <c r="L69" s="71">
        <f t="shared" si="26"/>
        <v>350</v>
      </c>
      <c r="M69" s="71">
        <f>M70</f>
        <v>350</v>
      </c>
      <c r="N69" s="71"/>
      <c r="O69" s="72">
        <f t="shared" ref="O69" si="27">F69+I69+L69</f>
        <v>987.4</v>
      </c>
    </row>
    <row r="70" spans="1:15" ht="30.75" hidden="1" customHeight="1" outlineLevel="1" x14ac:dyDescent="0.25">
      <c r="A70" s="151"/>
      <c r="B70" s="71" t="s">
        <v>63</v>
      </c>
      <c r="C70" s="78" t="s">
        <v>62</v>
      </c>
      <c r="D70" s="61" t="s">
        <v>56</v>
      </c>
      <c r="E70" s="80" t="s">
        <v>13</v>
      </c>
      <c r="F70" s="71">
        <f t="shared" si="24"/>
        <v>318.7</v>
      </c>
      <c r="G70" s="71">
        <v>318.7</v>
      </c>
      <c r="H70" s="71"/>
      <c r="I70" s="71">
        <f t="shared" si="25"/>
        <v>318.7</v>
      </c>
      <c r="J70" s="71">
        <v>318.7</v>
      </c>
      <c r="K70" s="71"/>
      <c r="L70" s="71">
        <f t="shared" si="26"/>
        <v>350</v>
      </c>
      <c r="M70" s="71">
        <v>350</v>
      </c>
      <c r="N70" s="71"/>
      <c r="O70" s="72"/>
    </row>
    <row r="71" spans="1:15" ht="82.5" customHeight="1" collapsed="1" x14ac:dyDescent="0.25">
      <c r="A71" s="151"/>
      <c r="B71" s="71" t="s">
        <v>41</v>
      </c>
      <c r="C71" s="78" t="s">
        <v>62</v>
      </c>
      <c r="D71" s="79" t="s">
        <v>56</v>
      </c>
      <c r="E71" s="61" t="s">
        <v>13</v>
      </c>
      <c r="F71" s="71">
        <f t="shared" ref="F71:F78" si="28">G71</f>
        <v>201.7</v>
      </c>
      <c r="G71" s="71">
        <f>G72</f>
        <v>201.7</v>
      </c>
      <c r="H71" s="71"/>
      <c r="I71" s="71"/>
      <c r="J71" s="71"/>
      <c r="K71" s="71"/>
      <c r="L71" s="71"/>
      <c r="M71" s="71"/>
      <c r="N71" s="71"/>
      <c r="O71" s="72">
        <f t="shared" ref="O71:O75" si="29">F71+I71+L71</f>
        <v>201.7</v>
      </c>
    </row>
    <row r="72" spans="1:15" ht="35.25" hidden="1" customHeight="1" outlineLevel="1" x14ac:dyDescent="0.25">
      <c r="A72" s="151"/>
      <c r="B72" s="71" t="s">
        <v>65</v>
      </c>
      <c r="C72" s="78" t="s">
        <v>62</v>
      </c>
      <c r="D72" s="61" t="s">
        <v>56</v>
      </c>
      <c r="E72" s="80" t="s">
        <v>13</v>
      </c>
      <c r="F72" s="71">
        <f t="shared" si="28"/>
        <v>201.7</v>
      </c>
      <c r="G72" s="71">
        <v>201.7</v>
      </c>
      <c r="H72" s="71"/>
      <c r="I72" s="71"/>
      <c r="J72" s="71"/>
      <c r="K72" s="71"/>
      <c r="L72" s="71"/>
      <c r="M72" s="71"/>
      <c r="N72" s="71"/>
      <c r="O72" s="72"/>
    </row>
    <row r="73" spans="1:15" ht="86.25" customHeight="1" collapsed="1" x14ac:dyDescent="0.25">
      <c r="A73" s="151"/>
      <c r="B73" s="71" t="s">
        <v>42</v>
      </c>
      <c r="C73" s="78" t="s">
        <v>60</v>
      </c>
      <c r="D73" s="79" t="s">
        <v>56</v>
      </c>
      <c r="E73" s="61" t="s">
        <v>13</v>
      </c>
      <c r="F73" s="70">
        <f t="shared" si="28"/>
        <v>2124</v>
      </c>
      <c r="G73" s="70">
        <f>G74</f>
        <v>2124</v>
      </c>
      <c r="H73" s="71"/>
      <c r="I73" s="70">
        <f>J73</f>
        <v>2124</v>
      </c>
      <c r="J73" s="70">
        <f>J74</f>
        <v>2124</v>
      </c>
      <c r="K73" s="71"/>
      <c r="L73" s="70">
        <f>M73</f>
        <v>2200</v>
      </c>
      <c r="M73" s="70">
        <f>M74</f>
        <v>2200</v>
      </c>
      <c r="N73" s="71"/>
      <c r="O73" s="60">
        <f t="shared" si="29"/>
        <v>6448</v>
      </c>
    </row>
    <row r="74" spans="1:15" ht="35.25" hidden="1" customHeight="1" outlineLevel="4" x14ac:dyDescent="0.25">
      <c r="A74" s="151"/>
      <c r="B74" s="71" t="s">
        <v>64</v>
      </c>
      <c r="C74" s="78" t="s">
        <v>60</v>
      </c>
      <c r="D74" s="61" t="s">
        <v>56</v>
      </c>
      <c r="E74" s="80" t="s">
        <v>13</v>
      </c>
      <c r="F74" s="70">
        <f t="shared" si="28"/>
        <v>2124</v>
      </c>
      <c r="G74" s="70">
        <v>2124</v>
      </c>
      <c r="H74" s="70"/>
      <c r="I74" s="70">
        <f>J74</f>
        <v>2124</v>
      </c>
      <c r="J74" s="70">
        <v>2124</v>
      </c>
      <c r="K74" s="70"/>
      <c r="L74" s="70">
        <f>M74</f>
        <v>2200</v>
      </c>
      <c r="M74" s="70">
        <v>2200</v>
      </c>
      <c r="N74" s="70"/>
      <c r="O74" s="60"/>
    </row>
    <row r="75" spans="1:15" ht="107.25" customHeight="1" collapsed="1" x14ac:dyDescent="0.25">
      <c r="A75" s="151"/>
      <c r="B75" s="71" t="s">
        <v>43</v>
      </c>
      <c r="C75" s="78" t="s">
        <v>62</v>
      </c>
      <c r="D75" s="79" t="s">
        <v>56</v>
      </c>
      <c r="E75" s="61" t="s">
        <v>13</v>
      </c>
      <c r="F75" s="71">
        <f t="shared" si="28"/>
        <v>2188.9</v>
      </c>
      <c r="G75" s="71">
        <f>G76</f>
        <v>2188.9</v>
      </c>
      <c r="H75" s="71"/>
      <c r="I75" s="71">
        <f>J75</f>
        <v>2390.5</v>
      </c>
      <c r="J75" s="71">
        <f>J76</f>
        <v>2390.5</v>
      </c>
      <c r="K75" s="71"/>
      <c r="L75" s="71">
        <f>M75</f>
        <v>2419.6</v>
      </c>
      <c r="M75" s="71">
        <f>M76</f>
        <v>2419.6</v>
      </c>
      <c r="N75" s="71"/>
      <c r="O75" s="72">
        <f t="shared" si="29"/>
        <v>6999</v>
      </c>
    </row>
    <row r="76" spans="1:15" ht="31.5" hidden="1" customHeight="1" outlineLevel="2" x14ac:dyDescent="0.25">
      <c r="A76" s="151"/>
      <c r="B76" s="71" t="s">
        <v>66</v>
      </c>
      <c r="C76" s="78" t="s">
        <v>62</v>
      </c>
      <c r="D76" s="61" t="s">
        <v>56</v>
      </c>
      <c r="E76" s="61" t="s">
        <v>13</v>
      </c>
      <c r="F76" s="71">
        <f t="shared" si="28"/>
        <v>2188.9</v>
      </c>
      <c r="G76" s="71">
        <v>2188.9</v>
      </c>
      <c r="H76" s="71"/>
      <c r="I76" s="71">
        <f>J76</f>
        <v>2390.5</v>
      </c>
      <c r="J76" s="71">
        <f>2488.9-98.4</f>
        <v>2390.5</v>
      </c>
      <c r="K76" s="71"/>
      <c r="L76" s="71">
        <f>M76</f>
        <v>2419.6</v>
      </c>
      <c r="M76" s="71">
        <v>2419.6</v>
      </c>
      <c r="N76" s="71"/>
      <c r="O76" s="72"/>
    </row>
    <row r="77" spans="1:15" ht="21" customHeight="1" collapsed="1" x14ac:dyDescent="0.25">
      <c r="A77" s="151"/>
      <c r="B77" s="152" t="s">
        <v>368</v>
      </c>
      <c r="C77" s="259" t="s">
        <v>401</v>
      </c>
      <c r="D77" s="260"/>
      <c r="E77" s="261"/>
      <c r="F77" s="65">
        <f>F78+F79</f>
        <v>4107.6000000000004</v>
      </c>
      <c r="G77" s="65">
        <f>G78+G79</f>
        <v>4107.6000000000004</v>
      </c>
      <c r="H77" s="71"/>
      <c r="I77" s="71"/>
      <c r="J77" s="71"/>
      <c r="K77" s="71"/>
      <c r="L77" s="71"/>
      <c r="M77" s="71"/>
      <c r="N77" s="71"/>
      <c r="O77" s="72"/>
    </row>
    <row r="78" spans="1:15" ht="31.5" customHeight="1" x14ac:dyDescent="0.25">
      <c r="A78" s="151"/>
      <c r="B78" s="153"/>
      <c r="C78" s="78" t="s">
        <v>60</v>
      </c>
      <c r="D78" s="159" t="s">
        <v>56</v>
      </c>
      <c r="E78" s="147" t="s">
        <v>13</v>
      </c>
      <c r="F78" s="70">
        <f t="shared" si="28"/>
        <v>100</v>
      </c>
      <c r="G78" s="70">
        <f>G80</f>
        <v>100</v>
      </c>
      <c r="H78" s="71"/>
      <c r="I78" s="71"/>
      <c r="J78" s="71"/>
      <c r="K78" s="71"/>
      <c r="L78" s="71"/>
      <c r="M78" s="71"/>
      <c r="N78" s="71"/>
      <c r="O78" s="60">
        <f>F78+F79</f>
        <v>4107.6000000000004</v>
      </c>
    </row>
    <row r="79" spans="1:15" ht="44.25" customHeight="1" x14ac:dyDescent="0.25">
      <c r="A79" s="151"/>
      <c r="B79" s="154"/>
      <c r="C79" s="78" t="s">
        <v>62</v>
      </c>
      <c r="D79" s="160"/>
      <c r="E79" s="148"/>
      <c r="F79" s="70">
        <f>F81+F82</f>
        <v>4007.6</v>
      </c>
      <c r="G79" s="70">
        <f>G81+G82</f>
        <v>4007.6</v>
      </c>
      <c r="H79" s="71"/>
      <c r="I79" s="71"/>
      <c r="J79" s="71"/>
      <c r="K79" s="71"/>
      <c r="L79" s="71"/>
      <c r="M79" s="71"/>
      <c r="N79" s="71"/>
    </row>
    <row r="80" spans="1:15" ht="16.5" hidden="1" customHeight="1" outlineLevel="1" x14ac:dyDescent="0.25">
      <c r="A80" s="151"/>
      <c r="B80" s="71" t="s">
        <v>63</v>
      </c>
      <c r="C80" s="78" t="s">
        <v>60</v>
      </c>
      <c r="D80" s="147" t="s">
        <v>56</v>
      </c>
      <c r="E80" s="217" t="s">
        <v>13</v>
      </c>
      <c r="F80" s="70">
        <f>G80</f>
        <v>100</v>
      </c>
      <c r="G80" s="70">
        <v>100</v>
      </c>
      <c r="H80" s="71"/>
      <c r="I80" s="71"/>
      <c r="J80" s="71"/>
      <c r="K80" s="71"/>
      <c r="L80" s="71"/>
      <c r="M80" s="71"/>
      <c r="N80" s="71"/>
    </row>
    <row r="81" spans="1:15" ht="18.75" hidden="1" customHeight="1" outlineLevel="1" x14ac:dyDescent="0.25">
      <c r="A81" s="151"/>
      <c r="B81" s="71" t="s">
        <v>64</v>
      </c>
      <c r="C81" s="78" t="s">
        <v>62</v>
      </c>
      <c r="D81" s="155"/>
      <c r="E81" s="248"/>
      <c r="F81" s="70">
        <f t="shared" ref="F81:F82" si="30">G81</f>
        <v>3838.4</v>
      </c>
      <c r="G81" s="70">
        <v>3838.4</v>
      </c>
      <c r="H81" s="71"/>
      <c r="I81" s="71"/>
      <c r="J81" s="71"/>
      <c r="K81" s="71"/>
      <c r="L81" s="71"/>
      <c r="M81" s="71"/>
      <c r="N81" s="71"/>
    </row>
    <row r="82" spans="1:15" ht="18" hidden="1" customHeight="1" outlineLevel="1" x14ac:dyDescent="0.25">
      <c r="A82" s="151"/>
      <c r="B82" s="71" t="s">
        <v>67</v>
      </c>
      <c r="C82" s="78" t="s">
        <v>62</v>
      </c>
      <c r="D82" s="148"/>
      <c r="E82" s="218"/>
      <c r="F82" s="70">
        <f t="shared" si="30"/>
        <v>169.2</v>
      </c>
      <c r="G82" s="70">
        <v>169.2</v>
      </c>
      <c r="H82" s="71"/>
      <c r="I82" s="71"/>
      <c r="J82" s="71"/>
      <c r="K82" s="71"/>
      <c r="L82" s="71"/>
      <c r="M82" s="71"/>
      <c r="N82" s="71"/>
    </row>
    <row r="83" spans="1:15" ht="18" customHeight="1" collapsed="1" x14ac:dyDescent="0.25">
      <c r="A83" s="151"/>
      <c r="B83" s="152" t="s">
        <v>369</v>
      </c>
      <c r="C83" s="259" t="s">
        <v>312</v>
      </c>
      <c r="D83" s="260"/>
      <c r="E83" s="261"/>
      <c r="F83" s="70"/>
      <c r="G83" s="70"/>
      <c r="H83" s="71"/>
      <c r="I83" s="65">
        <f>I84+I85</f>
        <v>4305.2</v>
      </c>
      <c r="J83" s="65">
        <f>J84+J85</f>
        <v>4305.2</v>
      </c>
      <c r="K83" s="65"/>
      <c r="L83" s="65">
        <f t="shared" ref="L83" si="31">L84+L85</f>
        <v>5200.2999999999993</v>
      </c>
      <c r="M83" s="65">
        <f>M84+M85</f>
        <v>5200.2999999999993</v>
      </c>
      <c r="N83" s="65"/>
    </row>
    <row r="84" spans="1:15" ht="39" customHeight="1" x14ac:dyDescent="0.25">
      <c r="A84" s="151"/>
      <c r="B84" s="153"/>
      <c r="C84" s="78" t="s">
        <v>60</v>
      </c>
      <c r="D84" s="159" t="s">
        <v>56</v>
      </c>
      <c r="E84" s="147" t="s">
        <v>13</v>
      </c>
      <c r="F84" s="70"/>
      <c r="G84" s="70"/>
      <c r="H84" s="71"/>
      <c r="I84" s="70">
        <f>J84</f>
        <v>100</v>
      </c>
      <c r="J84" s="70">
        <f>J86+J89</f>
        <v>100</v>
      </c>
      <c r="K84" s="71"/>
      <c r="L84" s="70">
        <f>M84</f>
        <v>250</v>
      </c>
      <c r="M84" s="70">
        <f>M89</f>
        <v>250</v>
      </c>
      <c r="N84" s="71"/>
      <c r="O84" s="60">
        <f>I84+I85</f>
        <v>4305.2</v>
      </c>
    </row>
    <row r="85" spans="1:15" ht="66.75" customHeight="1" x14ac:dyDescent="0.25">
      <c r="A85" s="151"/>
      <c r="B85" s="154"/>
      <c r="C85" s="78" t="s">
        <v>62</v>
      </c>
      <c r="D85" s="160"/>
      <c r="E85" s="148"/>
      <c r="F85" s="70"/>
      <c r="G85" s="70"/>
      <c r="H85" s="71"/>
      <c r="I85" s="70">
        <f>J85</f>
        <v>4205.2</v>
      </c>
      <c r="J85" s="70">
        <f>J90+J91+J87</f>
        <v>4205.2</v>
      </c>
      <c r="K85" s="71"/>
      <c r="L85" s="81">
        <f>M85</f>
        <v>4950.2999999999993</v>
      </c>
      <c r="M85" s="70">
        <f>M90+M91+M87+M92+M88</f>
        <v>4950.2999999999993</v>
      </c>
      <c r="N85" s="71"/>
    </row>
    <row r="86" spans="1:15" ht="34.5" hidden="1" customHeight="1" outlineLevel="1" x14ac:dyDescent="0.25">
      <c r="A86" s="151"/>
      <c r="B86" s="71" t="s">
        <v>56</v>
      </c>
      <c r="C86" s="78" t="s">
        <v>60</v>
      </c>
      <c r="D86" s="147" t="s">
        <v>56</v>
      </c>
      <c r="E86" s="217" t="s">
        <v>13</v>
      </c>
      <c r="F86" s="70"/>
      <c r="G86" s="70"/>
      <c r="H86" s="71"/>
      <c r="I86" s="70">
        <f>J86</f>
        <v>0</v>
      </c>
      <c r="J86" s="70">
        <f>1000-100-900</f>
        <v>0</v>
      </c>
      <c r="K86" s="71"/>
      <c r="L86" s="70">
        <f t="shared" ref="L86:L87" si="32">M86</f>
        <v>0</v>
      </c>
      <c r="M86" s="71">
        <v>0</v>
      </c>
      <c r="N86" s="71"/>
    </row>
    <row r="87" spans="1:15" ht="31.5" hidden="1" customHeight="1" outlineLevel="1" x14ac:dyDescent="0.25">
      <c r="A87" s="151"/>
      <c r="B87" s="71" t="s">
        <v>314</v>
      </c>
      <c r="C87" s="78" t="s">
        <v>62</v>
      </c>
      <c r="D87" s="155"/>
      <c r="E87" s="248"/>
      <c r="F87" s="70"/>
      <c r="G87" s="70"/>
      <c r="H87" s="71"/>
      <c r="I87" s="70">
        <f>J87</f>
        <v>954.4</v>
      </c>
      <c r="J87" s="70">
        <v>954.4</v>
      </c>
      <c r="K87" s="71"/>
      <c r="L87" s="70">
        <f t="shared" si="32"/>
        <v>0</v>
      </c>
      <c r="M87" s="71">
        <v>0</v>
      </c>
      <c r="N87" s="71"/>
    </row>
    <row r="88" spans="1:15" ht="31.5" hidden="1" customHeight="1" outlineLevel="1" x14ac:dyDescent="0.25">
      <c r="A88" s="151"/>
      <c r="B88" s="71" t="s">
        <v>393</v>
      </c>
      <c r="C88" s="78" t="s">
        <v>62</v>
      </c>
      <c r="D88" s="155"/>
      <c r="E88" s="248"/>
      <c r="F88" s="70"/>
      <c r="G88" s="70"/>
      <c r="H88" s="71"/>
      <c r="I88" s="70"/>
      <c r="J88" s="70"/>
      <c r="K88" s="71"/>
      <c r="L88" s="70"/>
      <c r="M88" s="71">
        <v>1064.0999999999999</v>
      </c>
      <c r="N88" s="71"/>
    </row>
    <row r="89" spans="1:15" ht="29.25" hidden="1" customHeight="1" outlineLevel="1" x14ac:dyDescent="0.25">
      <c r="A89" s="151"/>
      <c r="B89" s="71" t="s">
        <v>63</v>
      </c>
      <c r="C89" s="78" t="s">
        <v>60</v>
      </c>
      <c r="D89" s="155"/>
      <c r="E89" s="248"/>
      <c r="F89" s="70"/>
      <c r="G89" s="70"/>
      <c r="H89" s="71"/>
      <c r="I89" s="70">
        <f t="shared" ref="I89:I92" si="33">J89</f>
        <v>100</v>
      </c>
      <c r="J89" s="70">
        <v>100</v>
      </c>
      <c r="K89" s="71"/>
      <c r="L89" s="70">
        <f>M89</f>
        <v>250</v>
      </c>
      <c r="M89" s="70">
        <v>250</v>
      </c>
      <c r="N89" s="71"/>
    </row>
    <row r="90" spans="1:15" ht="33" hidden="1" customHeight="1" outlineLevel="1" x14ac:dyDescent="0.25">
      <c r="A90" s="151"/>
      <c r="B90" s="71" t="s">
        <v>63</v>
      </c>
      <c r="C90" s="78" t="s">
        <v>62</v>
      </c>
      <c r="D90" s="155"/>
      <c r="E90" s="248"/>
      <c r="F90" s="70"/>
      <c r="G90" s="70"/>
      <c r="H90" s="71"/>
      <c r="I90" s="70">
        <f t="shared" si="33"/>
        <v>3198.5</v>
      </c>
      <c r="J90" s="70">
        <v>3198.5</v>
      </c>
      <c r="K90" s="71"/>
      <c r="L90" s="70">
        <f t="shared" ref="L90:L92" si="34">M90</f>
        <v>3458</v>
      </c>
      <c r="M90" s="71">
        <f>2368.9+585.8+503.3</f>
        <v>3458</v>
      </c>
      <c r="N90" s="71"/>
    </row>
    <row r="91" spans="1:15" ht="31.5" hidden="1" customHeight="1" outlineLevel="1" x14ac:dyDescent="0.25">
      <c r="A91" s="151"/>
      <c r="B91" s="71" t="s">
        <v>67</v>
      </c>
      <c r="C91" s="78" t="s">
        <v>62</v>
      </c>
      <c r="D91" s="148"/>
      <c r="E91" s="218"/>
      <c r="F91" s="70"/>
      <c r="G91" s="70"/>
      <c r="H91" s="71"/>
      <c r="I91" s="70">
        <f t="shared" si="33"/>
        <v>52.3</v>
      </c>
      <c r="J91" s="70">
        <v>52.3</v>
      </c>
      <c r="K91" s="71"/>
      <c r="L91" s="70">
        <f t="shared" si="34"/>
        <v>0</v>
      </c>
      <c r="M91" s="71">
        <v>0</v>
      </c>
      <c r="N91" s="71"/>
    </row>
    <row r="92" spans="1:15" ht="31.5" hidden="1" customHeight="1" outlineLevel="1" x14ac:dyDescent="0.25">
      <c r="A92" s="151"/>
      <c r="B92" s="71" t="s">
        <v>85</v>
      </c>
      <c r="C92" s="78" t="s">
        <v>62</v>
      </c>
      <c r="D92" s="82"/>
      <c r="E92" s="83"/>
      <c r="F92" s="70"/>
      <c r="G92" s="70"/>
      <c r="H92" s="71"/>
      <c r="I92" s="70">
        <f t="shared" si="33"/>
        <v>0</v>
      </c>
      <c r="J92" s="70">
        <v>0</v>
      </c>
      <c r="K92" s="71"/>
      <c r="L92" s="70">
        <f t="shared" si="34"/>
        <v>428.2</v>
      </c>
      <c r="M92" s="71">
        <v>428.2</v>
      </c>
      <c r="N92" s="71"/>
    </row>
    <row r="93" spans="1:15" ht="49.5" customHeight="1" collapsed="1" x14ac:dyDescent="0.25">
      <c r="A93" s="151"/>
      <c r="B93" s="71" t="s">
        <v>370</v>
      </c>
      <c r="C93" s="78" t="s">
        <v>62</v>
      </c>
      <c r="D93" s="79" t="s">
        <v>56</v>
      </c>
      <c r="E93" s="61" t="s">
        <v>13</v>
      </c>
      <c r="F93" s="65">
        <f>G93</f>
        <v>1200</v>
      </c>
      <c r="G93" s="65">
        <f>G94+G97</f>
        <v>1200</v>
      </c>
      <c r="H93" s="66"/>
      <c r="I93" s="65">
        <f t="shared" ref="I93:I98" si="35">J93</f>
        <v>2300</v>
      </c>
      <c r="J93" s="70">
        <f>J94+J97</f>
        <v>2300</v>
      </c>
      <c r="K93" s="71"/>
      <c r="L93" s="71">
        <f t="shared" ref="L93:L103" si="36">M93</f>
        <v>2200</v>
      </c>
      <c r="M93" s="71">
        <f>M94+M97</f>
        <v>2200</v>
      </c>
      <c r="N93" s="71"/>
      <c r="O93" s="60">
        <f>F93+I93+L93</f>
        <v>5700</v>
      </c>
    </row>
    <row r="94" spans="1:15" ht="63" x14ac:dyDescent="0.25">
      <c r="A94" s="151"/>
      <c r="B94" s="71" t="s">
        <v>371</v>
      </c>
      <c r="C94" s="78" t="s">
        <v>62</v>
      </c>
      <c r="D94" s="61" t="s">
        <v>56</v>
      </c>
      <c r="E94" s="61" t="s">
        <v>13</v>
      </c>
      <c r="F94" s="70">
        <f>G94</f>
        <v>1000</v>
      </c>
      <c r="G94" s="70">
        <f>G95+G96</f>
        <v>1000</v>
      </c>
      <c r="H94" s="71"/>
      <c r="I94" s="70">
        <f t="shared" si="35"/>
        <v>2100</v>
      </c>
      <c r="J94" s="70">
        <f>J95+J96</f>
        <v>2100</v>
      </c>
      <c r="K94" s="71"/>
      <c r="L94" s="71">
        <f t="shared" si="36"/>
        <v>2000</v>
      </c>
      <c r="M94" s="71">
        <f>M95+M96</f>
        <v>2000</v>
      </c>
      <c r="N94" s="71"/>
    </row>
    <row r="95" spans="1:15" ht="33" hidden="1" customHeight="1" outlineLevel="3" x14ac:dyDescent="0.25">
      <c r="A95" s="151"/>
      <c r="B95" s="71" t="s">
        <v>63</v>
      </c>
      <c r="C95" s="78" t="s">
        <v>62</v>
      </c>
      <c r="D95" s="147" t="s">
        <v>56</v>
      </c>
      <c r="E95" s="147" t="s">
        <v>13</v>
      </c>
      <c r="F95" s="70">
        <f>G95</f>
        <v>1000</v>
      </c>
      <c r="G95" s="70">
        <v>1000</v>
      </c>
      <c r="H95" s="70"/>
      <c r="I95" s="70">
        <f t="shared" si="35"/>
        <v>1100</v>
      </c>
      <c r="J95" s="70">
        <f>1000+100</f>
        <v>1100</v>
      </c>
      <c r="K95" s="71"/>
      <c r="L95" s="71">
        <f t="shared" si="36"/>
        <v>1000</v>
      </c>
      <c r="M95" s="71">
        <v>1000</v>
      </c>
      <c r="N95" s="71"/>
    </row>
    <row r="96" spans="1:15" ht="33.75" hidden="1" customHeight="1" outlineLevel="3" x14ac:dyDescent="0.25">
      <c r="A96" s="151"/>
      <c r="B96" s="71" t="s">
        <v>67</v>
      </c>
      <c r="C96" s="78" t="s">
        <v>62</v>
      </c>
      <c r="D96" s="148"/>
      <c r="E96" s="148"/>
      <c r="F96" s="71"/>
      <c r="G96" s="70"/>
      <c r="H96" s="70"/>
      <c r="I96" s="70">
        <f t="shared" si="35"/>
        <v>1000</v>
      </c>
      <c r="J96" s="70">
        <v>1000</v>
      </c>
      <c r="K96" s="71"/>
      <c r="L96" s="71">
        <f t="shared" si="36"/>
        <v>1000</v>
      </c>
      <c r="M96" s="71">
        <v>1000</v>
      </c>
      <c r="N96" s="71"/>
    </row>
    <row r="97" spans="1:15" ht="63" collapsed="1" x14ac:dyDescent="0.25">
      <c r="A97" s="151"/>
      <c r="B97" s="71" t="s">
        <v>372</v>
      </c>
      <c r="C97" s="78" t="s">
        <v>62</v>
      </c>
      <c r="D97" s="61" t="s">
        <v>56</v>
      </c>
      <c r="E97" s="61" t="s">
        <v>13</v>
      </c>
      <c r="F97" s="70">
        <f t="shared" ref="F97:F105" si="37">G97</f>
        <v>200</v>
      </c>
      <c r="G97" s="70">
        <f>G98</f>
        <v>200</v>
      </c>
      <c r="H97" s="70"/>
      <c r="I97" s="70">
        <f t="shared" si="35"/>
        <v>200</v>
      </c>
      <c r="J97" s="70">
        <v>200</v>
      </c>
      <c r="K97" s="71"/>
      <c r="L97" s="71">
        <f t="shared" si="36"/>
        <v>200</v>
      </c>
      <c r="M97" s="71">
        <f>M98</f>
        <v>200</v>
      </c>
      <c r="N97" s="71"/>
    </row>
    <row r="98" spans="1:15" ht="33.75" hidden="1" customHeight="1" outlineLevel="1" x14ac:dyDescent="0.25">
      <c r="A98" s="151"/>
      <c r="B98" s="71" t="s">
        <v>65</v>
      </c>
      <c r="C98" s="78" t="s">
        <v>62</v>
      </c>
      <c r="D98" s="61" t="s">
        <v>56</v>
      </c>
      <c r="E98" s="61" t="s">
        <v>13</v>
      </c>
      <c r="F98" s="70">
        <f t="shared" si="37"/>
        <v>200</v>
      </c>
      <c r="G98" s="70">
        <v>200</v>
      </c>
      <c r="H98" s="70"/>
      <c r="I98" s="70">
        <f t="shared" si="35"/>
        <v>200</v>
      </c>
      <c r="J98" s="70">
        <v>200</v>
      </c>
      <c r="K98" s="71"/>
      <c r="L98" s="71">
        <f t="shared" si="36"/>
        <v>200</v>
      </c>
      <c r="M98" s="71">
        <v>200</v>
      </c>
      <c r="N98" s="71"/>
    </row>
    <row r="99" spans="1:15" ht="63" collapsed="1" x14ac:dyDescent="0.25">
      <c r="A99" s="151"/>
      <c r="B99" s="71" t="s">
        <v>373</v>
      </c>
      <c r="C99" s="78" t="s">
        <v>62</v>
      </c>
      <c r="D99" s="61" t="s">
        <v>56</v>
      </c>
      <c r="E99" s="61" t="s">
        <v>13</v>
      </c>
      <c r="F99" s="66">
        <f t="shared" si="37"/>
        <v>653.29999999999995</v>
      </c>
      <c r="G99" s="66">
        <f>G100+G102+G104+G106</f>
        <v>653.29999999999995</v>
      </c>
      <c r="H99" s="66"/>
      <c r="I99" s="65">
        <f>J99</f>
        <v>584.49999999999989</v>
      </c>
      <c r="J99" s="65">
        <f>J100+J102+J104+J106</f>
        <v>584.49999999999989</v>
      </c>
      <c r="K99" s="66"/>
      <c r="L99" s="65">
        <f t="shared" si="36"/>
        <v>0</v>
      </c>
      <c r="M99" s="65">
        <f>M100+M102+M104+M106</f>
        <v>0</v>
      </c>
      <c r="N99" s="66"/>
      <c r="O99" s="60">
        <f>F99+I99+L99</f>
        <v>1237.7999999999997</v>
      </c>
    </row>
    <row r="100" spans="1:15" ht="63" x14ac:dyDescent="0.25">
      <c r="A100" s="151"/>
      <c r="B100" s="71" t="s">
        <v>374</v>
      </c>
      <c r="C100" s="84" t="s">
        <v>62</v>
      </c>
      <c r="D100" s="61" t="s">
        <v>56</v>
      </c>
      <c r="E100" s="61" t="s">
        <v>13</v>
      </c>
      <c r="F100" s="71">
        <f t="shared" si="37"/>
        <v>93.6</v>
      </c>
      <c r="G100" s="71">
        <v>93.6</v>
      </c>
      <c r="H100" s="71"/>
      <c r="I100" s="70">
        <f>J100</f>
        <v>108.8</v>
      </c>
      <c r="J100" s="70">
        <f>J101</f>
        <v>108.8</v>
      </c>
      <c r="K100" s="71"/>
      <c r="L100" s="71">
        <f t="shared" si="36"/>
        <v>0</v>
      </c>
      <c r="M100" s="71"/>
      <c r="N100" s="71"/>
      <c r="O100" s="60">
        <f>F100+I100+L100</f>
        <v>202.39999999999998</v>
      </c>
    </row>
    <row r="101" spans="1:15" ht="35.25" hidden="1" customHeight="1" outlineLevel="1" x14ac:dyDescent="0.25">
      <c r="A101" s="151"/>
      <c r="B101" s="71" t="s">
        <v>66</v>
      </c>
      <c r="C101" s="85" t="s">
        <v>62</v>
      </c>
      <c r="D101" s="61" t="s">
        <v>56</v>
      </c>
      <c r="E101" s="61" t="s">
        <v>13</v>
      </c>
      <c r="F101" s="71">
        <f t="shared" si="37"/>
        <v>93.6</v>
      </c>
      <c r="G101" s="71">
        <v>93.6</v>
      </c>
      <c r="H101" s="71"/>
      <c r="I101" s="70">
        <f>J101</f>
        <v>108.8</v>
      </c>
      <c r="J101" s="70">
        <f>110-1.2</f>
        <v>108.8</v>
      </c>
      <c r="K101" s="71"/>
      <c r="L101" s="71">
        <f t="shared" si="36"/>
        <v>110</v>
      </c>
      <c r="M101" s="71">
        <v>110</v>
      </c>
      <c r="N101" s="71"/>
    </row>
    <row r="102" spans="1:15" ht="63" collapsed="1" x14ac:dyDescent="0.25">
      <c r="A102" s="151"/>
      <c r="B102" s="71" t="s">
        <v>375</v>
      </c>
      <c r="C102" s="78" t="s">
        <v>62</v>
      </c>
      <c r="D102" s="61" t="s">
        <v>56</v>
      </c>
      <c r="E102" s="61" t="s">
        <v>13</v>
      </c>
      <c r="F102" s="71">
        <f t="shared" si="37"/>
        <v>106.8</v>
      </c>
      <c r="G102" s="71">
        <f>G103</f>
        <v>106.8</v>
      </c>
      <c r="H102" s="71"/>
      <c r="I102" s="71">
        <f>J102</f>
        <v>0</v>
      </c>
      <c r="J102" s="71">
        <f>J103</f>
        <v>0</v>
      </c>
      <c r="K102" s="71"/>
      <c r="L102" s="71">
        <f t="shared" si="36"/>
        <v>0</v>
      </c>
      <c r="M102" s="71"/>
      <c r="N102" s="71"/>
    </row>
    <row r="103" spans="1:15" ht="39.75" hidden="1" customHeight="1" outlineLevel="1" x14ac:dyDescent="0.25">
      <c r="A103" s="151"/>
      <c r="B103" s="71" t="s">
        <v>66</v>
      </c>
      <c r="C103" s="78" t="s">
        <v>62</v>
      </c>
      <c r="D103" s="61" t="s">
        <v>56</v>
      </c>
      <c r="E103" s="61" t="s">
        <v>13</v>
      </c>
      <c r="F103" s="71">
        <f t="shared" si="37"/>
        <v>106.8</v>
      </c>
      <c r="G103" s="71">
        <v>106.8</v>
      </c>
      <c r="H103" s="71"/>
      <c r="I103" s="71">
        <f>J103</f>
        <v>0</v>
      </c>
      <c r="J103" s="71">
        <f>527.2-527.2</f>
        <v>0</v>
      </c>
      <c r="K103" s="71"/>
      <c r="L103" s="71">
        <f t="shared" si="36"/>
        <v>527.20000000000005</v>
      </c>
      <c r="M103" s="71">
        <v>527.20000000000005</v>
      </c>
      <c r="N103" s="71"/>
    </row>
    <row r="104" spans="1:15" ht="74.25" customHeight="1" collapsed="1" x14ac:dyDescent="0.25">
      <c r="A104" s="151"/>
      <c r="B104" s="71" t="s">
        <v>376</v>
      </c>
      <c r="C104" s="78" t="s">
        <v>62</v>
      </c>
      <c r="D104" s="61" t="s">
        <v>56</v>
      </c>
      <c r="E104" s="61" t="s">
        <v>13</v>
      </c>
      <c r="F104" s="71">
        <f t="shared" si="37"/>
        <v>452.9</v>
      </c>
      <c r="G104" s="71">
        <f>G105</f>
        <v>452.9</v>
      </c>
      <c r="H104" s="71"/>
      <c r="I104" s="71"/>
      <c r="J104" s="71"/>
      <c r="K104" s="71"/>
      <c r="L104" s="71"/>
      <c r="M104" s="71"/>
      <c r="N104" s="71"/>
    </row>
    <row r="105" spans="1:15" ht="33.75" hidden="1" customHeight="1" outlineLevel="1" x14ac:dyDescent="0.25">
      <c r="A105" s="151"/>
      <c r="B105" s="71" t="s">
        <v>66</v>
      </c>
      <c r="C105" s="78" t="s">
        <v>62</v>
      </c>
      <c r="D105" s="61" t="s">
        <v>56</v>
      </c>
      <c r="E105" s="61" t="s">
        <v>13</v>
      </c>
      <c r="F105" s="71">
        <f t="shared" si="37"/>
        <v>452.9</v>
      </c>
      <c r="G105" s="71">
        <v>452.9</v>
      </c>
      <c r="H105" s="71"/>
      <c r="I105" s="71"/>
      <c r="J105" s="71"/>
      <c r="K105" s="71"/>
      <c r="L105" s="71"/>
      <c r="M105" s="71"/>
      <c r="N105" s="71"/>
    </row>
    <row r="106" spans="1:15" ht="63" collapsed="1" x14ac:dyDescent="0.25">
      <c r="A106" s="151"/>
      <c r="B106" s="71" t="s">
        <v>377</v>
      </c>
      <c r="C106" s="78" t="s">
        <v>62</v>
      </c>
      <c r="D106" s="61" t="s">
        <v>56</v>
      </c>
      <c r="E106" s="61" t="s">
        <v>13</v>
      </c>
      <c r="F106" s="71"/>
      <c r="G106" s="71"/>
      <c r="H106" s="71"/>
      <c r="I106" s="71">
        <f>J106</f>
        <v>475.69999999999993</v>
      </c>
      <c r="J106" s="71">
        <f>J107</f>
        <v>475.69999999999993</v>
      </c>
      <c r="K106" s="71"/>
      <c r="L106" s="71">
        <f>M106</f>
        <v>0</v>
      </c>
      <c r="M106" s="71"/>
      <c r="N106" s="71"/>
    </row>
    <row r="107" spans="1:15" ht="74.25" hidden="1" customHeight="1" outlineLevel="1" x14ac:dyDescent="0.25">
      <c r="A107" s="151"/>
      <c r="B107" s="71" t="s">
        <v>66</v>
      </c>
      <c r="C107" s="78" t="s">
        <v>62</v>
      </c>
      <c r="D107" s="61" t="s">
        <v>56</v>
      </c>
      <c r="E107" s="61" t="s">
        <v>13</v>
      </c>
      <c r="F107" s="71"/>
      <c r="G107" s="71"/>
      <c r="H107" s="71"/>
      <c r="I107" s="71">
        <f>J107</f>
        <v>475.69999999999993</v>
      </c>
      <c r="J107" s="71">
        <f>955.8-480.1</f>
        <v>475.69999999999993</v>
      </c>
      <c r="K107" s="71"/>
      <c r="L107" s="71">
        <f>M107</f>
        <v>955.8</v>
      </c>
      <c r="M107" s="71">
        <v>955.8</v>
      </c>
      <c r="N107" s="71"/>
    </row>
    <row r="108" spans="1:15" ht="63.75" customHeight="1" collapsed="1" x14ac:dyDescent="0.25">
      <c r="A108" s="151"/>
      <c r="B108" s="73" t="s">
        <v>378</v>
      </c>
      <c r="C108" s="78" t="s">
        <v>62</v>
      </c>
      <c r="D108" s="61" t="s">
        <v>56</v>
      </c>
      <c r="E108" s="61" t="s">
        <v>13</v>
      </c>
      <c r="F108" s="71"/>
      <c r="G108" s="71"/>
      <c r="H108" s="71"/>
      <c r="I108" s="71"/>
      <c r="J108" s="71"/>
      <c r="K108" s="71"/>
      <c r="L108" s="70">
        <f>M108</f>
        <v>1593</v>
      </c>
      <c r="M108" s="70">
        <v>1593</v>
      </c>
      <c r="N108" s="71"/>
    </row>
    <row r="109" spans="1:15" ht="33.75" customHeight="1" x14ac:dyDescent="0.25">
      <c r="A109" s="151"/>
      <c r="B109" s="152" t="s">
        <v>379</v>
      </c>
      <c r="C109" s="259" t="s">
        <v>402</v>
      </c>
      <c r="D109" s="260"/>
      <c r="E109" s="261"/>
      <c r="F109" s="65">
        <f>F110+F111+F112</f>
        <v>1748.4</v>
      </c>
      <c r="G109" s="65">
        <f>G110+G111+G112</f>
        <v>1748.4</v>
      </c>
      <c r="H109" s="65"/>
      <c r="I109" s="65">
        <f t="shared" ref="I109" si="38">I110+I111+I112</f>
        <v>5273.92</v>
      </c>
      <c r="J109" s="65">
        <f>J110+J111+J112</f>
        <v>5273.92</v>
      </c>
      <c r="K109" s="65"/>
      <c r="L109" s="65">
        <f t="shared" ref="L109:M109" si="39">L110+L111+L112</f>
        <v>897.5</v>
      </c>
      <c r="M109" s="65">
        <f t="shared" si="39"/>
        <v>897.5</v>
      </c>
      <c r="N109" s="65"/>
    </row>
    <row r="110" spans="1:15" ht="63" x14ac:dyDescent="0.25">
      <c r="A110" s="151"/>
      <c r="B110" s="153"/>
      <c r="C110" s="78" t="s">
        <v>62</v>
      </c>
      <c r="D110" s="79" t="s">
        <v>56</v>
      </c>
      <c r="E110" s="61" t="s">
        <v>13</v>
      </c>
      <c r="F110" s="70">
        <f>G110</f>
        <v>1253.4000000000001</v>
      </c>
      <c r="G110" s="70">
        <f>G113+G115</f>
        <v>1253.4000000000001</v>
      </c>
      <c r="H110" s="71"/>
      <c r="I110" s="71">
        <f>J110</f>
        <v>5021.22</v>
      </c>
      <c r="J110" s="71">
        <f>J113+J115</f>
        <v>5021.22</v>
      </c>
      <c r="K110" s="71"/>
      <c r="L110" s="71">
        <f>M110</f>
        <v>897.5</v>
      </c>
      <c r="M110" s="139">
        <f>M113+M115+M114</f>
        <v>897.5</v>
      </c>
      <c r="N110" s="71"/>
      <c r="O110" s="60">
        <f>F110+I110+L110+F111</f>
        <v>7667.1200000000008</v>
      </c>
    </row>
    <row r="111" spans="1:15" ht="78" customHeight="1" x14ac:dyDescent="0.25">
      <c r="A111" s="151"/>
      <c r="B111" s="153"/>
      <c r="C111" s="78" t="s">
        <v>62</v>
      </c>
      <c r="D111" s="79" t="s">
        <v>56</v>
      </c>
      <c r="E111" s="61" t="s">
        <v>68</v>
      </c>
      <c r="F111" s="70">
        <f>G111</f>
        <v>495</v>
      </c>
      <c r="G111" s="70">
        <f>G116</f>
        <v>495</v>
      </c>
      <c r="H111" s="71"/>
      <c r="I111" s="71"/>
      <c r="J111" s="71"/>
      <c r="K111" s="71"/>
      <c r="L111" s="71"/>
      <c r="M111" s="71"/>
      <c r="N111" s="71"/>
    </row>
    <row r="112" spans="1:15" ht="78" customHeight="1" x14ac:dyDescent="0.25">
      <c r="A112" s="151"/>
      <c r="B112" s="154"/>
      <c r="C112" s="78" t="s">
        <v>62</v>
      </c>
      <c r="D112" s="79" t="s">
        <v>56</v>
      </c>
      <c r="E112" s="61" t="s">
        <v>298</v>
      </c>
      <c r="F112" s="70"/>
      <c r="G112" s="70"/>
      <c r="H112" s="71"/>
      <c r="I112" s="71">
        <f>J112</f>
        <v>252.7</v>
      </c>
      <c r="J112" s="71">
        <f>J117</f>
        <v>252.7</v>
      </c>
      <c r="K112" s="71"/>
      <c r="L112" s="71"/>
      <c r="M112" s="71"/>
      <c r="N112" s="71"/>
    </row>
    <row r="113" spans="1:19" ht="36" hidden="1" customHeight="1" outlineLevel="1" x14ac:dyDescent="0.25">
      <c r="A113" s="151"/>
      <c r="B113" s="71" t="s">
        <v>66</v>
      </c>
      <c r="C113" s="78" t="s">
        <v>62</v>
      </c>
      <c r="D113" s="147" t="s">
        <v>56</v>
      </c>
      <c r="E113" s="147" t="s">
        <v>13</v>
      </c>
      <c r="F113" s="70">
        <f>G113</f>
        <v>1003.4</v>
      </c>
      <c r="G113" s="70">
        <v>1003.4</v>
      </c>
      <c r="H113" s="71"/>
      <c r="I113" s="71">
        <f>J113</f>
        <v>4311.22</v>
      </c>
      <c r="J113" s="71">
        <f>3853.4+481.3-14.98-8.5</f>
        <v>4311.22</v>
      </c>
      <c r="K113" s="71"/>
      <c r="L113" s="71">
        <f>M113</f>
        <v>253.8</v>
      </c>
      <c r="M113" s="71">
        <f>68+95.8+60+30</f>
        <v>253.8</v>
      </c>
      <c r="N113" s="71"/>
      <c r="O113" s="54" t="s">
        <v>353</v>
      </c>
      <c r="R113" s="54" t="s">
        <v>409</v>
      </c>
      <c r="S113" s="54" t="s">
        <v>420</v>
      </c>
    </row>
    <row r="114" spans="1:19" ht="36" hidden="1" customHeight="1" outlineLevel="1" x14ac:dyDescent="0.25">
      <c r="A114" s="151"/>
      <c r="B114" s="71" t="s">
        <v>314</v>
      </c>
      <c r="C114" s="78" t="s">
        <v>62</v>
      </c>
      <c r="D114" s="155"/>
      <c r="E114" s="155"/>
      <c r="F114" s="70"/>
      <c r="G114" s="70"/>
      <c r="H114" s="71"/>
      <c r="I114" s="71"/>
      <c r="J114" s="71"/>
      <c r="K114" s="71"/>
      <c r="L114" s="71">
        <f>M114</f>
        <v>393.7</v>
      </c>
      <c r="M114" s="71">
        <f>166.1+227.6</f>
        <v>393.7</v>
      </c>
      <c r="N114" s="71"/>
    </row>
    <row r="115" spans="1:19" ht="31.5" hidden="1" customHeight="1" outlineLevel="1" x14ac:dyDescent="0.25">
      <c r="A115" s="151"/>
      <c r="B115" s="71" t="s">
        <v>67</v>
      </c>
      <c r="C115" s="78" t="s">
        <v>62</v>
      </c>
      <c r="D115" s="155"/>
      <c r="E115" s="155"/>
      <c r="F115" s="70">
        <f t="shared" ref="F115:F116" si="40">G115</f>
        <v>250</v>
      </c>
      <c r="G115" s="70">
        <v>250</v>
      </c>
      <c r="H115" s="71"/>
      <c r="I115" s="71">
        <f>J115</f>
        <v>710</v>
      </c>
      <c r="J115" s="71">
        <v>710</v>
      </c>
      <c r="K115" s="71"/>
      <c r="L115" s="71">
        <f>M115</f>
        <v>250</v>
      </c>
      <c r="M115" s="71">
        <v>250</v>
      </c>
      <c r="N115" s="71"/>
    </row>
    <row r="116" spans="1:19" ht="40.5" hidden="1" customHeight="1" outlineLevel="1" x14ac:dyDescent="0.25">
      <c r="A116" s="151"/>
      <c r="B116" s="71" t="s">
        <v>67</v>
      </c>
      <c r="C116" s="78" t="s">
        <v>62</v>
      </c>
      <c r="D116" s="155"/>
      <c r="E116" s="148"/>
      <c r="F116" s="70">
        <f t="shared" si="40"/>
        <v>495</v>
      </c>
      <c r="G116" s="70">
        <v>495</v>
      </c>
      <c r="H116" s="71"/>
      <c r="I116" s="71"/>
      <c r="J116" s="71"/>
      <c r="K116" s="71"/>
      <c r="L116" s="71"/>
      <c r="M116" s="71"/>
      <c r="N116" s="71"/>
    </row>
    <row r="117" spans="1:19" ht="46.5" hidden="1" customHeight="1" outlineLevel="1" x14ac:dyDescent="0.25">
      <c r="A117" s="151"/>
      <c r="B117" s="71" t="s">
        <v>67</v>
      </c>
      <c r="C117" s="78" t="s">
        <v>62</v>
      </c>
      <c r="D117" s="148"/>
      <c r="E117" s="61" t="s">
        <v>298</v>
      </c>
      <c r="F117" s="70"/>
      <c r="G117" s="70"/>
      <c r="H117" s="71"/>
      <c r="I117" s="71">
        <f>J117</f>
        <v>252.7</v>
      </c>
      <c r="J117" s="71">
        <f>34.6+200+11.2+6.9</f>
        <v>252.7</v>
      </c>
      <c r="K117" s="71"/>
      <c r="L117" s="71"/>
      <c r="M117" s="71"/>
      <c r="N117" s="71"/>
    </row>
    <row r="118" spans="1:19" ht="64.5" customHeight="1" collapsed="1" x14ac:dyDescent="0.25">
      <c r="A118" s="151"/>
      <c r="B118" s="73" t="s">
        <v>380</v>
      </c>
      <c r="C118" s="78" t="s">
        <v>62</v>
      </c>
      <c r="D118" s="61" t="s">
        <v>56</v>
      </c>
      <c r="E118" s="61" t="s">
        <v>13</v>
      </c>
      <c r="F118" s="70"/>
      <c r="G118" s="70"/>
      <c r="H118" s="71"/>
      <c r="I118" s="70">
        <f>I119</f>
        <v>23.48</v>
      </c>
      <c r="J118" s="70">
        <f>J119</f>
        <v>23.48</v>
      </c>
      <c r="K118" s="71"/>
      <c r="L118" s="71"/>
      <c r="M118" s="71"/>
      <c r="N118" s="71"/>
    </row>
    <row r="119" spans="1:19" ht="46.5" hidden="1" customHeight="1" outlineLevel="1" x14ac:dyDescent="0.25">
      <c r="A119" s="151"/>
      <c r="B119" s="71" t="s">
        <v>66</v>
      </c>
      <c r="C119" s="78" t="s">
        <v>62</v>
      </c>
      <c r="D119" s="61" t="s">
        <v>56</v>
      </c>
      <c r="E119" s="61" t="s">
        <v>13</v>
      </c>
      <c r="F119" s="70"/>
      <c r="G119" s="70"/>
      <c r="H119" s="71"/>
      <c r="I119" s="70">
        <f>J119</f>
        <v>23.48</v>
      </c>
      <c r="J119" s="70">
        <f>14.98+8.5</f>
        <v>23.48</v>
      </c>
      <c r="K119" s="71"/>
      <c r="L119" s="71"/>
      <c r="M119" s="71"/>
      <c r="N119" s="71"/>
    </row>
    <row r="120" spans="1:19" ht="86.25" customHeight="1" collapsed="1" x14ac:dyDescent="0.25">
      <c r="A120" s="151"/>
      <c r="B120" s="71" t="s">
        <v>381</v>
      </c>
      <c r="C120" s="78" t="s">
        <v>62</v>
      </c>
      <c r="D120" s="79" t="s">
        <v>56</v>
      </c>
      <c r="E120" s="61" t="s">
        <v>13</v>
      </c>
      <c r="F120" s="70">
        <f>G120</f>
        <v>1000</v>
      </c>
      <c r="G120" s="70">
        <f>G121+G122</f>
        <v>1000</v>
      </c>
      <c r="H120" s="71"/>
      <c r="I120" s="71">
        <f>J120</f>
        <v>0</v>
      </c>
      <c r="J120" s="71">
        <f>J121+J122</f>
        <v>0</v>
      </c>
      <c r="K120" s="71"/>
      <c r="L120" s="71">
        <f>M120</f>
        <v>0</v>
      </c>
      <c r="M120" s="71">
        <f>M121+M122</f>
        <v>0</v>
      </c>
      <c r="N120" s="71"/>
      <c r="O120" s="60">
        <f>F120+L120</f>
        <v>1000</v>
      </c>
    </row>
    <row r="121" spans="1:19" ht="25.5" hidden="1" customHeight="1" outlineLevel="1" x14ac:dyDescent="0.25">
      <c r="A121" s="151"/>
      <c r="B121" s="71" t="s">
        <v>63</v>
      </c>
      <c r="C121" s="78" t="s">
        <v>62</v>
      </c>
      <c r="D121" s="147" t="s">
        <v>56</v>
      </c>
      <c r="E121" s="147" t="s">
        <v>13</v>
      </c>
      <c r="F121" s="70">
        <f>G121</f>
        <v>800</v>
      </c>
      <c r="G121" s="70">
        <v>800</v>
      </c>
      <c r="H121" s="71"/>
      <c r="I121" s="71"/>
      <c r="J121" s="71"/>
      <c r="K121" s="71"/>
      <c r="L121" s="71"/>
      <c r="M121" s="71"/>
      <c r="N121" s="71"/>
    </row>
    <row r="122" spans="1:19" ht="27" hidden="1" customHeight="1" outlineLevel="1" x14ac:dyDescent="0.25">
      <c r="A122" s="151"/>
      <c r="B122" s="71" t="s">
        <v>67</v>
      </c>
      <c r="C122" s="78" t="s">
        <v>62</v>
      </c>
      <c r="D122" s="148"/>
      <c r="E122" s="148"/>
      <c r="F122" s="70">
        <f>G122</f>
        <v>200</v>
      </c>
      <c r="G122" s="70">
        <v>200</v>
      </c>
      <c r="H122" s="71"/>
      <c r="I122" s="71"/>
      <c r="J122" s="71"/>
      <c r="K122" s="71"/>
      <c r="L122" s="71"/>
      <c r="M122" s="71"/>
      <c r="N122" s="71"/>
    </row>
    <row r="123" spans="1:19" ht="122.25" customHeight="1" collapsed="1" x14ac:dyDescent="0.25">
      <c r="A123" s="151"/>
      <c r="B123" s="71" t="s">
        <v>382</v>
      </c>
      <c r="C123" s="78" t="s">
        <v>62</v>
      </c>
      <c r="D123" s="79" t="s">
        <v>56</v>
      </c>
      <c r="E123" s="61" t="s">
        <v>13</v>
      </c>
      <c r="F123" s="70"/>
      <c r="G123" s="70"/>
      <c r="H123" s="71"/>
      <c r="I123" s="70">
        <f>J123</f>
        <v>1000</v>
      </c>
      <c r="J123" s="70">
        <f>J124+J125</f>
        <v>1000</v>
      </c>
      <c r="K123" s="71"/>
      <c r="L123" s="71"/>
      <c r="M123" s="71"/>
      <c r="N123" s="71"/>
      <c r="O123" s="60">
        <f>I123</f>
        <v>1000</v>
      </c>
    </row>
    <row r="124" spans="1:19" ht="27" hidden="1" customHeight="1" outlineLevel="1" x14ac:dyDescent="0.25">
      <c r="A124" s="151"/>
      <c r="B124" s="71" t="s">
        <v>63</v>
      </c>
      <c r="C124" s="78" t="s">
        <v>62</v>
      </c>
      <c r="D124" s="147" t="s">
        <v>56</v>
      </c>
      <c r="E124" s="147" t="s">
        <v>13</v>
      </c>
      <c r="F124" s="70"/>
      <c r="G124" s="70"/>
      <c r="H124" s="71"/>
      <c r="I124" s="70">
        <f>J124</f>
        <v>800</v>
      </c>
      <c r="J124" s="70">
        <v>800</v>
      </c>
      <c r="K124" s="71"/>
      <c r="L124" s="71"/>
      <c r="M124" s="71"/>
      <c r="N124" s="71"/>
    </row>
    <row r="125" spans="1:19" ht="27" hidden="1" customHeight="1" outlineLevel="1" x14ac:dyDescent="0.25">
      <c r="A125" s="151"/>
      <c r="B125" s="71" t="s">
        <v>67</v>
      </c>
      <c r="C125" s="78" t="s">
        <v>62</v>
      </c>
      <c r="D125" s="148"/>
      <c r="E125" s="148"/>
      <c r="F125" s="70"/>
      <c r="G125" s="70"/>
      <c r="H125" s="71"/>
      <c r="I125" s="70">
        <f>J125</f>
        <v>200</v>
      </c>
      <c r="J125" s="70">
        <v>200</v>
      </c>
      <c r="K125" s="71"/>
      <c r="L125" s="71"/>
      <c r="M125" s="71"/>
      <c r="N125" s="71"/>
    </row>
    <row r="126" spans="1:19" ht="84.75" customHeight="1" collapsed="1" x14ac:dyDescent="0.25">
      <c r="A126" s="151"/>
      <c r="B126" s="71" t="s">
        <v>383</v>
      </c>
      <c r="C126" s="78" t="s">
        <v>62</v>
      </c>
      <c r="D126" s="79" t="s">
        <v>56</v>
      </c>
      <c r="E126" s="61" t="s">
        <v>13</v>
      </c>
      <c r="F126" s="71"/>
      <c r="G126" s="71"/>
      <c r="H126" s="71"/>
      <c r="I126" s="71">
        <f t="shared" ref="I126:I131" si="41">J126</f>
        <v>8745.5</v>
      </c>
      <c r="J126" s="71">
        <f>J127</f>
        <v>8745.5</v>
      </c>
      <c r="K126" s="71"/>
      <c r="L126" s="71">
        <f t="shared" ref="L126:L131" si="42">M126</f>
        <v>4826.7</v>
      </c>
      <c r="M126" s="71">
        <f>M127</f>
        <v>4826.7</v>
      </c>
      <c r="N126" s="71"/>
      <c r="O126" s="54">
        <f>F126+I126+L126</f>
        <v>13572.2</v>
      </c>
    </row>
    <row r="127" spans="1:19" ht="34.5" hidden="1" customHeight="1" outlineLevel="1" x14ac:dyDescent="0.25">
      <c r="A127" s="151"/>
      <c r="B127" s="71" t="s">
        <v>66</v>
      </c>
      <c r="C127" s="78" t="s">
        <v>62</v>
      </c>
      <c r="D127" s="79" t="s">
        <v>56</v>
      </c>
      <c r="E127" s="61" t="s">
        <v>13</v>
      </c>
      <c r="F127" s="71"/>
      <c r="G127" s="71"/>
      <c r="H127" s="71"/>
      <c r="I127" s="71">
        <f t="shared" si="41"/>
        <v>8745.5</v>
      </c>
      <c r="J127" s="71">
        <f>8119.9+527.2+98.4</f>
        <v>8745.5</v>
      </c>
      <c r="K127" s="71"/>
      <c r="L127" s="71">
        <f t="shared" si="42"/>
        <v>4826.7</v>
      </c>
      <c r="M127" s="71">
        <v>4826.7</v>
      </c>
      <c r="N127" s="71"/>
    </row>
    <row r="128" spans="1:19" ht="15.75" collapsed="1" x14ac:dyDescent="0.25">
      <c r="A128" s="151"/>
      <c r="B128" s="249" t="s">
        <v>45</v>
      </c>
      <c r="C128" s="250"/>
      <c r="D128" s="250"/>
      <c r="E128" s="251"/>
      <c r="F128" s="66">
        <f t="shared" ref="F128:F136" si="43">G128</f>
        <v>5125.6000000000004</v>
      </c>
      <c r="G128" s="66">
        <f>G129</f>
        <v>5125.6000000000004</v>
      </c>
      <c r="H128" s="66"/>
      <c r="I128" s="65">
        <f t="shared" si="41"/>
        <v>4304</v>
      </c>
      <c r="J128" s="65">
        <f>J129</f>
        <v>4304</v>
      </c>
      <c r="K128" s="66"/>
      <c r="L128" s="66">
        <f t="shared" si="42"/>
        <v>6012.4</v>
      </c>
      <c r="M128" s="66">
        <f>M129</f>
        <v>6012.4</v>
      </c>
      <c r="N128" s="66"/>
    </row>
    <row r="129" spans="1:17" ht="63" x14ac:dyDescent="0.25">
      <c r="A129" s="151"/>
      <c r="B129" s="86" t="s">
        <v>44</v>
      </c>
      <c r="C129" s="78" t="s">
        <v>69</v>
      </c>
      <c r="D129" s="79" t="s">
        <v>56</v>
      </c>
      <c r="E129" s="61" t="s">
        <v>13</v>
      </c>
      <c r="F129" s="71">
        <f t="shared" si="43"/>
        <v>5125.6000000000004</v>
      </c>
      <c r="G129" s="71">
        <f>G130+G132</f>
        <v>5125.6000000000004</v>
      </c>
      <c r="H129" s="71"/>
      <c r="I129" s="70">
        <f t="shared" si="41"/>
        <v>4304</v>
      </c>
      <c r="J129" s="70">
        <f>J130+J132</f>
        <v>4304</v>
      </c>
      <c r="K129" s="71"/>
      <c r="L129" s="71">
        <f t="shared" si="42"/>
        <v>6012.4</v>
      </c>
      <c r="M129" s="71">
        <f>M130+M132</f>
        <v>6012.4</v>
      </c>
      <c r="N129" s="71"/>
      <c r="O129" s="60">
        <f>F129+I129+L129</f>
        <v>15442</v>
      </c>
    </row>
    <row r="130" spans="1:17" ht="63" x14ac:dyDescent="0.25">
      <c r="A130" s="151"/>
      <c r="B130" s="71" t="s">
        <v>46</v>
      </c>
      <c r="C130" s="78" t="s">
        <v>69</v>
      </c>
      <c r="D130" s="61" t="s">
        <v>56</v>
      </c>
      <c r="E130" s="61" t="s">
        <v>13</v>
      </c>
      <c r="F130" s="71">
        <f t="shared" si="43"/>
        <v>5058.3</v>
      </c>
      <c r="G130" s="71">
        <v>5058.3</v>
      </c>
      <c r="H130" s="71"/>
      <c r="I130" s="70">
        <f t="shared" si="41"/>
        <v>4304</v>
      </c>
      <c r="J130" s="70">
        <f>J131</f>
        <v>4304</v>
      </c>
      <c r="K130" s="71"/>
      <c r="L130" s="71">
        <f t="shared" si="42"/>
        <v>6012.4</v>
      </c>
      <c r="M130" s="71">
        <f>M131</f>
        <v>6012.4</v>
      </c>
      <c r="N130" s="71"/>
      <c r="O130" s="54">
        <f>F130+I130+L130</f>
        <v>15374.699999999999</v>
      </c>
    </row>
    <row r="131" spans="1:17" ht="38.25" hidden="1" customHeight="1" outlineLevel="2" x14ac:dyDescent="0.25">
      <c r="A131" s="151"/>
      <c r="B131" s="71" t="s">
        <v>88</v>
      </c>
      <c r="C131" s="78" t="s">
        <v>69</v>
      </c>
      <c r="D131" s="61" t="s">
        <v>56</v>
      </c>
      <c r="E131" s="61" t="s">
        <v>13</v>
      </c>
      <c r="F131" s="71">
        <f>G131</f>
        <v>5058.3</v>
      </c>
      <c r="G131" s="71">
        <v>5058.3</v>
      </c>
      <c r="H131" s="71"/>
      <c r="I131" s="70">
        <f t="shared" si="41"/>
        <v>4304</v>
      </c>
      <c r="J131" s="70">
        <v>4304</v>
      </c>
      <c r="K131" s="71"/>
      <c r="L131" s="71">
        <f t="shared" si="42"/>
        <v>6012.4</v>
      </c>
      <c r="M131" s="71">
        <v>6012.4</v>
      </c>
      <c r="N131" s="71"/>
    </row>
    <row r="132" spans="1:17" ht="84" customHeight="1" collapsed="1" x14ac:dyDescent="0.25">
      <c r="A132" s="151"/>
      <c r="B132" s="71" t="s">
        <v>47</v>
      </c>
      <c r="C132" s="78" t="s">
        <v>69</v>
      </c>
      <c r="D132" s="61" t="s">
        <v>56</v>
      </c>
      <c r="E132" s="61" t="s">
        <v>13</v>
      </c>
      <c r="F132" s="71">
        <f t="shared" si="43"/>
        <v>67.3</v>
      </c>
      <c r="G132" s="71">
        <v>67.3</v>
      </c>
      <c r="H132" s="71"/>
      <c r="I132" s="70"/>
      <c r="J132" s="70"/>
      <c r="K132" s="71"/>
      <c r="L132" s="71"/>
      <c r="M132" s="71"/>
      <c r="N132" s="71"/>
      <c r="O132" s="60">
        <f>F132+I132+L132</f>
        <v>67.3</v>
      </c>
    </row>
    <row r="133" spans="1:17" ht="33" hidden="1" customHeight="1" outlineLevel="1" x14ac:dyDescent="0.25">
      <c r="A133" s="151"/>
      <c r="B133" s="71" t="s">
        <v>88</v>
      </c>
      <c r="C133" s="78" t="s">
        <v>69</v>
      </c>
      <c r="D133" s="61" t="s">
        <v>56</v>
      </c>
      <c r="E133" s="61" t="s">
        <v>13</v>
      </c>
      <c r="F133" s="71">
        <f>G133</f>
        <v>67.3</v>
      </c>
      <c r="G133" s="71">
        <v>67.3</v>
      </c>
      <c r="H133" s="71"/>
      <c r="I133" s="70"/>
      <c r="J133" s="70"/>
      <c r="K133" s="71"/>
      <c r="L133" s="71"/>
      <c r="M133" s="71"/>
      <c r="N133" s="71"/>
      <c r="O133" s="60"/>
    </row>
    <row r="134" spans="1:17" ht="24.75" customHeight="1" collapsed="1" x14ac:dyDescent="0.25">
      <c r="A134" s="151"/>
      <c r="B134" s="249" t="s">
        <v>48</v>
      </c>
      <c r="C134" s="250"/>
      <c r="D134" s="251"/>
      <c r="E134" s="57"/>
      <c r="F134" s="66">
        <f t="shared" si="43"/>
        <v>12388.7</v>
      </c>
      <c r="G134" s="66">
        <f>G135</f>
        <v>12388.7</v>
      </c>
      <c r="H134" s="66"/>
      <c r="I134" s="66">
        <f>I135</f>
        <v>12756.4</v>
      </c>
      <c r="J134" s="66">
        <f>J135</f>
        <v>12756.4</v>
      </c>
      <c r="K134" s="66"/>
      <c r="L134" s="66">
        <f>L135</f>
        <v>12460.4</v>
      </c>
      <c r="M134" s="66">
        <f>M135</f>
        <v>12460.4</v>
      </c>
      <c r="N134" s="71"/>
    </row>
    <row r="135" spans="1:17" ht="63.75" customHeight="1" x14ac:dyDescent="0.25">
      <c r="A135" s="151"/>
      <c r="B135" s="87" t="s">
        <v>49</v>
      </c>
      <c r="C135" s="78" t="s">
        <v>71</v>
      </c>
      <c r="D135" s="74" t="s">
        <v>56</v>
      </c>
      <c r="E135" s="61" t="s">
        <v>13</v>
      </c>
      <c r="F135" s="71">
        <f t="shared" si="43"/>
        <v>12388.7</v>
      </c>
      <c r="G135" s="71">
        <f>G136+G138</f>
        <v>12388.7</v>
      </c>
      <c r="H135" s="71"/>
      <c r="I135" s="71">
        <f>J135</f>
        <v>12756.4</v>
      </c>
      <c r="J135" s="71">
        <f>J136+J138</f>
        <v>12756.4</v>
      </c>
      <c r="K135" s="71"/>
      <c r="L135" s="71">
        <f>M135</f>
        <v>12460.4</v>
      </c>
      <c r="M135" s="71">
        <f>M136+M138</f>
        <v>12460.4</v>
      </c>
      <c r="N135" s="71"/>
      <c r="O135" s="60">
        <f>F135+I135+L135</f>
        <v>37605.5</v>
      </c>
    </row>
    <row r="136" spans="1:17" ht="67.5" customHeight="1" x14ac:dyDescent="0.25">
      <c r="A136" s="151"/>
      <c r="B136" s="71" t="s">
        <v>70</v>
      </c>
      <c r="C136" s="78" t="s">
        <v>71</v>
      </c>
      <c r="D136" s="61" t="s">
        <v>56</v>
      </c>
      <c r="E136" s="80" t="s">
        <v>13</v>
      </c>
      <c r="F136" s="71">
        <f t="shared" si="43"/>
        <v>11493.1</v>
      </c>
      <c r="G136" s="71">
        <v>11493.1</v>
      </c>
      <c r="H136" s="71"/>
      <c r="I136" s="71">
        <f>J136</f>
        <v>11836.1</v>
      </c>
      <c r="J136" s="71">
        <v>11836.1</v>
      </c>
      <c r="K136" s="71"/>
      <c r="L136" s="71">
        <f>M136</f>
        <v>11277.1</v>
      </c>
      <c r="M136" s="71">
        <v>11277.1</v>
      </c>
      <c r="N136" s="71"/>
      <c r="O136" s="54">
        <f>F136+I136+L136</f>
        <v>34606.300000000003</v>
      </c>
    </row>
    <row r="137" spans="1:17" ht="33" hidden="1" customHeight="1" outlineLevel="1" x14ac:dyDescent="0.25">
      <c r="A137" s="151"/>
      <c r="B137" s="71" t="s">
        <v>76</v>
      </c>
      <c r="C137" s="78" t="s">
        <v>71</v>
      </c>
      <c r="D137" s="61" t="s">
        <v>56</v>
      </c>
      <c r="E137" s="80" t="s">
        <v>13</v>
      </c>
      <c r="F137" s="71">
        <f>G137</f>
        <v>11493.1</v>
      </c>
      <c r="G137" s="71">
        <v>11493.1</v>
      </c>
      <c r="H137" s="71"/>
      <c r="I137" s="71"/>
      <c r="J137" s="71"/>
      <c r="K137" s="71"/>
      <c r="L137" s="71"/>
      <c r="M137" s="71"/>
      <c r="N137" s="71"/>
    </row>
    <row r="138" spans="1:17" ht="63" collapsed="1" x14ac:dyDescent="0.25">
      <c r="A138" s="151"/>
      <c r="B138" s="71" t="s">
        <v>338</v>
      </c>
      <c r="C138" s="78" t="s">
        <v>71</v>
      </c>
      <c r="D138" s="61" t="s">
        <v>56</v>
      </c>
      <c r="E138" s="80" t="s">
        <v>13</v>
      </c>
      <c r="F138" s="71">
        <f>G138</f>
        <v>895.6</v>
      </c>
      <c r="G138" s="71">
        <v>895.6</v>
      </c>
      <c r="H138" s="71"/>
      <c r="I138" s="71">
        <f>J138</f>
        <v>920.3</v>
      </c>
      <c r="J138" s="71">
        <f>J139</f>
        <v>920.3</v>
      </c>
      <c r="K138" s="71"/>
      <c r="L138" s="71">
        <f>M138</f>
        <v>1183.3</v>
      </c>
      <c r="M138" s="71">
        <f>M139</f>
        <v>1183.3</v>
      </c>
      <c r="N138" s="71"/>
      <c r="O138" s="54">
        <f t="shared" ref="O138" si="44">F138+I138+L138</f>
        <v>2999.2</v>
      </c>
    </row>
    <row r="139" spans="1:17" ht="38.25" hidden="1" customHeight="1" outlineLevel="1" x14ac:dyDescent="0.25">
      <c r="A139" s="151"/>
      <c r="B139" s="71" t="s">
        <v>76</v>
      </c>
      <c r="C139" s="78" t="s">
        <v>71</v>
      </c>
      <c r="D139" s="61" t="s">
        <v>56</v>
      </c>
      <c r="E139" s="88" t="s">
        <v>13</v>
      </c>
      <c r="F139" s="71">
        <f>G139</f>
        <v>895.6</v>
      </c>
      <c r="G139" s="71">
        <v>895.6</v>
      </c>
      <c r="H139" s="71"/>
      <c r="I139" s="71">
        <f>J139</f>
        <v>920.3</v>
      </c>
      <c r="J139" s="71">
        <v>920.3</v>
      </c>
      <c r="K139" s="71"/>
      <c r="L139" s="71">
        <f>M139</f>
        <v>1183.3</v>
      </c>
      <c r="M139" s="71">
        <v>1183.3</v>
      </c>
      <c r="N139" s="71"/>
    </row>
    <row r="140" spans="1:17" ht="15.75" collapsed="1" x14ac:dyDescent="0.25">
      <c r="A140" s="189" t="s">
        <v>290</v>
      </c>
      <c r="B140" s="189"/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</row>
    <row r="141" spans="1:17" ht="15.75" x14ac:dyDescent="0.25">
      <c r="A141" s="149" t="s">
        <v>287</v>
      </c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50"/>
    </row>
    <row r="142" spans="1:17" ht="15.75" x14ac:dyDescent="0.25">
      <c r="A142" s="151" t="s">
        <v>283</v>
      </c>
      <c r="B142" s="190" t="s">
        <v>98</v>
      </c>
      <c r="C142" s="191"/>
      <c r="D142" s="191"/>
      <c r="E142" s="192"/>
      <c r="F142" s="89">
        <f>G142</f>
        <v>17774.899999999998</v>
      </c>
      <c r="G142" s="89">
        <f>G150</f>
        <v>17774.899999999998</v>
      </c>
      <c r="H142" s="90"/>
      <c r="I142" s="89">
        <f>J142</f>
        <v>20196</v>
      </c>
      <c r="J142" s="89">
        <f>J150</f>
        <v>20196</v>
      </c>
      <c r="K142" s="90"/>
      <c r="L142" s="89">
        <f>M142</f>
        <v>20815.3</v>
      </c>
      <c r="M142" s="89">
        <f>M150</f>
        <v>20815.3</v>
      </c>
      <c r="N142" s="90"/>
      <c r="O142" s="60">
        <f>F142+I142+L142</f>
        <v>58786.2</v>
      </c>
    </row>
    <row r="143" spans="1:17" ht="68.25" customHeight="1" x14ac:dyDescent="0.25">
      <c r="A143" s="151"/>
      <c r="B143" s="178"/>
      <c r="C143" s="150"/>
      <c r="D143" s="61" t="s">
        <v>56</v>
      </c>
      <c r="E143" s="61" t="s">
        <v>13</v>
      </c>
      <c r="F143" s="91">
        <f>G143</f>
        <v>17774.899999999998</v>
      </c>
      <c r="G143" s="91">
        <f>G153+G157+G161+G165+G169+G172+G175+G177</f>
        <v>17774.899999999998</v>
      </c>
      <c r="H143" s="92"/>
      <c r="I143" s="91">
        <f>J143</f>
        <v>20196</v>
      </c>
      <c r="J143" s="91">
        <f>J153+J157+J161+J165+J169+J172+J175+J177</f>
        <v>20196</v>
      </c>
      <c r="K143" s="92"/>
      <c r="L143" s="91">
        <f>M143</f>
        <v>20815.3</v>
      </c>
      <c r="M143" s="91">
        <f>M153+M157+M161+M165+M169+M172+M175+M177</f>
        <v>20815.3</v>
      </c>
      <c r="N143" s="92"/>
      <c r="O143" s="60"/>
      <c r="P143" s="60"/>
    </row>
    <row r="144" spans="1:17" ht="36" hidden="1" customHeight="1" outlineLevel="1" x14ac:dyDescent="0.25">
      <c r="A144" s="151"/>
      <c r="B144" s="73" t="s">
        <v>58</v>
      </c>
      <c r="C144" s="93"/>
      <c r="D144" s="147" t="s">
        <v>56</v>
      </c>
      <c r="E144" s="217" t="s">
        <v>13</v>
      </c>
      <c r="F144" s="91">
        <f>G144</f>
        <v>7327.2</v>
      </c>
      <c r="G144" s="91">
        <f>G154+G158+G162+G166</f>
        <v>7327.2</v>
      </c>
      <c r="H144" s="92"/>
      <c r="I144" s="91">
        <f>J144</f>
        <v>8239.4</v>
      </c>
      <c r="J144" s="91">
        <f>J154+J158+J162+J166</f>
        <v>8239.4</v>
      </c>
      <c r="K144" s="92"/>
      <c r="L144" s="91">
        <f>M144</f>
        <v>7913.7</v>
      </c>
      <c r="M144" s="91">
        <f>M154+M158+M162+M166</f>
        <v>7913.7</v>
      </c>
      <c r="N144" s="92"/>
      <c r="O144" s="60">
        <f>G144+G145+G146+G147+G148+G149</f>
        <v>17774.900000000001</v>
      </c>
      <c r="P144" s="60">
        <f>J144+J145+J146+J147+J148+J149</f>
        <v>20196</v>
      </c>
      <c r="Q144" s="60">
        <f>M144+M145+M146+M147+M148+M149</f>
        <v>20815.3</v>
      </c>
    </row>
    <row r="145" spans="1:15" ht="31.5" hidden="1" outlineLevel="1" x14ac:dyDescent="0.25">
      <c r="A145" s="151"/>
      <c r="B145" s="73" t="s">
        <v>59</v>
      </c>
      <c r="C145" s="93"/>
      <c r="D145" s="155"/>
      <c r="E145" s="248"/>
      <c r="F145" s="91">
        <f t="shared" ref="F145:F149" si="45">G145</f>
        <v>7901.2999999999993</v>
      </c>
      <c r="G145" s="91">
        <f>G155+G159+G163+G167</f>
        <v>7901.2999999999993</v>
      </c>
      <c r="H145" s="92"/>
      <c r="I145" s="91">
        <f t="shared" ref="I145:I149" si="46">J145</f>
        <v>9286</v>
      </c>
      <c r="J145" s="91">
        <f>J155+J159+J163+J167</f>
        <v>9286</v>
      </c>
      <c r="K145" s="92"/>
      <c r="L145" s="91">
        <f t="shared" ref="L145:L149" si="47">M145</f>
        <v>8946.2999999999993</v>
      </c>
      <c r="M145" s="91">
        <f>M155+M159+M163+M167</f>
        <v>8946.2999999999993</v>
      </c>
      <c r="N145" s="92"/>
      <c r="O145" s="60"/>
    </row>
    <row r="146" spans="1:15" ht="15.75" hidden="1" outlineLevel="1" x14ac:dyDescent="0.25">
      <c r="A146" s="151"/>
      <c r="B146" s="71" t="s">
        <v>64</v>
      </c>
      <c r="C146" s="93"/>
      <c r="D146" s="155"/>
      <c r="E146" s="248"/>
      <c r="F146" s="91">
        <f t="shared" si="45"/>
        <v>611.6</v>
      </c>
      <c r="G146" s="91">
        <f>G170+G173</f>
        <v>611.6</v>
      </c>
      <c r="H146" s="92"/>
      <c r="I146" s="91">
        <f t="shared" si="46"/>
        <v>650.6</v>
      </c>
      <c r="J146" s="91">
        <f>J170+J173</f>
        <v>650.6</v>
      </c>
      <c r="K146" s="92"/>
      <c r="L146" s="91">
        <f t="shared" si="47"/>
        <v>814</v>
      </c>
      <c r="M146" s="91">
        <f>M170+M173</f>
        <v>814</v>
      </c>
      <c r="N146" s="92"/>
      <c r="O146" s="60"/>
    </row>
    <row r="147" spans="1:15" ht="15.75" hidden="1" outlineLevel="1" x14ac:dyDescent="0.25">
      <c r="A147" s="151"/>
      <c r="B147" s="71" t="s">
        <v>65</v>
      </c>
      <c r="C147" s="93"/>
      <c r="D147" s="155"/>
      <c r="E147" s="248"/>
      <c r="F147" s="91">
        <f t="shared" si="45"/>
        <v>364.8</v>
      </c>
      <c r="G147" s="91">
        <f>G176+G178</f>
        <v>364.8</v>
      </c>
      <c r="H147" s="92"/>
      <c r="I147" s="91">
        <f t="shared" si="46"/>
        <v>300</v>
      </c>
      <c r="J147" s="91">
        <f>J176+J178</f>
        <v>300</v>
      </c>
      <c r="K147" s="92"/>
      <c r="L147" s="91">
        <f t="shared" si="47"/>
        <v>300</v>
      </c>
      <c r="M147" s="91">
        <f>M176+M178</f>
        <v>300</v>
      </c>
      <c r="N147" s="92"/>
      <c r="O147" s="60"/>
    </row>
    <row r="148" spans="1:15" ht="31.5" hidden="1" outlineLevel="1" x14ac:dyDescent="0.25">
      <c r="A148" s="151"/>
      <c r="B148" s="71" t="s">
        <v>67</v>
      </c>
      <c r="C148" s="93"/>
      <c r="D148" s="155"/>
      <c r="E148" s="248"/>
      <c r="F148" s="91">
        <f t="shared" si="45"/>
        <v>120</v>
      </c>
      <c r="G148" s="91">
        <f>G156+G160+G164+G168</f>
        <v>120</v>
      </c>
      <c r="H148" s="92"/>
      <c r="I148" s="91">
        <f t="shared" si="46"/>
        <v>174</v>
      </c>
      <c r="J148" s="91">
        <f>J156+J160+J164+J168</f>
        <v>174</v>
      </c>
      <c r="K148" s="92"/>
      <c r="L148" s="91">
        <f t="shared" si="47"/>
        <v>140</v>
      </c>
      <c r="M148" s="91">
        <f>M156+M160+M164+M168</f>
        <v>140</v>
      </c>
      <c r="N148" s="92"/>
      <c r="O148" s="60"/>
    </row>
    <row r="149" spans="1:15" ht="31.5" hidden="1" outlineLevel="1" x14ac:dyDescent="0.25">
      <c r="A149" s="151"/>
      <c r="B149" s="71" t="s">
        <v>76</v>
      </c>
      <c r="C149" s="93"/>
      <c r="D149" s="148"/>
      <c r="E149" s="218"/>
      <c r="F149" s="91">
        <f t="shared" si="45"/>
        <v>1450</v>
      </c>
      <c r="G149" s="91">
        <f>G171+G174</f>
        <v>1450</v>
      </c>
      <c r="H149" s="92"/>
      <c r="I149" s="91">
        <f t="shared" si="46"/>
        <v>1546</v>
      </c>
      <c r="J149" s="91">
        <f>J171+J174</f>
        <v>1546</v>
      </c>
      <c r="K149" s="92"/>
      <c r="L149" s="91">
        <f t="shared" si="47"/>
        <v>2701.3</v>
      </c>
      <c r="M149" s="91">
        <f>M171+M174</f>
        <v>2701.3</v>
      </c>
      <c r="N149" s="92"/>
      <c r="O149" s="60"/>
    </row>
    <row r="150" spans="1:15" ht="15.75" collapsed="1" x14ac:dyDescent="0.25">
      <c r="A150" s="151"/>
      <c r="B150" s="190" t="s">
        <v>50</v>
      </c>
      <c r="C150" s="191"/>
      <c r="D150" s="191"/>
      <c r="E150" s="192"/>
      <c r="F150" s="89">
        <f>G150</f>
        <v>17774.899999999998</v>
      </c>
      <c r="G150" s="89">
        <f>G153+G157+G161+G165+G169+G172+G175+G177</f>
        <v>17774.899999999998</v>
      </c>
      <c r="H150" s="90"/>
      <c r="I150" s="89">
        <f>J150</f>
        <v>20196</v>
      </c>
      <c r="J150" s="89">
        <f>J153+J157+J161+J165+J169+J172+J175+J177</f>
        <v>20196</v>
      </c>
      <c r="K150" s="90"/>
      <c r="L150" s="89">
        <f>M150</f>
        <v>20815.3</v>
      </c>
      <c r="M150" s="89">
        <f>M153+M157+M161+M165+M169+M172+M175+M177</f>
        <v>20815.3</v>
      </c>
      <c r="N150" s="90"/>
    </row>
    <row r="151" spans="1:15" ht="49.5" customHeight="1" x14ac:dyDescent="0.25">
      <c r="A151" s="151"/>
      <c r="B151" s="193" t="s">
        <v>51</v>
      </c>
      <c r="C151" s="78" t="s">
        <v>60</v>
      </c>
      <c r="D151" s="147" t="s">
        <v>56</v>
      </c>
      <c r="E151" s="147" t="s">
        <v>13</v>
      </c>
      <c r="F151" s="94">
        <f>G151</f>
        <v>17410.099999999999</v>
      </c>
      <c r="G151" s="94">
        <f>G153+G157+G161+G165+G169+G172</f>
        <v>17410.099999999999</v>
      </c>
      <c r="H151" s="94"/>
      <c r="I151" s="94">
        <f>J151</f>
        <v>19896</v>
      </c>
      <c r="J151" s="94">
        <f>J153+J157+J161+J165+J169+J172</f>
        <v>19896</v>
      </c>
      <c r="K151" s="94"/>
      <c r="L151" s="94">
        <f>M151</f>
        <v>20515.3</v>
      </c>
      <c r="M151" s="94">
        <f>M153+M157+M161+M165+M169+M172</f>
        <v>20515.3</v>
      </c>
      <c r="N151" s="95"/>
    </row>
    <row r="152" spans="1:15" ht="49.5" customHeight="1" x14ac:dyDescent="0.25">
      <c r="A152" s="151"/>
      <c r="B152" s="194"/>
      <c r="C152" s="78" t="s">
        <v>62</v>
      </c>
      <c r="D152" s="148"/>
      <c r="E152" s="148"/>
      <c r="F152" s="94">
        <f>G152</f>
        <v>364.8</v>
      </c>
      <c r="G152" s="94">
        <f>G175+G177</f>
        <v>364.8</v>
      </c>
      <c r="H152" s="94"/>
      <c r="I152" s="94">
        <f>J152</f>
        <v>300</v>
      </c>
      <c r="J152" s="94">
        <f>J175+J177</f>
        <v>300</v>
      </c>
      <c r="K152" s="94"/>
      <c r="L152" s="94">
        <f>M152</f>
        <v>300</v>
      </c>
      <c r="M152" s="94">
        <f>M175+M177</f>
        <v>300</v>
      </c>
      <c r="N152" s="95"/>
    </row>
    <row r="153" spans="1:15" ht="72" customHeight="1" x14ac:dyDescent="0.25">
      <c r="A153" s="151"/>
      <c r="B153" s="71" t="s">
        <v>73</v>
      </c>
      <c r="C153" s="78" t="s">
        <v>60</v>
      </c>
      <c r="D153" s="61" t="s">
        <v>56</v>
      </c>
      <c r="E153" s="61" t="s">
        <v>13</v>
      </c>
      <c r="F153" s="96">
        <f t="shared" ref="F153:F156" si="48">G153</f>
        <v>12542.2</v>
      </c>
      <c r="G153" s="96">
        <f>G154+G155+G156</f>
        <v>12542.2</v>
      </c>
      <c r="H153" s="97"/>
      <c r="I153" s="97"/>
      <c r="J153" s="97"/>
      <c r="K153" s="97"/>
      <c r="L153" s="97"/>
      <c r="M153" s="97"/>
      <c r="N153" s="97"/>
      <c r="O153" s="60">
        <f>F153+I153+L153</f>
        <v>12542.2</v>
      </c>
    </row>
    <row r="154" spans="1:15" ht="27.75" hidden="1" customHeight="1" outlineLevel="1" x14ac:dyDescent="0.25">
      <c r="A154" s="151"/>
      <c r="B154" s="73" t="s">
        <v>58</v>
      </c>
      <c r="C154" s="78" t="s">
        <v>60</v>
      </c>
      <c r="D154" s="147" t="s">
        <v>56</v>
      </c>
      <c r="E154" s="147" t="s">
        <v>13</v>
      </c>
      <c r="F154" s="91">
        <f t="shared" si="48"/>
        <v>5647</v>
      </c>
      <c r="G154" s="91">
        <v>5647</v>
      </c>
      <c r="H154" s="92"/>
      <c r="I154" s="92"/>
      <c r="J154" s="92"/>
      <c r="K154" s="92"/>
      <c r="L154" s="92"/>
      <c r="M154" s="92"/>
      <c r="N154" s="92"/>
    </row>
    <row r="155" spans="1:15" ht="30.75" hidden="1" customHeight="1" outlineLevel="1" x14ac:dyDescent="0.25">
      <c r="A155" s="151"/>
      <c r="B155" s="73" t="s">
        <v>59</v>
      </c>
      <c r="C155" s="78" t="s">
        <v>60</v>
      </c>
      <c r="D155" s="155"/>
      <c r="E155" s="155"/>
      <c r="F155" s="91">
        <f t="shared" si="48"/>
        <v>6815.2</v>
      </c>
      <c r="G155" s="91">
        <v>6815.2</v>
      </c>
      <c r="H155" s="92"/>
      <c r="I155" s="92"/>
      <c r="J155" s="92"/>
      <c r="K155" s="92"/>
      <c r="L155" s="92"/>
      <c r="M155" s="92"/>
      <c r="N155" s="92"/>
    </row>
    <row r="156" spans="1:15" ht="30" hidden="1" customHeight="1" outlineLevel="1" x14ac:dyDescent="0.25">
      <c r="A156" s="151"/>
      <c r="B156" s="71" t="s">
        <v>67</v>
      </c>
      <c r="C156" s="78" t="s">
        <v>60</v>
      </c>
      <c r="D156" s="148"/>
      <c r="E156" s="148"/>
      <c r="F156" s="91">
        <f t="shared" si="48"/>
        <v>80</v>
      </c>
      <c r="G156" s="91">
        <v>80</v>
      </c>
      <c r="H156" s="92"/>
      <c r="I156" s="92"/>
      <c r="J156" s="92"/>
      <c r="K156" s="92"/>
      <c r="L156" s="92"/>
      <c r="M156" s="92"/>
      <c r="N156" s="92"/>
    </row>
    <row r="157" spans="1:15" ht="117" customHeight="1" collapsed="1" x14ac:dyDescent="0.25">
      <c r="A157" s="151"/>
      <c r="B157" s="71" t="s">
        <v>72</v>
      </c>
      <c r="C157" s="78" t="s">
        <v>60</v>
      </c>
      <c r="D157" s="61" t="s">
        <v>56</v>
      </c>
      <c r="E157" s="61" t="s">
        <v>13</v>
      </c>
      <c r="F157" s="92"/>
      <c r="G157" s="92">
        <f>G158+G159+G160</f>
        <v>0</v>
      </c>
      <c r="H157" s="92"/>
      <c r="I157" s="92">
        <f>J157</f>
        <v>11875</v>
      </c>
      <c r="J157" s="91">
        <f>J158+J159+J160</f>
        <v>11875</v>
      </c>
      <c r="K157" s="92"/>
      <c r="L157" s="92">
        <f>M157</f>
        <v>14000</v>
      </c>
      <c r="M157" s="92">
        <f>M158+M159+M160</f>
        <v>14000</v>
      </c>
      <c r="N157" s="92"/>
      <c r="O157" s="60">
        <f>F157+I157+L157</f>
        <v>25875</v>
      </c>
    </row>
    <row r="158" spans="1:15" ht="25.5" hidden="1" customHeight="1" outlineLevel="1" x14ac:dyDescent="0.25">
      <c r="A158" s="151"/>
      <c r="B158" s="73" t="s">
        <v>58</v>
      </c>
      <c r="C158" s="78" t="s">
        <v>60</v>
      </c>
      <c r="D158" s="147" t="s">
        <v>56</v>
      </c>
      <c r="E158" s="147" t="s">
        <v>13</v>
      </c>
      <c r="F158" s="92"/>
      <c r="G158" s="92"/>
      <c r="H158" s="92"/>
      <c r="I158" s="92">
        <f>J158</f>
        <v>4920</v>
      </c>
      <c r="J158" s="92">
        <f>6244.4-1324.4</f>
        <v>4920</v>
      </c>
      <c r="K158" s="92"/>
      <c r="L158" s="92">
        <f>M158</f>
        <v>6338.7</v>
      </c>
      <c r="M158" s="92">
        <v>6338.7</v>
      </c>
      <c r="N158" s="92"/>
    </row>
    <row r="159" spans="1:15" ht="31.5" hidden="1" customHeight="1" outlineLevel="1" x14ac:dyDescent="0.25">
      <c r="A159" s="151"/>
      <c r="B159" s="73" t="s">
        <v>59</v>
      </c>
      <c r="C159" s="78" t="s">
        <v>60</v>
      </c>
      <c r="D159" s="155"/>
      <c r="E159" s="155"/>
      <c r="F159" s="92"/>
      <c r="G159" s="92"/>
      <c r="H159" s="92"/>
      <c r="I159" s="91">
        <f t="shared" ref="I159:I160" si="49">J159</f>
        <v>6871</v>
      </c>
      <c r="J159" s="91">
        <f>7471-600</f>
        <v>6871</v>
      </c>
      <c r="K159" s="92"/>
      <c r="L159" s="92">
        <f t="shared" ref="L159:L160" si="50">M159</f>
        <v>7571.3</v>
      </c>
      <c r="M159" s="92">
        <v>7571.3</v>
      </c>
      <c r="N159" s="92"/>
    </row>
    <row r="160" spans="1:15" ht="30" hidden="1" customHeight="1" outlineLevel="1" x14ac:dyDescent="0.25">
      <c r="A160" s="151"/>
      <c r="B160" s="71" t="s">
        <v>67</v>
      </c>
      <c r="C160" s="78" t="s">
        <v>60</v>
      </c>
      <c r="D160" s="148"/>
      <c r="E160" s="148"/>
      <c r="F160" s="92"/>
      <c r="G160" s="92"/>
      <c r="H160" s="92"/>
      <c r="I160" s="91">
        <f t="shared" si="49"/>
        <v>84</v>
      </c>
      <c r="J160" s="91">
        <v>84</v>
      </c>
      <c r="K160" s="92"/>
      <c r="L160" s="91">
        <f t="shared" si="50"/>
        <v>90</v>
      </c>
      <c r="M160" s="91">
        <v>90</v>
      </c>
      <c r="N160" s="92"/>
    </row>
    <row r="161" spans="1:15" ht="85.5" customHeight="1" collapsed="1" x14ac:dyDescent="0.25">
      <c r="A161" s="151"/>
      <c r="B161" s="71" t="s">
        <v>74</v>
      </c>
      <c r="C161" s="78" t="s">
        <v>60</v>
      </c>
      <c r="D161" s="61" t="s">
        <v>56</v>
      </c>
      <c r="E161" s="61" t="s">
        <v>13</v>
      </c>
      <c r="F161" s="92">
        <f>G161</f>
        <v>2806.3</v>
      </c>
      <c r="G161" s="92">
        <f>G162+G163+G164</f>
        <v>2806.3</v>
      </c>
      <c r="H161" s="92"/>
      <c r="I161" s="91"/>
      <c r="J161" s="91"/>
      <c r="K161" s="92"/>
      <c r="L161" s="92"/>
      <c r="M161" s="92"/>
      <c r="N161" s="92"/>
      <c r="O161" s="54">
        <f>F161</f>
        <v>2806.3</v>
      </c>
    </row>
    <row r="162" spans="1:15" ht="29.25" hidden="1" customHeight="1" outlineLevel="1" x14ac:dyDescent="0.25">
      <c r="A162" s="151"/>
      <c r="B162" s="73" t="s">
        <v>58</v>
      </c>
      <c r="C162" s="78" t="s">
        <v>60</v>
      </c>
      <c r="D162" s="147" t="s">
        <v>56</v>
      </c>
      <c r="E162" s="147" t="s">
        <v>13</v>
      </c>
      <c r="F162" s="92">
        <f t="shared" ref="F162:F164" si="51">G162</f>
        <v>1680.2</v>
      </c>
      <c r="G162" s="92">
        <v>1680.2</v>
      </c>
      <c r="H162" s="92"/>
      <c r="I162" s="91"/>
      <c r="J162" s="91"/>
      <c r="K162" s="92"/>
      <c r="L162" s="92"/>
      <c r="M162" s="92"/>
      <c r="N162" s="92"/>
    </row>
    <row r="163" spans="1:15" ht="31.5" hidden="1" customHeight="1" outlineLevel="1" x14ac:dyDescent="0.25">
      <c r="A163" s="151"/>
      <c r="B163" s="73" t="s">
        <v>59</v>
      </c>
      <c r="C163" s="78" t="s">
        <v>60</v>
      </c>
      <c r="D163" s="155"/>
      <c r="E163" s="155"/>
      <c r="F163" s="92">
        <f t="shared" si="51"/>
        <v>1086.0999999999999</v>
      </c>
      <c r="G163" s="92">
        <v>1086.0999999999999</v>
      </c>
      <c r="H163" s="92"/>
      <c r="I163" s="91"/>
      <c r="J163" s="91"/>
      <c r="K163" s="92"/>
      <c r="L163" s="92"/>
      <c r="M163" s="92"/>
      <c r="N163" s="92"/>
    </row>
    <row r="164" spans="1:15" ht="30.75" hidden="1" customHeight="1" outlineLevel="1" x14ac:dyDescent="0.25">
      <c r="A164" s="151"/>
      <c r="B164" s="71" t="s">
        <v>67</v>
      </c>
      <c r="C164" s="78" t="s">
        <v>60</v>
      </c>
      <c r="D164" s="148"/>
      <c r="E164" s="148"/>
      <c r="F164" s="92">
        <f t="shared" si="51"/>
        <v>40</v>
      </c>
      <c r="G164" s="91">
        <v>40</v>
      </c>
      <c r="H164" s="92"/>
      <c r="I164" s="91"/>
      <c r="J164" s="91"/>
      <c r="K164" s="92"/>
      <c r="L164" s="92"/>
      <c r="M164" s="92"/>
      <c r="N164" s="92"/>
    </row>
    <row r="165" spans="1:15" ht="101.25" customHeight="1" collapsed="1" x14ac:dyDescent="0.25">
      <c r="A165" s="151"/>
      <c r="B165" s="71" t="s">
        <v>75</v>
      </c>
      <c r="C165" s="78" t="s">
        <v>60</v>
      </c>
      <c r="D165" s="61" t="s">
        <v>56</v>
      </c>
      <c r="E165" s="61" t="s">
        <v>13</v>
      </c>
      <c r="F165" s="92"/>
      <c r="G165" s="92"/>
      <c r="H165" s="92"/>
      <c r="I165" s="91">
        <f>J165</f>
        <v>5824.4</v>
      </c>
      <c r="J165" s="91">
        <f>J166+J167+J168</f>
        <v>5824.4</v>
      </c>
      <c r="K165" s="92"/>
      <c r="L165" s="91">
        <f>M165</f>
        <v>3000</v>
      </c>
      <c r="M165" s="91">
        <f>M166+M167+M168</f>
        <v>3000</v>
      </c>
      <c r="N165" s="92"/>
      <c r="O165" s="60">
        <f>F165+I165+L165</f>
        <v>8824.4</v>
      </c>
    </row>
    <row r="166" spans="1:15" ht="18.75" hidden="1" customHeight="1" outlineLevel="2" x14ac:dyDescent="0.25">
      <c r="A166" s="151"/>
      <c r="B166" s="73" t="s">
        <v>58</v>
      </c>
      <c r="C166" s="78" t="s">
        <v>60</v>
      </c>
      <c r="D166" s="147" t="s">
        <v>56</v>
      </c>
      <c r="E166" s="147" t="s">
        <v>13</v>
      </c>
      <c r="F166" s="92"/>
      <c r="G166" s="92"/>
      <c r="H166" s="92"/>
      <c r="I166" s="91">
        <f t="shared" ref="I166:I168" si="52">J166</f>
        <v>3319.4</v>
      </c>
      <c r="J166" s="91">
        <f>835+560+600+1324.4</f>
        <v>3319.4</v>
      </c>
      <c r="K166" s="92"/>
      <c r="L166" s="91">
        <f t="shared" ref="L166:L168" si="53">M166</f>
        <v>1575</v>
      </c>
      <c r="M166" s="92">
        <v>1575</v>
      </c>
      <c r="N166" s="92"/>
    </row>
    <row r="167" spans="1:15" ht="25.5" hidden="1" customHeight="1" outlineLevel="2" x14ac:dyDescent="0.25">
      <c r="A167" s="151"/>
      <c r="B167" s="73" t="s">
        <v>59</v>
      </c>
      <c r="C167" s="78" t="s">
        <v>60</v>
      </c>
      <c r="D167" s="155"/>
      <c r="E167" s="155"/>
      <c r="F167" s="92"/>
      <c r="G167" s="92"/>
      <c r="H167" s="92"/>
      <c r="I167" s="91">
        <f t="shared" si="52"/>
        <v>2415</v>
      </c>
      <c r="J167" s="91">
        <f>625+390+400+1000</f>
        <v>2415</v>
      </c>
      <c r="K167" s="92"/>
      <c r="L167" s="91">
        <f t="shared" si="53"/>
        <v>1375</v>
      </c>
      <c r="M167" s="91">
        <v>1375</v>
      </c>
      <c r="N167" s="92"/>
    </row>
    <row r="168" spans="1:15" ht="26.25" hidden="1" customHeight="1" outlineLevel="2" x14ac:dyDescent="0.25">
      <c r="A168" s="151"/>
      <c r="B168" s="71" t="s">
        <v>67</v>
      </c>
      <c r="C168" s="78" t="s">
        <v>60</v>
      </c>
      <c r="D168" s="148"/>
      <c r="E168" s="148"/>
      <c r="F168" s="92"/>
      <c r="G168" s="92"/>
      <c r="H168" s="92"/>
      <c r="I168" s="91">
        <f t="shared" si="52"/>
        <v>90</v>
      </c>
      <c r="J168" s="91">
        <v>90</v>
      </c>
      <c r="K168" s="92"/>
      <c r="L168" s="91">
        <f t="shared" si="53"/>
        <v>50</v>
      </c>
      <c r="M168" s="92">
        <v>50</v>
      </c>
      <c r="N168" s="92"/>
    </row>
    <row r="169" spans="1:15" ht="69.75" customHeight="1" collapsed="1" x14ac:dyDescent="0.25">
      <c r="A169" s="151"/>
      <c r="B169" s="71" t="s">
        <v>336</v>
      </c>
      <c r="C169" s="78" t="s">
        <v>60</v>
      </c>
      <c r="D169" s="61" t="s">
        <v>56</v>
      </c>
      <c r="E169" s="61" t="s">
        <v>13</v>
      </c>
      <c r="F169" s="91">
        <f>G169</f>
        <v>2061.6</v>
      </c>
      <c r="G169" s="91">
        <f>G170+G171</f>
        <v>2061.6</v>
      </c>
      <c r="H169" s="92"/>
      <c r="I169" s="91"/>
      <c r="J169" s="91"/>
      <c r="K169" s="92"/>
      <c r="L169" s="91"/>
      <c r="M169" s="92"/>
      <c r="N169" s="92"/>
      <c r="O169" s="60">
        <f>F169+I169+L169</f>
        <v>2061.6</v>
      </c>
    </row>
    <row r="170" spans="1:15" ht="27" hidden="1" customHeight="1" outlineLevel="1" x14ac:dyDescent="0.25">
      <c r="A170" s="151"/>
      <c r="B170" s="71" t="s">
        <v>64</v>
      </c>
      <c r="C170" s="78" t="s">
        <v>60</v>
      </c>
      <c r="D170" s="147" t="s">
        <v>56</v>
      </c>
      <c r="E170" s="147" t="s">
        <v>13</v>
      </c>
      <c r="F170" s="92">
        <f>G170</f>
        <v>611.6</v>
      </c>
      <c r="G170" s="92">
        <v>611.6</v>
      </c>
      <c r="H170" s="92"/>
      <c r="I170" s="91"/>
      <c r="J170" s="91"/>
      <c r="K170" s="92"/>
      <c r="L170" s="91"/>
      <c r="M170" s="92"/>
      <c r="N170" s="92"/>
    </row>
    <row r="171" spans="1:15" ht="27" hidden="1" customHeight="1" outlineLevel="1" x14ac:dyDescent="0.25">
      <c r="A171" s="151"/>
      <c r="B171" s="71" t="s">
        <v>76</v>
      </c>
      <c r="C171" s="78" t="s">
        <v>60</v>
      </c>
      <c r="D171" s="148"/>
      <c r="E171" s="148"/>
      <c r="F171" s="92">
        <f>G171</f>
        <v>1450</v>
      </c>
      <c r="G171" s="91">
        <v>1450</v>
      </c>
      <c r="H171" s="92"/>
      <c r="I171" s="91"/>
      <c r="J171" s="91"/>
      <c r="K171" s="92"/>
      <c r="L171" s="91"/>
      <c r="M171" s="92"/>
      <c r="N171" s="92"/>
    </row>
    <row r="172" spans="1:15" ht="75" customHeight="1" collapsed="1" x14ac:dyDescent="0.25">
      <c r="A172" s="151"/>
      <c r="B172" s="71" t="s">
        <v>77</v>
      </c>
      <c r="C172" s="78" t="s">
        <v>60</v>
      </c>
      <c r="D172" s="61" t="s">
        <v>56</v>
      </c>
      <c r="E172" s="61" t="s">
        <v>13</v>
      </c>
      <c r="F172" s="98"/>
      <c r="G172" s="99"/>
      <c r="H172" s="98"/>
      <c r="I172" s="70">
        <f>J172</f>
        <v>2196.6</v>
      </c>
      <c r="J172" s="70">
        <f>J173+J174</f>
        <v>2196.6</v>
      </c>
      <c r="K172" s="71"/>
      <c r="L172" s="70">
        <f>M172</f>
        <v>3515.3</v>
      </c>
      <c r="M172" s="71">
        <f>M173+M174</f>
        <v>3515.3</v>
      </c>
      <c r="N172" s="98"/>
      <c r="O172" s="60">
        <f>F172+I172+L172</f>
        <v>5711.9</v>
      </c>
    </row>
    <row r="173" spans="1:15" ht="24" hidden="1" customHeight="1" outlineLevel="1" x14ac:dyDescent="0.25">
      <c r="A173" s="151"/>
      <c r="B173" s="71" t="s">
        <v>64</v>
      </c>
      <c r="C173" s="78" t="s">
        <v>60</v>
      </c>
      <c r="D173" s="147" t="s">
        <v>56</v>
      </c>
      <c r="E173" s="147" t="s">
        <v>13</v>
      </c>
      <c r="F173" s="98"/>
      <c r="G173" s="99"/>
      <c r="H173" s="98"/>
      <c r="I173" s="99">
        <f>J173</f>
        <v>650.6</v>
      </c>
      <c r="J173" s="99">
        <v>650.6</v>
      </c>
      <c r="K173" s="98"/>
      <c r="L173" s="99">
        <f>M173</f>
        <v>814</v>
      </c>
      <c r="M173" s="98">
        <v>814</v>
      </c>
      <c r="N173" s="98"/>
    </row>
    <row r="174" spans="1:15" ht="27" hidden="1" customHeight="1" outlineLevel="1" x14ac:dyDescent="0.25">
      <c r="A174" s="151"/>
      <c r="B174" s="71" t="s">
        <v>76</v>
      </c>
      <c r="C174" s="78" t="s">
        <v>60</v>
      </c>
      <c r="D174" s="148"/>
      <c r="E174" s="148"/>
      <c r="F174" s="98"/>
      <c r="G174" s="99"/>
      <c r="H174" s="98"/>
      <c r="I174" s="99">
        <f>J174</f>
        <v>1546</v>
      </c>
      <c r="J174" s="99">
        <v>1546</v>
      </c>
      <c r="K174" s="98"/>
      <c r="L174" s="99">
        <f>M174</f>
        <v>2701.3</v>
      </c>
      <c r="M174" s="98">
        <v>2701.3</v>
      </c>
      <c r="N174" s="98"/>
    </row>
    <row r="175" spans="1:15" ht="84" customHeight="1" collapsed="1" x14ac:dyDescent="0.25">
      <c r="A175" s="151"/>
      <c r="B175" s="71" t="s">
        <v>78</v>
      </c>
      <c r="C175" s="78" t="s">
        <v>62</v>
      </c>
      <c r="D175" s="61" t="s">
        <v>56</v>
      </c>
      <c r="E175" s="61" t="s">
        <v>13</v>
      </c>
      <c r="F175" s="70">
        <f>G175</f>
        <v>364.8</v>
      </c>
      <c r="G175" s="70">
        <f>G176</f>
        <v>364.8</v>
      </c>
      <c r="H175" s="71"/>
      <c r="I175" s="70"/>
      <c r="J175" s="70"/>
      <c r="K175" s="71"/>
      <c r="L175" s="70"/>
      <c r="M175" s="71"/>
      <c r="N175" s="71"/>
      <c r="O175" s="60">
        <f>F175+I175+L175</f>
        <v>364.8</v>
      </c>
    </row>
    <row r="176" spans="1:15" ht="47.25" hidden="1" customHeight="1" outlineLevel="1" x14ac:dyDescent="0.25">
      <c r="A176" s="151"/>
      <c r="B176" s="71" t="s">
        <v>65</v>
      </c>
      <c r="C176" s="78" t="s">
        <v>62</v>
      </c>
      <c r="D176" s="61" t="s">
        <v>56</v>
      </c>
      <c r="E176" s="61" t="s">
        <v>13</v>
      </c>
      <c r="F176" s="70">
        <f>G176</f>
        <v>364.8</v>
      </c>
      <c r="G176" s="70">
        <v>364.8</v>
      </c>
      <c r="H176" s="71"/>
      <c r="I176" s="70"/>
      <c r="J176" s="70"/>
      <c r="K176" s="71"/>
      <c r="L176" s="70"/>
      <c r="M176" s="71"/>
      <c r="N176" s="71"/>
    </row>
    <row r="177" spans="1:15" ht="87.75" customHeight="1" collapsed="1" x14ac:dyDescent="0.25">
      <c r="A177" s="151"/>
      <c r="B177" s="71" t="s">
        <v>79</v>
      </c>
      <c r="C177" s="78" t="s">
        <v>62</v>
      </c>
      <c r="D177" s="61" t="s">
        <v>56</v>
      </c>
      <c r="E177" s="61" t="s">
        <v>13</v>
      </c>
      <c r="F177" s="71"/>
      <c r="G177" s="70"/>
      <c r="H177" s="71"/>
      <c r="I177" s="70">
        <f>J177</f>
        <v>300</v>
      </c>
      <c r="J177" s="70">
        <f>J178</f>
        <v>300</v>
      </c>
      <c r="K177" s="71"/>
      <c r="L177" s="70">
        <f>M177</f>
        <v>300</v>
      </c>
      <c r="M177" s="70">
        <f>M178</f>
        <v>300</v>
      </c>
      <c r="N177" s="71"/>
      <c r="O177" s="60">
        <f>F177+I177+L177</f>
        <v>600</v>
      </c>
    </row>
    <row r="178" spans="1:15" ht="22.5" hidden="1" customHeight="1" outlineLevel="1" x14ac:dyDescent="0.25">
      <c r="A178" s="151"/>
      <c r="B178" s="71" t="s">
        <v>65</v>
      </c>
      <c r="C178" s="78" t="s">
        <v>62</v>
      </c>
      <c r="D178" s="61" t="s">
        <v>56</v>
      </c>
      <c r="E178" s="61" t="s">
        <v>13</v>
      </c>
      <c r="F178" s="71"/>
      <c r="G178" s="70"/>
      <c r="H178" s="71"/>
      <c r="I178" s="70">
        <f>J178</f>
        <v>300</v>
      </c>
      <c r="J178" s="70">
        <v>300</v>
      </c>
      <c r="K178" s="71"/>
      <c r="L178" s="70">
        <f>M178</f>
        <v>300</v>
      </c>
      <c r="M178" s="71">
        <v>300</v>
      </c>
      <c r="N178" s="71"/>
    </row>
    <row r="179" spans="1:15" ht="15.75" collapsed="1" x14ac:dyDescent="0.25">
      <c r="A179" s="189" t="s">
        <v>289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</row>
    <row r="180" spans="1:15" ht="15.75" x14ac:dyDescent="0.25">
      <c r="A180" s="149" t="s">
        <v>287</v>
      </c>
      <c r="B180" s="149"/>
      <c r="C180" s="149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50"/>
    </row>
    <row r="181" spans="1:15" ht="23.25" customHeight="1" x14ac:dyDescent="0.25">
      <c r="A181" s="151" t="s">
        <v>284</v>
      </c>
      <c r="B181" s="243" t="s">
        <v>103</v>
      </c>
      <c r="C181" s="244"/>
      <c r="D181" s="244"/>
      <c r="E181" s="245"/>
      <c r="F181" s="100">
        <f>G181+H181</f>
        <v>19491.399999999998</v>
      </c>
      <c r="G181" s="100">
        <f>G186+G188+G190</f>
        <v>2954.2999999999997</v>
      </c>
      <c r="H181" s="100">
        <f>H182</f>
        <v>16537.099999999999</v>
      </c>
      <c r="I181" s="101">
        <f>J181+K181</f>
        <v>6874.2250000000004</v>
      </c>
      <c r="J181" s="101">
        <f>J186+J188+J190</f>
        <v>3813</v>
      </c>
      <c r="K181" s="101">
        <f>K190+K188+K186</f>
        <v>3061.2250000000004</v>
      </c>
      <c r="L181" s="96">
        <f>M181+N181</f>
        <v>4463.8249999999998</v>
      </c>
      <c r="M181" s="96">
        <f>M186+M188+M190</f>
        <v>4113</v>
      </c>
      <c r="N181" s="94">
        <f>N190+N188+N186</f>
        <v>350.82499999999999</v>
      </c>
      <c r="O181" s="60">
        <f>F181+I181+L181</f>
        <v>30829.45</v>
      </c>
    </row>
    <row r="182" spans="1:15" ht="23.25" customHeight="1" x14ac:dyDescent="0.25">
      <c r="A182" s="151"/>
      <c r="B182" s="190" t="s">
        <v>52</v>
      </c>
      <c r="C182" s="191"/>
      <c r="D182" s="191"/>
      <c r="E182" s="192"/>
      <c r="F182" s="97">
        <f>G182+H182</f>
        <v>19491.399999999998</v>
      </c>
      <c r="G182" s="97">
        <f>G183+G184+G185</f>
        <v>2954.2999999999997</v>
      </c>
      <c r="H182" s="97">
        <f>H183+H184+H185</f>
        <v>16537.099999999999</v>
      </c>
      <c r="I182" s="96">
        <f>J182+K182</f>
        <v>6874.2250000000004</v>
      </c>
      <c r="J182" s="96">
        <f>J183+J184+J185</f>
        <v>3813</v>
      </c>
      <c r="K182" s="96">
        <f>K183+K184+K185</f>
        <v>3061.2250000000004</v>
      </c>
      <c r="L182" s="96">
        <f>M182+N182</f>
        <v>4113.125</v>
      </c>
      <c r="M182" s="96">
        <f>M183+M184</f>
        <v>4113</v>
      </c>
      <c r="N182" s="96">
        <f>N183+N184</f>
        <v>0.125</v>
      </c>
      <c r="O182" s="60">
        <f>F182+I182+L182</f>
        <v>30478.75</v>
      </c>
    </row>
    <row r="183" spans="1:15" ht="16.5" customHeight="1" x14ac:dyDescent="0.25">
      <c r="A183" s="151"/>
      <c r="B183" s="193" t="s">
        <v>53</v>
      </c>
      <c r="C183" s="78" t="s">
        <v>80</v>
      </c>
      <c r="D183" s="147" t="s">
        <v>56</v>
      </c>
      <c r="E183" s="147" t="s">
        <v>13</v>
      </c>
      <c r="F183" s="97">
        <f>G183+H183</f>
        <v>2933.1</v>
      </c>
      <c r="G183" s="97">
        <f>G186</f>
        <v>2933.1</v>
      </c>
      <c r="H183" s="97"/>
      <c r="I183" s="96">
        <f t="shared" ref="I183:I184" si="54">J183+K183</f>
        <v>3813.125</v>
      </c>
      <c r="J183" s="96">
        <f>J186</f>
        <v>3813</v>
      </c>
      <c r="K183" s="96">
        <f>K186</f>
        <v>0.125</v>
      </c>
      <c r="L183" s="96">
        <f t="shared" ref="L183:L184" si="55">M183+N183</f>
        <v>4113.125</v>
      </c>
      <c r="M183" s="96">
        <f>M186</f>
        <v>4113</v>
      </c>
      <c r="N183" s="96">
        <f>N186</f>
        <v>0.125</v>
      </c>
    </row>
    <row r="184" spans="1:15" ht="19.5" customHeight="1" x14ac:dyDescent="0.25">
      <c r="A184" s="151"/>
      <c r="B184" s="246"/>
      <c r="C184" s="78" t="s">
        <v>60</v>
      </c>
      <c r="D184" s="155"/>
      <c r="E184" s="148"/>
      <c r="F184" s="97">
        <f>G184+H184</f>
        <v>21.2</v>
      </c>
      <c r="G184" s="97">
        <f>G188+G190</f>
        <v>21.2</v>
      </c>
      <c r="H184" s="97">
        <f>H188</f>
        <v>0</v>
      </c>
      <c r="I184" s="96">
        <f t="shared" si="54"/>
        <v>0</v>
      </c>
      <c r="J184" s="96">
        <f>J188+J190</f>
        <v>0</v>
      </c>
      <c r="K184" s="97">
        <f>K188</f>
        <v>0</v>
      </c>
      <c r="L184" s="96">
        <f t="shared" si="55"/>
        <v>0</v>
      </c>
      <c r="M184" s="96">
        <f>M188+M190</f>
        <v>0</v>
      </c>
      <c r="N184" s="96">
        <f>N188</f>
        <v>0</v>
      </c>
    </row>
    <row r="185" spans="1:15" ht="66.75" customHeight="1" x14ac:dyDescent="0.25">
      <c r="A185" s="151"/>
      <c r="B185" s="194"/>
      <c r="C185" s="78" t="s">
        <v>60</v>
      </c>
      <c r="D185" s="148"/>
      <c r="E185" s="61" t="s">
        <v>102</v>
      </c>
      <c r="F185" s="97">
        <f>G185+H185</f>
        <v>16537.099999999999</v>
      </c>
      <c r="G185" s="97"/>
      <c r="H185" s="97">
        <f>H190</f>
        <v>16537.099999999999</v>
      </c>
      <c r="I185" s="96">
        <f>J185+K185</f>
        <v>3061.1000000000004</v>
      </c>
      <c r="J185" s="96"/>
      <c r="K185" s="97">
        <f>K190</f>
        <v>3061.1000000000004</v>
      </c>
      <c r="L185" s="96">
        <f>M185+N185</f>
        <v>350.7</v>
      </c>
      <c r="M185" s="97"/>
      <c r="N185" s="96">
        <f>N190</f>
        <v>350.7</v>
      </c>
    </row>
    <row r="186" spans="1:15" ht="180.75" customHeight="1" x14ac:dyDescent="0.25">
      <c r="A186" s="151"/>
      <c r="B186" s="71" t="s">
        <v>339</v>
      </c>
      <c r="C186" s="78" t="s">
        <v>80</v>
      </c>
      <c r="D186" s="61" t="s">
        <v>56</v>
      </c>
      <c r="E186" s="61" t="s">
        <v>13</v>
      </c>
      <c r="F186" s="97">
        <f>F187</f>
        <v>2933.1</v>
      </c>
      <c r="G186" s="97">
        <f>G187</f>
        <v>2933.1</v>
      </c>
      <c r="H186" s="97"/>
      <c r="I186" s="96">
        <f>J186+K186</f>
        <v>3813.125</v>
      </c>
      <c r="J186" s="96">
        <f>J187</f>
        <v>3813</v>
      </c>
      <c r="K186" s="97">
        <f>K187</f>
        <v>0.125</v>
      </c>
      <c r="L186" s="96">
        <f>M186+N186</f>
        <v>4113.125</v>
      </c>
      <c r="M186" s="96">
        <f>M187</f>
        <v>4113</v>
      </c>
      <c r="N186" s="97">
        <f>N187</f>
        <v>0.125</v>
      </c>
      <c r="O186" s="60">
        <f>I186+L186</f>
        <v>7926.25</v>
      </c>
    </row>
    <row r="187" spans="1:15" ht="35.25" hidden="1" customHeight="1" outlineLevel="1" x14ac:dyDescent="0.25">
      <c r="A187" s="151"/>
      <c r="B187" s="71" t="s">
        <v>56</v>
      </c>
      <c r="C187" s="78" t="s">
        <v>80</v>
      </c>
      <c r="D187" s="61" t="s">
        <v>56</v>
      </c>
      <c r="E187" s="61" t="s">
        <v>13</v>
      </c>
      <c r="F187" s="97">
        <f>G187</f>
        <v>2933.1</v>
      </c>
      <c r="G187" s="97">
        <v>2933.1</v>
      </c>
      <c r="H187" s="97"/>
      <c r="I187" s="96">
        <f>J187</f>
        <v>3813</v>
      </c>
      <c r="J187" s="96">
        <v>3813</v>
      </c>
      <c r="K187" s="97">
        <v>0.125</v>
      </c>
      <c r="L187" s="97">
        <f>M187</f>
        <v>4113</v>
      </c>
      <c r="M187" s="96">
        <f>4113</f>
        <v>4113</v>
      </c>
      <c r="N187" s="97">
        <v>0.125</v>
      </c>
    </row>
    <row r="188" spans="1:15" ht="51" customHeight="1" collapsed="1" x14ac:dyDescent="0.25">
      <c r="A188" s="151"/>
      <c r="B188" s="102" t="s">
        <v>340</v>
      </c>
      <c r="C188" s="78" t="s">
        <v>60</v>
      </c>
      <c r="D188" s="61" t="s">
        <v>56</v>
      </c>
      <c r="E188" s="61" t="s">
        <v>13</v>
      </c>
      <c r="F188" s="97">
        <f>G188</f>
        <v>21.2</v>
      </c>
      <c r="G188" s="97">
        <f>G189</f>
        <v>21.2</v>
      </c>
      <c r="H188" s="97"/>
      <c r="I188" s="97"/>
      <c r="J188" s="97"/>
      <c r="K188" s="97"/>
      <c r="L188" s="97"/>
      <c r="M188" s="97"/>
      <c r="N188" s="97"/>
      <c r="O188" s="54">
        <f>F188+I188+L188</f>
        <v>21.2</v>
      </c>
    </row>
    <row r="189" spans="1:15" ht="36" hidden="1" customHeight="1" outlineLevel="1" x14ac:dyDescent="0.25">
      <c r="A189" s="151"/>
      <c r="B189" s="71" t="s">
        <v>56</v>
      </c>
      <c r="C189" s="78" t="s">
        <v>60</v>
      </c>
      <c r="D189" s="61" t="s">
        <v>56</v>
      </c>
      <c r="E189" s="61" t="s">
        <v>13</v>
      </c>
      <c r="F189" s="97">
        <f>G189</f>
        <v>21.2</v>
      </c>
      <c r="G189" s="97">
        <v>21.2</v>
      </c>
      <c r="H189" s="97"/>
      <c r="I189" s="97"/>
      <c r="J189" s="97"/>
      <c r="K189" s="97"/>
      <c r="L189" s="97"/>
      <c r="M189" s="97"/>
      <c r="N189" s="97"/>
    </row>
    <row r="190" spans="1:15" ht="68.25" customHeight="1" collapsed="1" x14ac:dyDescent="0.25">
      <c r="A190" s="151"/>
      <c r="B190" s="102" t="s">
        <v>341</v>
      </c>
      <c r="C190" s="78" t="s">
        <v>60</v>
      </c>
      <c r="D190" s="61" t="s">
        <v>56</v>
      </c>
      <c r="E190" s="61" t="s">
        <v>102</v>
      </c>
      <c r="F190" s="97">
        <f>H190</f>
        <v>16537.099999999999</v>
      </c>
      <c r="G190" s="97"/>
      <c r="H190" s="97">
        <f>H191</f>
        <v>16537.099999999999</v>
      </c>
      <c r="I190" s="96">
        <f>K190</f>
        <v>3061.1000000000004</v>
      </c>
      <c r="J190" s="96"/>
      <c r="K190" s="97">
        <f>K191</f>
        <v>3061.1000000000004</v>
      </c>
      <c r="L190" s="97"/>
      <c r="M190" s="96"/>
      <c r="N190" s="96">
        <f>N191</f>
        <v>350.7</v>
      </c>
      <c r="O190" s="60">
        <f>F190+I190+L190</f>
        <v>19598.199999999997</v>
      </c>
    </row>
    <row r="191" spans="1:15" ht="62.25" hidden="1" customHeight="1" outlineLevel="1" x14ac:dyDescent="0.25">
      <c r="A191" s="151"/>
      <c r="B191" s="71" t="s">
        <v>56</v>
      </c>
      <c r="C191" s="78" t="s">
        <v>60</v>
      </c>
      <c r="D191" s="61" t="s">
        <v>56</v>
      </c>
      <c r="E191" s="61" t="s">
        <v>102</v>
      </c>
      <c r="F191" s="97">
        <f>H191</f>
        <v>16537.099999999999</v>
      </c>
      <c r="G191" s="97"/>
      <c r="H191" s="103">
        <f>16537.1</f>
        <v>16537.099999999999</v>
      </c>
      <c r="I191" s="96">
        <f>K191</f>
        <v>3061.1000000000004</v>
      </c>
      <c r="J191" s="96"/>
      <c r="K191" s="97">
        <f>1764.2+1245.9+51</f>
        <v>3061.1000000000004</v>
      </c>
      <c r="L191" s="97"/>
      <c r="M191" s="96"/>
      <c r="N191" s="96">
        <f>95.5+95.5+95.5+58.8+5.4</f>
        <v>350.7</v>
      </c>
    </row>
    <row r="192" spans="1:15" ht="15.75" collapsed="1" x14ac:dyDescent="0.25">
      <c r="A192" s="241" t="s">
        <v>288</v>
      </c>
      <c r="B192" s="241"/>
      <c r="C192" s="241"/>
      <c r="D192" s="241"/>
      <c r="E192" s="241"/>
      <c r="F192" s="241"/>
      <c r="G192" s="241"/>
      <c r="H192" s="241"/>
      <c r="I192" s="241"/>
      <c r="J192" s="241"/>
      <c r="K192" s="241"/>
      <c r="L192" s="241"/>
      <c r="M192" s="241"/>
      <c r="N192" s="242"/>
    </row>
    <row r="193" spans="1:15" ht="15.75" x14ac:dyDescent="0.25">
      <c r="A193" s="149" t="s">
        <v>287</v>
      </c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50"/>
    </row>
    <row r="194" spans="1:15" ht="21.75" customHeight="1" x14ac:dyDescent="0.25">
      <c r="A194" s="151" t="s">
        <v>285</v>
      </c>
      <c r="B194" s="190" t="s">
        <v>99</v>
      </c>
      <c r="C194" s="191"/>
      <c r="D194" s="191"/>
      <c r="E194" s="192"/>
      <c r="F194" s="89">
        <f>F213+F225+F230+F250+F255+F264+F266</f>
        <v>107551.92</v>
      </c>
      <c r="G194" s="89">
        <f>G213+G225+G230+G250+G255+G264+G266</f>
        <v>0</v>
      </c>
      <c r="H194" s="89">
        <f>H213+H225+H230+H250+H255+H264+H266</f>
        <v>107551.92</v>
      </c>
      <c r="I194" s="89">
        <f>I213+I225+I230+I250+I255+I264+I266+I222+I253</f>
        <v>255736.2</v>
      </c>
      <c r="J194" s="89">
        <f>J213+J225+J230+J250+J255+J264+J266</f>
        <v>0</v>
      </c>
      <c r="K194" s="89">
        <f>K213+K225+K230+K250+K255+K264+K266+K222+K253</f>
        <v>255736.2</v>
      </c>
      <c r="L194" s="89">
        <f>L213+L225+L230+L250+L255+L264+L266+L222</f>
        <v>124035.7</v>
      </c>
      <c r="M194" s="89">
        <f>M213+M225+M230+M250+M255+M264+M266</f>
        <v>0</v>
      </c>
      <c r="N194" s="89">
        <f>N213+N225+N230+N250+N255+N264+N266+N222+N253</f>
        <v>124035.7</v>
      </c>
      <c r="O194" s="60">
        <f>F194+I194+L194</f>
        <v>487323.82</v>
      </c>
    </row>
    <row r="195" spans="1:15" ht="69" customHeight="1" x14ac:dyDescent="0.25">
      <c r="A195" s="151"/>
      <c r="B195" s="195" t="s">
        <v>54</v>
      </c>
      <c r="C195" s="196"/>
      <c r="D195" s="61" t="s">
        <v>56</v>
      </c>
      <c r="E195" s="61" t="s">
        <v>13</v>
      </c>
      <c r="F195" s="91">
        <f>F213+F226+F231+F232+F233+F234+F250+F256+F264+F267+F268</f>
        <v>100715.2</v>
      </c>
      <c r="G195" s="91"/>
      <c r="H195" s="91">
        <f>H213+H226+H231+H232+H233+H234+H250+H256+H264+H267+H268</f>
        <v>100715.2</v>
      </c>
      <c r="I195" s="91">
        <f>I213+I226+I231+I232+I233+I234+I250+I256+I264+I267+I268+I269+I222+I253</f>
        <v>246664.2</v>
      </c>
      <c r="J195" s="91"/>
      <c r="K195" s="91">
        <f>K213+K226+K231+K232+K233+K234+K250+K256+K264+K267+K268+K269+K222+K253</f>
        <v>246664.2</v>
      </c>
      <c r="L195" s="91">
        <f>L213+L226+L231+L232+L233+L234+L250+L256+L264+L267+L268+L222+L270</f>
        <v>80698.100000000006</v>
      </c>
      <c r="M195" s="91"/>
      <c r="N195" s="91">
        <f>N213+N226+N231+N232+N233+N234+N250+N256+N264+N267+N268+N222+N270</f>
        <v>80698.100000000006</v>
      </c>
      <c r="O195" s="60"/>
    </row>
    <row r="196" spans="1:15" ht="253.5" customHeight="1" x14ac:dyDescent="0.25">
      <c r="A196" s="151"/>
      <c r="B196" s="197"/>
      <c r="C196" s="198"/>
      <c r="D196" s="61" t="s">
        <v>56</v>
      </c>
      <c r="E196" s="104" t="s">
        <v>95</v>
      </c>
      <c r="F196" s="91">
        <f>F257</f>
        <v>1836.72</v>
      </c>
      <c r="G196" s="91"/>
      <c r="H196" s="91">
        <f>H257</f>
        <v>1836.72</v>
      </c>
      <c r="I196" s="91"/>
      <c r="J196" s="91"/>
      <c r="K196" s="91"/>
      <c r="L196" s="91"/>
      <c r="M196" s="91"/>
      <c r="N196" s="91"/>
    </row>
    <row r="197" spans="1:15" ht="133.5" customHeight="1" x14ac:dyDescent="0.25">
      <c r="A197" s="151"/>
      <c r="B197" s="197"/>
      <c r="C197" s="198"/>
      <c r="D197" s="61" t="s">
        <v>93</v>
      </c>
      <c r="E197" s="61" t="s">
        <v>13</v>
      </c>
      <c r="F197" s="91">
        <f>F227+F235+F272</f>
        <v>5000</v>
      </c>
      <c r="G197" s="91"/>
      <c r="H197" s="91">
        <f>H227+H235+H272</f>
        <v>5000</v>
      </c>
      <c r="I197" s="91">
        <f>I227+I235+I272</f>
        <v>9072</v>
      </c>
      <c r="J197" s="91"/>
      <c r="K197" s="91">
        <f>K227+K235+K272</f>
        <v>9072</v>
      </c>
      <c r="L197" s="91">
        <f>N197</f>
        <v>11348.6</v>
      </c>
      <c r="M197" s="91"/>
      <c r="N197" s="91">
        <f>N227+N235+N272+N236</f>
        <v>11348.6</v>
      </c>
    </row>
    <row r="198" spans="1:15" ht="80.25" customHeight="1" x14ac:dyDescent="0.25">
      <c r="A198" s="151"/>
      <c r="B198" s="197"/>
      <c r="C198" s="198"/>
      <c r="D198" s="76" t="s">
        <v>56</v>
      </c>
      <c r="E198" s="105" t="s">
        <v>396</v>
      </c>
      <c r="F198" s="91"/>
      <c r="G198" s="91"/>
      <c r="H198" s="91"/>
      <c r="I198" s="91"/>
      <c r="J198" s="91"/>
      <c r="K198" s="91"/>
      <c r="L198" s="91">
        <f>N198</f>
        <v>52.4</v>
      </c>
      <c r="M198" s="91"/>
      <c r="N198" s="91">
        <f>N237</f>
        <v>52.4</v>
      </c>
    </row>
    <row r="199" spans="1:15" ht="67.5" customHeight="1" x14ac:dyDescent="0.25">
      <c r="A199" s="151"/>
      <c r="B199" s="199"/>
      <c r="C199" s="200"/>
      <c r="D199" s="76" t="s">
        <v>56</v>
      </c>
      <c r="E199" s="61" t="s">
        <v>399</v>
      </c>
      <c r="F199" s="91"/>
      <c r="G199" s="91"/>
      <c r="H199" s="91"/>
      <c r="I199" s="91"/>
      <c r="J199" s="91"/>
      <c r="K199" s="91"/>
      <c r="L199" s="91">
        <f>N199</f>
        <v>31936.6</v>
      </c>
      <c r="M199" s="91"/>
      <c r="N199" s="91">
        <f>N271</f>
        <v>31936.6</v>
      </c>
    </row>
    <row r="200" spans="1:15" ht="27" hidden="1" customHeight="1" outlineLevel="1" x14ac:dyDescent="0.25">
      <c r="A200" s="151"/>
      <c r="B200" s="106" t="s">
        <v>81</v>
      </c>
      <c r="C200" s="78"/>
      <c r="D200" s="156" t="s">
        <v>56</v>
      </c>
      <c r="E200" s="156" t="s">
        <v>13</v>
      </c>
      <c r="F200" s="91">
        <f t="shared" ref="F200:F217" si="56">H200</f>
        <v>30493</v>
      </c>
      <c r="G200" s="91"/>
      <c r="H200" s="91">
        <f>H217+H228</f>
        <v>30493</v>
      </c>
      <c r="I200" s="107">
        <f t="shared" ref="I200:I217" si="57">K200</f>
        <v>111446.6</v>
      </c>
      <c r="J200" s="107"/>
      <c r="K200" s="107">
        <f>K217+K228</f>
        <v>111446.6</v>
      </c>
      <c r="L200" s="107">
        <f t="shared" ref="L200:L217" si="58">N200</f>
        <v>0</v>
      </c>
      <c r="M200" s="107"/>
      <c r="N200" s="92">
        <f>N217+N228</f>
        <v>0</v>
      </c>
    </row>
    <row r="201" spans="1:15" ht="26.25" hidden="1" customHeight="1" outlineLevel="1" x14ac:dyDescent="0.25">
      <c r="A201" s="151"/>
      <c r="B201" s="106" t="s">
        <v>63</v>
      </c>
      <c r="C201" s="78"/>
      <c r="D201" s="157"/>
      <c r="E201" s="157"/>
      <c r="F201" s="91">
        <f t="shared" si="56"/>
        <v>31667.1</v>
      </c>
      <c r="G201" s="92"/>
      <c r="H201" s="91">
        <f>H219+H239+K273</f>
        <v>31667.1</v>
      </c>
      <c r="I201" s="92">
        <f t="shared" si="57"/>
        <v>14663</v>
      </c>
      <c r="J201" s="92"/>
      <c r="K201" s="92">
        <f>K219+K239+K273</f>
        <v>14663</v>
      </c>
      <c r="L201" s="92">
        <f t="shared" si="58"/>
        <v>0</v>
      </c>
      <c r="M201" s="92"/>
      <c r="N201" s="92">
        <f>N219+N239+N273</f>
        <v>0</v>
      </c>
    </row>
    <row r="202" spans="1:15" ht="15.75" hidden="1" customHeight="1" outlineLevel="1" x14ac:dyDescent="0.25">
      <c r="A202" s="151"/>
      <c r="B202" s="106" t="s">
        <v>86</v>
      </c>
      <c r="C202" s="78"/>
      <c r="D202" s="157"/>
      <c r="E202" s="157"/>
      <c r="F202" s="92">
        <f t="shared" si="56"/>
        <v>0</v>
      </c>
      <c r="G202" s="92"/>
      <c r="H202" s="92">
        <f>H240</f>
        <v>0</v>
      </c>
      <c r="I202" s="92">
        <f t="shared" si="57"/>
        <v>0</v>
      </c>
      <c r="J202" s="92"/>
      <c r="K202" s="92">
        <f>K240</f>
        <v>0</v>
      </c>
      <c r="L202" s="92">
        <f t="shared" si="58"/>
        <v>0</v>
      </c>
      <c r="M202" s="92"/>
      <c r="N202" s="92">
        <f>N240</f>
        <v>0</v>
      </c>
    </row>
    <row r="203" spans="1:15" ht="20.25" hidden="1" customHeight="1" outlineLevel="1" x14ac:dyDescent="0.25">
      <c r="A203" s="151"/>
      <c r="B203" s="106" t="s">
        <v>87</v>
      </c>
      <c r="C203" s="78"/>
      <c r="D203" s="157"/>
      <c r="E203" s="157"/>
      <c r="F203" s="92">
        <f t="shared" si="56"/>
        <v>8491.7000000000007</v>
      </c>
      <c r="G203" s="92"/>
      <c r="H203" s="92">
        <f>H241+H258+K275</f>
        <v>8491.7000000000007</v>
      </c>
      <c r="I203" s="92">
        <f t="shared" si="57"/>
        <v>6562.1</v>
      </c>
      <c r="J203" s="92"/>
      <c r="K203" s="92">
        <f>K241+K258+K275</f>
        <v>6562.1</v>
      </c>
      <c r="L203" s="92">
        <f t="shared" si="58"/>
        <v>0</v>
      </c>
      <c r="M203" s="92"/>
      <c r="N203" s="92">
        <f>N241+N258+N275</f>
        <v>0</v>
      </c>
    </row>
    <row r="204" spans="1:15" ht="20.25" hidden="1" customHeight="1" outlineLevel="1" x14ac:dyDescent="0.25">
      <c r="A204" s="151"/>
      <c r="B204" s="106" t="s">
        <v>87</v>
      </c>
      <c r="C204" s="57"/>
      <c r="D204" s="157"/>
      <c r="E204" s="157"/>
      <c r="F204" s="92">
        <f t="shared" si="56"/>
        <v>612.24</v>
      </c>
      <c r="G204" s="92"/>
      <c r="H204" s="92">
        <f>H261</f>
        <v>612.24</v>
      </c>
      <c r="I204" s="92">
        <f t="shared" si="57"/>
        <v>0</v>
      </c>
      <c r="J204" s="92"/>
      <c r="K204" s="92">
        <f>K261</f>
        <v>0</v>
      </c>
      <c r="L204" s="92">
        <f t="shared" si="58"/>
        <v>0</v>
      </c>
      <c r="M204" s="92"/>
      <c r="N204" s="92">
        <f>N261</f>
        <v>0</v>
      </c>
    </row>
    <row r="205" spans="1:15" ht="24.75" hidden="1" customHeight="1" outlineLevel="1" x14ac:dyDescent="0.25">
      <c r="A205" s="151"/>
      <c r="B205" s="106" t="s">
        <v>85</v>
      </c>
      <c r="C205" s="57"/>
      <c r="D205" s="157"/>
      <c r="E205" s="157"/>
      <c r="F205" s="91">
        <f t="shared" si="56"/>
        <v>34941.800000000003</v>
      </c>
      <c r="G205" s="92"/>
      <c r="H205" s="91">
        <f>H221+H242+H251+H259+H265+K276</f>
        <v>34941.800000000003</v>
      </c>
      <c r="I205" s="92">
        <f t="shared" si="57"/>
        <v>53058.1</v>
      </c>
      <c r="J205" s="92"/>
      <c r="K205" s="91">
        <f>K221+K242+K251+K259+K265+K276</f>
        <v>53058.1</v>
      </c>
      <c r="L205" s="92">
        <f t="shared" si="58"/>
        <v>17440.7</v>
      </c>
      <c r="M205" s="92"/>
      <c r="N205" s="92">
        <f>N221+N242+N251+N259+N265+N276</f>
        <v>17440.7</v>
      </c>
    </row>
    <row r="206" spans="1:15" ht="21.75" hidden="1" customHeight="1" outlineLevel="1" x14ac:dyDescent="0.25">
      <c r="A206" s="151"/>
      <c r="B206" s="106" t="s">
        <v>85</v>
      </c>
      <c r="C206" s="57"/>
      <c r="D206" s="157"/>
      <c r="E206" s="157"/>
      <c r="F206" s="91">
        <f t="shared" si="56"/>
        <v>612.24</v>
      </c>
      <c r="G206" s="92"/>
      <c r="H206" s="91">
        <f>H262</f>
        <v>612.24</v>
      </c>
      <c r="I206" s="92">
        <f t="shared" si="57"/>
        <v>0</v>
      </c>
      <c r="J206" s="92"/>
      <c r="K206" s="92">
        <f>K262</f>
        <v>0</v>
      </c>
      <c r="L206" s="92">
        <f t="shared" si="58"/>
        <v>0</v>
      </c>
      <c r="M206" s="92"/>
      <c r="N206" s="92">
        <f>N262</f>
        <v>0</v>
      </c>
    </row>
    <row r="207" spans="1:15" ht="30" hidden="1" customHeight="1" outlineLevel="1" x14ac:dyDescent="0.25">
      <c r="A207" s="151"/>
      <c r="B207" s="108" t="s">
        <v>83</v>
      </c>
      <c r="C207" s="57"/>
      <c r="D207" s="157"/>
      <c r="E207" s="157"/>
      <c r="F207" s="91">
        <f t="shared" si="56"/>
        <v>33281.300000000003</v>
      </c>
      <c r="G207" s="92"/>
      <c r="H207" s="91">
        <f>H220+H243+H252+H260</f>
        <v>33281.300000000003</v>
      </c>
      <c r="I207" s="92">
        <f t="shared" si="57"/>
        <v>46694.9</v>
      </c>
      <c r="J207" s="92"/>
      <c r="K207" s="92">
        <f>K220+K243+K252+K260</f>
        <v>46694.9</v>
      </c>
      <c r="L207" s="91">
        <f t="shared" si="58"/>
        <v>0</v>
      </c>
      <c r="M207" s="91"/>
      <c r="N207" s="91">
        <f>N220+N243+N252+N260</f>
        <v>0</v>
      </c>
    </row>
    <row r="208" spans="1:15" ht="23.25" hidden="1" customHeight="1" outlineLevel="1" x14ac:dyDescent="0.25">
      <c r="A208" s="151"/>
      <c r="B208" s="108" t="s">
        <v>83</v>
      </c>
      <c r="C208" s="57"/>
      <c r="D208" s="157"/>
      <c r="E208" s="157"/>
      <c r="F208" s="91">
        <f t="shared" si="56"/>
        <v>612.24</v>
      </c>
      <c r="G208" s="92"/>
      <c r="H208" s="91">
        <f>H263</f>
        <v>612.24</v>
      </c>
      <c r="I208" s="92">
        <f t="shared" si="57"/>
        <v>0</v>
      </c>
      <c r="J208" s="92"/>
      <c r="K208" s="92">
        <f>K263</f>
        <v>0</v>
      </c>
      <c r="L208" s="91">
        <f t="shared" si="58"/>
        <v>0</v>
      </c>
      <c r="M208" s="91"/>
      <c r="N208" s="91">
        <f>N263</f>
        <v>0</v>
      </c>
    </row>
    <row r="209" spans="1:15" ht="27" hidden="1" customHeight="1" outlineLevel="1" x14ac:dyDescent="0.25">
      <c r="A209" s="151"/>
      <c r="B209" s="109" t="s">
        <v>88</v>
      </c>
      <c r="C209" s="57"/>
      <c r="D209" s="157"/>
      <c r="E209" s="157"/>
      <c r="F209" s="92">
        <f t="shared" si="56"/>
        <v>0</v>
      </c>
      <c r="G209" s="92"/>
      <c r="H209" s="92">
        <f>H244</f>
        <v>0</v>
      </c>
      <c r="I209" s="92">
        <f t="shared" si="57"/>
        <v>0</v>
      </c>
      <c r="J209" s="92"/>
      <c r="K209" s="92">
        <f>K244</f>
        <v>0</v>
      </c>
      <c r="L209" s="91">
        <f t="shared" si="58"/>
        <v>0</v>
      </c>
      <c r="M209" s="91"/>
      <c r="N209" s="91">
        <f>N244</f>
        <v>0</v>
      </c>
    </row>
    <row r="210" spans="1:15" ht="24" hidden="1" customHeight="1" outlineLevel="1" x14ac:dyDescent="0.25">
      <c r="A210" s="151"/>
      <c r="B210" s="109" t="s">
        <v>89</v>
      </c>
      <c r="C210" s="57"/>
      <c r="D210" s="158"/>
      <c r="E210" s="158"/>
      <c r="F210" s="92">
        <f t="shared" si="56"/>
        <v>0</v>
      </c>
      <c r="G210" s="92"/>
      <c r="H210" s="92">
        <f>H245</f>
        <v>0</v>
      </c>
      <c r="I210" s="92">
        <f t="shared" si="57"/>
        <v>0</v>
      </c>
      <c r="J210" s="92"/>
      <c r="K210" s="92">
        <f>K245</f>
        <v>0</v>
      </c>
      <c r="L210" s="92">
        <f t="shared" si="58"/>
        <v>0</v>
      </c>
      <c r="M210" s="92"/>
      <c r="N210" s="92">
        <f>N245</f>
        <v>0</v>
      </c>
    </row>
    <row r="211" spans="1:15" ht="24" hidden="1" customHeight="1" outlineLevel="1" x14ac:dyDescent="0.25">
      <c r="A211" s="151"/>
      <c r="B211" s="108" t="s">
        <v>83</v>
      </c>
      <c r="C211" s="110" t="s">
        <v>397</v>
      </c>
      <c r="D211" s="111"/>
      <c r="E211" s="61" t="s">
        <v>13</v>
      </c>
      <c r="F211" s="92"/>
      <c r="G211" s="92"/>
      <c r="H211" s="92"/>
      <c r="I211" s="92"/>
      <c r="J211" s="92"/>
      <c r="K211" s="92"/>
      <c r="L211" s="91" t="e">
        <f>N211</f>
        <v>#REF!</v>
      </c>
      <c r="M211" s="92"/>
      <c r="N211" s="91" t="e">
        <f>#REF!</f>
        <v>#REF!</v>
      </c>
    </row>
    <row r="212" spans="1:15" ht="24" hidden="1" customHeight="1" outlineLevel="1" x14ac:dyDescent="0.25">
      <c r="A212" s="151"/>
      <c r="B212" s="108" t="s">
        <v>83</v>
      </c>
      <c r="C212" s="110" t="s">
        <v>398</v>
      </c>
      <c r="D212" s="111"/>
      <c r="E212" s="61" t="s">
        <v>399</v>
      </c>
      <c r="F212" s="92"/>
      <c r="G212" s="92"/>
      <c r="H212" s="92"/>
      <c r="I212" s="92"/>
      <c r="J212" s="92"/>
      <c r="K212" s="92"/>
      <c r="L212" s="91" t="e">
        <f>N212</f>
        <v>#REF!</v>
      </c>
      <c r="M212" s="92"/>
      <c r="N212" s="91" t="e">
        <f>#REF!</f>
        <v>#REF!</v>
      </c>
    </row>
    <row r="213" spans="1:15" ht="23.25" customHeight="1" collapsed="1" x14ac:dyDescent="0.25">
      <c r="A213" s="151"/>
      <c r="B213" s="152" t="s">
        <v>55</v>
      </c>
      <c r="C213" s="161" t="s">
        <v>100</v>
      </c>
      <c r="D213" s="162"/>
      <c r="E213" s="163"/>
      <c r="F213" s="112">
        <f t="shared" si="56"/>
        <v>80593</v>
      </c>
      <c r="G213" s="112"/>
      <c r="H213" s="112">
        <f>H217+H218+H219+H220+H221</f>
        <v>80593</v>
      </c>
      <c r="I213" s="112">
        <f t="shared" si="57"/>
        <v>165509.20000000001</v>
      </c>
      <c r="J213" s="112"/>
      <c r="K213" s="112">
        <f>K217+K218+K219+K220+K221</f>
        <v>165509.20000000001</v>
      </c>
      <c r="L213" s="112">
        <f t="shared" si="58"/>
        <v>0</v>
      </c>
      <c r="M213" s="112"/>
      <c r="N213" s="112">
        <f>N217</f>
        <v>0</v>
      </c>
      <c r="O213" s="60">
        <f>F213+I213+L213</f>
        <v>246102.2</v>
      </c>
    </row>
    <row r="214" spans="1:15" ht="24" customHeight="1" x14ac:dyDescent="0.25">
      <c r="A214" s="151"/>
      <c r="B214" s="153"/>
      <c r="C214" s="98" t="s">
        <v>60</v>
      </c>
      <c r="D214" s="147" t="s">
        <v>56</v>
      </c>
      <c r="E214" s="147" t="s">
        <v>13</v>
      </c>
      <c r="F214" s="96">
        <f>H214</f>
        <v>30193</v>
      </c>
      <c r="G214" s="96"/>
      <c r="H214" s="96">
        <f>H217</f>
        <v>30193</v>
      </c>
      <c r="I214" s="96">
        <f>K214</f>
        <v>111446.6</v>
      </c>
      <c r="J214" s="96"/>
      <c r="K214" s="96">
        <f>K217</f>
        <v>111446.6</v>
      </c>
      <c r="L214" s="96">
        <f>N214</f>
        <v>0</v>
      </c>
      <c r="M214" s="96"/>
      <c r="N214" s="96">
        <f>N217</f>
        <v>0</v>
      </c>
      <c r="O214" s="60"/>
    </row>
    <row r="215" spans="1:15" ht="26.25" customHeight="1" x14ac:dyDescent="0.25">
      <c r="A215" s="151"/>
      <c r="B215" s="153"/>
      <c r="C215" s="98" t="s">
        <v>84</v>
      </c>
      <c r="D215" s="155"/>
      <c r="E215" s="155"/>
      <c r="F215" s="96">
        <f t="shared" ref="F215:F216" si="59">H215</f>
        <v>400</v>
      </c>
      <c r="G215" s="96"/>
      <c r="H215" s="96">
        <f>H218</f>
        <v>400</v>
      </c>
      <c r="I215" s="96">
        <f t="shared" ref="I215:I216" si="60">K215</f>
        <v>0</v>
      </c>
      <c r="J215" s="96"/>
      <c r="K215" s="96">
        <f>K218</f>
        <v>0</v>
      </c>
      <c r="L215" s="96">
        <f t="shared" ref="L215:L216" si="61">N215</f>
        <v>0</v>
      </c>
      <c r="M215" s="96"/>
      <c r="N215" s="96">
        <f>N218</f>
        <v>0</v>
      </c>
      <c r="O215" s="60"/>
    </row>
    <row r="216" spans="1:15" ht="27.75" customHeight="1" x14ac:dyDescent="0.25">
      <c r="A216" s="151"/>
      <c r="B216" s="154"/>
      <c r="C216" s="98" t="s">
        <v>62</v>
      </c>
      <c r="D216" s="148"/>
      <c r="E216" s="148"/>
      <c r="F216" s="96">
        <f t="shared" si="59"/>
        <v>50000</v>
      </c>
      <c r="G216" s="96"/>
      <c r="H216" s="96">
        <f>H219+H220+H221</f>
        <v>50000</v>
      </c>
      <c r="I216" s="96">
        <f t="shared" si="60"/>
        <v>54062.6</v>
      </c>
      <c r="J216" s="96"/>
      <c r="K216" s="96">
        <f>K219+K220+K221</f>
        <v>54062.6</v>
      </c>
      <c r="L216" s="96">
        <f t="shared" si="61"/>
        <v>0</v>
      </c>
      <c r="M216" s="96"/>
      <c r="N216" s="96">
        <f>N219+N220+N221</f>
        <v>0</v>
      </c>
      <c r="O216" s="60"/>
    </row>
    <row r="217" spans="1:15" ht="36.75" hidden="1" customHeight="1" outlineLevel="1" x14ac:dyDescent="0.25">
      <c r="A217" s="151"/>
      <c r="B217" s="108" t="s">
        <v>81</v>
      </c>
      <c r="C217" s="98" t="s">
        <v>60</v>
      </c>
      <c r="D217" s="147" t="s">
        <v>56</v>
      </c>
      <c r="E217" s="147" t="s">
        <v>13</v>
      </c>
      <c r="F217" s="96">
        <f t="shared" si="56"/>
        <v>30193</v>
      </c>
      <c r="G217" s="96"/>
      <c r="H217" s="96">
        <v>30193</v>
      </c>
      <c r="I217" s="97">
        <f t="shared" si="57"/>
        <v>111446.6</v>
      </c>
      <c r="J217" s="97"/>
      <c r="K217" s="97">
        <f>80000+176.6-5000+25000-3500+7000+2000+5770</f>
        <v>111446.6</v>
      </c>
      <c r="L217" s="96">
        <f t="shared" si="58"/>
        <v>0</v>
      </c>
      <c r="M217" s="113"/>
      <c r="N217" s="96">
        <f>50000-50000</f>
        <v>0</v>
      </c>
    </row>
    <row r="218" spans="1:15" ht="36.75" hidden="1" customHeight="1" outlineLevel="1" x14ac:dyDescent="0.25">
      <c r="A218" s="151"/>
      <c r="B218" s="108" t="s">
        <v>82</v>
      </c>
      <c r="C218" s="98" t="s">
        <v>84</v>
      </c>
      <c r="D218" s="155"/>
      <c r="E218" s="155"/>
      <c r="F218" s="96">
        <f t="shared" ref="F218:F221" si="62">H218</f>
        <v>400</v>
      </c>
      <c r="G218" s="96"/>
      <c r="H218" s="96">
        <v>400</v>
      </c>
      <c r="I218" s="97">
        <f t="shared" ref="I218:I221" si="63">K218</f>
        <v>0</v>
      </c>
      <c r="J218" s="97"/>
      <c r="K218" s="97"/>
      <c r="L218" s="97"/>
      <c r="M218" s="97"/>
      <c r="N218" s="97"/>
    </row>
    <row r="219" spans="1:15" ht="33.75" hidden="1" customHeight="1" outlineLevel="1" x14ac:dyDescent="0.25">
      <c r="A219" s="151"/>
      <c r="B219" s="108" t="s">
        <v>63</v>
      </c>
      <c r="C219" s="98" t="s">
        <v>62</v>
      </c>
      <c r="D219" s="155"/>
      <c r="E219" s="155"/>
      <c r="F219" s="96">
        <f t="shared" si="62"/>
        <v>18500</v>
      </c>
      <c r="G219" s="96"/>
      <c r="H219" s="96">
        <v>18500</v>
      </c>
      <c r="I219" s="97">
        <f t="shared" si="63"/>
        <v>0</v>
      </c>
      <c r="J219" s="97"/>
      <c r="K219" s="97"/>
      <c r="L219" s="97"/>
      <c r="M219" s="97"/>
      <c r="N219" s="97"/>
    </row>
    <row r="220" spans="1:15" ht="27" hidden="1" customHeight="1" outlineLevel="1" x14ac:dyDescent="0.25">
      <c r="A220" s="151"/>
      <c r="B220" s="108" t="s">
        <v>83</v>
      </c>
      <c r="C220" s="98" t="s">
        <v>62</v>
      </c>
      <c r="D220" s="155"/>
      <c r="E220" s="155"/>
      <c r="F220" s="96">
        <f t="shared" si="62"/>
        <v>31500</v>
      </c>
      <c r="G220" s="96"/>
      <c r="H220" s="96">
        <v>31500</v>
      </c>
      <c r="I220" s="97">
        <f t="shared" si="63"/>
        <v>45500</v>
      </c>
      <c r="J220" s="97"/>
      <c r="K220" s="96">
        <f>22500+5000+25000-7000</f>
        <v>45500</v>
      </c>
      <c r="L220" s="97"/>
      <c r="M220" s="97"/>
      <c r="N220" s="97"/>
    </row>
    <row r="221" spans="1:15" ht="27" hidden="1" customHeight="1" outlineLevel="1" x14ac:dyDescent="0.25">
      <c r="A221" s="151"/>
      <c r="B221" s="108" t="s">
        <v>85</v>
      </c>
      <c r="C221" s="98" t="s">
        <v>62</v>
      </c>
      <c r="D221" s="148"/>
      <c r="E221" s="148"/>
      <c r="F221" s="96">
        <f t="shared" si="62"/>
        <v>0</v>
      </c>
      <c r="G221" s="96"/>
      <c r="H221" s="96"/>
      <c r="I221" s="97">
        <f t="shared" si="63"/>
        <v>8562.6</v>
      </c>
      <c r="J221" s="97"/>
      <c r="K221" s="97">
        <f>3558.8+5003.8</f>
        <v>8562.6</v>
      </c>
      <c r="L221" s="97"/>
      <c r="M221" s="97"/>
      <c r="N221" s="97"/>
    </row>
    <row r="222" spans="1:15" ht="48.75" customHeight="1" collapsed="1" x14ac:dyDescent="0.25">
      <c r="A222" s="151"/>
      <c r="B222" s="114" t="s">
        <v>344</v>
      </c>
      <c r="C222" s="71" t="s">
        <v>62</v>
      </c>
      <c r="D222" s="61" t="s">
        <v>56</v>
      </c>
      <c r="E222" s="61" t="s">
        <v>13</v>
      </c>
      <c r="F222" s="96"/>
      <c r="G222" s="96"/>
      <c r="H222" s="96"/>
      <c r="I222" s="97">
        <f>K222</f>
        <v>0</v>
      </c>
      <c r="J222" s="97"/>
      <c r="K222" s="97">
        <f>K223</f>
        <v>0</v>
      </c>
      <c r="L222" s="97">
        <f>L224</f>
        <v>50000</v>
      </c>
      <c r="M222" s="97"/>
      <c r="N222" s="97">
        <f>N224</f>
        <v>50000</v>
      </c>
    </row>
    <row r="223" spans="1:15" ht="30" hidden="1" customHeight="1" outlineLevel="1" x14ac:dyDescent="0.25">
      <c r="A223" s="151"/>
      <c r="B223" s="108" t="s">
        <v>83</v>
      </c>
      <c r="C223" s="71" t="s">
        <v>62</v>
      </c>
      <c r="D223" s="76" t="s">
        <v>56</v>
      </c>
      <c r="E223" s="76" t="s">
        <v>13</v>
      </c>
      <c r="F223" s="96"/>
      <c r="G223" s="96"/>
      <c r="H223" s="96"/>
      <c r="I223" s="97">
        <f>K223</f>
        <v>0</v>
      </c>
      <c r="J223" s="97"/>
      <c r="K223" s="97"/>
      <c r="L223" s="97"/>
      <c r="M223" s="97"/>
      <c r="N223" s="97"/>
    </row>
    <row r="224" spans="1:15" ht="30" hidden="1" customHeight="1" outlineLevel="1" x14ac:dyDescent="0.25">
      <c r="A224" s="151"/>
      <c r="B224" s="108" t="s">
        <v>81</v>
      </c>
      <c r="C224" s="71">
        <v>712152</v>
      </c>
      <c r="D224" s="76" t="s">
        <v>56</v>
      </c>
      <c r="E224" s="76" t="s">
        <v>13</v>
      </c>
      <c r="F224" s="96"/>
      <c r="G224" s="96"/>
      <c r="H224" s="96"/>
      <c r="I224" s="97"/>
      <c r="J224" s="97"/>
      <c r="K224" s="97"/>
      <c r="L224" s="97">
        <f>N224</f>
        <v>50000</v>
      </c>
      <c r="M224" s="97"/>
      <c r="N224" s="97">
        <v>50000</v>
      </c>
    </row>
    <row r="225" spans="1:14" ht="22.5" customHeight="1" collapsed="1" x14ac:dyDescent="0.25">
      <c r="A225" s="151"/>
      <c r="B225" s="152" t="s">
        <v>345</v>
      </c>
      <c r="C225" s="161" t="s">
        <v>101</v>
      </c>
      <c r="D225" s="162"/>
      <c r="E225" s="163"/>
      <c r="F225" s="112">
        <f>H225</f>
        <v>5300</v>
      </c>
      <c r="G225" s="112"/>
      <c r="H225" s="112">
        <f>H226+H227</f>
        <v>5300</v>
      </c>
      <c r="I225" s="115"/>
      <c r="J225" s="97"/>
      <c r="K225" s="97"/>
      <c r="L225" s="97"/>
      <c r="M225" s="97"/>
      <c r="N225" s="97"/>
    </row>
    <row r="226" spans="1:14" ht="48.75" customHeight="1" x14ac:dyDescent="0.25">
      <c r="A226" s="151"/>
      <c r="B226" s="153"/>
      <c r="C226" s="71" t="s">
        <v>80</v>
      </c>
      <c r="D226" s="61" t="s">
        <v>56</v>
      </c>
      <c r="E226" s="147" t="s">
        <v>13</v>
      </c>
      <c r="F226" s="96">
        <f>H226</f>
        <v>300</v>
      </c>
      <c r="G226" s="96"/>
      <c r="H226" s="96">
        <f>H228</f>
        <v>300</v>
      </c>
      <c r="I226" s="97"/>
      <c r="J226" s="97"/>
      <c r="K226" s="97"/>
      <c r="L226" s="97"/>
      <c r="M226" s="97"/>
      <c r="N226" s="97"/>
    </row>
    <row r="227" spans="1:14" ht="132" customHeight="1" x14ac:dyDescent="0.25">
      <c r="A227" s="151"/>
      <c r="B227" s="154"/>
      <c r="C227" s="116">
        <v>1512010</v>
      </c>
      <c r="D227" s="61" t="s">
        <v>93</v>
      </c>
      <c r="E227" s="148"/>
      <c r="F227" s="96">
        <f>H227</f>
        <v>5000</v>
      </c>
      <c r="G227" s="96"/>
      <c r="H227" s="96">
        <f>H229</f>
        <v>5000</v>
      </c>
      <c r="I227" s="97"/>
      <c r="J227" s="97"/>
      <c r="K227" s="97"/>
      <c r="L227" s="97"/>
      <c r="M227" s="97"/>
      <c r="N227" s="97"/>
    </row>
    <row r="228" spans="1:14" ht="39" hidden="1" customHeight="1" outlineLevel="1" x14ac:dyDescent="0.25">
      <c r="A228" s="151"/>
      <c r="B228" s="108" t="s">
        <v>81</v>
      </c>
      <c r="C228" s="71" t="s">
        <v>80</v>
      </c>
      <c r="D228" s="61" t="s">
        <v>56</v>
      </c>
      <c r="E228" s="61" t="s">
        <v>13</v>
      </c>
      <c r="F228" s="96">
        <f t="shared" ref="F228:F229" si="64">H228</f>
        <v>300</v>
      </c>
      <c r="G228" s="97"/>
      <c r="H228" s="96">
        <v>300</v>
      </c>
      <c r="I228" s="97"/>
      <c r="J228" s="97"/>
      <c r="K228" s="97"/>
      <c r="L228" s="97"/>
      <c r="M228" s="97"/>
      <c r="N228" s="97"/>
    </row>
    <row r="229" spans="1:14" ht="110.25" hidden="1" outlineLevel="1" x14ac:dyDescent="0.25">
      <c r="A229" s="151"/>
      <c r="B229" s="108" t="s">
        <v>91</v>
      </c>
      <c r="C229" s="116">
        <v>1512010</v>
      </c>
      <c r="D229" s="61" t="s">
        <v>93</v>
      </c>
      <c r="E229" s="61" t="s">
        <v>13</v>
      </c>
      <c r="F229" s="96">
        <f t="shared" si="64"/>
        <v>5000</v>
      </c>
      <c r="G229" s="97"/>
      <c r="H229" s="96">
        <v>5000</v>
      </c>
      <c r="I229" s="97"/>
      <c r="J229" s="97"/>
      <c r="K229" s="97"/>
      <c r="L229" s="97"/>
      <c r="M229" s="97"/>
      <c r="N229" s="97"/>
    </row>
    <row r="230" spans="1:14" ht="20.25" customHeight="1" collapsed="1" x14ac:dyDescent="0.25">
      <c r="A230" s="151"/>
      <c r="B230" s="147" t="s">
        <v>346</v>
      </c>
      <c r="C230" s="161" t="s">
        <v>403</v>
      </c>
      <c r="D230" s="162"/>
      <c r="E230" s="163"/>
      <c r="F230" s="96"/>
      <c r="G230" s="96"/>
      <c r="H230" s="96"/>
      <c r="I230" s="96">
        <f>K230</f>
        <v>35332.9</v>
      </c>
      <c r="J230" s="96"/>
      <c r="K230" s="97">
        <f>K231+K232+K233+K234+K235</f>
        <v>35332.9</v>
      </c>
      <c r="L230" s="96">
        <f>N230</f>
        <v>8285.5</v>
      </c>
      <c r="M230" s="97"/>
      <c r="N230" s="96">
        <f>N231+N232+N233+N234+N235+N237+N236</f>
        <v>8285.5</v>
      </c>
    </row>
    <row r="231" spans="1:14" ht="30" hidden="1" customHeight="1" x14ac:dyDescent="0.25">
      <c r="A231" s="151"/>
      <c r="B231" s="155"/>
      <c r="C231" s="110" t="s">
        <v>80</v>
      </c>
      <c r="D231" s="147" t="s">
        <v>56</v>
      </c>
      <c r="E231" s="151" t="s">
        <v>13</v>
      </c>
      <c r="F231" s="97"/>
      <c r="G231" s="97"/>
      <c r="H231" s="97"/>
      <c r="I231" s="96">
        <f>K231</f>
        <v>0</v>
      </c>
      <c r="J231" s="96"/>
      <c r="K231" s="96">
        <f>K238</f>
        <v>0</v>
      </c>
      <c r="L231" s="96">
        <f>N231</f>
        <v>0</v>
      </c>
      <c r="M231" s="97"/>
      <c r="N231" s="96">
        <f>N238</f>
        <v>0</v>
      </c>
    </row>
    <row r="232" spans="1:14" ht="66" customHeight="1" x14ac:dyDescent="0.25">
      <c r="A232" s="151"/>
      <c r="B232" s="155"/>
      <c r="C232" s="117" t="s">
        <v>62</v>
      </c>
      <c r="D232" s="155"/>
      <c r="E232" s="151"/>
      <c r="F232" s="97"/>
      <c r="G232" s="97"/>
      <c r="H232" s="97"/>
      <c r="I232" s="96">
        <f t="shared" ref="I232:I235" si="65">K232</f>
        <v>27160.9</v>
      </c>
      <c r="J232" s="96"/>
      <c r="K232" s="96">
        <f>K239+K240+K241+K242+K243</f>
        <v>27160.9</v>
      </c>
      <c r="L232" s="96">
        <f t="shared" ref="L232:L235" si="66">N232</f>
        <v>7033.1</v>
      </c>
      <c r="M232" s="97"/>
      <c r="N232" s="138">
        <f>N239+N240+N241+N242+N243</f>
        <v>7033.1</v>
      </c>
    </row>
    <row r="233" spans="1:14" ht="30" hidden="1" customHeight="1" x14ac:dyDescent="0.25">
      <c r="A233" s="151"/>
      <c r="B233" s="155"/>
      <c r="C233" s="117" t="s">
        <v>69</v>
      </c>
      <c r="D233" s="155"/>
      <c r="E233" s="151"/>
      <c r="F233" s="97"/>
      <c r="G233" s="97"/>
      <c r="H233" s="97"/>
      <c r="I233" s="96">
        <f t="shared" si="65"/>
        <v>0</v>
      </c>
      <c r="J233" s="96"/>
      <c r="K233" s="96">
        <f>K244</f>
        <v>0</v>
      </c>
      <c r="L233" s="96">
        <f t="shared" si="66"/>
        <v>0</v>
      </c>
      <c r="M233" s="97"/>
      <c r="N233" s="96">
        <f>N244</f>
        <v>0</v>
      </c>
    </row>
    <row r="234" spans="1:14" ht="30" hidden="1" customHeight="1" x14ac:dyDescent="0.25">
      <c r="A234" s="151"/>
      <c r="B234" s="155"/>
      <c r="C234" s="117" t="s">
        <v>71</v>
      </c>
      <c r="D234" s="148"/>
      <c r="E234" s="151"/>
      <c r="F234" s="97"/>
      <c r="G234" s="97"/>
      <c r="H234" s="97"/>
      <c r="I234" s="96">
        <f t="shared" si="65"/>
        <v>0</v>
      </c>
      <c r="J234" s="96"/>
      <c r="K234" s="96">
        <f>K245</f>
        <v>0</v>
      </c>
      <c r="L234" s="96">
        <f t="shared" si="66"/>
        <v>0</v>
      </c>
      <c r="M234" s="97"/>
      <c r="N234" s="96">
        <f>N245</f>
        <v>0</v>
      </c>
    </row>
    <row r="235" spans="1:14" ht="94.5" customHeight="1" x14ac:dyDescent="0.25">
      <c r="A235" s="151"/>
      <c r="B235" s="155"/>
      <c r="C235" s="117" t="s">
        <v>90</v>
      </c>
      <c r="D235" s="147" t="s">
        <v>92</v>
      </c>
      <c r="E235" s="151"/>
      <c r="F235" s="97"/>
      <c r="G235" s="97"/>
      <c r="H235" s="96"/>
      <c r="I235" s="96">
        <f t="shared" si="65"/>
        <v>8172</v>
      </c>
      <c r="J235" s="96"/>
      <c r="K235" s="96">
        <f>K247</f>
        <v>8172</v>
      </c>
      <c r="L235" s="96">
        <f t="shared" si="66"/>
        <v>1100</v>
      </c>
      <c r="M235" s="97"/>
      <c r="N235" s="96">
        <f>N247+N246</f>
        <v>1100</v>
      </c>
    </row>
    <row r="236" spans="1:14" ht="21" customHeight="1" x14ac:dyDescent="0.25">
      <c r="A236" s="151"/>
      <c r="B236" s="155"/>
      <c r="C236" s="117" t="s">
        <v>400</v>
      </c>
      <c r="D236" s="148"/>
      <c r="E236" s="151"/>
      <c r="F236" s="97"/>
      <c r="G236" s="97"/>
      <c r="H236" s="96"/>
      <c r="I236" s="96"/>
      <c r="J236" s="96"/>
      <c r="K236" s="96"/>
      <c r="L236" s="96">
        <f>N236</f>
        <v>100</v>
      </c>
      <c r="M236" s="97"/>
      <c r="N236" s="96">
        <f>N248</f>
        <v>100</v>
      </c>
    </row>
    <row r="237" spans="1:14" ht="69" customHeight="1" x14ac:dyDescent="0.25">
      <c r="A237" s="151"/>
      <c r="B237" s="155"/>
      <c r="C237" s="117" t="s">
        <v>394</v>
      </c>
      <c r="D237" s="76" t="s">
        <v>56</v>
      </c>
      <c r="E237" s="105" t="s">
        <v>396</v>
      </c>
      <c r="F237" s="97"/>
      <c r="G237" s="97"/>
      <c r="H237" s="96"/>
      <c r="I237" s="96"/>
      <c r="J237" s="96"/>
      <c r="K237" s="96"/>
      <c r="L237" s="96">
        <f>N237</f>
        <v>52.4</v>
      </c>
      <c r="M237" s="97"/>
      <c r="N237" s="96">
        <f>N249</f>
        <v>52.4</v>
      </c>
    </row>
    <row r="238" spans="1:14" ht="27" hidden="1" customHeight="1" outlineLevel="2" x14ac:dyDescent="0.25">
      <c r="A238" s="151"/>
      <c r="B238" s="108" t="s">
        <v>81</v>
      </c>
      <c r="C238" s="110" t="s">
        <v>80</v>
      </c>
      <c r="D238" s="156" t="s">
        <v>56</v>
      </c>
      <c r="E238" s="156" t="s">
        <v>13</v>
      </c>
      <c r="F238" s="97"/>
      <c r="G238" s="97"/>
      <c r="H238" s="97"/>
      <c r="I238" s="97"/>
      <c r="J238" s="97"/>
      <c r="K238" s="97"/>
      <c r="L238" s="96">
        <f>N238</f>
        <v>0</v>
      </c>
      <c r="M238" s="96"/>
      <c r="N238" s="96"/>
    </row>
    <row r="239" spans="1:14" ht="29.25" hidden="1" customHeight="1" outlineLevel="2" x14ac:dyDescent="0.25">
      <c r="A239" s="151"/>
      <c r="B239" s="108" t="s">
        <v>63</v>
      </c>
      <c r="C239" s="117" t="s">
        <v>62</v>
      </c>
      <c r="D239" s="157"/>
      <c r="E239" s="157"/>
      <c r="F239" s="97"/>
      <c r="G239" s="97"/>
      <c r="H239" s="97"/>
      <c r="I239" s="97">
        <f>K239</f>
        <v>1495.9</v>
      </c>
      <c r="J239" s="97"/>
      <c r="K239" s="97">
        <v>1495.9</v>
      </c>
      <c r="L239" s="96">
        <f t="shared" ref="L239:L245" si="67">N239</f>
        <v>0</v>
      </c>
      <c r="M239" s="96"/>
      <c r="N239" s="96"/>
    </row>
    <row r="240" spans="1:14" ht="21" hidden="1" customHeight="1" outlineLevel="2" x14ac:dyDescent="0.25">
      <c r="A240" s="151"/>
      <c r="B240" s="108" t="s">
        <v>86</v>
      </c>
      <c r="C240" s="117" t="s">
        <v>62</v>
      </c>
      <c r="D240" s="157"/>
      <c r="E240" s="157"/>
      <c r="F240" s="97"/>
      <c r="G240" s="97"/>
      <c r="H240" s="97"/>
      <c r="I240" s="97"/>
      <c r="J240" s="97"/>
      <c r="K240" s="97"/>
      <c r="L240" s="96">
        <f t="shared" si="67"/>
        <v>0</v>
      </c>
      <c r="M240" s="96"/>
      <c r="N240" s="96"/>
    </row>
    <row r="241" spans="1:17" ht="21" hidden="1" customHeight="1" outlineLevel="2" x14ac:dyDescent="0.25">
      <c r="A241" s="151"/>
      <c r="B241" s="108" t="s">
        <v>87</v>
      </c>
      <c r="C241" s="117" t="s">
        <v>62</v>
      </c>
      <c r="D241" s="157"/>
      <c r="E241" s="157"/>
      <c r="F241" s="97"/>
      <c r="G241" s="97"/>
      <c r="H241" s="97"/>
      <c r="I241" s="97"/>
      <c r="J241" s="97"/>
      <c r="K241" s="97"/>
      <c r="L241" s="96">
        <f t="shared" si="67"/>
        <v>0</v>
      </c>
      <c r="M241" s="96"/>
      <c r="N241" s="96"/>
    </row>
    <row r="242" spans="1:17" ht="33" hidden="1" customHeight="1" outlineLevel="2" x14ac:dyDescent="0.25">
      <c r="A242" s="151"/>
      <c r="B242" s="108" t="s">
        <v>85</v>
      </c>
      <c r="C242" s="117" t="s">
        <v>62</v>
      </c>
      <c r="D242" s="157"/>
      <c r="E242" s="157"/>
      <c r="F242" s="97"/>
      <c r="G242" s="97"/>
      <c r="H242" s="97"/>
      <c r="I242" s="96">
        <f>K242</f>
        <v>25665</v>
      </c>
      <c r="J242" s="113"/>
      <c r="K242" s="96">
        <f>32375-6710</f>
        <v>25665</v>
      </c>
      <c r="L242" s="96">
        <f t="shared" si="67"/>
        <v>7033.1</v>
      </c>
      <c r="M242" s="96"/>
      <c r="N242" s="96">
        <f>5000+68.1+655+1310</f>
        <v>7033.1</v>
      </c>
      <c r="O242" s="54" t="s">
        <v>352</v>
      </c>
      <c r="P242" s="140" t="s">
        <v>421</v>
      </c>
      <c r="Q242" s="54" t="s">
        <v>422</v>
      </c>
    </row>
    <row r="243" spans="1:17" ht="21" hidden="1" customHeight="1" outlineLevel="2" x14ac:dyDescent="0.25">
      <c r="A243" s="151"/>
      <c r="B243" s="108" t="s">
        <v>83</v>
      </c>
      <c r="C243" s="117" t="s">
        <v>62</v>
      </c>
      <c r="D243" s="157"/>
      <c r="E243" s="157"/>
      <c r="F243" s="97"/>
      <c r="G243" s="97"/>
      <c r="H243" s="97"/>
      <c r="I243" s="97"/>
      <c r="J243" s="97"/>
      <c r="K243" s="97"/>
      <c r="L243" s="96">
        <f t="shared" si="67"/>
        <v>0</v>
      </c>
      <c r="M243" s="96"/>
      <c r="N243" s="96"/>
    </row>
    <row r="244" spans="1:17" ht="27" hidden="1" customHeight="1" outlineLevel="2" x14ac:dyDescent="0.25">
      <c r="A244" s="151"/>
      <c r="B244" s="114" t="s">
        <v>88</v>
      </c>
      <c r="C244" s="117" t="s">
        <v>69</v>
      </c>
      <c r="D244" s="157"/>
      <c r="E244" s="157"/>
      <c r="F244" s="97"/>
      <c r="G244" s="97"/>
      <c r="H244" s="97"/>
      <c r="I244" s="97"/>
      <c r="J244" s="97"/>
      <c r="K244" s="97"/>
      <c r="L244" s="96">
        <f t="shared" si="67"/>
        <v>0</v>
      </c>
      <c r="M244" s="96"/>
      <c r="N244" s="96"/>
    </row>
    <row r="245" spans="1:17" ht="28.5" hidden="1" customHeight="1" outlineLevel="2" x14ac:dyDescent="0.25">
      <c r="A245" s="151"/>
      <c r="B245" s="114" t="s">
        <v>89</v>
      </c>
      <c r="C245" s="117" t="s">
        <v>71</v>
      </c>
      <c r="D245" s="158"/>
      <c r="E245" s="158"/>
      <c r="F245" s="97"/>
      <c r="G245" s="97"/>
      <c r="H245" s="97"/>
      <c r="I245" s="97"/>
      <c r="J245" s="97"/>
      <c r="K245" s="97"/>
      <c r="L245" s="96">
        <f t="shared" si="67"/>
        <v>0</v>
      </c>
      <c r="M245" s="96"/>
      <c r="N245" s="96"/>
    </row>
    <row r="246" spans="1:17" ht="76.5" hidden="1" customHeight="1" outlineLevel="2" x14ac:dyDescent="0.25">
      <c r="A246" s="151"/>
      <c r="B246" s="141" t="s">
        <v>425</v>
      </c>
      <c r="C246" s="142" t="s">
        <v>90</v>
      </c>
      <c r="D246" s="222" t="s">
        <v>92</v>
      </c>
      <c r="E246" s="225" t="s">
        <v>13</v>
      </c>
      <c r="F246" s="143"/>
      <c r="G246" s="143"/>
      <c r="H246" s="143"/>
      <c r="I246" s="143"/>
      <c r="J246" s="144"/>
      <c r="K246" s="143"/>
      <c r="L246" s="145">
        <f>N246</f>
        <v>1000</v>
      </c>
      <c r="M246" s="145"/>
      <c r="N246" s="145">
        <v>1000</v>
      </c>
    </row>
    <row r="247" spans="1:17" ht="46.5" hidden="1" customHeight="1" outlineLevel="2" x14ac:dyDescent="0.25">
      <c r="A247" s="151"/>
      <c r="B247" s="141" t="s">
        <v>424</v>
      </c>
      <c r="C247" s="142" t="s">
        <v>90</v>
      </c>
      <c r="D247" s="223"/>
      <c r="E247" s="226"/>
      <c r="F247" s="143"/>
      <c r="G247" s="143"/>
      <c r="H247" s="143"/>
      <c r="I247" s="145">
        <f>K247</f>
        <v>8172</v>
      </c>
      <c r="J247" s="144"/>
      <c r="K247" s="145">
        <f>6972+1200</f>
        <v>8172</v>
      </c>
      <c r="L247" s="143">
        <f>N247</f>
        <v>100</v>
      </c>
      <c r="M247" s="143"/>
      <c r="N247" s="143">
        <f>80+20</f>
        <v>100</v>
      </c>
    </row>
    <row r="248" spans="1:17" ht="69.75" hidden="1" customHeight="1" outlineLevel="2" x14ac:dyDescent="0.25">
      <c r="A248" s="151"/>
      <c r="B248" s="141" t="s">
        <v>426</v>
      </c>
      <c r="C248" s="142" t="s">
        <v>400</v>
      </c>
      <c r="D248" s="224"/>
      <c r="E248" s="227"/>
      <c r="F248" s="143"/>
      <c r="G248" s="143"/>
      <c r="H248" s="143"/>
      <c r="I248" s="145"/>
      <c r="J248" s="146"/>
      <c r="K248" s="145"/>
      <c r="L248" s="143">
        <f>N248</f>
        <v>100</v>
      </c>
      <c r="M248" s="143"/>
      <c r="N248" s="143">
        <v>100</v>
      </c>
    </row>
    <row r="249" spans="1:17" ht="39.75" hidden="1" customHeight="1" outlineLevel="2" x14ac:dyDescent="0.25">
      <c r="A249" s="151"/>
      <c r="B249" s="114" t="s">
        <v>395</v>
      </c>
      <c r="C249" s="117"/>
      <c r="D249" s="61"/>
      <c r="E249" s="61"/>
      <c r="F249" s="97"/>
      <c r="G249" s="97"/>
      <c r="H249" s="97"/>
      <c r="I249" s="96"/>
      <c r="J249" s="97"/>
      <c r="K249" s="96"/>
      <c r="L249" s="97">
        <f>N249</f>
        <v>52.4</v>
      </c>
      <c r="M249" s="97"/>
      <c r="N249" s="97">
        <v>52.4</v>
      </c>
    </row>
    <row r="250" spans="1:17" ht="75.75" customHeight="1" collapsed="1" x14ac:dyDescent="0.25">
      <c r="A250" s="151"/>
      <c r="B250" s="114" t="s">
        <v>347</v>
      </c>
      <c r="C250" s="117" t="s">
        <v>94</v>
      </c>
      <c r="D250" s="61" t="s">
        <v>56</v>
      </c>
      <c r="E250" s="61" t="s">
        <v>13</v>
      </c>
      <c r="F250" s="96">
        <f t="shared" ref="F250:F258" si="68">H250</f>
        <v>16800</v>
      </c>
      <c r="G250" s="96"/>
      <c r="H250" s="96">
        <f>H251+H252</f>
        <v>16800</v>
      </c>
      <c r="I250" s="96">
        <f>K250</f>
        <v>0</v>
      </c>
      <c r="J250" s="96"/>
      <c r="K250" s="96">
        <f>K251</f>
        <v>0</v>
      </c>
      <c r="L250" s="97"/>
      <c r="M250" s="97"/>
      <c r="N250" s="97"/>
    </row>
    <row r="251" spans="1:17" ht="28.5" hidden="1" customHeight="1" outlineLevel="1" x14ac:dyDescent="0.25">
      <c r="A251" s="151"/>
      <c r="B251" s="108" t="s">
        <v>85</v>
      </c>
      <c r="C251" s="117" t="s">
        <v>94</v>
      </c>
      <c r="D251" s="147" t="s">
        <v>56</v>
      </c>
      <c r="E251" s="147" t="s">
        <v>13</v>
      </c>
      <c r="F251" s="96">
        <f t="shared" si="68"/>
        <v>15700</v>
      </c>
      <c r="G251" s="97"/>
      <c r="H251" s="96">
        <v>15700</v>
      </c>
      <c r="I251" s="96">
        <f>K251</f>
        <v>0</v>
      </c>
      <c r="J251" s="113"/>
      <c r="K251" s="96">
        <f>107.2-107.2</f>
        <v>0</v>
      </c>
      <c r="L251" s="97"/>
      <c r="M251" s="97"/>
      <c r="N251" s="97"/>
    </row>
    <row r="252" spans="1:17" ht="27" hidden="1" customHeight="1" outlineLevel="1" x14ac:dyDescent="0.25">
      <c r="A252" s="151"/>
      <c r="B252" s="108" t="s">
        <v>83</v>
      </c>
      <c r="C252" s="117" t="s">
        <v>94</v>
      </c>
      <c r="D252" s="148"/>
      <c r="E252" s="148"/>
      <c r="F252" s="96">
        <f t="shared" si="68"/>
        <v>1100</v>
      </c>
      <c r="G252" s="97"/>
      <c r="H252" s="96">
        <v>1100</v>
      </c>
      <c r="I252" s="97"/>
      <c r="J252" s="96"/>
      <c r="K252" s="97"/>
      <c r="L252" s="97"/>
      <c r="M252" s="97"/>
      <c r="N252" s="97"/>
    </row>
    <row r="253" spans="1:17" ht="49.5" customHeight="1" collapsed="1" x14ac:dyDescent="0.25">
      <c r="A253" s="151"/>
      <c r="B253" s="114" t="s">
        <v>348</v>
      </c>
      <c r="C253" s="117" t="s">
        <v>94</v>
      </c>
      <c r="D253" s="61" t="s">
        <v>56</v>
      </c>
      <c r="E253" s="61" t="s">
        <v>13</v>
      </c>
      <c r="F253" s="96"/>
      <c r="G253" s="97"/>
      <c r="H253" s="96"/>
      <c r="I253" s="97">
        <f>I254</f>
        <v>107.2</v>
      </c>
      <c r="J253" s="96"/>
      <c r="K253" s="97">
        <f>K254</f>
        <v>107.2</v>
      </c>
      <c r="L253" s="97"/>
      <c r="M253" s="97"/>
      <c r="N253" s="97"/>
    </row>
    <row r="254" spans="1:17" ht="34.5" hidden="1" customHeight="1" outlineLevel="2" x14ac:dyDescent="0.25">
      <c r="A254" s="151"/>
      <c r="B254" s="108" t="s">
        <v>85</v>
      </c>
      <c r="C254" s="117" t="s">
        <v>94</v>
      </c>
      <c r="D254" s="61" t="s">
        <v>56</v>
      </c>
      <c r="E254" s="61" t="s">
        <v>13</v>
      </c>
      <c r="F254" s="96"/>
      <c r="G254" s="97"/>
      <c r="H254" s="96"/>
      <c r="I254" s="97">
        <f>K254</f>
        <v>107.2</v>
      </c>
      <c r="J254" s="96"/>
      <c r="K254" s="97">
        <v>107.2</v>
      </c>
      <c r="L254" s="97"/>
      <c r="M254" s="97"/>
      <c r="N254" s="97"/>
    </row>
    <row r="255" spans="1:17" ht="31.5" customHeight="1" collapsed="1" x14ac:dyDescent="0.25">
      <c r="A255" s="151"/>
      <c r="B255" s="152" t="s">
        <v>349</v>
      </c>
      <c r="C255" s="228" t="s">
        <v>405</v>
      </c>
      <c r="D255" s="229"/>
      <c r="E255" s="230"/>
      <c r="F255" s="112">
        <f t="shared" si="68"/>
        <v>4498.92</v>
      </c>
      <c r="G255" s="115"/>
      <c r="H255" s="112">
        <f>H256+H257</f>
        <v>4498.92</v>
      </c>
      <c r="I255" s="115">
        <f>K255</f>
        <v>1194.9000000000001</v>
      </c>
      <c r="J255" s="112"/>
      <c r="K255" s="115">
        <f>K256+K257</f>
        <v>1194.9000000000001</v>
      </c>
      <c r="L255" s="97"/>
      <c r="M255" s="97"/>
      <c r="N255" s="97"/>
    </row>
    <row r="256" spans="1:17" ht="31.5" customHeight="1" x14ac:dyDescent="0.25">
      <c r="A256" s="151"/>
      <c r="B256" s="153"/>
      <c r="C256" s="117" t="s">
        <v>62</v>
      </c>
      <c r="D256" s="147" t="s">
        <v>56</v>
      </c>
      <c r="E256" s="61" t="s">
        <v>13</v>
      </c>
      <c r="F256" s="97">
        <f t="shared" si="68"/>
        <v>2662.2</v>
      </c>
      <c r="G256" s="97"/>
      <c r="H256" s="97">
        <f>H258+H259+H260</f>
        <v>2662.2</v>
      </c>
      <c r="I256" s="97">
        <f>K256</f>
        <v>1194.9000000000001</v>
      </c>
      <c r="J256" s="97"/>
      <c r="K256" s="97">
        <f>K258+K259+K260</f>
        <v>1194.9000000000001</v>
      </c>
      <c r="L256" s="97"/>
      <c r="M256" s="97"/>
      <c r="N256" s="97"/>
    </row>
    <row r="257" spans="1:14" ht="203.25" customHeight="1" x14ac:dyDescent="0.25">
      <c r="A257" s="151"/>
      <c r="B257" s="154"/>
      <c r="C257" s="117" t="s">
        <v>62</v>
      </c>
      <c r="D257" s="148"/>
      <c r="E257" s="118" t="s">
        <v>95</v>
      </c>
      <c r="F257" s="97">
        <f>H257</f>
        <v>1836.72</v>
      </c>
      <c r="G257" s="97"/>
      <c r="H257" s="96">
        <f>H261+H262+H263</f>
        <v>1836.72</v>
      </c>
      <c r="I257" s="97">
        <f>K257</f>
        <v>0</v>
      </c>
      <c r="J257" s="97"/>
      <c r="K257" s="97">
        <f>K261+K262+K263</f>
        <v>0</v>
      </c>
      <c r="L257" s="97"/>
      <c r="M257" s="97"/>
      <c r="N257" s="97"/>
    </row>
    <row r="258" spans="1:14" ht="15.75" hidden="1" customHeight="1" outlineLevel="1" x14ac:dyDescent="0.25">
      <c r="A258" s="151"/>
      <c r="B258" s="108" t="s">
        <v>87</v>
      </c>
      <c r="C258" s="117" t="s">
        <v>62</v>
      </c>
      <c r="D258" s="147" t="s">
        <v>56</v>
      </c>
      <c r="E258" s="147" t="s">
        <v>13</v>
      </c>
      <c r="F258" s="97">
        <f t="shared" si="68"/>
        <v>1929.6</v>
      </c>
      <c r="G258" s="97"/>
      <c r="H258" s="97">
        <v>1929.6</v>
      </c>
      <c r="I258" s="97"/>
      <c r="J258" s="97"/>
      <c r="K258" s="97"/>
      <c r="L258" s="97"/>
      <c r="M258" s="97"/>
      <c r="N258" s="97"/>
    </row>
    <row r="259" spans="1:14" ht="21.75" hidden="1" customHeight="1" outlineLevel="1" x14ac:dyDescent="0.25">
      <c r="A259" s="151"/>
      <c r="B259" s="108" t="s">
        <v>85</v>
      </c>
      <c r="C259" s="117" t="s">
        <v>62</v>
      </c>
      <c r="D259" s="155"/>
      <c r="E259" s="155"/>
      <c r="F259" s="97">
        <f t="shared" ref="F259:F260" si="69">H259</f>
        <v>51.3</v>
      </c>
      <c r="G259" s="97"/>
      <c r="H259" s="97">
        <v>51.3</v>
      </c>
      <c r="I259" s="97"/>
      <c r="J259" s="97"/>
      <c r="K259" s="97"/>
      <c r="L259" s="97"/>
      <c r="M259" s="97"/>
      <c r="N259" s="97"/>
    </row>
    <row r="260" spans="1:14" ht="28.5" hidden="1" customHeight="1" outlineLevel="1" x14ac:dyDescent="0.25">
      <c r="A260" s="151"/>
      <c r="B260" s="108" t="s">
        <v>83</v>
      </c>
      <c r="C260" s="117" t="s">
        <v>62</v>
      </c>
      <c r="D260" s="148"/>
      <c r="E260" s="148"/>
      <c r="F260" s="97">
        <f t="shared" si="69"/>
        <v>681.3</v>
      </c>
      <c r="G260" s="97"/>
      <c r="H260" s="97">
        <v>681.3</v>
      </c>
      <c r="I260" s="97">
        <f>K260</f>
        <v>1194.9000000000001</v>
      </c>
      <c r="J260" s="97"/>
      <c r="K260" s="97">
        <v>1194.9000000000001</v>
      </c>
      <c r="L260" s="97"/>
      <c r="M260" s="97"/>
      <c r="N260" s="97"/>
    </row>
    <row r="261" spans="1:14" ht="17.25" hidden="1" customHeight="1" outlineLevel="1" x14ac:dyDescent="0.25">
      <c r="A261" s="151"/>
      <c r="B261" s="108" t="s">
        <v>87</v>
      </c>
      <c r="C261" s="117" t="s">
        <v>62</v>
      </c>
      <c r="D261" s="147" t="s">
        <v>56</v>
      </c>
      <c r="E261" s="151" t="s">
        <v>95</v>
      </c>
      <c r="F261" s="97">
        <f>H261</f>
        <v>612.24</v>
      </c>
      <c r="G261" s="97"/>
      <c r="H261" s="97">
        <v>612.24</v>
      </c>
      <c r="I261" s="97"/>
      <c r="J261" s="97"/>
      <c r="K261" s="97"/>
      <c r="L261" s="97"/>
      <c r="M261" s="97"/>
      <c r="N261" s="97"/>
    </row>
    <row r="262" spans="1:14" ht="21.75" hidden="1" customHeight="1" outlineLevel="1" x14ac:dyDescent="0.25">
      <c r="A262" s="151"/>
      <c r="B262" s="108" t="s">
        <v>85</v>
      </c>
      <c r="C262" s="117" t="s">
        <v>62</v>
      </c>
      <c r="D262" s="155"/>
      <c r="E262" s="151"/>
      <c r="F262" s="97">
        <f t="shared" ref="F262:F263" si="70">H262</f>
        <v>612.24</v>
      </c>
      <c r="G262" s="97"/>
      <c r="H262" s="97">
        <v>612.24</v>
      </c>
      <c r="I262" s="97"/>
      <c r="J262" s="97"/>
      <c r="K262" s="97"/>
      <c r="L262" s="97"/>
      <c r="M262" s="97"/>
      <c r="N262" s="97"/>
    </row>
    <row r="263" spans="1:14" ht="24.75" hidden="1" customHeight="1" outlineLevel="1" x14ac:dyDescent="0.25">
      <c r="A263" s="151"/>
      <c r="B263" s="108" t="s">
        <v>83</v>
      </c>
      <c r="C263" s="117" t="s">
        <v>62</v>
      </c>
      <c r="D263" s="148"/>
      <c r="E263" s="151"/>
      <c r="F263" s="97">
        <f t="shared" si="70"/>
        <v>612.24</v>
      </c>
      <c r="G263" s="97"/>
      <c r="H263" s="97">
        <v>612.24</v>
      </c>
      <c r="I263" s="97"/>
      <c r="J263" s="97"/>
      <c r="K263" s="97"/>
      <c r="L263" s="97"/>
      <c r="M263" s="97"/>
      <c r="N263" s="97"/>
    </row>
    <row r="264" spans="1:14" ht="64.5" customHeight="1" collapsed="1" x14ac:dyDescent="0.25">
      <c r="A264" s="151"/>
      <c r="B264" s="119" t="s">
        <v>350</v>
      </c>
      <c r="C264" s="117" t="s">
        <v>62</v>
      </c>
      <c r="D264" s="61" t="s">
        <v>56</v>
      </c>
      <c r="E264" s="61" t="s">
        <v>13</v>
      </c>
      <c r="F264" s="96">
        <f>H264</f>
        <v>360</v>
      </c>
      <c r="G264" s="97"/>
      <c r="H264" s="96">
        <f>H265</f>
        <v>360</v>
      </c>
      <c r="I264" s="97"/>
      <c r="J264" s="97"/>
      <c r="K264" s="97"/>
      <c r="L264" s="97"/>
      <c r="M264" s="97"/>
      <c r="N264" s="97"/>
    </row>
    <row r="265" spans="1:14" ht="23.25" hidden="1" customHeight="1" outlineLevel="1" x14ac:dyDescent="0.25">
      <c r="A265" s="151"/>
      <c r="B265" s="108" t="s">
        <v>85</v>
      </c>
      <c r="C265" s="117" t="s">
        <v>62</v>
      </c>
      <c r="D265" s="61" t="s">
        <v>56</v>
      </c>
      <c r="E265" s="61" t="s">
        <v>13</v>
      </c>
      <c r="F265" s="96">
        <f>H265</f>
        <v>360</v>
      </c>
      <c r="G265" s="96"/>
      <c r="H265" s="96">
        <v>360</v>
      </c>
      <c r="I265" s="97"/>
      <c r="J265" s="97"/>
      <c r="K265" s="97"/>
      <c r="L265" s="97"/>
      <c r="M265" s="97"/>
      <c r="N265" s="97"/>
    </row>
    <row r="266" spans="1:14" ht="22.5" customHeight="1" collapsed="1" x14ac:dyDescent="0.25">
      <c r="A266" s="151"/>
      <c r="B266" s="152" t="s">
        <v>351</v>
      </c>
      <c r="C266" s="228" t="s">
        <v>404</v>
      </c>
      <c r="D266" s="229"/>
      <c r="E266" s="230"/>
      <c r="F266" s="112"/>
      <c r="G266" s="115"/>
      <c r="H266" s="112"/>
      <c r="I266" s="96">
        <f>K266</f>
        <v>53592</v>
      </c>
      <c r="J266" s="97"/>
      <c r="K266" s="96">
        <f>K267+K268+K272+K269</f>
        <v>53592</v>
      </c>
      <c r="L266" s="96">
        <f>N266</f>
        <v>65750.2</v>
      </c>
      <c r="M266" s="97"/>
      <c r="N266" s="96">
        <f>N267+N268+N272+N269+N270+N271</f>
        <v>65750.2</v>
      </c>
    </row>
    <row r="267" spans="1:14" ht="32.25" customHeight="1" x14ac:dyDescent="0.25">
      <c r="A267" s="151"/>
      <c r="B267" s="153"/>
      <c r="C267" s="117" t="s">
        <v>62</v>
      </c>
      <c r="D267" s="147" t="s">
        <v>56</v>
      </c>
      <c r="E267" s="147" t="s">
        <v>13</v>
      </c>
      <c r="F267" s="96"/>
      <c r="G267" s="97"/>
      <c r="H267" s="92"/>
      <c r="I267" s="96">
        <f t="shared" ref="I267:I272" si="71">K267</f>
        <v>43650.7</v>
      </c>
      <c r="J267" s="97"/>
      <c r="K267" s="96">
        <f>K273+K275+K276+K278+K274</f>
        <v>43650.7</v>
      </c>
      <c r="L267" s="96">
        <f>M267+N267</f>
        <v>10907.6</v>
      </c>
      <c r="M267" s="97"/>
      <c r="N267" s="96">
        <f>N273+N275+N276+N278+N274</f>
        <v>10907.6</v>
      </c>
    </row>
    <row r="268" spans="1:14" ht="21.75" customHeight="1" x14ac:dyDescent="0.25">
      <c r="A268" s="151"/>
      <c r="B268" s="153"/>
      <c r="C268" s="117" t="s">
        <v>57</v>
      </c>
      <c r="D268" s="155"/>
      <c r="E268" s="155"/>
      <c r="F268" s="96"/>
      <c r="G268" s="97"/>
      <c r="H268" s="92"/>
      <c r="I268" s="96">
        <f t="shared" si="71"/>
        <v>8841.2999999999993</v>
      </c>
      <c r="J268" s="97"/>
      <c r="K268" s="96">
        <f>K279</f>
        <v>8841.2999999999993</v>
      </c>
      <c r="L268" s="96">
        <f t="shared" ref="L268:L272" si="72">M268+N268</f>
        <v>4160.8999999999996</v>
      </c>
      <c r="M268" s="97"/>
      <c r="N268" s="96">
        <f>N279</f>
        <v>4160.8999999999996</v>
      </c>
    </row>
    <row r="269" spans="1:14" ht="17.25" customHeight="1" x14ac:dyDescent="0.25">
      <c r="A269" s="151"/>
      <c r="B269" s="153"/>
      <c r="C269" s="117" t="s">
        <v>62</v>
      </c>
      <c r="D269" s="155"/>
      <c r="E269" s="155"/>
      <c r="F269" s="96"/>
      <c r="G269" s="97"/>
      <c r="H269" s="92"/>
      <c r="I269" s="96">
        <f>K269</f>
        <v>200</v>
      </c>
      <c r="J269" s="97"/>
      <c r="K269" s="96">
        <f>K277</f>
        <v>200</v>
      </c>
      <c r="L269" s="96">
        <f t="shared" si="72"/>
        <v>0</v>
      </c>
      <c r="M269" s="97"/>
      <c r="N269" s="96">
        <f>N277</f>
        <v>0</v>
      </c>
    </row>
    <row r="270" spans="1:14" ht="17.25" customHeight="1" x14ac:dyDescent="0.25">
      <c r="A270" s="151"/>
      <c r="B270" s="153"/>
      <c r="C270" s="110" t="s">
        <v>397</v>
      </c>
      <c r="D270" s="155"/>
      <c r="E270" s="148"/>
      <c r="F270" s="96"/>
      <c r="G270" s="97"/>
      <c r="H270" s="92"/>
      <c r="I270" s="96"/>
      <c r="J270" s="97"/>
      <c r="K270" s="96"/>
      <c r="L270" s="96">
        <f>N270</f>
        <v>8596.5</v>
      </c>
      <c r="M270" s="97"/>
      <c r="N270" s="96">
        <f>N280</f>
        <v>8596.5</v>
      </c>
    </row>
    <row r="271" spans="1:14" ht="17.25" customHeight="1" x14ac:dyDescent="0.25">
      <c r="A271" s="151"/>
      <c r="B271" s="153"/>
      <c r="C271" s="110" t="s">
        <v>398</v>
      </c>
      <c r="D271" s="148"/>
      <c r="E271" s="61" t="s">
        <v>399</v>
      </c>
      <c r="F271" s="96"/>
      <c r="G271" s="97"/>
      <c r="H271" s="92"/>
      <c r="I271" s="96"/>
      <c r="J271" s="97"/>
      <c r="K271" s="96"/>
      <c r="L271" s="96">
        <f>N271</f>
        <v>31936.6</v>
      </c>
      <c r="M271" s="97"/>
      <c r="N271" s="96">
        <f>N281</f>
        <v>31936.6</v>
      </c>
    </row>
    <row r="272" spans="1:14" ht="111.75" customHeight="1" x14ac:dyDescent="0.25">
      <c r="A272" s="151"/>
      <c r="B272" s="154"/>
      <c r="C272" s="116">
        <v>1517322</v>
      </c>
      <c r="D272" s="76" t="s">
        <v>93</v>
      </c>
      <c r="E272" s="71"/>
      <c r="F272" s="96"/>
      <c r="G272" s="97"/>
      <c r="H272" s="96"/>
      <c r="I272" s="96">
        <f t="shared" si="71"/>
        <v>900</v>
      </c>
      <c r="J272" s="96"/>
      <c r="K272" s="96">
        <f>K282</f>
        <v>900</v>
      </c>
      <c r="L272" s="96">
        <f t="shared" si="72"/>
        <v>10148.6</v>
      </c>
      <c r="M272" s="97"/>
      <c r="N272" s="96">
        <f>N282</f>
        <v>10148.6</v>
      </c>
    </row>
    <row r="273" spans="1:14" ht="38.450000000000003" hidden="1" customHeight="1" outlineLevel="1" x14ac:dyDescent="0.25">
      <c r="A273" s="151"/>
      <c r="B273" s="108" t="s">
        <v>63</v>
      </c>
      <c r="C273" s="117" t="s">
        <v>62</v>
      </c>
      <c r="D273" s="147" t="s">
        <v>56</v>
      </c>
      <c r="E273" s="147" t="s">
        <v>13</v>
      </c>
      <c r="F273" s="96"/>
      <c r="G273" s="97"/>
      <c r="H273" s="92"/>
      <c r="I273" s="97">
        <f>K273</f>
        <v>13167.1</v>
      </c>
      <c r="J273" s="97"/>
      <c r="K273" s="97">
        <v>13167.1</v>
      </c>
      <c r="L273" s="96">
        <f>M273+N273</f>
        <v>0</v>
      </c>
      <c r="M273" s="97"/>
      <c r="N273" s="97"/>
    </row>
    <row r="274" spans="1:14" ht="25.5" hidden="1" customHeight="1" outlineLevel="1" x14ac:dyDescent="0.25">
      <c r="A274" s="151"/>
      <c r="B274" s="108" t="s">
        <v>86</v>
      </c>
      <c r="C274" s="117" t="s">
        <v>333</v>
      </c>
      <c r="D274" s="155"/>
      <c r="E274" s="155"/>
      <c r="F274" s="96"/>
      <c r="G274" s="97"/>
      <c r="H274" s="92"/>
      <c r="I274" s="97"/>
      <c r="J274" s="97"/>
      <c r="K274" s="97"/>
      <c r="L274" s="96">
        <f>M274+N274</f>
        <v>500</v>
      </c>
      <c r="M274" s="97"/>
      <c r="N274" s="96">
        <v>500</v>
      </c>
    </row>
    <row r="275" spans="1:14" ht="15.75" hidden="1" outlineLevel="1" x14ac:dyDescent="0.25">
      <c r="A275" s="151"/>
      <c r="B275" s="108" t="s">
        <v>87</v>
      </c>
      <c r="C275" s="117" t="s">
        <v>62</v>
      </c>
      <c r="D275" s="155"/>
      <c r="E275" s="155"/>
      <c r="F275" s="96"/>
      <c r="G275" s="97"/>
      <c r="H275" s="92"/>
      <c r="I275" s="97">
        <f t="shared" ref="I275:I279" si="73">K275</f>
        <v>6562.1</v>
      </c>
      <c r="J275" s="97"/>
      <c r="K275" s="97">
        <v>6562.1</v>
      </c>
      <c r="L275" s="96">
        <f t="shared" ref="L275:L282" si="74">M275+N275</f>
        <v>0</v>
      </c>
      <c r="M275" s="97"/>
      <c r="N275" s="97"/>
    </row>
    <row r="276" spans="1:14" ht="31.5" hidden="1" outlineLevel="1" x14ac:dyDescent="0.25">
      <c r="A276" s="151"/>
      <c r="B276" s="108" t="s">
        <v>85</v>
      </c>
      <c r="C276" s="117" t="s">
        <v>62</v>
      </c>
      <c r="D276" s="155"/>
      <c r="E276" s="155"/>
      <c r="F276" s="96"/>
      <c r="G276" s="97"/>
      <c r="H276" s="92"/>
      <c r="I276" s="97">
        <f t="shared" si="73"/>
        <v>18830.5</v>
      </c>
      <c r="J276" s="97"/>
      <c r="K276" s="97">
        <f>17696.4+375+759.1</f>
        <v>18830.5</v>
      </c>
      <c r="L276" s="96">
        <f t="shared" si="74"/>
        <v>10407.6</v>
      </c>
      <c r="M276" s="97"/>
      <c r="N276" s="96">
        <f>8000+2407.6</f>
        <v>10407.6</v>
      </c>
    </row>
    <row r="277" spans="1:14" ht="31.5" hidden="1" outlineLevel="1" x14ac:dyDescent="0.25">
      <c r="A277" s="151"/>
      <c r="B277" s="108" t="s">
        <v>89</v>
      </c>
      <c r="C277" s="117" t="s">
        <v>71</v>
      </c>
      <c r="D277" s="155"/>
      <c r="E277" s="155"/>
      <c r="F277" s="96"/>
      <c r="G277" s="97"/>
      <c r="H277" s="92"/>
      <c r="I277" s="97">
        <f>K277</f>
        <v>200</v>
      </c>
      <c r="J277" s="97"/>
      <c r="K277" s="97">
        <v>200</v>
      </c>
      <c r="L277" s="96">
        <f t="shared" si="74"/>
        <v>0</v>
      </c>
      <c r="M277" s="97"/>
      <c r="N277" s="97"/>
    </row>
    <row r="278" spans="1:14" ht="31.5" hidden="1" outlineLevel="1" x14ac:dyDescent="0.25">
      <c r="A278" s="151"/>
      <c r="B278" s="108" t="s">
        <v>83</v>
      </c>
      <c r="C278" s="117" t="s">
        <v>62</v>
      </c>
      <c r="D278" s="155"/>
      <c r="E278" s="155"/>
      <c r="F278" s="96"/>
      <c r="G278" s="97"/>
      <c r="H278" s="92"/>
      <c r="I278" s="97">
        <f t="shared" si="73"/>
        <v>5091</v>
      </c>
      <c r="J278" s="97"/>
      <c r="K278" s="120">
        <v>5091</v>
      </c>
      <c r="L278" s="96">
        <f t="shared" si="74"/>
        <v>0</v>
      </c>
      <c r="M278" s="97"/>
      <c r="N278" s="97"/>
    </row>
    <row r="279" spans="1:14" ht="30.75" hidden="1" customHeight="1" outlineLevel="1" x14ac:dyDescent="0.25">
      <c r="A279" s="151"/>
      <c r="B279" s="108" t="s">
        <v>96</v>
      </c>
      <c r="C279" s="117" t="s">
        <v>57</v>
      </c>
      <c r="D279" s="155"/>
      <c r="E279" s="155"/>
      <c r="F279" s="96"/>
      <c r="G279" s="97"/>
      <c r="H279" s="92"/>
      <c r="I279" s="97">
        <f t="shared" si="73"/>
        <v>8841.2999999999993</v>
      </c>
      <c r="J279" s="97"/>
      <c r="K279" s="96">
        <v>8841.2999999999993</v>
      </c>
      <c r="L279" s="120">
        <f t="shared" si="74"/>
        <v>4160.8999999999996</v>
      </c>
      <c r="M279" s="121"/>
      <c r="N279" s="120">
        <f>3980+180.9</f>
        <v>4160.8999999999996</v>
      </c>
    </row>
    <row r="280" spans="1:14" ht="30.75" hidden="1" customHeight="1" outlineLevel="1" x14ac:dyDescent="0.25">
      <c r="A280" s="151"/>
      <c r="B280" s="108" t="s">
        <v>83</v>
      </c>
      <c r="C280" s="110" t="s">
        <v>397</v>
      </c>
      <c r="D280" s="155"/>
      <c r="E280" s="148"/>
      <c r="F280" s="96"/>
      <c r="G280" s="97"/>
      <c r="H280" s="92"/>
      <c r="I280" s="97"/>
      <c r="J280" s="97"/>
      <c r="K280" s="96"/>
      <c r="L280" s="122">
        <f>N280</f>
        <v>8596.5</v>
      </c>
      <c r="M280" s="121"/>
      <c r="N280" s="122">
        <v>8596.5</v>
      </c>
    </row>
    <row r="281" spans="1:14" ht="30.75" hidden="1" customHeight="1" outlineLevel="1" x14ac:dyDescent="0.25">
      <c r="A281" s="151"/>
      <c r="B281" s="108" t="s">
        <v>83</v>
      </c>
      <c r="C281" s="110" t="s">
        <v>398</v>
      </c>
      <c r="D281" s="148"/>
      <c r="E281" s="61" t="s">
        <v>399</v>
      </c>
      <c r="F281" s="96"/>
      <c r="G281" s="97"/>
      <c r="H281" s="92"/>
      <c r="I281" s="97"/>
      <c r="J281" s="97"/>
      <c r="K281" s="96"/>
      <c r="L281" s="122">
        <f>N281</f>
        <v>31936.6</v>
      </c>
      <c r="M281" s="121"/>
      <c r="N281" s="122">
        <v>31936.6</v>
      </c>
    </row>
    <row r="282" spans="1:14" ht="35.25" hidden="1" customHeight="1" outlineLevel="1" x14ac:dyDescent="0.25">
      <c r="A282" s="151"/>
      <c r="B282" s="71" t="s">
        <v>423</v>
      </c>
      <c r="C282" s="71">
        <v>1517322</v>
      </c>
      <c r="D282" s="61" t="s">
        <v>93</v>
      </c>
      <c r="E282" s="61" t="s">
        <v>13</v>
      </c>
      <c r="F282" s="96"/>
      <c r="G282" s="96"/>
      <c r="H282" s="96"/>
      <c r="I282" s="97">
        <f>K282</f>
        <v>900</v>
      </c>
      <c r="J282" s="97"/>
      <c r="K282" s="121">
        <f>2400-1500</f>
        <v>900</v>
      </c>
      <c r="L282" s="120">
        <f t="shared" si="74"/>
        <v>10148.6</v>
      </c>
      <c r="M282" s="121"/>
      <c r="N282" s="121">
        <f>8000+2148.6</f>
        <v>10148.6</v>
      </c>
    </row>
    <row r="283" spans="1:14" ht="16.5" customHeight="1" collapsed="1" x14ac:dyDescent="0.25">
      <c r="A283" s="189" t="s">
        <v>315</v>
      </c>
      <c r="B283" s="189"/>
      <c r="C283" s="189"/>
      <c r="D283" s="189"/>
      <c r="E283" s="189"/>
      <c r="F283" s="189"/>
      <c r="G283" s="189"/>
      <c r="H283" s="189"/>
      <c r="I283" s="189"/>
      <c r="J283" s="189"/>
      <c r="K283" s="189"/>
      <c r="L283" s="189"/>
      <c r="M283" s="189"/>
      <c r="N283" s="189"/>
    </row>
    <row r="284" spans="1:14" ht="30.75" hidden="1" customHeight="1" x14ac:dyDescent="0.25">
      <c r="A284" s="195" t="s">
        <v>309</v>
      </c>
      <c r="B284" s="219"/>
      <c r="C284" s="219"/>
      <c r="D284" s="196"/>
      <c r="E284" s="123" t="s">
        <v>281</v>
      </c>
      <c r="F284" s="124">
        <f>F285+F286+F287+F288</f>
        <v>1257991.2</v>
      </c>
      <c r="G284" s="124">
        <f t="shared" ref="G284:N284" si="75">G285+G286+G287+G288</f>
        <v>818.4</v>
      </c>
      <c r="H284" s="124"/>
      <c r="I284" s="124">
        <f t="shared" si="75"/>
        <v>1198318</v>
      </c>
      <c r="J284" s="124">
        <f t="shared" si="75"/>
        <v>1281.7</v>
      </c>
      <c r="K284" s="124">
        <f t="shared" si="75"/>
        <v>17141.900000000001</v>
      </c>
      <c r="L284" s="124">
        <f t="shared" si="75"/>
        <v>1356741.8999999997</v>
      </c>
      <c r="M284" s="124">
        <f t="shared" si="75"/>
        <v>653.4</v>
      </c>
      <c r="N284" s="124">
        <f t="shared" si="75"/>
        <v>32000</v>
      </c>
    </row>
    <row r="285" spans="1:14" ht="30.75" hidden="1" customHeight="1" x14ac:dyDescent="0.25">
      <c r="A285" s="197"/>
      <c r="B285" s="220"/>
      <c r="C285" s="220"/>
      <c r="D285" s="198"/>
      <c r="E285" s="80" t="s">
        <v>13</v>
      </c>
      <c r="F285" s="80">
        <f>F289+F292</f>
        <v>818.4</v>
      </c>
      <c r="G285" s="80">
        <f>G289+G292</f>
        <v>818.4</v>
      </c>
      <c r="H285" s="80"/>
      <c r="I285" s="80">
        <f t="shared" ref="I285:N285" si="76">I289+I292</f>
        <v>14223.599999999999</v>
      </c>
      <c r="J285" s="80">
        <f t="shared" si="76"/>
        <v>1281.7</v>
      </c>
      <c r="K285" s="80">
        <f t="shared" si="76"/>
        <v>12941.9</v>
      </c>
      <c r="L285" s="80">
        <f>L289+L292</f>
        <v>32653.4</v>
      </c>
      <c r="M285" s="80">
        <f t="shared" si="76"/>
        <v>653.4</v>
      </c>
      <c r="N285" s="80">
        <f t="shared" si="76"/>
        <v>32000</v>
      </c>
    </row>
    <row r="286" spans="1:14" ht="48.75" hidden="1" customHeight="1" x14ac:dyDescent="0.25">
      <c r="A286" s="197"/>
      <c r="B286" s="220"/>
      <c r="C286" s="220"/>
      <c r="D286" s="198"/>
      <c r="E286" s="76" t="s">
        <v>303</v>
      </c>
      <c r="F286" s="80"/>
      <c r="G286" s="80"/>
      <c r="H286" s="80"/>
      <c r="I286" s="80">
        <f t="shared" ref="I286:K286" si="77">I293</f>
        <v>4200</v>
      </c>
      <c r="J286" s="80"/>
      <c r="K286" s="80">
        <f t="shared" si="77"/>
        <v>4200</v>
      </c>
      <c r="L286" s="80"/>
      <c r="M286" s="80"/>
      <c r="N286" s="80"/>
    </row>
    <row r="287" spans="1:14" ht="30.75" hidden="1" customHeight="1" x14ac:dyDescent="0.25">
      <c r="A287" s="197"/>
      <c r="B287" s="220"/>
      <c r="C287" s="220"/>
      <c r="D287" s="198"/>
      <c r="E287" s="80" t="s">
        <v>306</v>
      </c>
      <c r="F287" s="125">
        <f>F300</f>
        <v>1199286.8</v>
      </c>
      <c r="G287" s="125"/>
      <c r="H287" s="125"/>
      <c r="I287" s="125">
        <f t="shared" ref="I287:L287" si="78">I300</f>
        <v>1113517.3999999999</v>
      </c>
      <c r="J287" s="125"/>
      <c r="K287" s="125"/>
      <c r="L287" s="125">
        <f t="shared" si="78"/>
        <v>1248135.5999999999</v>
      </c>
      <c r="M287" s="125"/>
      <c r="N287" s="125"/>
    </row>
    <row r="288" spans="1:14" ht="30.75" hidden="1" customHeight="1" x14ac:dyDescent="0.25">
      <c r="A288" s="199"/>
      <c r="B288" s="221"/>
      <c r="C288" s="221"/>
      <c r="D288" s="200"/>
      <c r="E288" s="61" t="s">
        <v>308</v>
      </c>
      <c r="F288" s="125">
        <f>F310</f>
        <v>57886</v>
      </c>
      <c r="G288" s="125"/>
      <c r="H288" s="125"/>
      <c r="I288" s="125">
        <f t="shared" ref="I288:L288" si="79">I310</f>
        <v>66377</v>
      </c>
      <c r="J288" s="125"/>
      <c r="K288" s="125"/>
      <c r="L288" s="125">
        <f t="shared" si="79"/>
        <v>75952.899999999994</v>
      </c>
      <c r="M288" s="125"/>
      <c r="N288" s="125"/>
    </row>
    <row r="289" spans="1:15" ht="54" hidden="1" customHeight="1" x14ac:dyDescent="0.25">
      <c r="A289" s="116" t="s">
        <v>282</v>
      </c>
      <c r="B289" s="210" t="s">
        <v>299</v>
      </c>
      <c r="C289" s="210"/>
      <c r="D289" s="210"/>
      <c r="E289" s="61" t="s">
        <v>13</v>
      </c>
      <c r="F289" s="92">
        <f>F290+F291</f>
        <v>653.4</v>
      </c>
      <c r="G289" s="92">
        <f>G290+G291</f>
        <v>653.4</v>
      </c>
      <c r="H289" s="92"/>
      <c r="I289" s="92">
        <f>J289</f>
        <v>653.4</v>
      </c>
      <c r="J289" s="92">
        <f>J290+J291</f>
        <v>653.4</v>
      </c>
      <c r="K289" s="92"/>
      <c r="L289" s="92">
        <f>M289</f>
        <v>653.4</v>
      </c>
      <c r="M289" s="92">
        <f>M290+M291</f>
        <v>653.4</v>
      </c>
      <c r="N289" s="92"/>
      <c r="O289" s="126">
        <f>F289+I289+L289</f>
        <v>1960.1999999999998</v>
      </c>
    </row>
    <row r="290" spans="1:15" ht="33.75" hidden="1" customHeight="1" outlineLevel="1" x14ac:dyDescent="0.25">
      <c r="A290" s="201"/>
      <c r="B290" s="211" t="s">
        <v>86</v>
      </c>
      <c r="C290" s="212"/>
      <c r="D290" s="213"/>
      <c r="E290" s="217" t="s">
        <v>13</v>
      </c>
      <c r="F290" s="127">
        <f>G290</f>
        <v>163.4</v>
      </c>
      <c r="G290" s="127">
        <v>163.4</v>
      </c>
      <c r="H290" s="127"/>
      <c r="I290" s="127">
        <f>J290</f>
        <v>163.4</v>
      </c>
      <c r="J290" s="127">
        <v>163.4</v>
      </c>
      <c r="K290" s="127"/>
      <c r="L290" s="127">
        <f>M290</f>
        <v>163.4</v>
      </c>
      <c r="M290" s="127">
        <v>163.4</v>
      </c>
      <c r="N290" s="127"/>
    </row>
    <row r="291" spans="1:15" ht="33.75" hidden="1" customHeight="1" outlineLevel="1" x14ac:dyDescent="0.25">
      <c r="A291" s="203"/>
      <c r="B291" s="211" t="s">
        <v>89</v>
      </c>
      <c r="C291" s="212"/>
      <c r="D291" s="213"/>
      <c r="E291" s="218"/>
      <c r="F291" s="127">
        <f>G291</f>
        <v>490</v>
      </c>
      <c r="G291" s="127">
        <v>490</v>
      </c>
      <c r="H291" s="127"/>
      <c r="I291" s="127">
        <f>J291</f>
        <v>490</v>
      </c>
      <c r="J291" s="127">
        <v>490</v>
      </c>
      <c r="K291" s="127"/>
      <c r="L291" s="127">
        <f>M291</f>
        <v>490</v>
      </c>
      <c r="M291" s="127">
        <v>490</v>
      </c>
      <c r="N291" s="127"/>
    </row>
    <row r="292" spans="1:15" ht="23.25" hidden="1" customHeight="1" collapsed="1" x14ac:dyDescent="0.25">
      <c r="A292" s="152" t="s">
        <v>283</v>
      </c>
      <c r="B292" s="235" t="s">
        <v>300</v>
      </c>
      <c r="C292" s="236"/>
      <c r="D292" s="237"/>
      <c r="E292" s="80" t="s">
        <v>13</v>
      </c>
      <c r="F292" s="127">
        <f>F294+F295+F296+F297+F298</f>
        <v>165</v>
      </c>
      <c r="G292" s="127">
        <f>G294+G295+G296+G297+G298</f>
        <v>165</v>
      </c>
      <c r="H292" s="127"/>
      <c r="I292" s="127">
        <f t="shared" ref="I292:N292" si="80">I294+I295+I296+I297+I298</f>
        <v>13570.199999999999</v>
      </c>
      <c r="J292" s="127">
        <f t="shared" si="80"/>
        <v>628.30000000000007</v>
      </c>
      <c r="K292" s="127">
        <f t="shared" si="80"/>
        <v>12941.9</v>
      </c>
      <c r="L292" s="127">
        <f t="shared" si="80"/>
        <v>32000</v>
      </c>
      <c r="M292" s="127"/>
      <c r="N292" s="127">
        <f t="shared" si="80"/>
        <v>32000</v>
      </c>
      <c r="O292" s="128">
        <f>F292+I292+L292+I293</f>
        <v>49935.199999999997</v>
      </c>
    </row>
    <row r="293" spans="1:15" ht="26.25" hidden="1" customHeight="1" x14ac:dyDescent="0.25">
      <c r="A293" s="154"/>
      <c r="B293" s="238"/>
      <c r="C293" s="239"/>
      <c r="D293" s="240"/>
      <c r="E293" s="76" t="s">
        <v>303</v>
      </c>
      <c r="F293" s="127"/>
      <c r="G293" s="127"/>
      <c r="H293" s="127"/>
      <c r="I293" s="127">
        <f>I299</f>
        <v>4200</v>
      </c>
      <c r="J293" s="127"/>
      <c r="K293" s="127">
        <f>K299</f>
        <v>4200</v>
      </c>
      <c r="L293" s="127"/>
      <c r="M293" s="127"/>
      <c r="N293" s="127"/>
      <c r="O293" s="129"/>
    </row>
    <row r="294" spans="1:15" ht="15.75" hidden="1" outlineLevel="1" x14ac:dyDescent="0.25">
      <c r="A294" s="201"/>
      <c r="B294" s="211" t="s">
        <v>63</v>
      </c>
      <c r="C294" s="212"/>
      <c r="D294" s="213"/>
      <c r="E294" s="147" t="s">
        <v>13</v>
      </c>
      <c r="F294" s="127">
        <f>G294+H294</f>
        <v>0</v>
      </c>
      <c r="G294" s="127"/>
      <c r="H294" s="127"/>
      <c r="I294" s="127">
        <f>J294+K294</f>
        <v>1035.5999999999999</v>
      </c>
      <c r="J294" s="127">
        <v>285.60000000000002</v>
      </c>
      <c r="K294" s="127">
        <v>750</v>
      </c>
      <c r="L294" s="127">
        <f>M294+N294</f>
        <v>4000</v>
      </c>
      <c r="M294" s="127"/>
      <c r="N294" s="127">
        <v>4000</v>
      </c>
    </row>
    <row r="295" spans="1:15" ht="15.75" hidden="1" outlineLevel="1" x14ac:dyDescent="0.25">
      <c r="A295" s="202"/>
      <c r="B295" s="211" t="s">
        <v>301</v>
      </c>
      <c r="C295" s="212"/>
      <c r="D295" s="213"/>
      <c r="E295" s="155"/>
      <c r="F295" s="127">
        <f t="shared" ref="F295:F298" si="81">G295+H295</f>
        <v>54.1</v>
      </c>
      <c r="G295" s="127">
        <v>54.1</v>
      </c>
      <c r="H295" s="127"/>
      <c r="I295" s="127">
        <f t="shared" ref="I295:I299" si="82">J295+K295</f>
        <v>41.2</v>
      </c>
      <c r="J295" s="127">
        <v>41.2</v>
      </c>
      <c r="K295" s="127"/>
      <c r="L295" s="127">
        <f t="shared" ref="L295:L298" si="83">M295+N295</f>
        <v>17000</v>
      </c>
      <c r="M295" s="127"/>
      <c r="N295" s="127">
        <v>17000</v>
      </c>
    </row>
    <row r="296" spans="1:15" ht="15.75" hidden="1" outlineLevel="1" x14ac:dyDescent="0.25">
      <c r="A296" s="202"/>
      <c r="B296" s="211" t="s">
        <v>302</v>
      </c>
      <c r="C296" s="212"/>
      <c r="D296" s="213"/>
      <c r="E296" s="155"/>
      <c r="F296" s="127">
        <f t="shared" si="81"/>
        <v>0</v>
      </c>
      <c r="G296" s="127"/>
      <c r="H296" s="127"/>
      <c r="I296" s="127">
        <f t="shared" si="82"/>
        <v>285.60000000000002</v>
      </c>
      <c r="J296" s="127">
        <v>285.60000000000002</v>
      </c>
      <c r="K296" s="127"/>
      <c r="L296" s="127">
        <f t="shared" si="83"/>
        <v>6000</v>
      </c>
      <c r="M296" s="127"/>
      <c r="N296" s="127">
        <v>6000</v>
      </c>
    </row>
    <row r="297" spans="1:15" ht="15.75" hidden="1" outlineLevel="1" x14ac:dyDescent="0.25">
      <c r="A297" s="202"/>
      <c r="B297" s="214" t="s">
        <v>88</v>
      </c>
      <c r="C297" s="215"/>
      <c r="D297" s="216"/>
      <c r="E297" s="155"/>
      <c r="F297" s="127">
        <f t="shared" si="81"/>
        <v>64.099999999999994</v>
      </c>
      <c r="G297" s="127">
        <v>64.099999999999994</v>
      </c>
      <c r="H297" s="127"/>
      <c r="I297" s="127">
        <f t="shared" si="82"/>
        <v>10832.699999999999</v>
      </c>
      <c r="J297" s="127">
        <v>7.9</v>
      </c>
      <c r="K297" s="127">
        <v>10824.8</v>
      </c>
      <c r="L297" s="127">
        <f t="shared" si="83"/>
        <v>0</v>
      </c>
      <c r="M297" s="127"/>
      <c r="N297" s="127"/>
    </row>
    <row r="298" spans="1:15" ht="15.75" hidden="1" outlineLevel="1" x14ac:dyDescent="0.25">
      <c r="A298" s="202"/>
      <c r="B298" s="204" t="s">
        <v>85</v>
      </c>
      <c r="C298" s="205"/>
      <c r="D298" s="206"/>
      <c r="E298" s="148"/>
      <c r="F298" s="127">
        <f t="shared" si="81"/>
        <v>46.8</v>
      </c>
      <c r="G298" s="127">
        <v>46.8</v>
      </c>
      <c r="H298" s="127"/>
      <c r="I298" s="127">
        <f t="shared" si="82"/>
        <v>1375.1</v>
      </c>
      <c r="J298" s="127">
        <v>8</v>
      </c>
      <c r="K298" s="127">
        <v>1367.1</v>
      </c>
      <c r="L298" s="127">
        <f t="shared" si="83"/>
        <v>5000</v>
      </c>
      <c r="M298" s="127"/>
      <c r="N298" s="127">
        <v>5000</v>
      </c>
    </row>
    <row r="299" spans="1:15" ht="49.5" hidden="1" customHeight="1" outlineLevel="1" x14ac:dyDescent="0.25">
      <c r="A299" s="203"/>
      <c r="B299" s="207"/>
      <c r="C299" s="208"/>
      <c r="D299" s="209"/>
      <c r="E299" s="61" t="s">
        <v>303</v>
      </c>
      <c r="F299" s="127"/>
      <c r="G299" s="127"/>
      <c r="H299" s="127"/>
      <c r="I299" s="127">
        <f t="shared" si="82"/>
        <v>4200</v>
      </c>
      <c r="J299" s="127"/>
      <c r="K299" s="127">
        <v>4200</v>
      </c>
      <c r="L299" s="127"/>
      <c r="M299" s="127"/>
      <c r="N299" s="127"/>
    </row>
    <row r="300" spans="1:15" ht="33.75" customHeight="1" collapsed="1" x14ac:dyDescent="0.25">
      <c r="A300" s="116" t="s">
        <v>282</v>
      </c>
      <c r="B300" s="232" t="s">
        <v>304</v>
      </c>
      <c r="C300" s="233"/>
      <c r="D300" s="234"/>
      <c r="E300" s="80" t="s">
        <v>306</v>
      </c>
      <c r="F300" s="130">
        <f>F301+F302+F303+F304+F305+F306+F307+F308+F309</f>
        <v>1199286.8</v>
      </c>
      <c r="G300" s="127"/>
      <c r="H300" s="127"/>
      <c r="I300" s="130">
        <v>1113517.3999999999</v>
      </c>
      <c r="J300" s="127"/>
      <c r="K300" s="127"/>
      <c r="L300" s="130">
        <f>L301+L302+L303+L304+L305+L306+L307+L308+L309</f>
        <v>1248135.5999999999</v>
      </c>
      <c r="M300" s="127"/>
      <c r="N300" s="127"/>
      <c r="O300" s="60">
        <f>F300+I300+L300</f>
        <v>3560939.8</v>
      </c>
    </row>
    <row r="301" spans="1:15" ht="22.5" hidden="1" customHeight="1" outlineLevel="1" x14ac:dyDescent="0.25">
      <c r="A301" s="201"/>
      <c r="B301" s="164" t="s">
        <v>63</v>
      </c>
      <c r="C301" s="165"/>
      <c r="D301" s="166"/>
      <c r="E301" s="147" t="s">
        <v>306</v>
      </c>
      <c r="F301" s="130">
        <v>290904.7</v>
      </c>
      <c r="G301" s="127"/>
      <c r="H301" s="127"/>
      <c r="I301" s="127">
        <v>311178.59999999998</v>
      </c>
      <c r="J301" s="127"/>
      <c r="K301" s="127"/>
      <c r="L301" s="127">
        <v>371012.9</v>
      </c>
      <c r="M301" s="127"/>
      <c r="N301" s="127"/>
    </row>
    <row r="302" spans="1:15" ht="15.75" hidden="1" outlineLevel="1" x14ac:dyDescent="0.25">
      <c r="A302" s="202"/>
      <c r="B302" s="164" t="s">
        <v>86</v>
      </c>
      <c r="C302" s="165"/>
      <c r="D302" s="166"/>
      <c r="E302" s="155"/>
      <c r="F302" s="127">
        <v>98845.8</v>
      </c>
      <c r="G302" s="127"/>
      <c r="H302" s="127"/>
      <c r="I302" s="127">
        <v>79945.600000000006</v>
      </c>
      <c r="J302" s="127"/>
      <c r="K302" s="127"/>
      <c r="L302" s="127">
        <v>73236.5</v>
      </c>
      <c r="M302" s="127"/>
      <c r="N302" s="127"/>
    </row>
    <row r="303" spans="1:15" ht="15.75" hidden="1" outlineLevel="1" x14ac:dyDescent="0.25">
      <c r="A303" s="202"/>
      <c r="B303" s="164" t="s">
        <v>87</v>
      </c>
      <c r="C303" s="165"/>
      <c r="D303" s="166"/>
      <c r="E303" s="155"/>
      <c r="F303" s="127">
        <v>280810.3</v>
      </c>
      <c r="G303" s="127"/>
      <c r="H303" s="127"/>
      <c r="I303" s="127">
        <v>250237.6</v>
      </c>
      <c r="J303" s="127"/>
      <c r="K303" s="127"/>
      <c r="L303" s="127">
        <v>294411.8</v>
      </c>
      <c r="M303" s="127"/>
      <c r="N303" s="127"/>
    </row>
    <row r="304" spans="1:15" ht="22.5" hidden="1" customHeight="1" outlineLevel="1" x14ac:dyDescent="0.25">
      <c r="A304" s="202"/>
      <c r="B304" s="164" t="s">
        <v>85</v>
      </c>
      <c r="C304" s="165"/>
      <c r="D304" s="166"/>
      <c r="E304" s="155"/>
      <c r="F304" s="127">
        <v>67676.7</v>
      </c>
      <c r="G304" s="127"/>
      <c r="H304" s="127"/>
      <c r="I304" s="127">
        <v>76492.100000000006</v>
      </c>
      <c r="J304" s="127"/>
      <c r="K304" s="127"/>
      <c r="L304" s="127">
        <v>85801.4</v>
      </c>
      <c r="M304" s="127"/>
      <c r="N304" s="127"/>
    </row>
    <row r="305" spans="1:15" ht="22.5" hidden="1" customHeight="1" outlineLevel="1" x14ac:dyDescent="0.25">
      <c r="A305" s="202"/>
      <c r="B305" s="164" t="s">
        <v>88</v>
      </c>
      <c r="C305" s="165"/>
      <c r="D305" s="166"/>
      <c r="E305" s="155"/>
      <c r="F305" s="127">
        <v>103368.3</v>
      </c>
      <c r="G305" s="127"/>
      <c r="H305" s="127"/>
      <c r="I305" s="127">
        <v>79727.399999999994</v>
      </c>
      <c r="J305" s="127"/>
      <c r="K305" s="127"/>
      <c r="L305" s="127">
        <v>78485.8</v>
      </c>
      <c r="M305" s="127"/>
      <c r="N305" s="127"/>
    </row>
    <row r="306" spans="1:15" ht="22.5" hidden="1" customHeight="1" outlineLevel="1" x14ac:dyDescent="0.25">
      <c r="A306" s="202"/>
      <c r="B306" s="164" t="s">
        <v>89</v>
      </c>
      <c r="C306" s="165"/>
      <c r="D306" s="166"/>
      <c r="E306" s="155"/>
      <c r="F306" s="127">
        <v>303.10000000000002</v>
      </c>
      <c r="G306" s="127"/>
      <c r="H306" s="127"/>
      <c r="I306" s="127">
        <v>102.6</v>
      </c>
      <c r="J306" s="127"/>
      <c r="K306" s="127"/>
      <c r="L306" s="127">
        <v>1267.5999999999999</v>
      </c>
      <c r="M306" s="127"/>
      <c r="N306" s="127"/>
    </row>
    <row r="307" spans="1:15" ht="22.5" hidden="1" customHeight="1" outlineLevel="1" x14ac:dyDescent="0.25">
      <c r="A307" s="202"/>
      <c r="B307" s="164" t="s">
        <v>83</v>
      </c>
      <c r="C307" s="165"/>
      <c r="D307" s="166"/>
      <c r="E307" s="155"/>
      <c r="F307" s="127">
        <v>163191.70000000001</v>
      </c>
      <c r="G307" s="127"/>
      <c r="H307" s="127"/>
      <c r="I307" s="127">
        <v>155919.70000000001</v>
      </c>
      <c r="J307" s="127"/>
      <c r="K307" s="127"/>
      <c r="L307" s="127">
        <v>193633.4</v>
      </c>
      <c r="M307" s="127"/>
      <c r="N307" s="127"/>
    </row>
    <row r="308" spans="1:15" ht="32.25" hidden="1" customHeight="1" outlineLevel="1" x14ac:dyDescent="0.25">
      <c r="A308" s="202"/>
      <c r="B308" s="164" t="s">
        <v>96</v>
      </c>
      <c r="C308" s="165"/>
      <c r="D308" s="166"/>
      <c r="E308" s="155"/>
      <c r="F308" s="127">
        <v>92957.5</v>
      </c>
      <c r="G308" s="127"/>
      <c r="H308" s="127"/>
      <c r="I308" s="127">
        <v>77218.600000000006</v>
      </c>
      <c r="J308" s="127"/>
      <c r="K308" s="127"/>
      <c r="L308" s="127">
        <v>73848</v>
      </c>
      <c r="M308" s="127"/>
      <c r="N308" s="127"/>
    </row>
    <row r="309" spans="1:15" ht="22.5" hidden="1" customHeight="1" outlineLevel="1" x14ac:dyDescent="0.25">
      <c r="A309" s="203"/>
      <c r="B309" s="164" t="s">
        <v>305</v>
      </c>
      <c r="C309" s="165"/>
      <c r="D309" s="166"/>
      <c r="E309" s="148"/>
      <c r="F309" s="127">
        <v>101228.7</v>
      </c>
      <c r="G309" s="127"/>
      <c r="H309" s="127"/>
      <c r="I309" s="127">
        <v>73257.2</v>
      </c>
      <c r="J309" s="127"/>
      <c r="K309" s="127"/>
      <c r="L309" s="127">
        <v>76438.2</v>
      </c>
      <c r="M309" s="127"/>
      <c r="N309" s="127"/>
    </row>
    <row r="310" spans="1:15" ht="47.25" collapsed="1" x14ac:dyDescent="0.25">
      <c r="A310" s="131" t="s">
        <v>283</v>
      </c>
      <c r="B310" s="170" t="s">
        <v>307</v>
      </c>
      <c r="C310" s="171"/>
      <c r="D310" s="172"/>
      <c r="E310" s="61" t="s">
        <v>308</v>
      </c>
      <c r="F310" s="130">
        <f>F311+F312+F313+F314+F315+F316+F317+F318+F319</f>
        <v>57886</v>
      </c>
      <c r="G310" s="127"/>
      <c r="H310" s="127"/>
      <c r="I310" s="130">
        <v>66377</v>
      </c>
      <c r="J310" s="127"/>
      <c r="K310" s="127"/>
      <c r="L310" s="130">
        <f>L311+L312+L313+L314+L315+L316+L317+L318+L319</f>
        <v>75952.899999999994</v>
      </c>
      <c r="M310" s="127"/>
      <c r="N310" s="127"/>
      <c r="O310" s="60">
        <f>F310+I310+L310</f>
        <v>200215.9</v>
      </c>
    </row>
    <row r="311" spans="1:15" ht="24" hidden="1" customHeight="1" outlineLevel="1" x14ac:dyDescent="0.25">
      <c r="A311" s="167"/>
      <c r="B311" s="164" t="s">
        <v>63</v>
      </c>
      <c r="C311" s="165"/>
      <c r="D311" s="166"/>
      <c r="E311" s="156" t="s">
        <v>308</v>
      </c>
      <c r="F311" s="98">
        <v>3345</v>
      </c>
      <c r="G311" s="98"/>
      <c r="H311" s="98"/>
      <c r="I311" s="98">
        <v>11476</v>
      </c>
      <c r="J311" s="98"/>
      <c r="K311" s="98"/>
      <c r="L311" s="98">
        <v>9059</v>
      </c>
      <c r="M311" s="98"/>
      <c r="N311" s="98"/>
    </row>
    <row r="312" spans="1:15" ht="15.75" hidden="1" customHeight="1" outlineLevel="1" x14ac:dyDescent="0.25">
      <c r="A312" s="168"/>
      <c r="B312" s="164" t="s">
        <v>86</v>
      </c>
      <c r="C312" s="165"/>
      <c r="D312" s="166"/>
      <c r="E312" s="157"/>
      <c r="F312" s="98">
        <v>13524.5</v>
      </c>
      <c r="G312" s="98"/>
      <c r="H312" s="98"/>
      <c r="I312" s="98">
        <v>8871.4</v>
      </c>
      <c r="J312" s="98"/>
      <c r="K312" s="98"/>
      <c r="L312" s="98">
        <v>10463.299999999999</v>
      </c>
      <c r="M312" s="98"/>
      <c r="N312" s="98"/>
    </row>
    <row r="313" spans="1:15" ht="15.75" hidden="1" customHeight="1" outlineLevel="1" x14ac:dyDescent="0.25">
      <c r="A313" s="168"/>
      <c r="B313" s="164" t="s">
        <v>87</v>
      </c>
      <c r="C313" s="165"/>
      <c r="D313" s="166"/>
      <c r="E313" s="157"/>
      <c r="F313" s="98">
        <v>4685.3</v>
      </c>
      <c r="G313" s="98"/>
      <c r="H313" s="98"/>
      <c r="I313" s="98">
        <v>3931</v>
      </c>
      <c r="J313" s="98"/>
      <c r="K313" s="98"/>
      <c r="L313" s="98">
        <v>3915.9</v>
      </c>
      <c r="M313" s="98"/>
      <c r="N313" s="98"/>
    </row>
    <row r="314" spans="1:15" ht="24" hidden="1" customHeight="1" outlineLevel="1" x14ac:dyDescent="0.25">
      <c r="A314" s="168"/>
      <c r="B314" s="164" t="s">
        <v>85</v>
      </c>
      <c r="C314" s="165"/>
      <c r="D314" s="166"/>
      <c r="E314" s="157"/>
      <c r="F314" s="98">
        <v>3197.5</v>
      </c>
      <c r="G314" s="98"/>
      <c r="H314" s="98"/>
      <c r="I314" s="98">
        <v>34944.6</v>
      </c>
      <c r="J314" s="98"/>
      <c r="K314" s="98"/>
      <c r="L314" s="98">
        <v>2378.8000000000002</v>
      </c>
      <c r="M314" s="98"/>
      <c r="N314" s="98"/>
    </row>
    <row r="315" spans="1:15" ht="24" hidden="1" customHeight="1" outlineLevel="1" x14ac:dyDescent="0.25">
      <c r="A315" s="168"/>
      <c r="B315" s="164" t="s">
        <v>83</v>
      </c>
      <c r="C315" s="165"/>
      <c r="D315" s="166"/>
      <c r="E315" s="157"/>
      <c r="F315" s="98">
        <v>4084</v>
      </c>
      <c r="G315" s="98"/>
      <c r="H315" s="98"/>
      <c r="I315" s="98">
        <v>4000</v>
      </c>
      <c r="J315" s="98"/>
      <c r="K315" s="98"/>
      <c r="L315" s="98">
        <v>11961.2</v>
      </c>
      <c r="M315" s="98"/>
      <c r="N315" s="98"/>
    </row>
    <row r="316" spans="1:15" ht="24" hidden="1" customHeight="1" outlineLevel="1" x14ac:dyDescent="0.25">
      <c r="A316" s="168"/>
      <c r="B316" s="164" t="s">
        <v>88</v>
      </c>
      <c r="C316" s="165"/>
      <c r="D316" s="166"/>
      <c r="E316" s="157"/>
      <c r="F316" s="98">
        <v>12066.9</v>
      </c>
      <c r="G316" s="98"/>
      <c r="H316" s="98"/>
      <c r="I316" s="98">
        <v>12998.5</v>
      </c>
      <c r="J316" s="98"/>
      <c r="K316" s="98"/>
      <c r="L316" s="98">
        <v>15118.4</v>
      </c>
      <c r="M316" s="98"/>
      <c r="N316" s="98"/>
    </row>
    <row r="317" spans="1:15" ht="24" hidden="1" customHeight="1" outlineLevel="1" x14ac:dyDescent="0.25">
      <c r="A317" s="168"/>
      <c r="B317" s="164" t="s">
        <v>89</v>
      </c>
      <c r="C317" s="165"/>
      <c r="D317" s="166"/>
      <c r="E317" s="157"/>
      <c r="F317" s="98">
        <v>14040.5</v>
      </c>
      <c r="G317" s="98"/>
      <c r="H317" s="98"/>
      <c r="I317" s="98">
        <v>12892.7</v>
      </c>
      <c r="J317" s="98"/>
      <c r="K317" s="98"/>
      <c r="L317" s="98">
        <v>17266.599999999999</v>
      </c>
      <c r="M317" s="98"/>
      <c r="N317" s="98"/>
    </row>
    <row r="318" spans="1:15" ht="24" hidden="1" customHeight="1" outlineLevel="1" x14ac:dyDescent="0.25">
      <c r="A318" s="168"/>
      <c r="B318" s="164" t="s">
        <v>310</v>
      </c>
      <c r="C318" s="165"/>
      <c r="D318" s="166"/>
      <c r="E318" s="157"/>
      <c r="F318" s="98">
        <v>914.5</v>
      </c>
      <c r="G318" s="98"/>
      <c r="H318" s="98"/>
      <c r="I318" s="98">
        <v>923.9</v>
      </c>
      <c r="J318" s="98"/>
      <c r="K318" s="98"/>
      <c r="L318" s="98">
        <v>61.3</v>
      </c>
      <c r="M318" s="98"/>
      <c r="N318" s="98"/>
    </row>
    <row r="319" spans="1:15" ht="24" hidden="1" customHeight="1" outlineLevel="1" x14ac:dyDescent="0.25">
      <c r="A319" s="169"/>
      <c r="B319" s="164" t="s">
        <v>305</v>
      </c>
      <c r="C319" s="165"/>
      <c r="D319" s="166"/>
      <c r="E319" s="158"/>
      <c r="F319" s="98">
        <v>2027.8</v>
      </c>
      <c r="G319" s="98"/>
      <c r="H319" s="98"/>
      <c r="I319" s="98">
        <v>3013.1</v>
      </c>
      <c r="J319" s="98"/>
      <c r="K319" s="98"/>
      <c r="L319" s="98">
        <v>5728.4</v>
      </c>
      <c r="M319" s="98"/>
      <c r="N319" s="98"/>
    </row>
    <row r="320" spans="1:15" ht="15.75" collapsed="1" x14ac:dyDescent="0.25">
      <c r="B320" s="53"/>
      <c r="C320" s="53"/>
      <c r="D320" s="53"/>
      <c r="E320" s="53"/>
      <c r="F320" s="53"/>
      <c r="G320" s="53"/>
      <c r="H320" s="53"/>
      <c r="I320" s="53"/>
      <c r="J320" s="53"/>
      <c r="K320" s="53"/>
    </row>
    <row r="321" spans="2:11" ht="18.75" x14ac:dyDescent="0.3">
      <c r="B321" s="56" t="s">
        <v>407</v>
      </c>
      <c r="C321" s="53"/>
      <c r="D321" s="53"/>
      <c r="E321" s="53"/>
      <c r="F321" s="53"/>
      <c r="G321" s="53"/>
      <c r="H321" s="53"/>
    </row>
    <row r="322" spans="2:11" ht="18.75" x14ac:dyDescent="0.3">
      <c r="B322" s="56" t="s">
        <v>319</v>
      </c>
      <c r="I322" s="231" t="s">
        <v>408</v>
      </c>
      <c r="J322" s="231"/>
      <c r="K322" s="231"/>
    </row>
    <row r="323" spans="2:11" ht="26.25" customHeight="1" x14ac:dyDescent="0.25">
      <c r="B323" s="132"/>
    </row>
  </sheetData>
  <mergeCells count="177">
    <mergeCell ref="K2:N2"/>
    <mergeCell ref="K3:N3"/>
    <mergeCell ref="K4:N4"/>
    <mergeCell ref="D162:D164"/>
    <mergeCell ref="E162:E164"/>
    <mergeCell ref="E166:E168"/>
    <mergeCell ref="D166:D168"/>
    <mergeCell ref="E170:E171"/>
    <mergeCell ref="E226:E227"/>
    <mergeCell ref="D154:D156"/>
    <mergeCell ref="E154:E156"/>
    <mergeCell ref="B24:E24"/>
    <mergeCell ref="B134:D134"/>
    <mergeCell ref="D80:D82"/>
    <mergeCell ref="D64:D68"/>
    <mergeCell ref="B25:C27"/>
    <mergeCell ref="D25:D27"/>
    <mergeCell ref="B77:B79"/>
    <mergeCell ref="C77:E77"/>
    <mergeCell ref="B83:B85"/>
    <mergeCell ref="C83:E83"/>
    <mergeCell ref="B109:B112"/>
    <mergeCell ref="C109:E109"/>
    <mergeCell ref="D124:D125"/>
    <mergeCell ref="K1:N1"/>
    <mergeCell ref="A140:N140"/>
    <mergeCell ref="D95:D96"/>
    <mergeCell ref="E95:E96"/>
    <mergeCell ref="A142:A178"/>
    <mergeCell ref="B59:B62"/>
    <mergeCell ref="B151:B152"/>
    <mergeCell ref="D151:D152"/>
    <mergeCell ref="E151:E152"/>
    <mergeCell ref="E86:E91"/>
    <mergeCell ref="D113:D117"/>
    <mergeCell ref="D158:D160"/>
    <mergeCell ref="A24:A139"/>
    <mergeCell ref="D59:D62"/>
    <mergeCell ref="A141:N141"/>
    <mergeCell ref="E158:E160"/>
    <mergeCell ref="E80:E82"/>
    <mergeCell ref="D144:D149"/>
    <mergeCell ref="E144:E149"/>
    <mergeCell ref="B128:E128"/>
    <mergeCell ref="B143:C143"/>
    <mergeCell ref="B150:E150"/>
    <mergeCell ref="D45:D47"/>
    <mergeCell ref="E45:E47"/>
    <mergeCell ref="I322:K322"/>
    <mergeCell ref="E301:E309"/>
    <mergeCell ref="B300:D300"/>
    <mergeCell ref="B296:D296"/>
    <mergeCell ref="B266:B272"/>
    <mergeCell ref="B292:D293"/>
    <mergeCell ref="D170:D171"/>
    <mergeCell ref="D173:D174"/>
    <mergeCell ref="B194:E194"/>
    <mergeCell ref="B182:E182"/>
    <mergeCell ref="A193:N193"/>
    <mergeCell ref="D200:D210"/>
    <mergeCell ref="E200:E210"/>
    <mergeCell ref="C266:E266"/>
    <mergeCell ref="B225:B227"/>
    <mergeCell ref="A192:N192"/>
    <mergeCell ref="B181:E181"/>
    <mergeCell ref="D183:D185"/>
    <mergeCell ref="B183:B185"/>
    <mergeCell ref="E173:E174"/>
    <mergeCell ref="B295:D295"/>
    <mergeCell ref="A292:A293"/>
    <mergeCell ref="D238:D245"/>
    <mergeCell ref="E238:E245"/>
    <mergeCell ref="E273:E280"/>
    <mergeCell ref="E294:E298"/>
    <mergeCell ref="B298:D299"/>
    <mergeCell ref="A294:A299"/>
    <mergeCell ref="A181:A191"/>
    <mergeCell ref="A194:A282"/>
    <mergeCell ref="A290:A291"/>
    <mergeCell ref="B289:D289"/>
    <mergeCell ref="B290:D290"/>
    <mergeCell ref="B291:D291"/>
    <mergeCell ref="B297:D297"/>
    <mergeCell ref="E290:E291"/>
    <mergeCell ref="A284:D288"/>
    <mergeCell ref="A283:N283"/>
    <mergeCell ref="D246:D248"/>
    <mergeCell ref="E246:E248"/>
    <mergeCell ref="B294:D294"/>
    <mergeCell ref="D273:D281"/>
    <mergeCell ref="D258:D260"/>
    <mergeCell ref="E258:E260"/>
    <mergeCell ref="D251:D252"/>
    <mergeCell ref="E251:E252"/>
    <mergeCell ref="C255:E255"/>
    <mergeCell ref="D217:D221"/>
    <mergeCell ref="A301:A309"/>
    <mergeCell ref="B301:D301"/>
    <mergeCell ref="B302:D302"/>
    <mergeCell ref="B303:D303"/>
    <mergeCell ref="B304:D304"/>
    <mergeCell ref="B305:D305"/>
    <mergeCell ref="B306:D306"/>
    <mergeCell ref="B307:D307"/>
    <mergeCell ref="B308:D308"/>
    <mergeCell ref="B309:D309"/>
    <mergeCell ref="E217:E221"/>
    <mergeCell ref="B230:B237"/>
    <mergeCell ref="A179:N179"/>
    <mergeCell ref="D231:D234"/>
    <mergeCell ref="C225:E225"/>
    <mergeCell ref="E214:E216"/>
    <mergeCell ref="C213:E213"/>
    <mergeCell ref="B142:E142"/>
    <mergeCell ref="E231:E236"/>
    <mergeCell ref="B38:E38"/>
    <mergeCell ref="B39:B40"/>
    <mergeCell ref="B58:E58"/>
    <mergeCell ref="D42:D43"/>
    <mergeCell ref="E51:E52"/>
    <mergeCell ref="D51:D52"/>
    <mergeCell ref="E54:E55"/>
    <mergeCell ref="E64:E68"/>
    <mergeCell ref="B195:C199"/>
    <mergeCell ref="D6:J6"/>
    <mergeCell ref="B7:M7"/>
    <mergeCell ref="A23:N23"/>
    <mergeCell ref="D14:E14"/>
    <mergeCell ref="A14:C21"/>
    <mergeCell ref="A22:N22"/>
    <mergeCell ref="D9:D11"/>
    <mergeCell ref="C9:C11"/>
    <mergeCell ref="B9:B11"/>
    <mergeCell ref="A9:A11"/>
    <mergeCell ref="F9:N9"/>
    <mergeCell ref="F10:H10"/>
    <mergeCell ref="I10:K10"/>
    <mergeCell ref="L10:N10"/>
    <mergeCell ref="A13:N13"/>
    <mergeCell ref="D15:D20"/>
    <mergeCell ref="E9:E11"/>
    <mergeCell ref="B319:D319"/>
    <mergeCell ref="A311:A319"/>
    <mergeCell ref="E311:E319"/>
    <mergeCell ref="B310:D310"/>
    <mergeCell ref="B311:D311"/>
    <mergeCell ref="B312:D312"/>
    <mergeCell ref="B313:D313"/>
    <mergeCell ref="B314:D314"/>
    <mergeCell ref="B315:D315"/>
    <mergeCell ref="B316:D316"/>
    <mergeCell ref="B317:D317"/>
    <mergeCell ref="B318:D318"/>
    <mergeCell ref="D256:D257"/>
    <mergeCell ref="A180:N180"/>
    <mergeCell ref="E183:E184"/>
    <mergeCell ref="E261:E263"/>
    <mergeCell ref="B213:B216"/>
    <mergeCell ref="D214:D216"/>
    <mergeCell ref="D28:D37"/>
    <mergeCell ref="D267:D271"/>
    <mergeCell ref="D235:D236"/>
    <mergeCell ref="E121:E122"/>
    <mergeCell ref="D84:D85"/>
    <mergeCell ref="E84:E85"/>
    <mergeCell ref="E113:E116"/>
    <mergeCell ref="B255:B257"/>
    <mergeCell ref="E124:E125"/>
    <mergeCell ref="D86:D91"/>
    <mergeCell ref="E267:E270"/>
    <mergeCell ref="D261:D263"/>
    <mergeCell ref="D121:D122"/>
    <mergeCell ref="C230:E230"/>
    <mergeCell ref="D78:D79"/>
    <mergeCell ref="E78:E79"/>
    <mergeCell ref="D54:D55"/>
    <mergeCell ref="E42:E43"/>
  </mergeCells>
  <pageMargins left="0.78740157480314965" right="0.78740157480314965" top="1.1811023622047245" bottom="0.39370078740157483" header="0.31496062992125984" footer="0.31496062992125984"/>
  <pageSetup paperSize="9" scale="69" orientation="landscape" r:id="rId1"/>
  <rowBreaks count="1" manualBreakCount="1">
    <brk id="19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1"/>
  <sheetViews>
    <sheetView view="pageBreakPreview" zoomScaleSheetLayoutView="100" workbookViewId="0">
      <selection activeCell="F1" sqref="F1"/>
    </sheetView>
  </sheetViews>
  <sheetFormatPr defaultColWidth="9.140625" defaultRowHeight="15" x14ac:dyDescent="0.25"/>
  <cols>
    <col min="1" max="1" width="35.42578125" style="14" customWidth="1"/>
    <col min="2" max="2" width="14" style="14" customWidth="1"/>
    <col min="3" max="3" width="34.28515625" style="14" customWidth="1"/>
    <col min="4" max="4" width="9.28515625" style="14" bestFit="1" customWidth="1"/>
    <col min="5" max="5" width="13" style="14" customWidth="1"/>
    <col min="6" max="6" width="12.85546875" style="14" customWidth="1"/>
    <col min="7" max="7" width="13.28515625" style="14" customWidth="1"/>
    <col min="8" max="8" width="9.140625" style="14"/>
    <col min="9" max="9" width="16.28515625" style="14" customWidth="1"/>
    <col min="10" max="16384" width="9.140625" style="14"/>
  </cols>
  <sheetData>
    <row r="1" spans="1:14" ht="18.75" x14ac:dyDescent="0.3">
      <c r="C1" s="13"/>
      <c r="D1" s="13"/>
      <c r="E1" s="13"/>
      <c r="F1" s="36" t="s">
        <v>16</v>
      </c>
      <c r="G1" s="36"/>
      <c r="H1" s="15"/>
    </row>
    <row r="2" spans="1:14" ht="18.75" x14ac:dyDescent="0.3">
      <c r="C2" s="36"/>
      <c r="D2" s="283" t="s">
        <v>316</v>
      </c>
      <c r="E2" s="283"/>
      <c r="F2" s="283"/>
      <c r="G2" s="283"/>
      <c r="H2" s="15"/>
    </row>
    <row r="3" spans="1:14" ht="18.75" x14ac:dyDescent="0.3">
      <c r="C3" s="36"/>
      <c r="D3" s="283" t="s">
        <v>342</v>
      </c>
      <c r="E3" s="283"/>
      <c r="F3" s="283"/>
      <c r="G3" s="283"/>
      <c r="H3" s="15"/>
    </row>
    <row r="4" spans="1:14" ht="18.75" x14ac:dyDescent="0.3">
      <c r="C4" s="36"/>
      <c r="D4" s="283" t="s">
        <v>427</v>
      </c>
      <c r="E4" s="283"/>
      <c r="F4" s="283"/>
      <c r="G4" s="283"/>
      <c r="H4" s="15"/>
    </row>
    <row r="6" spans="1:14" ht="18.75" x14ac:dyDescent="0.3">
      <c r="A6" s="287" t="s">
        <v>17</v>
      </c>
      <c r="B6" s="287"/>
      <c r="C6" s="287"/>
      <c r="D6" s="287"/>
      <c r="E6" s="287"/>
      <c r="F6" s="287"/>
      <c r="G6" s="287"/>
      <c r="H6" s="16"/>
      <c r="I6" s="16"/>
      <c r="J6" s="16"/>
    </row>
    <row r="7" spans="1:14" ht="15.75" x14ac:dyDescent="0.25">
      <c r="A7" s="285" t="s">
        <v>30</v>
      </c>
      <c r="B7" s="285"/>
      <c r="C7" s="285"/>
      <c r="D7" s="285"/>
      <c r="E7" s="285"/>
      <c r="F7" s="285"/>
      <c r="G7" s="285"/>
      <c r="H7" s="17"/>
      <c r="I7" s="17"/>
      <c r="J7" s="17"/>
      <c r="K7" s="17"/>
      <c r="L7" s="17"/>
      <c r="M7" s="17"/>
    </row>
    <row r="8" spans="1:14" ht="18" customHeight="1" x14ac:dyDescent="0.25">
      <c r="A8" s="286"/>
      <c r="B8" s="286"/>
      <c r="C8" s="286"/>
      <c r="D8" s="286"/>
      <c r="E8" s="286"/>
      <c r="F8" s="286"/>
      <c r="G8" s="15"/>
      <c r="H8" s="15"/>
      <c r="L8" s="279"/>
      <c r="M8" s="279"/>
      <c r="N8" s="279"/>
    </row>
    <row r="9" spans="1:14" ht="40.5" customHeight="1" x14ac:dyDescent="0.25">
      <c r="A9" s="262" t="s">
        <v>18</v>
      </c>
      <c r="B9" s="262" t="s">
        <v>19</v>
      </c>
      <c r="C9" s="262" t="s">
        <v>20</v>
      </c>
      <c r="D9" s="262" t="s">
        <v>21</v>
      </c>
      <c r="E9" s="273" t="s">
        <v>22</v>
      </c>
      <c r="F9" s="273"/>
      <c r="G9" s="273"/>
    </row>
    <row r="10" spans="1:14" ht="18.75" customHeight="1" x14ac:dyDescent="0.25">
      <c r="A10" s="267"/>
      <c r="B10" s="267"/>
      <c r="C10" s="267"/>
      <c r="D10" s="267"/>
      <c r="E10" s="25" t="s">
        <v>23</v>
      </c>
      <c r="F10" s="25" t="s">
        <v>24</v>
      </c>
      <c r="G10" s="25" t="s">
        <v>25</v>
      </c>
    </row>
    <row r="11" spans="1:14" x14ac:dyDescent="0.25">
      <c r="A11" s="25">
        <v>1</v>
      </c>
      <c r="B11" s="25">
        <v>2</v>
      </c>
      <c r="C11" s="25">
        <v>3</v>
      </c>
      <c r="D11" s="25">
        <v>4</v>
      </c>
      <c r="E11" s="25">
        <v>5</v>
      </c>
      <c r="F11" s="25">
        <v>6</v>
      </c>
      <c r="G11" s="25">
        <v>7</v>
      </c>
    </row>
    <row r="12" spans="1:14" ht="30" x14ac:dyDescent="0.25">
      <c r="A12" s="262" t="s">
        <v>30</v>
      </c>
      <c r="B12" s="21" t="s">
        <v>26</v>
      </c>
      <c r="C12" s="21" t="s">
        <v>329</v>
      </c>
      <c r="D12" s="21" t="s">
        <v>133</v>
      </c>
      <c r="E12" s="25">
        <v>47470</v>
      </c>
      <c r="F12" s="25">
        <v>63300</v>
      </c>
      <c r="G12" s="25">
        <v>63300</v>
      </c>
    </row>
    <row r="13" spans="1:14" ht="30" x14ac:dyDescent="0.25">
      <c r="A13" s="263"/>
      <c r="B13" s="49" t="s">
        <v>324</v>
      </c>
      <c r="C13" s="21" t="s">
        <v>330</v>
      </c>
      <c r="D13" s="21" t="s">
        <v>111</v>
      </c>
      <c r="E13" s="26">
        <f>E12/42211*100-100</f>
        <v>12.458837743716103</v>
      </c>
      <c r="F13" s="26">
        <f>F12/E12*100-100</f>
        <v>33.347377290920576</v>
      </c>
      <c r="G13" s="25">
        <f>G12/F12*100-100</f>
        <v>0</v>
      </c>
    </row>
    <row r="14" spans="1:14" ht="30" x14ac:dyDescent="0.25">
      <c r="A14" s="263"/>
      <c r="B14" s="21" t="s">
        <v>26</v>
      </c>
      <c r="C14" s="21" t="s">
        <v>331</v>
      </c>
      <c r="D14" s="21" t="s">
        <v>133</v>
      </c>
      <c r="E14" s="26">
        <v>1331107</v>
      </c>
      <c r="F14" s="26">
        <v>1446287</v>
      </c>
      <c r="G14" s="37">
        <v>1445000</v>
      </c>
    </row>
    <row r="15" spans="1:14" ht="30" x14ac:dyDescent="0.25">
      <c r="A15" s="267"/>
      <c r="B15" s="49" t="s">
        <v>324</v>
      </c>
      <c r="C15" s="21" t="s">
        <v>332</v>
      </c>
      <c r="D15" s="21" t="s">
        <v>111</v>
      </c>
      <c r="E15" s="26">
        <f>1331107/1543618*100-100</f>
        <v>-13.76707190509569</v>
      </c>
      <c r="F15" s="26">
        <f>1446287/1331107*100-100</f>
        <v>8.6529482603577463</v>
      </c>
      <c r="G15" s="37">
        <f>1445000/1446287*100-100</f>
        <v>-8.8986487467565212E-2</v>
      </c>
    </row>
    <row r="16" spans="1:14" ht="24" customHeight="1" x14ac:dyDescent="0.25">
      <c r="A16" s="137" t="s">
        <v>280</v>
      </c>
      <c r="B16" s="134"/>
      <c r="C16" s="134"/>
      <c r="D16" s="135" t="s">
        <v>107</v>
      </c>
      <c r="E16" s="136">
        <f>E20+E156+E215+E238</f>
        <v>225046120</v>
      </c>
      <c r="F16" s="136">
        <f>F20+F156+F215+F238</f>
        <v>375309725</v>
      </c>
      <c r="G16" s="136">
        <f>G20+G156+G215+G238</f>
        <v>246270825</v>
      </c>
      <c r="I16" s="19">
        <f>E16+F16+G16</f>
        <v>846626670</v>
      </c>
    </row>
    <row r="17" spans="1:7" ht="20.25" customHeight="1" x14ac:dyDescent="0.25">
      <c r="A17" s="270" t="s">
        <v>104</v>
      </c>
      <c r="B17" s="271"/>
      <c r="C17" s="271"/>
      <c r="D17" s="271"/>
      <c r="E17" s="271"/>
      <c r="F17" s="271"/>
      <c r="G17" s="272"/>
    </row>
    <row r="18" spans="1:7" ht="20.25" customHeight="1" x14ac:dyDescent="0.25">
      <c r="A18" s="274"/>
      <c r="B18" s="31" t="s">
        <v>26</v>
      </c>
      <c r="C18" s="21" t="s">
        <v>108</v>
      </c>
      <c r="D18" s="48"/>
      <c r="E18" s="20">
        <f>E23+E47+E129+E138</f>
        <v>9</v>
      </c>
      <c r="F18" s="20">
        <v>9</v>
      </c>
      <c r="G18" s="20">
        <v>9</v>
      </c>
    </row>
    <row r="19" spans="1:7" ht="30.75" customHeight="1" x14ac:dyDescent="0.25">
      <c r="A19" s="276"/>
      <c r="B19" s="48" t="s">
        <v>324</v>
      </c>
      <c r="C19" s="49" t="s">
        <v>325</v>
      </c>
      <c r="D19" s="48"/>
      <c r="E19" s="38">
        <f>80227900/63578300*100</f>
        <v>126.1875514129821</v>
      </c>
      <c r="F19" s="38">
        <f>92503300/80227900*100</f>
        <v>115.30066223844821</v>
      </c>
      <c r="G19" s="38">
        <f>96926000/92503300*100</f>
        <v>104.7811267273708</v>
      </c>
    </row>
    <row r="20" spans="1:7" ht="23.25" customHeight="1" x14ac:dyDescent="0.25">
      <c r="A20" s="270" t="s">
        <v>114</v>
      </c>
      <c r="B20" s="271"/>
      <c r="C20" s="271"/>
      <c r="D20" s="272"/>
      <c r="E20" s="20">
        <f>E22+E27+E31+E46+E51+E55+E58+E62+E70+E76+E82+E90+E105+E110+E114+E118+E128+E133+E137+E146</f>
        <v>80227900</v>
      </c>
      <c r="F20" s="20">
        <f>F22+F27+F31+F46+F51+F55+F58+F62+F70+F76+F82+F90+F105+F110+F114+F118+F128+F133+F137+F146+F109</f>
        <v>92503300</v>
      </c>
      <c r="G20" s="20">
        <f>G22+G27+G31+G46+G51+G55+G58+G62+G70+G76+G82+G105+G110+G114+G118+G128+G133+G137+G146+G101</f>
        <v>96956000</v>
      </c>
    </row>
    <row r="21" spans="1:7" ht="16.5" customHeight="1" x14ac:dyDescent="0.25">
      <c r="A21" s="270" t="s">
        <v>291</v>
      </c>
      <c r="B21" s="271"/>
      <c r="C21" s="271"/>
      <c r="D21" s="271"/>
      <c r="E21" s="271"/>
      <c r="F21" s="271"/>
      <c r="G21" s="272"/>
    </row>
    <row r="22" spans="1:7" ht="20.25" customHeight="1" x14ac:dyDescent="0.25">
      <c r="A22" s="262" t="s">
        <v>113</v>
      </c>
      <c r="B22" s="21" t="s">
        <v>28</v>
      </c>
      <c r="C22" s="21" t="s">
        <v>105</v>
      </c>
      <c r="D22" s="21" t="s">
        <v>107</v>
      </c>
      <c r="E22" s="22">
        <f>Дод.2!G41*1000</f>
        <v>5307100</v>
      </c>
      <c r="F22" s="22">
        <f>Дод.2!J41*1000</f>
        <v>4555000</v>
      </c>
      <c r="G22" s="22">
        <f>Дод.2!M41*1000</f>
        <v>5716100</v>
      </c>
    </row>
    <row r="23" spans="1:7" ht="17.25" customHeight="1" x14ac:dyDescent="0.25">
      <c r="A23" s="263"/>
      <c r="B23" s="21" t="s">
        <v>26</v>
      </c>
      <c r="C23" s="21" t="s">
        <v>108</v>
      </c>
      <c r="D23" s="21" t="s">
        <v>106</v>
      </c>
      <c r="E23" s="47">
        <v>2</v>
      </c>
      <c r="F23" s="47">
        <v>2</v>
      </c>
      <c r="G23" s="47">
        <v>2</v>
      </c>
    </row>
    <row r="24" spans="1:7" x14ac:dyDescent="0.25">
      <c r="A24" s="263"/>
      <c r="B24" s="21" t="s">
        <v>29</v>
      </c>
      <c r="C24" s="21" t="s">
        <v>109</v>
      </c>
      <c r="D24" s="21" t="s">
        <v>107</v>
      </c>
      <c r="E24" s="47">
        <f>E22/E23</f>
        <v>2653550</v>
      </c>
      <c r="F24" s="47">
        <f t="shared" ref="F24:G24" si="0">F22/F23</f>
        <v>2277500</v>
      </c>
      <c r="G24" s="47">
        <f t="shared" si="0"/>
        <v>2858050</v>
      </c>
    </row>
    <row r="25" spans="1:7" x14ac:dyDescent="0.25">
      <c r="A25" s="263"/>
      <c r="B25" s="264" t="s">
        <v>27</v>
      </c>
      <c r="C25" s="21" t="s">
        <v>110</v>
      </c>
      <c r="D25" s="21" t="s">
        <v>111</v>
      </c>
      <c r="E25" s="47">
        <v>100</v>
      </c>
      <c r="F25" s="47">
        <v>100</v>
      </c>
      <c r="G25" s="47">
        <v>100</v>
      </c>
    </row>
    <row r="26" spans="1:7" ht="60" x14ac:dyDescent="0.25">
      <c r="A26" s="267"/>
      <c r="B26" s="265"/>
      <c r="C26" s="21" t="s">
        <v>112</v>
      </c>
      <c r="D26" s="21" t="s">
        <v>111</v>
      </c>
      <c r="E26" s="47">
        <v>141</v>
      </c>
      <c r="F26" s="23">
        <f>F22/E22*100</f>
        <v>85.828418533662457</v>
      </c>
      <c r="G26" s="23">
        <f>G22/F22*100</f>
        <v>125.49066959385291</v>
      </c>
    </row>
    <row r="27" spans="1:7" ht="20.25" customHeight="1" x14ac:dyDescent="0.25">
      <c r="A27" s="273" t="s">
        <v>115</v>
      </c>
      <c r="B27" s="24" t="s">
        <v>28</v>
      </c>
      <c r="C27" s="21" t="s">
        <v>105</v>
      </c>
      <c r="D27" s="21" t="s">
        <v>107</v>
      </c>
      <c r="E27" s="22">
        <f>Дод.2!G44*1000</f>
        <v>535600</v>
      </c>
      <c r="F27" s="22">
        <f>Дод.2!J44*1000</f>
        <v>76200</v>
      </c>
      <c r="G27" s="22">
        <f>Дод.2!M44*1000</f>
        <v>207600.00000000003</v>
      </c>
    </row>
    <row r="28" spans="1:7" ht="32.25" customHeight="1" x14ac:dyDescent="0.25">
      <c r="A28" s="273"/>
      <c r="B28" s="24" t="s">
        <v>26</v>
      </c>
      <c r="C28" s="21" t="s">
        <v>132</v>
      </c>
      <c r="D28" s="21" t="s">
        <v>133</v>
      </c>
      <c r="E28" s="1">
        <f>6294+8589</f>
        <v>14883</v>
      </c>
      <c r="F28" s="47">
        <v>1182</v>
      </c>
      <c r="G28" s="1">
        <f>6294+8589</f>
        <v>14883</v>
      </c>
    </row>
    <row r="29" spans="1:7" ht="24" customHeight="1" x14ac:dyDescent="0.25">
      <c r="A29" s="273"/>
      <c r="B29" s="24" t="s">
        <v>29</v>
      </c>
      <c r="C29" s="21" t="s">
        <v>134</v>
      </c>
      <c r="D29" s="21" t="s">
        <v>107</v>
      </c>
      <c r="E29" s="23">
        <f>E27/E28</f>
        <v>35.987368138144191</v>
      </c>
      <c r="F29" s="23">
        <v>64</v>
      </c>
      <c r="G29" s="23">
        <f t="shared" ref="G29" si="1">G27/G28</f>
        <v>13.948800645031247</v>
      </c>
    </row>
    <row r="30" spans="1:7" ht="60" x14ac:dyDescent="0.25">
      <c r="A30" s="273"/>
      <c r="B30" s="24" t="s">
        <v>27</v>
      </c>
      <c r="C30" s="21" t="s">
        <v>135</v>
      </c>
      <c r="D30" s="21" t="s">
        <v>111</v>
      </c>
      <c r="E30" s="23">
        <f>E27/1168975*100</f>
        <v>45.817917406274731</v>
      </c>
      <c r="F30" s="23">
        <v>14</v>
      </c>
      <c r="G30" s="23">
        <f>G27/E27*100</f>
        <v>38.760268857356238</v>
      </c>
    </row>
    <row r="31" spans="1:7" ht="20.25" customHeight="1" x14ac:dyDescent="0.25">
      <c r="A31" s="273" t="s">
        <v>410</v>
      </c>
      <c r="B31" s="264" t="s">
        <v>28</v>
      </c>
      <c r="C31" s="21" t="s">
        <v>105</v>
      </c>
      <c r="D31" s="21" t="s">
        <v>107</v>
      </c>
      <c r="E31" s="22">
        <f>(Дод.2!G48+Дод.2!G50+Дод.2!G53)*1000</f>
        <v>960600</v>
      </c>
      <c r="F31" s="22">
        <f>(Дод.2!J48+Дод.2!J50+Дод.2!J53+Дод.2!J56)*1000</f>
        <v>566300</v>
      </c>
      <c r="G31" s="22">
        <f>(Дод.2!M48+Дод.2!M50+Дод.2!M53+Дод.2!M56)*1000</f>
        <v>1337700</v>
      </c>
    </row>
    <row r="32" spans="1:7" ht="43.5" customHeight="1" x14ac:dyDescent="0.25">
      <c r="A32" s="273"/>
      <c r="B32" s="266"/>
      <c r="C32" s="21" t="s">
        <v>136</v>
      </c>
      <c r="D32" s="21" t="s">
        <v>107</v>
      </c>
      <c r="E32" s="47">
        <f>Дод.2!G48*1000</f>
        <v>700000</v>
      </c>
      <c r="F32" s="47">
        <f>Дод.2!J48*1000</f>
        <v>339700</v>
      </c>
      <c r="G32" s="47">
        <f>Дод.2!M48*1000</f>
        <v>365500</v>
      </c>
    </row>
    <row r="33" spans="1:7" ht="32.25" customHeight="1" x14ac:dyDescent="0.25">
      <c r="A33" s="273"/>
      <c r="B33" s="266"/>
      <c r="C33" s="21" t="s">
        <v>137</v>
      </c>
      <c r="D33" s="21" t="s">
        <v>107</v>
      </c>
      <c r="E33" s="47">
        <f>Дод.2!G50*1000</f>
        <v>218100</v>
      </c>
      <c r="F33" s="47">
        <f>Дод.2!J50*1000</f>
        <v>139500</v>
      </c>
      <c r="G33" s="47">
        <f>Дод.2!M50*1000</f>
        <v>300000</v>
      </c>
    </row>
    <row r="34" spans="1:7" ht="51" customHeight="1" x14ac:dyDescent="0.25">
      <c r="A34" s="273"/>
      <c r="B34" s="266"/>
      <c r="C34" s="21" t="s">
        <v>138</v>
      </c>
      <c r="D34" s="21" t="s">
        <v>107</v>
      </c>
      <c r="E34" s="47">
        <f>Дод.2!G53*1000</f>
        <v>42500</v>
      </c>
      <c r="F34" s="47">
        <f>Дод.2!J53*1000</f>
        <v>23100</v>
      </c>
      <c r="G34" s="47">
        <f>Дод.2!M53*1000</f>
        <v>42500</v>
      </c>
    </row>
    <row r="35" spans="1:7" ht="29.25" customHeight="1" x14ac:dyDescent="0.25">
      <c r="A35" s="273"/>
      <c r="B35" s="265"/>
      <c r="C35" s="21" t="s">
        <v>296</v>
      </c>
      <c r="D35" s="21"/>
      <c r="E35" s="47"/>
      <c r="F35" s="47">
        <f>Дод.2!J56*1000</f>
        <v>64000</v>
      </c>
      <c r="G35" s="47">
        <f>Дод.2!M56*1000</f>
        <v>629700</v>
      </c>
    </row>
    <row r="36" spans="1:7" ht="33.75" customHeight="1" x14ac:dyDescent="0.25">
      <c r="A36" s="273"/>
      <c r="B36" s="264" t="s">
        <v>26</v>
      </c>
      <c r="C36" s="21" t="s">
        <v>139</v>
      </c>
      <c r="D36" s="21" t="s">
        <v>133</v>
      </c>
      <c r="E36" s="47">
        <v>4</v>
      </c>
      <c r="F36" s="47">
        <v>2</v>
      </c>
      <c r="G36" s="47">
        <v>4</v>
      </c>
    </row>
    <row r="37" spans="1:7" ht="36.75" customHeight="1" x14ac:dyDescent="0.25">
      <c r="A37" s="273"/>
      <c r="B37" s="266"/>
      <c r="C37" s="21" t="s">
        <v>140</v>
      </c>
      <c r="D37" s="21" t="s">
        <v>133</v>
      </c>
      <c r="E37" s="47">
        <v>26</v>
      </c>
      <c r="F37" s="47">
        <v>18</v>
      </c>
      <c r="G37" s="47">
        <v>26</v>
      </c>
    </row>
    <row r="38" spans="1:7" ht="30" customHeight="1" x14ac:dyDescent="0.25">
      <c r="A38" s="273"/>
      <c r="B38" s="266"/>
      <c r="C38" s="21" t="s">
        <v>141</v>
      </c>
      <c r="D38" s="21" t="s">
        <v>133</v>
      </c>
      <c r="E38" s="47">
        <v>7</v>
      </c>
      <c r="F38" s="47">
        <v>2</v>
      </c>
      <c r="G38" s="47">
        <v>7</v>
      </c>
    </row>
    <row r="39" spans="1:7" ht="18.75" customHeight="1" x14ac:dyDescent="0.25">
      <c r="A39" s="273"/>
      <c r="B39" s="265"/>
      <c r="C39" s="21" t="s">
        <v>295</v>
      </c>
      <c r="D39" s="21" t="s">
        <v>133</v>
      </c>
      <c r="E39" s="47"/>
      <c r="F39" s="47">
        <v>1</v>
      </c>
      <c r="G39" s="47">
        <v>1</v>
      </c>
    </row>
    <row r="40" spans="1:7" ht="33.75" customHeight="1" x14ac:dyDescent="0.25">
      <c r="A40" s="273"/>
      <c r="B40" s="264" t="s">
        <v>29</v>
      </c>
      <c r="C40" s="21" t="s">
        <v>142</v>
      </c>
      <c r="D40" s="21" t="s">
        <v>107</v>
      </c>
      <c r="E40" s="47">
        <f>E32/E36</f>
        <v>175000</v>
      </c>
      <c r="F40" s="47">
        <f t="shared" ref="F40:G40" si="2">F32/F36</f>
        <v>169850</v>
      </c>
      <c r="G40" s="47">
        <f t="shared" si="2"/>
        <v>91375</v>
      </c>
    </row>
    <row r="41" spans="1:7" ht="29.25" customHeight="1" x14ac:dyDescent="0.25">
      <c r="A41" s="273"/>
      <c r="B41" s="266"/>
      <c r="C41" s="21" t="s">
        <v>143</v>
      </c>
      <c r="D41" s="21" t="s">
        <v>107</v>
      </c>
      <c r="E41" s="23">
        <f>E33/E37</f>
        <v>8388.461538461539</v>
      </c>
      <c r="F41" s="23">
        <f t="shared" ref="F41:G41" si="3">F33/F37</f>
        <v>7750</v>
      </c>
      <c r="G41" s="23">
        <f t="shared" si="3"/>
        <v>11538.461538461539</v>
      </c>
    </row>
    <row r="42" spans="1:7" ht="47.25" customHeight="1" x14ac:dyDescent="0.25">
      <c r="A42" s="273"/>
      <c r="B42" s="266"/>
      <c r="C42" s="21" t="s">
        <v>144</v>
      </c>
      <c r="D42" s="21" t="s">
        <v>107</v>
      </c>
      <c r="E42" s="23">
        <f>E34/E38</f>
        <v>6071.4285714285716</v>
      </c>
      <c r="F42" s="23">
        <f>F34/F38</f>
        <v>11550</v>
      </c>
      <c r="G42" s="23">
        <f t="shared" ref="G42" si="4">G34/G38</f>
        <v>6071.4285714285716</v>
      </c>
    </row>
    <row r="43" spans="1:7" ht="30" customHeight="1" x14ac:dyDescent="0.25">
      <c r="A43" s="273"/>
      <c r="B43" s="265"/>
      <c r="C43" s="21" t="s">
        <v>297</v>
      </c>
      <c r="D43" s="21" t="s">
        <v>107</v>
      </c>
      <c r="E43" s="23"/>
      <c r="F43" s="23">
        <f>F35/F39</f>
        <v>64000</v>
      </c>
      <c r="G43" s="23">
        <f>G35/G39</f>
        <v>629700</v>
      </c>
    </row>
    <row r="44" spans="1:7" ht="136.5" customHeight="1" x14ac:dyDescent="0.25">
      <c r="A44" s="273"/>
      <c r="B44" s="21" t="s">
        <v>27</v>
      </c>
      <c r="C44" s="21" t="s">
        <v>145</v>
      </c>
      <c r="D44" s="21" t="s">
        <v>111</v>
      </c>
      <c r="E44" s="23">
        <f>E31/694000*100</f>
        <v>138.41498559077809</v>
      </c>
      <c r="F44" s="23">
        <f>F31/E31*100</f>
        <v>58.952737872163233</v>
      </c>
      <c r="G44" s="23">
        <f>G31/F31*100</f>
        <v>236.2175525339926</v>
      </c>
    </row>
    <row r="45" spans="1:7" ht="16.5" customHeight="1" x14ac:dyDescent="0.25">
      <c r="A45" s="280" t="s">
        <v>320</v>
      </c>
      <c r="B45" s="281"/>
      <c r="C45" s="281"/>
      <c r="D45" s="281"/>
      <c r="E45" s="281"/>
      <c r="F45" s="281"/>
      <c r="G45" s="282"/>
    </row>
    <row r="46" spans="1:7" ht="15" customHeight="1" x14ac:dyDescent="0.25">
      <c r="A46" s="262" t="s">
        <v>116</v>
      </c>
      <c r="B46" s="21" t="s">
        <v>28</v>
      </c>
      <c r="C46" s="21" t="s">
        <v>105</v>
      </c>
      <c r="D46" s="21" t="s">
        <v>107</v>
      </c>
      <c r="E46" s="31">
        <f>Дод.2!G63*1000</f>
        <v>42367700</v>
      </c>
      <c r="F46" s="31">
        <f>Дод.2!J63*1000</f>
        <v>43179600</v>
      </c>
      <c r="G46" s="31">
        <f>Дод.2!M63*1000</f>
        <v>51534700</v>
      </c>
    </row>
    <row r="47" spans="1:7" x14ac:dyDescent="0.25">
      <c r="A47" s="263"/>
      <c r="B47" s="21" t="s">
        <v>26</v>
      </c>
      <c r="C47" s="18" t="s">
        <v>108</v>
      </c>
      <c r="D47" s="21" t="s">
        <v>106</v>
      </c>
      <c r="E47" s="47">
        <v>5</v>
      </c>
      <c r="F47" s="47">
        <v>5</v>
      </c>
      <c r="G47" s="47">
        <v>5</v>
      </c>
    </row>
    <row r="48" spans="1:7" x14ac:dyDescent="0.25">
      <c r="A48" s="263"/>
      <c r="B48" s="21" t="s">
        <v>29</v>
      </c>
      <c r="C48" s="18" t="s">
        <v>146</v>
      </c>
      <c r="D48" s="21" t="s">
        <v>107</v>
      </c>
      <c r="E48" s="47">
        <f>E46/E47</f>
        <v>8473540</v>
      </c>
      <c r="F48" s="47">
        <f t="shared" ref="F48:G48" si="5">F46/F47</f>
        <v>8635920</v>
      </c>
      <c r="G48" s="47">
        <f t="shared" si="5"/>
        <v>10306940</v>
      </c>
    </row>
    <row r="49" spans="1:8" x14ac:dyDescent="0.25">
      <c r="A49" s="263"/>
      <c r="B49" s="264" t="s">
        <v>27</v>
      </c>
      <c r="C49" s="2" t="s">
        <v>147</v>
      </c>
      <c r="D49" s="21" t="s">
        <v>111</v>
      </c>
      <c r="E49" s="47">
        <v>100</v>
      </c>
      <c r="F49" s="47">
        <v>100</v>
      </c>
      <c r="G49" s="47">
        <v>100</v>
      </c>
    </row>
    <row r="50" spans="1:8" ht="74.25" customHeight="1" x14ac:dyDescent="0.25">
      <c r="A50" s="267"/>
      <c r="B50" s="265"/>
      <c r="C50" s="2" t="s">
        <v>148</v>
      </c>
      <c r="D50" s="21" t="s">
        <v>111</v>
      </c>
      <c r="E50" s="23">
        <f>E46/27341490*100</f>
        <v>154.95753889052864</v>
      </c>
      <c r="F50" s="23">
        <f>F46/E46*100</f>
        <v>101.91631832740507</v>
      </c>
      <c r="G50" s="23">
        <f>G46/F46*100</f>
        <v>119.34964659237232</v>
      </c>
    </row>
    <row r="51" spans="1:8" x14ac:dyDescent="0.25">
      <c r="A51" s="262" t="s">
        <v>117</v>
      </c>
      <c r="B51" s="21" t="s">
        <v>28</v>
      </c>
      <c r="C51" s="21" t="s">
        <v>105</v>
      </c>
      <c r="D51" s="21" t="s">
        <v>107</v>
      </c>
      <c r="E51" s="22">
        <f>Дод.2!G69*1000</f>
        <v>318700</v>
      </c>
      <c r="F51" s="22">
        <f>Дод.2!J69*1000</f>
        <v>318700</v>
      </c>
      <c r="G51" s="22">
        <f>Дод.2!M69*1000</f>
        <v>350000</v>
      </c>
    </row>
    <row r="52" spans="1:8" ht="33.75" customHeight="1" x14ac:dyDescent="0.25">
      <c r="A52" s="263"/>
      <c r="B52" s="21" t="s">
        <v>26</v>
      </c>
      <c r="C52" s="21" t="s">
        <v>149</v>
      </c>
      <c r="D52" s="21" t="s">
        <v>133</v>
      </c>
      <c r="E52" s="47">
        <v>170</v>
      </c>
      <c r="F52" s="47">
        <v>200</v>
      </c>
      <c r="G52" s="47">
        <v>110</v>
      </c>
    </row>
    <row r="53" spans="1:8" x14ac:dyDescent="0.25">
      <c r="A53" s="263"/>
      <c r="B53" s="21" t="s">
        <v>29</v>
      </c>
      <c r="C53" s="21" t="s">
        <v>150</v>
      </c>
      <c r="D53" s="21" t="s">
        <v>107</v>
      </c>
      <c r="E53" s="23">
        <f>E51/E52</f>
        <v>1874.7058823529412</v>
      </c>
      <c r="F53" s="23">
        <f t="shared" ref="F53:G53" si="6">F51/F52</f>
        <v>1593.5</v>
      </c>
      <c r="G53" s="23">
        <f t="shared" si="6"/>
        <v>3181.818181818182</v>
      </c>
    </row>
    <row r="54" spans="1:8" ht="45" x14ac:dyDescent="0.25">
      <c r="A54" s="267"/>
      <c r="B54" s="21" t="s">
        <v>27</v>
      </c>
      <c r="C54" s="21" t="s">
        <v>151</v>
      </c>
      <c r="D54" s="21" t="s">
        <v>111</v>
      </c>
      <c r="E54" s="23">
        <f>E51/300000*100</f>
        <v>106.23333333333333</v>
      </c>
      <c r="F54" s="47">
        <f>F51/E51*100</f>
        <v>100</v>
      </c>
      <c r="G54" s="23">
        <f>G51/F51*100</f>
        <v>109.8211484154377</v>
      </c>
    </row>
    <row r="55" spans="1:8" ht="19.5" customHeight="1" x14ac:dyDescent="0.25">
      <c r="A55" s="262" t="s">
        <v>118</v>
      </c>
      <c r="B55" s="21" t="s">
        <v>28</v>
      </c>
      <c r="C55" s="21" t="s">
        <v>105</v>
      </c>
      <c r="D55" s="21" t="s">
        <v>107</v>
      </c>
      <c r="E55" s="22">
        <f>Дод.2!G71*1000</f>
        <v>201700</v>
      </c>
      <c r="F55" s="22">
        <f>Дод.2!J71*1000</f>
        <v>0</v>
      </c>
      <c r="G55" s="22">
        <f>Дод.2!M71*1000</f>
        <v>0</v>
      </c>
    </row>
    <row r="56" spans="1:8" ht="30" x14ac:dyDescent="0.25">
      <c r="A56" s="263"/>
      <c r="B56" s="21" t="s">
        <v>26</v>
      </c>
      <c r="C56" s="21" t="s">
        <v>152</v>
      </c>
      <c r="D56" s="21" t="s">
        <v>106</v>
      </c>
      <c r="E56" s="47">
        <v>3</v>
      </c>
      <c r="F56" s="47"/>
      <c r="G56" s="47"/>
    </row>
    <row r="57" spans="1:8" ht="30" x14ac:dyDescent="0.25">
      <c r="A57" s="263"/>
      <c r="B57" s="21" t="s">
        <v>29</v>
      </c>
      <c r="C57" s="21" t="s">
        <v>153</v>
      </c>
      <c r="D57" s="21" t="s">
        <v>107</v>
      </c>
      <c r="E57" s="23">
        <f>E55/E56</f>
        <v>67233.333333333328</v>
      </c>
      <c r="F57" s="47"/>
      <c r="G57" s="47"/>
    </row>
    <row r="58" spans="1:8" ht="20.25" customHeight="1" x14ac:dyDescent="0.25">
      <c r="A58" s="262" t="s">
        <v>119</v>
      </c>
      <c r="B58" s="21" t="s">
        <v>28</v>
      </c>
      <c r="C58" s="21" t="s">
        <v>105</v>
      </c>
      <c r="D58" s="21" t="s">
        <v>107</v>
      </c>
      <c r="E58" s="22">
        <f>Дод.2!G73*1000</f>
        <v>2124000</v>
      </c>
      <c r="F58" s="22">
        <f>Дод.2!J73*1000</f>
        <v>2124000</v>
      </c>
      <c r="G58" s="22">
        <f>Дод.2!M73*1000</f>
        <v>2200000</v>
      </c>
    </row>
    <row r="59" spans="1:8" ht="63" customHeight="1" x14ac:dyDescent="0.25">
      <c r="A59" s="263"/>
      <c r="B59" s="21" t="s">
        <v>26</v>
      </c>
      <c r="C59" s="21" t="s">
        <v>155</v>
      </c>
      <c r="D59" s="21" t="s">
        <v>133</v>
      </c>
      <c r="E59" s="47">
        <v>6369</v>
      </c>
      <c r="F59" s="47">
        <v>6375</v>
      </c>
      <c r="G59" s="47">
        <v>6369</v>
      </c>
    </row>
    <row r="60" spans="1:8" ht="30.75" customHeight="1" x14ac:dyDescent="0.25">
      <c r="A60" s="263"/>
      <c r="B60" s="21" t="s">
        <v>29</v>
      </c>
      <c r="C60" s="21" t="s">
        <v>156</v>
      </c>
      <c r="D60" s="21" t="s">
        <v>154</v>
      </c>
      <c r="E60" s="23">
        <f>E58/E59</f>
        <v>333.49034385303815</v>
      </c>
      <c r="F60" s="23">
        <f t="shared" ref="F60:G60" si="7">F58/F59</f>
        <v>333.1764705882353</v>
      </c>
      <c r="G60" s="23">
        <f t="shared" si="7"/>
        <v>345.42314335060451</v>
      </c>
      <c r="H60" s="29"/>
    </row>
    <row r="61" spans="1:8" ht="20.25" customHeight="1" x14ac:dyDescent="0.25">
      <c r="A61" s="267"/>
      <c r="B61" s="21" t="s">
        <v>27</v>
      </c>
      <c r="C61" s="21" t="s">
        <v>157</v>
      </c>
      <c r="D61" s="21" t="s">
        <v>111</v>
      </c>
      <c r="E61" s="47">
        <v>100</v>
      </c>
      <c r="F61" s="47">
        <v>100</v>
      </c>
      <c r="G61" s="47">
        <v>100</v>
      </c>
    </row>
    <row r="62" spans="1:8" ht="20.25" customHeight="1" x14ac:dyDescent="0.25">
      <c r="A62" s="262" t="s">
        <v>120</v>
      </c>
      <c r="B62" s="264" t="s">
        <v>28</v>
      </c>
      <c r="C62" s="2" t="s">
        <v>105</v>
      </c>
      <c r="D62" s="21" t="s">
        <v>154</v>
      </c>
      <c r="E62" s="3">
        <f>Дод.2!G75*1000</f>
        <v>2188900</v>
      </c>
      <c r="F62" s="3">
        <f>Дод.2!J75*1000</f>
        <v>2390500</v>
      </c>
      <c r="G62" s="3">
        <f>Дод.2!M75*1000</f>
        <v>2419600</v>
      </c>
    </row>
    <row r="63" spans="1:8" ht="20.25" customHeight="1" x14ac:dyDescent="0.25">
      <c r="A63" s="263"/>
      <c r="B63" s="266"/>
      <c r="C63" s="4" t="s">
        <v>159</v>
      </c>
      <c r="D63" s="21" t="s">
        <v>158</v>
      </c>
      <c r="E63" s="5">
        <v>8.25</v>
      </c>
      <c r="F63" s="5">
        <v>11.25</v>
      </c>
      <c r="G63" s="5">
        <v>8.25</v>
      </c>
    </row>
    <row r="64" spans="1:8" ht="20.25" customHeight="1" x14ac:dyDescent="0.25">
      <c r="A64" s="263"/>
      <c r="B64" s="265"/>
      <c r="C64" s="4" t="s">
        <v>160</v>
      </c>
      <c r="D64" s="21" t="s">
        <v>106</v>
      </c>
      <c r="E64" s="47">
        <v>3</v>
      </c>
      <c r="F64" s="47">
        <v>3</v>
      </c>
      <c r="G64" s="47">
        <v>3</v>
      </c>
    </row>
    <row r="65" spans="1:7" ht="21.75" customHeight="1" x14ac:dyDescent="0.25">
      <c r="A65" s="263"/>
      <c r="B65" s="264" t="s">
        <v>26</v>
      </c>
      <c r="C65" s="6" t="s">
        <v>161</v>
      </c>
      <c r="D65" s="21" t="s">
        <v>133</v>
      </c>
      <c r="E65" s="1">
        <v>3148</v>
      </c>
      <c r="F65" s="1">
        <v>2099</v>
      </c>
      <c r="G65" s="1">
        <v>3148</v>
      </c>
    </row>
    <row r="66" spans="1:7" ht="32.25" customHeight="1" x14ac:dyDescent="0.25">
      <c r="A66" s="263"/>
      <c r="B66" s="265"/>
      <c r="C66" s="6" t="s">
        <v>162</v>
      </c>
      <c r="D66" s="21" t="s">
        <v>106</v>
      </c>
      <c r="E66" s="1">
        <v>285</v>
      </c>
      <c r="F66" s="1">
        <v>190</v>
      </c>
      <c r="G66" s="1">
        <v>285</v>
      </c>
    </row>
    <row r="67" spans="1:7" ht="37.5" customHeight="1" x14ac:dyDescent="0.25">
      <c r="A67" s="263"/>
      <c r="B67" s="264" t="s">
        <v>29</v>
      </c>
      <c r="C67" s="4" t="s">
        <v>163</v>
      </c>
      <c r="D67" s="21" t="s">
        <v>133</v>
      </c>
      <c r="E67" s="47">
        <v>1049</v>
      </c>
      <c r="F67" s="47">
        <v>700</v>
      </c>
      <c r="G67" s="47">
        <v>1049</v>
      </c>
    </row>
    <row r="68" spans="1:7" ht="28.5" customHeight="1" x14ac:dyDescent="0.25">
      <c r="A68" s="263"/>
      <c r="B68" s="265"/>
      <c r="C68" s="4" t="s">
        <v>164</v>
      </c>
      <c r="D68" s="21" t="s">
        <v>106</v>
      </c>
      <c r="E68" s="47">
        <v>35</v>
      </c>
      <c r="F68" s="47">
        <v>63</v>
      </c>
      <c r="G68" s="47">
        <v>35</v>
      </c>
    </row>
    <row r="69" spans="1:7" ht="28.5" customHeight="1" x14ac:dyDescent="0.25">
      <c r="A69" s="267"/>
      <c r="B69" s="21" t="s">
        <v>27</v>
      </c>
      <c r="C69" s="21" t="s">
        <v>165</v>
      </c>
      <c r="D69" s="21" t="s">
        <v>111</v>
      </c>
      <c r="E69" s="47">
        <v>10</v>
      </c>
      <c r="F69" s="47">
        <v>10</v>
      </c>
      <c r="G69" s="47">
        <v>12</v>
      </c>
    </row>
    <row r="70" spans="1:7" ht="17.25" customHeight="1" x14ac:dyDescent="0.25">
      <c r="A70" s="273" t="s">
        <v>384</v>
      </c>
      <c r="B70" s="46" t="s">
        <v>28</v>
      </c>
      <c r="C70" s="21" t="s">
        <v>105</v>
      </c>
      <c r="D70" s="21" t="s">
        <v>107</v>
      </c>
      <c r="E70" s="22">
        <f>(Дод.2!G78+Дод.2!G79)*1000</f>
        <v>4107600.0000000005</v>
      </c>
      <c r="F70" s="31">
        <f>(Дод.2!J78+Дод.2!J79)*1000</f>
        <v>0</v>
      </c>
      <c r="G70" s="31">
        <f>(Дод.2!M78+Дод.2!M79)*1000</f>
        <v>0</v>
      </c>
    </row>
    <row r="71" spans="1:7" ht="30" x14ac:dyDescent="0.25">
      <c r="A71" s="273"/>
      <c r="B71" s="264" t="s">
        <v>26</v>
      </c>
      <c r="C71" s="6" t="s">
        <v>170</v>
      </c>
      <c r="D71" s="21" t="s">
        <v>133</v>
      </c>
      <c r="E71" s="47">
        <v>750</v>
      </c>
      <c r="F71" s="21"/>
      <c r="G71" s="21"/>
    </row>
    <row r="72" spans="1:7" ht="33.75" customHeight="1" x14ac:dyDescent="0.25">
      <c r="A72" s="273"/>
      <c r="B72" s="266"/>
      <c r="C72" s="6" t="s">
        <v>166</v>
      </c>
      <c r="D72" s="21" t="s">
        <v>133</v>
      </c>
      <c r="E72" s="47">
        <v>16.5</v>
      </c>
      <c r="F72" s="21"/>
      <c r="G72" s="21"/>
    </row>
    <row r="73" spans="1:7" x14ac:dyDescent="0.25">
      <c r="A73" s="273"/>
      <c r="B73" s="264" t="s">
        <v>29</v>
      </c>
      <c r="C73" s="2" t="s">
        <v>167</v>
      </c>
      <c r="D73" s="21" t="s">
        <v>107</v>
      </c>
      <c r="E73" s="23">
        <f>E70/E71</f>
        <v>5476.8</v>
      </c>
      <c r="F73" s="21"/>
      <c r="G73" s="21"/>
    </row>
    <row r="74" spans="1:7" ht="30" x14ac:dyDescent="0.25">
      <c r="A74" s="273"/>
      <c r="B74" s="265"/>
      <c r="C74" s="2" t="s">
        <v>168</v>
      </c>
      <c r="D74" s="21" t="s">
        <v>107</v>
      </c>
      <c r="E74" s="23">
        <f>E70/E72</f>
        <v>248945.45454545459</v>
      </c>
      <c r="F74" s="21"/>
      <c r="G74" s="21"/>
    </row>
    <row r="75" spans="1:7" ht="35.25" customHeight="1" x14ac:dyDescent="0.25">
      <c r="A75" s="273"/>
      <c r="B75" s="21" t="s">
        <v>27</v>
      </c>
      <c r="C75" s="21" t="s">
        <v>169</v>
      </c>
      <c r="D75" s="21" t="s">
        <v>111</v>
      </c>
      <c r="E75" s="47">
        <v>100</v>
      </c>
      <c r="F75" s="21"/>
      <c r="G75" s="21"/>
    </row>
    <row r="76" spans="1:7" ht="18.75" customHeight="1" x14ac:dyDescent="0.25">
      <c r="A76" s="262" t="s">
        <v>385</v>
      </c>
      <c r="B76" s="21" t="s">
        <v>28</v>
      </c>
      <c r="C76" s="2" t="s">
        <v>105</v>
      </c>
      <c r="D76" s="21" t="s">
        <v>107</v>
      </c>
      <c r="E76" s="22">
        <f>(Дод.2!G84+Дод.2!G85)*1000</f>
        <v>0</v>
      </c>
      <c r="F76" s="22">
        <f>Дод.2!J83*1000</f>
        <v>4305200</v>
      </c>
      <c r="G76" s="22">
        <f>Дод.2!M83*1000</f>
        <v>5200299.9999999991</v>
      </c>
    </row>
    <row r="77" spans="1:7" ht="19.5" customHeight="1" x14ac:dyDescent="0.25">
      <c r="A77" s="263"/>
      <c r="B77" s="264" t="s">
        <v>26</v>
      </c>
      <c r="C77" s="6" t="s">
        <v>170</v>
      </c>
      <c r="D77" s="21" t="s">
        <v>133</v>
      </c>
      <c r="E77" s="21"/>
      <c r="F77" s="47">
        <v>950</v>
      </c>
      <c r="G77" s="47">
        <v>750</v>
      </c>
    </row>
    <row r="78" spans="1:7" ht="35.25" customHeight="1" x14ac:dyDescent="0.25">
      <c r="A78" s="263"/>
      <c r="B78" s="266"/>
      <c r="C78" s="6" t="s">
        <v>166</v>
      </c>
      <c r="D78" s="21" t="s">
        <v>133</v>
      </c>
      <c r="E78" s="21"/>
      <c r="F78" s="47">
        <v>16.5</v>
      </c>
      <c r="G78" s="47">
        <v>16.5</v>
      </c>
    </row>
    <row r="79" spans="1:7" ht="18.75" customHeight="1" x14ac:dyDescent="0.25">
      <c r="A79" s="263"/>
      <c r="B79" s="264" t="s">
        <v>29</v>
      </c>
      <c r="C79" s="2" t="s">
        <v>167</v>
      </c>
      <c r="D79" s="21" t="s">
        <v>107</v>
      </c>
      <c r="E79" s="21"/>
      <c r="F79" s="23">
        <f>F76/F77</f>
        <v>4531.7894736842109</v>
      </c>
      <c r="G79" s="23">
        <f>G76/G77</f>
        <v>6933.7333333333318</v>
      </c>
    </row>
    <row r="80" spans="1:7" ht="33" customHeight="1" x14ac:dyDescent="0.25">
      <c r="A80" s="263"/>
      <c r="B80" s="266"/>
      <c r="C80" s="2" t="s">
        <v>168</v>
      </c>
      <c r="D80" s="21" t="s">
        <v>107</v>
      </c>
      <c r="E80" s="21"/>
      <c r="F80" s="23">
        <f>F76/F78</f>
        <v>260921.21212121213</v>
      </c>
      <c r="G80" s="23">
        <f>G76/G78</f>
        <v>315169.6969696969</v>
      </c>
    </row>
    <row r="81" spans="1:7" ht="31.5" customHeight="1" x14ac:dyDescent="0.25">
      <c r="A81" s="267"/>
      <c r="B81" s="21" t="s">
        <v>27</v>
      </c>
      <c r="C81" s="21" t="s">
        <v>171</v>
      </c>
      <c r="D81" s="21" t="s">
        <v>111</v>
      </c>
      <c r="E81" s="21"/>
      <c r="F81" s="47">
        <v>100</v>
      </c>
      <c r="G81" s="47">
        <v>100</v>
      </c>
    </row>
    <row r="82" spans="1:7" x14ac:dyDescent="0.25">
      <c r="A82" s="262" t="s">
        <v>386</v>
      </c>
      <c r="B82" s="264" t="s">
        <v>28</v>
      </c>
      <c r="C82" s="2" t="s">
        <v>105</v>
      </c>
      <c r="D82" s="21" t="s">
        <v>107</v>
      </c>
      <c r="E82" s="22">
        <f>Дод.2!G93*1000</f>
        <v>1200000</v>
      </c>
      <c r="F82" s="22">
        <f>Дод.2!J93*1000</f>
        <v>2300000</v>
      </c>
      <c r="G82" s="22">
        <f>Дод.2!M93*1000</f>
        <v>2200000</v>
      </c>
    </row>
    <row r="83" spans="1:7" x14ac:dyDescent="0.25">
      <c r="A83" s="263"/>
      <c r="B83" s="266"/>
      <c r="C83" s="18" t="s">
        <v>172</v>
      </c>
      <c r="D83" s="21"/>
      <c r="E83" s="47"/>
      <c r="F83" s="47"/>
      <c r="G83" s="47"/>
    </row>
    <row r="84" spans="1:7" ht="29.25" customHeight="1" x14ac:dyDescent="0.25">
      <c r="A84" s="263"/>
      <c r="B84" s="266"/>
      <c r="C84" s="2" t="s">
        <v>173</v>
      </c>
      <c r="D84" s="21" t="s">
        <v>106</v>
      </c>
      <c r="E84" s="47">
        <f>Дод.2!G94*1000</f>
        <v>1000000</v>
      </c>
      <c r="F84" s="47">
        <f>Дод.2!J94*1000</f>
        <v>2100000</v>
      </c>
      <c r="G84" s="47">
        <f>Дод.2!M94*1000</f>
        <v>2000000</v>
      </c>
    </row>
    <row r="85" spans="1:7" ht="30" x14ac:dyDescent="0.25">
      <c r="A85" s="263"/>
      <c r="B85" s="265"/>
      <c r="C85" s="2" t="s">
        <v>174</v>
      </c>
      <c r="D85" s="21" t="s">
        <v>106</v>
      </c>
      <c r="E85" s="47">
        <f>Дод.2!G97*1000</f>
        <v>200000</v>
      </c>
      <c r="F85" s="47">
        <f>Дод.2!J97*1000</f>
        <v>200000</v>
      </c>
      <c r="G85" s="47">
        <f>Дод.2!M97*1000</f>
        <v>200000</v>
      </c>
    </row>
    <row r="86" spans="1:7" ht="45" x14ac:dyDescent="0.25">
      <c r="A86" s="263"/>
      <c r="B86" s="264" t="s">
        <v>26</v>
      </c>
      <c r="C86" s="7" t="s">
        <v>175</v>
      </c>
      <c r="D86" s="21" t="s">
        <v>133</v>
      </c>
      <c r="E86" s="47">
        <v>20</v>
      </c>
      <c r="F86" s="47">
        <v>40</v>
      </c>
      <c r="G86" s="47">
        <v>29</v>
      </c>
    </row>
    <row r="87" spans="1:7" ht="32.25" customHeight="1" x14ac:dyDescent="0.25">
      <c r="A87" s="263"/>
      <c r="B87" s="265"/>
      <c r="C87" s="7" t="s">
        <v>176</v>
      </c>
      <c r="D87" s="21" t="s">
        <v>133</v>
      </c>
      <c r="E87" s="47">
        <v>10</v>
      </c>
      <c r="F87" s="47">
        <v>20</v>
      </c>
      <c r="G87" s="47">
        <v>14</v>
      </c>
    </row>
    <row r="88" spans="1:7" ht="45" x14ac:dyDescent="0.25">
      <c r="A88" s="263"/>
      <c r="B88" s="264" t="s">
        <v>29</v>
      </c>
      <c r="C88" s="8" t="s">
        <v>177</v>
      </c>
      <c r="D88" s="21" t="s">
        <v>107</v>
      </c>
      <c r="E88" s="47">
        <f t="shared" ref="E88:F89" si="8">E84/E86</f>
        <v>50000</v>
      </c>
      <c r="F88" s="47">
        <f t="shared" si="8"/>
        <v>52500</v>
      </c>
      <c r="G88" s="51">
        <f>G84/G86</f>
        <v>68965.517241379304</v>
      </c>
    </row>
    <row r="89" spans="1:7" ht="30" customHeight="1" x14ac:dyDescent="0.25">
      <c r="A89" s="263"/>
      <c r="B89" s="265"/>
      <c r="C89" s="8" t="s">
        <v>178</v>
      </c>
      <c r="D89" s="21" t="s">
        <v>107</v>
      </c>
      <c r="E89" s="47">
        <f t="shared" si="8"/>
        <v>20000</v>
      </c>
      <c r="F89" s="51">
        <f t="shared" si="8"/>
        <v>10000</v>
      </c>
      <c r="G89" s="51">
        <f>G85/G87</f>
        <v>14285.714285714286</v>
      </c>
    </row>
    <row r="90" spans="1:7" x14ac:dyDescent="0.25">
      <c r="A90" s="273" t="s">
        <v>387</v>
      </c>
      <c r="B90" s="264" t="s">
        <v>28</v>
      </c>
      <c r="C90" s="21" t="s">
        <v>356</v>
      </c>
      <c r="D90" s="21"/>
      <c r="E90" s="22">
        <f>Дод.2!G99*1000</f>
        <v>653300</v>
      </c>
      <c r="F90" s="22">
        <f>Дод.2!J99*1000</f>
        <v>584499.99999999988</v>
      </c>
      <c r="G90" s="22"/>
    </row>
    <row r="91" spans="1:7" x14ac:dyDescent="0.25">
      <c r="A91" s="273"/>
      <c r="B91" s="266"/>
      <c r="C91" s="14" t="s">
        <v>172</v>
      </c>
      <c r="D91" s="21"/>
      <c r="E91" s="47"/>
      <c r="F91" s="21"/>
      <c r="G91" s="21"/>
    </row>
    <row r="92" spans="1:7" ht="59.25" customHeight="1" x14ac:dyDescent="0.25">
      <c r="A92" s="273"/>
      <c r="B92" s="265"/>
      <c r="C92" s="2" t="s">
        <v>181</v>
      </c>
      <c r="D92" s="21" t="s">
        <v>107</v>
      </c>
      <c r="E92" s="47">
        <f>Дод.2!G100*1000</f>
        <v>93600</v>
      </c>
      <c r="F92" s="47">
        <f>Дод.2!J100*1000</f>
        <v>108800</v>
      </c>
      <c r="G92" s="47"/>
    </row>
    <row r="93" spans="1:7" ht="46.5" customHeight="1" x14ac:dyDescent="0.25">
      <c r="A93" s="273"/>
      <c r="B93" s="266"/>
      <c r="C93" s="2" t="s">
        <v>179</v>
      </c>
      <c r="D93" s="21" t="s">
        <v>107</v>
      </c>
      <c r="E93" s="47">
        <f>Дод.2!G102*1000</f>
        <v>106800</v>
      </c>
      <c r="F93" s="47"/>
      <c r="G93" s="47"/>
    </row>
    <row r="94" spans="1:7" ht="60.75" customHeight="1" x14ac:dyDescent="0.25">
      <c r="A94" s="273"/>
      <c r="B94" s="265"/>
      <c r="C94" s="2" t="s">
        <v>180</v>
      </c>
      <c r="D94" s="21" t="s">
        <v>107</v>
      </c>
      <c r="E94" s="47">
        <f>Дод.2!G104*1000</f>
        <v>452900</v>
      </c>
      <c r="F94" s="23">
        <v>475777.64</v>
      </c>
      <c r="G94" s="47"/>
    </row>
    <row r="95" spans="1:7" ht="33.75" customHeight="1" x14ac:dyDescent="0.25">
      <c r="A95" s="273"/>
      <c r="B95" s="264" t="s">
        <v>26</v>
      </c>
      <c r="C95" s="2" t="s">
        <v>182</v>
      </c>
      <c r="D95" s="21" t="s">
        <v>133</v>
      </c>
      <c r="E95" s="47">
        <v>75</v>
      </c>
      <c r="F95" s="47">
        <v>68</v>
      </c>
      <c r="G95" s="47"/>
    </row>
    <row r="96" spans="1:7" ht="36" customHeight="1" x14ac:dyDescent="0.25">
      <c r="A96" s="273"/>
      <c r="B96" s="266"/>
      <c r="C96" s="2" t="s">
        <v>184</v>
      </c>
      <c r="D96" s="21" t="s">
        <v>133</v>
      </c>
      <c r="E96" s="47">
        <v>1</v>
      </c>
      <c r="F96" s="47"/>
      <c r="G96" s="47"/>
    </row>
    <row r="97" spans="1:12" ht="46.5" customHeight="1" x14ac:dyDescent="0.25">
      <c r="A97" s="273"/>
      <c r="B97" s="265"/>
      <c r="C97" s="2" t="s">
        <v>183</v>
      </c>
      <c r="D97" s="21" t="s">
        <v>133</v>
      </c>
      <c r="E97" s="47">
        <v>5</v>
      </c>
      <c r="F97" s="47">
        <v>6</v>
      </c>
      <c r="G97" s="47"/>
    </row>
    <row r="98" spans="1:12" ht="36.75" customHeight="1" x14ac:dyDescent="0.25">
      <c r="A98" s="273"/>
      <c r="B98" s="264" t="s">
        <v>29</v>
      </c>
      <c r="C98" s="2" t="s">
        <v>187</v>
      </c>
      <c r="D98" s="21" t="s">
        <v>107</v>
      </c>
      <c r="E98" s="47">
        <f>E92/E95</f>
        <v>1248</v>
      </c>
      <c r="F98" s="23">
        <f>F92/F95</f>
        <v>1600</v>
      </c>
      <c r="G98" s="23"/>
    </row>
    <row r="99" spans="1:12" ht="30.75" customHeight="1" x14ac:dyDescent="0.25">
      <c r="A99" s="273"/>
      <c r="B99" s="266"/>
      <c r="C99" s="8" t="s">
        <v>186</v>
      </c>
      <c r="D99" s="21" t="s">
        <v>107</v>
      </c>
      <c r="E99" s="47">
        <f>E93/E96</f>
        <v>106800</v>
      </c>
      <c r="F99" s="23"/>
      <c r="G99" s="47"/>
    </row>
    <row r="100" spans="1:12" ht="49.5" customHeight="1" x14ac:dyDescent="0.25">
      <c r="A100" s="273"/>
      <c r="B100" s="265"/>
      <c r="C100" s="8" t="s">
        <v>185</v>
      </c>
      <c r="D100" s="21" t="s">
        <v>107</v>
      </c>
      <c r="E100" s="47">
        <f>E94/E97</f>
        <v>90580</v>
      </c>
      <c r="F100" s="23">
        <f>F94/F97</f>
        <v>79296.273333333331</v>
      </c>
      <c r="G100" s="47"/>
    </row>
    <row r="101" spans="1:12" ht="30" customHeight="1" x14ac:dyDescent="0.25">
      <c r="A101" s="262" t="s">
        <v>411</v>
      </c>
      <c r="B101" s="21" t="s">
        <v>28</v>
      </c>
      <c r="C101" s="8" t="s">
        <v>357</v>
      </c>
      <c r="D101" s="21" t="s">
        <v>107</v>
      </c>
      <c r="E101" s="47"/>
      <c r="F101" s="23"/>
      <c r="G101" s="22">
        <f>Дод.2!M108*1000</f>
        <v>1593000</v>
      </c>
    </row>
    <row r="102" spans="1:12" ht="33.75" customHeight="1" x14ac:dyDescent="0.25">
      <c r="A102" s="263"/>
      <c r="B102" s="21" t="s">
        <v>26</v>
      </c>
      <c r="C102" s="8" t="s">
        <v>358</v>
      </c>
      <c r="D102" s="21" t="s">
        <v>133</v>
      </c>
      <c r="E102" s="47"/>
      <c r="F102" s="23"/>
      <c r="G102" s="47">
        <v>34</v>
      </c>
    </row>
    <row r="103" spans="1:12" ht="45" customHeight="1" x14ac:dyDescent="0.25">
      <c r="A103" s="263"/>
      <c r="B103" s="21" t="s">
        <v>29</v>
      </c>
      <c r="C103" s="8" t="s">
        <v>359</v>
      </c>
      <c r="D103" s="21" t="s">
        <v>107</v>
      </c>
      <c r="E103" s="47"/>
      <c r="F103" s="23"/>
      <c r="G103" s="23">
        <f>G101/G102</f>
        <v>46852.941176470587</v>
      </c>
    </row>
    <row r="104" spans="1:12" ht="62.25" customHeight="1" x14ac:dyDescent="0.25">
      <c r="A104" s="267"/>
      <c r="B104" s="21" t="s">
        <v>27</v>
      </c>
      <c r="C104" s="8" t="s">
        <v>360</v>
      </c>
      <c r="D104" s="21" t="s">
        <v>111</v>
      </c>
      <c r="E104" s="47"/>
      <c r="F104" s="23"/>
      <c r="G104" s="23">
        <f>1593000/584500*100</f>
        <v>272.54063301967494</v>
      </c>
    </row>
    <row r="105" spans="1:12" ht="30" x14ac:dyDescent="0.25">
      <c r="A105" s="273" t="s">
        <v>388</v>
      </c>
      <c r="B105" s="21" t="s">
        <v>28</v>
      </c>
      <c r="C105" s="2" t="s">
        <v>354</v>
      </c>
      <c r="D105" s="21" t="s">
        <v>107</v>
      </c>
      <c r="E105" s="22">
        <f>(Дод.2!G110+Дод.2!G111)*1000</f>
        <v>1748400</v>
      </c>
      <c r="F105" s="22">
        <f>(Дод.2!J110+Дод.2!J111+Дод.2!J112)*1000</f>
        <v>5273920</v>
      </c>
      <c r="G105" s="31">
        <f>(Дод.2!M110+Дод.2!M111)*1000</f>
        <v>897500</v>
      </c>
    </row>
    <row r="106" spans="1:12" x14ac:dyDescent="0.25">
      <c r="A106" s="273"/>
      <c r="B106" s="21" t="s">
        <v>26</v>
      </c>
      <c r="C106" s="2" t="s">
        <v>108</v>
      </c>
      <c r="D106" s="21" t="s">
        <v>106</v>
      </c>
      <c r="E106" s="47">
        <v>2</v>
      </c>
      <c r="F106" s="47">
        <v>2</v>
      </c>
      <c r="G106" s="47">
        <v>3</v>
      </c>
    </row>
    <row r="107" spans="1:12" x14ac:dyDescent="0.25">
      <c r="A107" s="273"/>
      <c r="B107" s="21" t="s">
        <v>29</v>
      </c>
      <c r="C107" s="2" t="s">
        <v>206</v>
      </c>
      <c r="D107" s="21" t="s">
        <v>107</v>
      </c>
      <c r="E107" s="47">
        <f>E105/E106</f>
        <v>874200</v>
      </c>
      <c r="F107" s="47">
        <f>F105/F106</f>
        <v>2636960</v>
      </c>
      <c r="G107" s="23">
        <f>G105/G106</f>
        <v>299166.66666666669</v>
      </c>
    </row>
    <row r="108" spans="1:12" ht="17.25" customHeight="1" x14ac:dyDescent="0.25">
      <c r="A108" s="273"/>
      <c r="B108" s="21" t="s">
        <v>27</v>
      </c>
      <c r="C108" s="2" t="s">
        <v>147</v>
      </c>
      <c r="D108" s="21" t="s">
        <v>111</v>
      </c>
      <c r="E108" s="47">
        <v>100</v>
      </c>
      <c r="F108" s="47">
        <v>100</v>
      </c>
      <c r="G108" s="47">
        <v>100</v>
      </c>
    </row>
    <row r="109" spans="1:12" ht="50.25" customHeight="1" x14ac:dyDescent="0.25">
      <c r="A109" s="44" t="s">
        <v>380</v>
      </c>
      <c r="B109" s="21"/>
      <c r="C109" s="2" t="s">
        <v>105</v>
      </c>
      <c r="D109" s="21" t="s">
        <v>107</v>
      </c>
      <c r="E109" s="47"/>
      <c r="F109" s="47">
        <f>Дод.2!J118*1000</f>
        <v>23480</v>
      </c>
      <c r="G109" s="47"/>
    </row>
    <row r="110" spans="1:12" ht="17.25" customHeight="1" x14ac:dyDescent="0.25">
      <c r="A110" s="262" t="s">
        <v>389</v>
      </c>
      <c r="B110" s="21" t="s">
        <v>28</v>
      </c>
      <c r="C110" s="21" t="s">
        <v>105</v>
      </c>
      <c r="D110" s="21" t="s">
        <v>107</v>
      </c>
      <c r="E110" s="22">
        <f>Дод.2!G120*1000</f>
        <v>1000000</v>
      </c>
      <c r="F110" s="22">
        <f>Дод.2!J120*1000</f>
        <v>0</v>
      </c>
      <c r="G110" s="22">
        <f>Дод.2!M120*1000</f>
        <v>0</v>
      </c>
    </row>
    <row r="111" spans="1:12" ht="22.5" customHeight="1" x14ac:dyDescent="0.25">
      <c r="A111" s="263"/>
      <c r="B111" s="264" t="s">
        <v>26</v>
      </c>
      <c r="C111" s="2" t="s">
        <v>108</v>
      </c>
      <c r="D111" s="21" t="s">
        <v>106</v>
      </c>
      <c r="E111" s="47">
        <v>2</v>
      </c>
      <c r="F111" s="47"/>
      <c r="G111" s="47"/>
    </row>
    <row r="112" spans="1:12" ht="45" x14ac:dyDescent="0.25">
      <c r="A112" s="263"/>
      <c r="B112" s="265"/>
      <c r="C112" s="2" t="s">
        <v>188</v>
      </c>
      <c r="D112" s="21" t="s">
        <v>133</v>
      </c>
      <c r="E112" s="47">
        <v>60</v>
      </c>
      <c r="F112" s="47"/>
      <c r="G112" s="47"/>
      <c r="L112" s="30"/>
    </row>
    <row r="113" spans="1:12" ht="20.25" customHeight="1" x14ac:dyDescent="0.25">
      <c r="A113" s="263"/>
      <c r="B113" s="21" t="s">
        <v>29</v>
      </c>
      <c r="C113" s="18" t="s">
        <v>189</v>
      </c>
      <c r="D113" s="21" t="s">
        <v>107</v>
      </c>
      <c r="E113" s="23">
        <f>E110/E112</f>
        <v>16666.666666666668</v>
      </c>
      <c r="F113" s="47"/>
      <c r="G113" s="47"/>
      <c r="L113" s="9"/>
    </row>
    <row r="114" spans="1:12" ht="24.75" customHeight="1" x14ac:dyDescent="0.25">
      <c r="A114" s="262" t="s">
        <v>390</v>
      </c>
      <c r="B114" s="21" t="s">
        <v>28</v>
      </c>
      <c r="C114" s="21" t="s">
        <v>105</v>
      </c>
      <c r="D114" s="21" t="s">
        <v>107</v>
      </c>
      <c r="E114" s="22">
        <f>Дод.2!G123*1000</f>
        <v>0</v>
      </c>
      <c r="F114" s="22">
        <f>Дод.2!J123*1000</f>
        <v>1000000</v>
      </c>
      <c r="G114" s="22">
        <f>Дод.2!M123*1000</f>
        <v>0</v>
      </c>
      <c r="L114" s="9"/>
    </row>
    <row r="115" spans="1:12" ht="21.75" customHeight="1" x14ac:dyDescent="0.25">
      <c r="A115" s="263"/>
      <c r="B115" s="264" t="s">
        <v>26</v>
      </c>
      <c r="C115" s="2" t="s">
        <v>108</v>
      </c>
      <c r="D115" s="21" t="s">
        <v>106</v>
      </c>
      <c r="E115" s="47"/>
      <c r="F115" s="47">
        <v>2</v>
      </c>
      <c r="G115" s="47"/>
      <c r="L115" s="30"/>
    </row>
    <row r="116" spans="1:12" ht="28.5" customHeight="1" x14ac:dyDescent="0.25">
      <c r="A116" s="263"/>
      <c r="B116" s="265"/>
      <c r="C116" s="2" t="s">
        <v>188</v>
      </c>
      <c r="D116" s="21" t="s">
        <v>133</v>
      </c>
      <c r="E116" s="47"/>
      <c r="F116" s="47">
        <v>60</v>
      </c>
      <c r="G116" s="47"/>
      <c r="L116" s="30"/>
    </row>
    <row r="117" spans="1:12" ht="23.25" customHeight="1" x14ac:dyDescent="0.25">
      <c r="A117" s="263"/>
      <c r="B117" s="21" t="s">
        <v>29</v>
      </c>
      <c r="C117" s="21" t="s">
        <v>189</v>
      </c>
      <c r="D117" s="21" t="s">
        <v>107</v>
      </c>
      <c r="E117" s="47"/>
      <c r="F117" s="23">
        <f>F114/F116</f>
        <v>16666.666666666668</v>
      </c>
      <c r="G117" s="47"/>
    </row>
    <row r="118" spans="1:12" ht="19.5" customHeight="1" x14ac:dyDescent="0.25">
      <c r="A118" s="262" t="s">
        <v>391</v>
      </c>
      <c r="B118" s="264" t="s">
        <v>28</v>
      </c>
      <c r="C118" s="2" t="s">
        <v>105</v>
      </c>
      <c r="D118" s="21" t="s">
        <v>107</v>
      </c>
      <c r="E118" s="21">
        <f>Дод.2!G126*1000</f>
        <v>0</v>
      </c>
      <c r="F118" s="22">
        <f>Дод.2!J126*1000</f>
        <v>8745500</v>
      </c>
      <c r="G118" s="31">
        <f>Дод.2!M126*1000</f>
        <v>4826700</v>
      </c>
    </row>
    <row r="119" spans="1:12" ht="19.5" customHeight="1" x14ac:dyDescent="0.25">
      <c r="A119" s="263"/>
      <c r="B119" s="266"/>
      <c r="C119" s="2" t="s">
        <v>190</v>
      </c>
      <c r="D119" s="2" t="s">
        <v>106</v>
      </c>
      <c r="E119" s="21"/>
      <c r="F119" s="5">
        <v>27.25</v>
      </c>
      <c r="G119" s="21">
        <v>26.25</v>
      </c>
    </row>
    <row r="120" spans="1:12" ht="19.5" customHeight="1" x14ac:dyDescent="0.25">
      <c r="A120" s="263"/>
      <c r="B120" s="266"/>
      <c r="C120" s="2" t="s">
        <v>191</v>
      </c>
      <c r="D120" s="21" t="s">
        <v>133</v>
      </c>
      <c r="E120" s="21"/>
      <c r="F120" s="5"/>
      <c r="G120" s="21"/>
    </row>
    <row r="121" spans="1:12" ht="19.5" customHeight="1" x14ac:dyDescent="0.25">
      <c r="A121" s="263"/>
      <c r="B121" s="266"/>
      <c r="C121" s="2" t="s">
        <v>192</v>
      </c>
      <c r="D121" s="21" t="s">
        <v>133</v>
      </c>
      <c r="E121" s="21"/>
      <c r="F121" s="5">
        <v>5.25</v>
      </c>
      <c r="G121" s="21">
        <v>3.25</v>
      </c>
      <c r="J121" s="9"/>
    </row>
    <row r="122" spans="1:12" ht="19.5" customHeight="1" x14ac:dyDescent="0.25">
      <c r="A122" s="263"/>
      <c r="B122" s="266"/>
      <c r="C122" s="2" t="s">
        <v>193</v>
      </c>
      <c r="D122" s="21" t="s">
        <v>133</v>
      </c>
      <c r="E122" s="21"/>
      <c r="F122" s="5">
        <v>26</v>
      </c>
      <c r="G122" s="21">
        <v>3</v>
      </c>
      <c r="J122" s="9"/>
    </row>
    <row r="123" spans="1:12" ht="19.5" customHeight="1" x14ac:dyDescent="0.25">
      <c r="A123" s="263"/>
      <c r="B123" s="265"/>
      <c r="C123" s="2" t="s">
        <v>194</v>
      </c>
      <c r="D123" s="21" t="s">
        <v>133</v>
      </c>
      <c r="E123" s="21"/>
      <c r="F123" s="21"/>
      <c r="G123" s="21"/>
      <c r="J123" s="9"/>
    </row>
    <row r="124" spans="1:12" x14ac:dyDescent="0.25">
      <c r="A124" s="263"/>
      <c r="B124" s="21" t="s">
        <v>26</v>
      </c>
      <c r="C124" s="2" t="s">
        <v>195</v>
      </c>
      <c r="D124" s="21" t="s">
        <v>106</v>
      </c>
      <c r="E124" s="21"/>
      <c r="F124" s="47">
        <v>1200</v>
      </c>
      <c r="G124" s="21">
        <v>1722</v>
      </c>
      <c r="J124" s="9"/>
    </row>
    <row r="125" spans="1:12" ht="31.5" customHeight="1" x14ac:dyDescent="0.25">
      <c r="A125" s="263"/>
      <c r="B125" s="21" t="s">
        <v>29</v>
      </c>
      <c r="C125" s="2" t="s">
        <v>196</v>
      </c>
      <c r="D125" s="21" t="s">
        <v>106</v>
      </c>
      <c r="E125" s="21"/>
      <c r="F125" s="47">
        <v>229</v>
      </c>
      <c r="G125" s="21">
        <v>530</v>
      </c>
      <c r="J125" s="9"/>
    </row>
    <row r="126" spans="1:12" ht="29.25" customHeight="1" x14ac:dyDescent="0.25">
      <c r="A126" s="267"/>
      <c r="B126" s="21" t="s">
        <v>27</v>
      </c>
      <c r="C126" s="2" t="s">
        <v>197</v>
      </c>
      <c r="D126" s="21" t="s">
        <v>198</v>
      </c>
      <c r="E126" s="21"/>
      <c r="F126" s="47">
        <v>100</v>
      </c>
      <c r="G126" s="21">
        <v>100</v>
      </c>
      <c r="J126" s="9"/>
    </row>
    <row r="127" spans="1:12" x14ac:dyDescent="0.25">
      <c r="A127" s="268" t="s">
        <v>321</v>
      </c>
      <c r="B127" s="268"/>
      <c r="C127" s="268"/>
      <c r="D127" s="268"/>
      <c r="E127" s="268"/>
      <c r="F127" s="268"/>
      <c r="G127" s="268"/>
    </row>
    <row r="128" spans="1:12" ht="15" customHeight="1" x14ac:dyDescent="0.25">
      <c r="A128" s="262" t="s">
        <v>121</v>
      </c>
      <c r="B128" s="18" t="s">
        <v>28</v>
      </c>
      <c r="C128" s="18" t="s">
        <v>105</v>
      </c>
      <c r="D128" s="21" t="s">
        <v>199</v>
      </c>
      <c r="E128" s="22">
        <f>Дод.2!G130*1000</f>
        <v>5058300</v>
      </c>
      <c r="F128" s="22">
        <f>Дод.2!J130*1000</f>
        <v>4304000</v>
      </c>
      <c r="G128" s="22">
        <f>Дод.2!M130*1000</f>
        <v>6012400</v>
      </c>
    </row>
    <row r="129" spans="1:7" x14ac:dyDescent="0.25">
      <c r="A129" s="263"/>
      <c r="B129" s="18" t="s">
        <v>26</v>
      </c>
      <c r="C129" s="2" t="s">
        <v>108</v>
      </c>
      <c r="D129" s="21" t="s">
        <v>106</v>
      </c>
      <c r="E129" s="47">
        <v>1</v>
      </c>
      <c r="F129" s="47">
        <v>1</v>
      </c>
      <c r="G129" s="47">
        <v>1</v>
      </c>
    </row>
    <row r="130" spans="1:7" x14ac:dyDescent="0.25">
      <c r="A130" s="263"/>
      <c r="B130" s="18" t="s">
        <v>29</v>
      </c>
      <c r="C130" s="2" t="s">
        <v>109</v>
      </c>
      <c r="D130" s="21" t="s">
        <v>107</v>
      </c>
      <c r="E130" s="47">
        <f>E128/E129</f>
        <v>5058300</v>
      </c>
      <c r="F130" s="47">
        <f>F128/F129</f>
        <v>4304000</v>
      </c>
      <c r="G130" s="47">
        <f>G128/G129</f>
        <v>6012400</v>
      </c>
    </row>
    <row r="131" spans="1:7" x14ac:dyDescent="0.25">
      <c r="A131" s="263"/>
      <c r="B131" s="277" t="s">
        <v>27</v>
      </c>
      <c r="C131" s="2" t="s">
        <v>147</v>
      </c>
      <c r="D131" s="21" t="s">
        <v>111</v>
      </c>
      <c r="E131" s="47">
        <v>100</v>
      </c>
      <c r="F131" s="47">
        <v>100</v>
      </c>
      <c r="G131" s="47">
        <v>100</v>
      </c>
    </row>
    <row r="132" spans="1:7" ht="63" customHeight="1" x14ac:dyDescent="0.25">
      <c r="A132" s="267"/>
      <c r="B132" s="278"/>
      <c r="C132" s="2" t="s">
        <v>148</v>
      </c>
      <c r="D132" s="21" t="s">
        <v>111</v>
      </c>
      <c r="E132" s="23">
        <f>E128/3908359*100</f>
        <v>129.42260421829212</v>
      </c>
      <c r="F132" s="23">
        <f>F128/E128*100</f>
        <v>85.087875373149075</v>
      </c>
      <c r="G132" s="23">
        <f>G128/F128*100</f>
        <v>139.69330855018586</v>
      </c>
    </row>
    <row r="133" spans="1:7" x14ac:dyDescent="0.25">
      <c r="A133" s="273" t="s">
        <v>200</v>
      </c>
      <c r="B133" s="18" t="s">
        <v>28</v>
      </c>
      <c r="C133" s="2" t="s">
        <v>105</v>
      </c>
      <c r="D133" s="21" t="s">
        <v>107</v>
      </c>
      <c r="E133" s="22">
        <f>Дод.2!G132*1000</f>
        <v>67300</v>
      </c>
      <c r="F133" s="21"/>
      <c r="G133" s="21"/>
    </row>
    <row r="134" spans="1:7" ht="30" x14ac:dyDescent="0.25">
      <c r="A134" s="273"/>
      <c r="B134" s="18" t="s">
        <v>26</v>
      </c>
      <c r="C134" s="2" t="s">
        <v>152</v>
      </c>
      <c r="D134" s="21" t="s">
        <v>106</v>
      </c>
      <c r="E134" s="47">
        <v>1</v>
      </c>
      <c r="F134" s="21"/>
      <c r="G134" s="21"/>
    </row>
    <row r="135" spans="1:7" ht="30" x14ac:dyDescent="0.25">
      <c r="A135" s="273"/>
      <c r="B135" s="18" t="s">
        <v>29</v>
      </c>
      <c r="C135" s="2" t="s">
        <v>153</v>
      </c>
      <c r="D135" s="21" t="s">
        <v>107</v>
      </c>
      <c r="E135" s="47">
        <f>E133/E134</f>
        <v>67300</v>
      </c>
      <c r="F135" s="21"/>
      <c r="G135" s="21"/>
    </row>
    <row r="136" spans="1:7" x14ac:dyDescent="0.25">
      <c r="A136" s="270" t="s">
        <v>322</v>
      </c>
      <c r="B136" s="271"/>
      <c r="C136" s="271"/>
      <c r="D136" s="271"/>
      <c r="E136" s="271"/>
      <c r="F136" s="271"/>
      <c r="G136" s="272"/>
    </row>
    <row r="137" spans="1:7" x14ac:dyDescent="0.25">
      <c r="A137" s="262" t="s">
        <v>122</v>
      </c>
      <c r="B137" s="264" t="s">
        <v>28</v>
      </c>
      <c r="C137" s="2" t="s">
        <v>105</v>
      </c>
      <c r="D137" s="21" t="s">
        <v>201</v>
      </c>
      <c r="E137" s="31">
        <f>Дод.2!G136*1000</f>
        <v>11493100</v>
      </c>
      <c r="F137" s="22">
        <f>Дод.2!J136*1000</f>
        <v>11836100</v>
      </c>
      <c r="G137" s="22">
        <f>Дод.2!M136*1000</f>
        <v>11277100</v>
      </c>
    </row>
    <row r="138" spans="1:7" x14ac:dyDescent="0.25">
      <c r="A138" s="263"/>
      <c r="B138" s="266"/>
      <c r="C138" s="2" t="s">
        <v>108</v>
      </c>
      <c r="D138" s="21" t="s">
        <v>106</v>
      </c>
      <c r="E138" s="1">
        <v>1</v>
      </c>
      <c r="F138" s="47">
        <v>1</v>
      </c>
      <c r="G138" s="47">
        <v>1</v>
      </c>
    </row>
    <row r="139" spans="1:7" x14ac:dyDescent="0.25">
      <c r="A139" s="263"/>
      <c r="B139" s="266"/>
      <c r="C139" s="2" t="s">
        <v>159</v>
      </c>
      <c r="D139" s="21" t="s">
        <v>106</v>
      </c>
      <c r="E139" s="10">
        <v>63.5</v>
      </c>
      <c r="F139" s="47">
        <v>63.5</v>
      </c>
      <c r="G139" s="47">
        <v>63.5</v>
      </c>
    </row>
    <row r="140" spans="1:7" x14ac:dyDescent="0.25">
      <c r="A140" s="263"/>
      <c r="B140" s="265"/>
      <c r="C140" s="2" t="s">
        <v>160</v>
      </c>
      <c r="D140" s="21" t="s">
        <v>106</v>
      </c>
      <c r="E140" s="10">
        <v>22.5</v>
      </c>
      <c r="F140" s="47">
        <v>21</v>
      </c>
      <c r="G140" s="47">
        <v>22.5</v>
      </c>
    </row>
    <row r="141" spans="1:7" x14ac:dyDescent="0.25">
      <c r="A141" s="263"/>
      <c r="B141" s="264" t="s">
        <v>26</v>
      </c>
      <c r="C141" s="2" t="s">
        <v>161</v>
      </c>
      <c r="D141" s="21"/>
      <c r="E141" s="1">
        <v>32550</v>
      </c>
      <c r="F141" s="1">
        <v>23274</v>
      </c>
      <c r="G141" s="1">
        <v>33000</v>
      </c>
    </row>
    <row r="142" spans="1:7" ht="26.25" customHeight="1" x14ac:dyDescent="0.25">
      <c r="A142" s="263"/>
      <c r="B142" s="266"/>
      <c r="C142" s="2" t="s">
        <v>205</v>
      </c>
      <c r="D142" s="21"/>
      <c r="E142" s="1">
        <v>8600</v>
      </c>
      <c r="F142" s="1">
        <v>8700</v>
      </c>
      <c r="G142" s="1">
        <v>8790</v>
      </c>
    </row>
    <row r="143" spans="1:7" ht="30" x14ac:dyDescent="0.25">
      <c r="A143" s="263"/>
      <c r="B143" s="264" t="s">
        <v>29</v>
      </c>
      <c r="C143" s="2" t="s">
        <v>204</v>
      </c>
      <c r="D143" s="21" t="s">
        <v>133</v>
      </c>
      <c r="E143" s="1">
        <v>382</v>
      </c>
      <c r="F143" s="1">
        <v>414</v>
      </c>
      <c r="G143" s="1">
        <v>391</v>
      </c>
    </row>
    <row r="144" spans="1:7" ht="30" x14ac:dyDescent="0.25">
      <c r="A144" s="263"/>
      <c r="B144" s="266"/>
      <c r="C144" s="2" t="s">
        <v>203</v>
      </c>
      <c r="D144" s="21" t="s">
        <v>133</v>
      </c>
      <c r="E144" s="1">
        <f>E140/E138</f>
        <v>22.5</v>
      </c>
      <c r="F144" s="1">
        <f>F140/F138</f>
        <v>21</v>
      </c>
      <c r="G144" s="1">
        <v>1467</v>
      </c>
    </row>
    <row r="145" spans="1:9" ht="47.25" customHeight="1" x14ac:dyDescent="0.25">
      <c r="A145" s="263"/>
      <c r="B145" s="265"/>
      <c r="C145" s="2" t="s">
        <v>202</v>
      </c>
      <c r="D145" s="21" t="s">
        <v>107</v>
      </c>
      <c r="E145" s="1">
        <v>353</v>
      </c>
      <c r="F145" s="1">
        <v>509</v>
      </c>
      <c r="G145" s="1">
        <v>282</v>
      </c>
    </row>
    <row r="146" spans="1:9" ht="21" customHeight="1" x14ac:dyDescent="0.25">
      <c r="A146" s="262" t="s">
        <v>337</v>
      </c>
      <c r="B146" s="18" t="s">
        <v>28</v>
      </c>
      <c r="C146" s="2" t="s">
        <v>105</v>
      </c>
      <c r="D146" s="21" t="s">
        <v>107</v>
      </c>
      <c r="E146" s="22">
        <f>Дод.2!G138*1000</f>
        <v>895600</v>
      </c>
      <c r="F146" s="22">
        <f>Дод.2!J138*1000</f>
        <v>920300</v>
      </c>
      <c r="G146" s="22">
        <f>Дод.2!M138*1000</f>
        <v>1183300</v>
      </c>
    </row>
    <row r="147" spans="1:9" ht="18.75" customHeight="1" x14ac:dyDescent="0.25">
      <c r="A147" s="263"/>
      <c r="B147" s="18" t="s">
        <v>26</v>
      </c>
      <c r="C147" s="2" t="s">
        <v>108</v>
      </c>
      <c r="D147" s="21" t="s">
        <v>106</v>
      </c>
      <c r="E147" s="47">
        <v>1</v>
      </c>
      <c r="F147" s="47">
        <v>1</v>
      </c>
      <c r="G147" s="47">
        <v>1</v>
      </c>
    </row>
    <row r="148" spans="1:9" ht="18.75" customHeight="1" x14ac:dyDescent="0.25">
      <c r="A148" s="263"/>
      <c r="B148" s="18" t="s">
        <v>29</v>
      </c>
      <c r="C148" s="18" t="s">
        <v>206</v>
      </c>
      <c r="D148" s="21" t="s">
        <v>107</v>
      </c>
      <c r="E148" s="47">
        <f>E146/E147</f>
        <v>895600</v>
      </c>
      <c r="F148" s="47">
        <f>F146/F147</f>
        <v>920300</v>
      </c>
      <c r="G148" s="47">
        <f>G146/G147</f>
        <v>1183300</v>
      </c>
    </row>
    <row r="149" spans="1:9" ht="22.5" customHeight="1" x14ac:dyDescent="0.25">
      <c r="A149" s="263"/>
      <c r="B149" s="264" t="s">
        <v>27</v>
      </c>
      <c r="C149" s="2" t="s">
        <v>147</v>
      </c>
      <c r="D149" s="21" t="s">
        <v>111</v>
      </c>
      <c r="E149" s="1">
        <v>100</v>
      </c>
      <c r="F149" s="47">
        <v>100</v>
      </c>
      <c r="G149" s="47">
        <v>100</v>
      </c>
    </row>
    <row r="150" spans="1:9" ht="64.5" customHeight="1" x14ac:dyDescent="0.25">
      <c r="A150" s="267"/>
      <c r="B150" s="265"/>
      <c r="C150" s="2" t="s">
        <v>207</v>
      </c>
      <c r="D150" s="21" t="s">
        <v>111</v>
      </c>
      <c r="E150" s="1">
        <f>E146/595806*100</f>
        <v>150.31738518913875</v>
      </c>
      <c r="F150" s="23">
        <f>F146/E146*100</f>
        <v>102.75792764627066</v>
      </c>
      <c r="G150" s="23">
        <f>G146/F146*100</f>
        <v>128.57763772682819</v>
      </c>
    </row>
    <row r="151" spans="1:9" ht="22.5" customHeight="1" x14ac:dyDescent="0.25">
      <c r="A151" s="268" t="s">
        <v>123</v>
      </c>
      <c r="B151" s="268"/>
      <c r="C151" s="268"/>
      <c r="D151" s="268"/>
      <c r="E151" s="268"/>
      <c r="F151" s="268"/>
      <c r="G151" s="268"/>
    </row>
    <row r="152" spans="1:9" ht="34.5" customHeight="1" x14ac:dyDescent="0.25">
      <c r="A152" s="274"/>
      <c r="B152" s="21" t="s">
        <v>26</v>
      </c>
      <c r="C152" s="49" t="s">
        <v>326</v>
      </c>
      <c r="D152" s="49" t="s">
        <v>133</v>
      </c>
      <c r="E152" s="43">
        <f>E159+E162+E188+E192</f>
        <v>26854</v>
      </c>
      <c r="F152" s="43">
        <f>F159+F162+F188+F192</f>
        <v>31994</v>
      </c>
      <c r="G152" s="43">
        <f>G159+G162+G188+G192</f>
        <v>26854</v>
      </c>
    </row>
    <row r="153" spans="1:9" ht="33" customHeight="1" x14ac:dyDescent="0.25">
      <c r="A153" s="275"/>
      <c r="B153" s="49" t="s">
        <v>27</v>
      </c>
      <c r="C153" s="40" t="s">
        <v>328</v>
      </c>
      <c r="D153" s="49" t="s">
        <v>111</v>
      </c>
      <c r="E153" s="35">
        <f>14603800/28210600*100</f>
        <v>51.76706628005077</v>
      </c>
      <c r="F153" s="35">
        <f>14071600/14603800*100</f>
        <v>96.355743025787817</v>
      </c>
      <c r="G153" s="35">
        <f>17515300/14071600*100</f>
        <v>124.47269677932857</v>
      </c>
      <c r="I153" s="14">
        <f>G161+G191</f>
        <v>17515300</v>
      </c>
    </row>
    <row r="154" spans="1:9" ht="29.25" customHeight="1" x14ac:dyDescent="0.25">
      <c r="A154" s="275"/>
      <c r="B154" s="21" t="s">
        <v>26</v>
      </c>
      <c r="C154" s="49" t="s">
        <v>327</v>
      </c>
      <c r="D154" s="49" t="s">
        <v>133</v>
      </c>
      <c r="E154" s="43">
        <f>E169+E170+E171+E180+E181+E182+E197+E198+E206</f>
        <v>500</v>
      </c>
      <c r="F154" s="43">
        <f>F169+F170+F171+F180+F181+F182+F197+F198+F206</f>
        <v>505</v>
      </c>
      <c r="G154" s="43">
        <f>G169+G170+G171+G180+G181+G182+G197+G198+G206</f>
        <v>468</v>
      </c>
    </row>
    <row r="155" spans="1:9" ht="30" customHeight="1" x14ac:dyDescent="0.25">
      <c r="A155" s="276"/>
      <c r="B155" s="49" t="s">
        <v>27</v>
      </c>
      <c r="C155" s="40" t="s">
        <v>328</v>
      </c>
      <c r="D155" s="49" t="s">
        <v>111</v>
      </c>
      <c r="E155" s="26">
        <f>3171100/1100700*100</f>
        <v>288.09848278368315</v>
      </c>
      <c r="F155" s="26">
        <f>6124400/3171100*100</f>
        <v>193.13172085396235</v>
      </c>
      <c r="G155" s="26">
        <f>3300000/6124400*100</f>
        <v>53.882829338384163</v>
      </c>
      <c r="I155" s="14">
        <f>G176+G203</f>
        <v>3300000</v>
      </c>
    </row>
    <row r="156" spans="1:9" ht="22.5" customHeight="1" x14ac:dyDescent="0.25">
      <c r="A156" s="268" t="s">
        <v>208</v>
      </c>
      <c r="B156" s="268"/>
      <c r="C156" s="268"/>
      <c r="D156" s="268"/>
      <c r="E156" s="27">
        <f>E158+E161+E165+E176+E187+E191+E195+E203</f>
        <v>17774900</v>
      </c>
      <c r="F156" s="27">
        <f>F158+F161+F165+F176+F187+F191+F195+F203</f>
        <v>20196000</v>
      </c>
      <c r="G156" s="27">
        <f>G158+G161+G165+G176+G187+G191+G195+G203</f>
        <v>20815300</v>
      </c>
    </row>
    <row r="157" spans="1:9" x14ac:dyDescent="0.25">
      <c r="A157" s="270" t="s">
        <v>292</v>
      </c>
      <c r="B157" s="271"/>
      <c r="C157" s="271"/>
      <c r="D157" s="271"/>
      <c r="E157" s="271"/>
      <c r="F157" s="271"/>
      <c r="G157" s="272"/>
    </row>
    <row r="158" spans="1:9" x14ac:dyDescent="0.25">
      <c r="A158" s="262" t="s">
        <v>124</v>
      </c>
      <c r="B158" s="21" t="s">
        <v>28</v>
      </c>
      <c r="C158" s="2" t="s">
        <v>105</v>
      </c>
      <c r="D158" s="21" t="s">
        <v>107</v>
      </c>
      <c r="E158" s="31">
        <f>Дод.2!G153*1000</f>
        <v>12542200</v>
      </c>
      <c r="F158" s="21"/>
      <c r="G158" s="21"/>
    </row>
    <row r="159" spans="1:9" ht="45" x14ac:dyDescent="0.25">
      <c r="A159" s="263"/>
      <c r="B159" s="21" t="s">
        <v>26</v>
      </c>
      <c r="C159" s="2" t="s">
        <v>209</v>
      </c>
      <c r="D159" s="21" t="s">
        <v>133</v>
      </c>
      <c r="E159" s="47">
        <v>26112</v>
      </c>
      <c r="F159" s="21"/>
      <c r="G159" s="21"/>
    </row>
    <row r="160" spans="1:9" ht="22.5" customHeight="1" x14ac:dyDescent="0.25">
      <c r="A160" s="263"/>
      <c r="B160" s="21" t="s">
        <v>29</v>
      </c>
      <c r="C160" s="4" t="s">
        <v>150</v>
      </c>
      <c r="D160" s="21" t="s">
        <v>107</v>
      </c>
      <c r="E160" s="23">
        <f>E158/E159</f>
        <v>480.32322303921569</v>
      </c>
      <c r="F160" s="21"/>
      <c r="G160" s="21"/>
    </row>
    <row r="161" spans="1:7" ht="20.25" customHeight="1" x14ac:dyDescent="0.25">
      <c r="A161" s="262" t="s">
        <v>125</v>
      </c>
      <c r="B161" s="21" t="s">
        <v>28</v>
      </c>
      <c r="C161" s="2" t="s">
        <v>105</v>
      </c>
      <c r="D161" s="21"/>
      <c r="E161" s="21"/>
      <c r="F161" s="22">
        <f>Дод.2!J157*1000</f>
        <v>11875000</v>
      </c>
      <c r="G161" s="22">
        <f>Дод.2!M157*1000</f>
        <v>14000000</v>
      </c>
    </row>
    <row r="162" spans="1:7" ht="49.5" customHeight="1" x14ac:dyDescent="0.25">
      <c r="A162" s="263"/>
      <c r="B162" s="21" t="s">
        <v>26</v>
      </c>
      <c r="C162" s="2" t="s">
        <v>209</v>
      </c>
      <c r="D162" s="21" t="s">
        <v>133</v>
      </c>
      <c r="E162" s="21"/>
      <c r="F162" s="47">
        <v>31340</v>
      </c>
      <c r="G162" s="47">
        <v>26112</v>
      </c>
    </row>
    <row r="163" spans="1:7" ht="19.5" customHeight="1" x14ac:dyDescent="0.25">
      <c r="A163" s="263"/>
      <c r="B163" s="21" t="s">
        <v>29</v>
      </c>
      <c r="C163" s="4" t="s">
        <v>150</v>
      </c>
      <c r="D163" s="21" t="s">
        <v>107</v>
      </c>
      <c r="E163" s="21"/>
      <c r="F163" s="23">
        <f>F161/F162</f>
        <v>378.90874282067648</v>
      </c>
      <c r="G163" s="23">
        <f>G161/G162</f>
        <v>536.1519607843137</v>
      </c>
    </row>
    <row r="164" spans="1:7" ht="83.25" customHeight="1" x14ac:dyDescent="0.25">
      <c r="A164" s="267"/>
      <c r="B164" s="33" t="s">
        <v>27</v>
      </c>
      <c r="C164" s="2" t="s">
        <v>210</v>
      </c>
      <c r="D164" s="21" t="s">
        <v>111</v>
      </c>
      <c r="E164" s="21"/>
      <c r="F164" s="23">
        <f>F161/E158*100</f>
        <v>94.680359107652563</v>
      </c>
      <c r="G164" s="23">
        <f>G161/F161*100</f>
        <v>117.89473684210525</v>
      </c>
    </row>
    <row r="165" spans="1:7" x14ac:dyDescent="0.25">
      <c r="A165" s="273" t="s">
        <v>126</v>
      </c>
      <c r="B165" s="264" t="s">
        <v>28</v>
      </c>
      <c r="C165" s="2" t="s">
        <v>355</v>
      </c>
      <c r="D165" s="21" t="s">
        <v>107</v>
      </c>
      <c r="E165" s="22">
        <f>Дод.2!G161*1000</f>
        <v>2806300</v>
      </c>
      <c r="F165" s="21"/>
      <c r="G165" s="21"/>
    </row>
    <row r="166" spans="1:7" ht="20.25" customHeight="1" x14ac:dyDescent="0.25">
      <c r="A166" s="273"/>
      <c r="B166" s="266"/>
      <c r="C166" s="2" t="s">
        <v>211</v>
      </c>
      <c r="D166" s="21" t="s">
        <v>107</v>
      </c>
      <c r="E166" s="1">
        <f>1268520+627640+20030</f>
        <v>1916190</v>
      </c>
      <c r="F166" s="21"/>
      <c r="G166" s="21"/>
    </row>
    <row r="167" spans="1:7" ht="30" x14ac:dyDescent="0.25">
      <c r="A167" s="273"/>
      <c r="B167" s="266"/>
      <c r="C167" s="2" t="s">
        <v>212</v>
      </c>
      <c r="D167" s="21" t="s">
        <v>107</v>
      </c>
      <c r="E167" s="1">
        <f>365476+444728.18+20030</f>
        <v>830234.17999999993</v>
      </c>
      <c r="F167" s="21"/>
      <c r="G167" s="21"/>
    </row>
    <row r="168" spans="1:7" ht="20.25" customHeight="1" x14ac:dyDescent="0.25">
      <c r="A168" s="273"/>
      <c r="B168" s="265"/>
      <c r="C168" s="2" t="s">
        <v>213</v>
      </c>
      <c r="D168" s="21" t="s">
        <v>107</v>
      </c>
      <c r="E168" s="1">
        <f>46234+13650</f>
        <v>59884</v>
      </c>
      <c r="F168" s="21"/>
      <c r="G168" s="21"/>
    </row>
    <row r="169" spans="1:7" ht="33" customHeight="1" x14ac:dyDescent="0.25">
      <c r="A169" s="273"/>
      <c r="B169" s="264" t="s">
        <v>26</v>
      </c>
      <c r="C169" s="2" t="s">
        <v>216</v>
      </c>
      <c r="D169" s="21" t="s">
        <v>133</v>
      </c>
      <c r="E169" s="1">
        <f>165+114+2</f>
        <v>281</v>
      </c>
      <c r="F169" s="21"/>
      <c r="G169" s="21"/>
    </row>
    <row r="170" spans="1:7" ht="51.75" customHeight="1" x14ac:dyDescent="0.25">
      <c r="A170" s="273"/>
      <c r="B170" s="266"/>
      <c r="C170" s="2" t="s">
        <v>214</v>
      </c>
      <c r="D170" s="21" t="s">
        <v>133</v>
      </c>
      <c r="E170" s="1">
        <f>47+30+3</f>
        <v>80</v>
      </c>
      <c r="F170" s="21"/>
      <c r="G170" s="21"/>
    </row>
    <row r="171" spans="1:7" ht="33.75" customHeight="1" x14ac:dyDescent="0.25">
      <c r="A171" s="273"/>
      <c r="B171" s="265"/>
      <c r="C171" s="2" t="s">
        <v>215</v>
      </c>
      <c r="D171" s="21" t="s">
        <v>133</v>
      </c>
      <c r="E171" s="1">
        <f>16+20</f>
        <v>36</v>
      </c>
      <c r="F171" s="21"/>
      <c r="G171" s="21"/>
    </row>
    <row r="172" spans="1:7" ht="36" customHeight="1" x14ac:dyDescent="0.25">
      <c r="A172" s="273"/>
      <c r="B172" s="264" t="s">
        <v>29</v>
      </c>
      <c r="C172" s="4" t="s">
        <v>217</v>
      </c>
      <c r="D172" s="21" t="s">
        <v>107</v>
      </c>
      <c r="E172" s="23">
        <f>E166/E169</f>
        <v>6819.1814946619215</v>
      </c>
      <c r="F172" s="21"/>
      <c r="G172" s="21"/>
    </row>
    <row r="173" spans="1:7" ht="54" customHeight="1" x14ac:dyDescent="0.25">
      <c r="A173" s="273"/>
      <c r="B173" s="266"/>
      <c r="C173" s="4" t="s">
        <v>218</v>
      </c>
      <c r="D173" s="21" t="s">
        <v>107</v>
      </c>
      <c r="E173" s="23">
        <f>E167/E170</f>
        <v>10377.927249999999</v>
      </c>
      <c r="F173" s="21"/>
      <c r="G173" s="21"/>
    </row>
    <row r="174" spans="1:7" ht="35.25" customHeight="1" x14ac:dyDescent="0.25">
      <c r="A174" s="273"/>
      <c r="B174" s="265"/>
      <c r="C174" s="4" t="s">
        <v>219</v>
      </c>
      <c r="D174" s="21" t="s">
        <v>107</v>
      </c>
      <c r="E174" s="23">
        <f>E168/E171</f>
        <v>1663.4444444444443</v>
      </c>
      <c r="F174" s="21"/>
      <c r="G174" s="21"/>
    </row>
    <row r="175" spans="1:7" ht="75" x14ac:dyDescent="0.25">
      <c r="A175" s="273"/>
      <c r="B175" s="18" t="s">
        <v>27</v>
      </c>
      <c r="C175" s="21" t="s">
        <v>220</v>
      </c>
      <c r="D175" s="21" t="s">
        <v>111</v>
      </c>
      <c r="E175" s="23">
        <f>E165/901025*100</f>
        <v>311.45639688132957</v>
      </c>
      <c r="F175" s="21"/>
      <c r="G175" s="21"/>
    </row>
    <row r="176" spans="1:7" ht="15" customHeight="1" x14ac:dyDescent="0.25">
      <c r="A176" s="273" t="s">
        <v>127</v>
      </c>
      <c r="B176" s="264" t="s">
        <v>28</v>
      </c>
      <c r="C176" s="2" t="s">
        <v>105</v>
      </c>
      <c r="D176" s="21" t="s">
        <v>107</v>
      </c>
      <c r="E176" s="21"/>
      <c r="F176" s="22">
        <f>Дод.2!J165*1000</f>
        <v>5824400</v>
      </c>
      <c r="G176" s="22">
        <f>Дод.2!M165*1000</f>
        <v>3000000</v>
      </c>
    </row>
    <row r="177" spans="1:7" x14ac:dyDescent="0.25">
      <c r="A177" s="273"/>
      <c r="B177" s="266"/>
      <c r="C177" s="2" t="s">
        <v>211</v>
      </c>
      <c r="D177" s="21" t="s">
        <v>107</v>
      </c>
      <c r="E177" s="21"/>
      <c r="F177" s="1">
        <v>3319400</v>
      </c>
      <c r="G177" s="1">
        <v>1333976</v>
      </c>
    </row>
    <row r="178" spans="1:7" ht="30" x14ac:dyDescent="0.25">
      <c r="A178" s="273"/>
      <c r="B178" s="266"/>
      <c r="C178" s="2" t="s">
        <v>212</v>
      </c>
      <c r="D178" s="21" t="s">
        <v>107</v>
      </c>
      <c r="E178" s="21"/>
      <c r="F178" s="1">
        <v>2415000</v>
      </c>
      <c r="G178" s="1">
        <v>1450726</v>
      </c>
    </row>
    <row r="179" spans="1:7" x14ac:dyDescent="0.25">
      <c r="A179" s="273"/>
      <c r="B179" s="265"/>
      <c r="C179" s="2" t="s">
        <v>213</v>
      </c>
      <c r="D179" s="21" t="s">
        <v>107</v>
      </c>
      <c r="E179" s="21"/>
      <c r="F179" s="1">
        <v>90000</v>
      </c>
      <c r="G179" s="1">
        <v>215298</v>
      </c>
    </row>
    <row r="180" spans="1:7" ht="30" x14ac:dyDescent="0.25">
      <c r="A180" s="273"/>
      <c r="B180" s="264" t="s">
        <v>26</v>
      </c>
      <c r="C180" s="2" t="s">
        <v>216</v>
      </c>
      <c r="D180" s="21" t="s">
        <v>133</v>
      </c>
      <c r="E180" s="21"/>
      <c r="F180" s="1">
        <v>272</v>
      </c>
      <c r="G180" s="1">
        <v>284</v>
      </c>
    </row>
    <row r="181" spans="1:7" ht="45" x14ac:dyDescent="0.25">
      <c r="A181" s="273"/>
      <c r="B181" s="266"/>
      <c r="C181" s="2" t="s">
        <v>214</v>
      </c>
      <c r="D181" s="21" t="s">
        <v>133</v>
      </c>
      <c r="E181" s="21"/>
      <c r="F181" s="1">
        <v>110</v>
      </c>
      <c r="G181" s="1">
        <v>83</v>
      </c>
    </row>
    <row r="182" spans="1:7" ht="30" x14ac:dyDescent="0.25">
      <c r="A182" s="273"/>
      <c r="B182" s="265"/>
      <c r="C182" s="2" t="s">
        <v>215</v>
      </c>
      <c r="D182" s="21" t="s">
        <v>133</v>
      </c>
      <c r="E182" s="21"/>
      <c r="F182" s="1">
        <v>38</v>
      </c>
      <c r="G182" s="1">
        <v>37</v>
      </c>
    </row>
    <row r="183" spans="1:7" ht="30" x14ac:dyDescent="0.25">
      <c r="A183" s="273"/>
      <c r="B183" s="264" t="s">
        <v>29</v>
      </c>
      <c r="C183" s="4" t="s">
        <v>217</v>
      </c>
      <c r="D183" s="21" t="s">
        <v>107</v>
      </c>
      <c r="E183" s="21"/>
      <c r="F183" s="1">
        <f t="shared" ref="F183:G185" si="9">F177/F180</f>
        <v>12203.676470588236</v>
      </c>
      <c r="G183" s="1">
        <f t="shared" si="9"/>
        <v>4697.0985915492956</v>
      </c>
    </row>
    <row r="184" spans="1:7" ht="45" x14ac:dyDescent="0.25">
      <c r="A184" s="273"/>
      <c r="B184" s="266"/>
      <c r="C184" s="4" t="s">
        <v>218</v>
      </c>
      <c r="D184" s="21" t="s">
        <v>107</v>
      </c>
      <c r="E184" s="21"/>
      <c r="F184" s="1">
        <f t="shared" si="9"/>
        <v>21954.545454545456</v>
      </c>
      <c r="G184" s="1">
        <f t="shared" si="9"/>
        <v>17478.626506024095</v>
      </c>
    </row>
    <row r="185" spans="1:7" ht="30" x14ac:dyDescent="0.25">
      <c r="A185" s="273"/>
      <c r="B185" s="265"/>
      <c r="C185" s="4" t="s">
        <v>219</v>
      </c>
      <c r="D185" s="21" t="s">
        <v>107</v>
      </c>
      <c r="E185" s="21"/>
      <c r="F185" s="1">
        <f t="shared" si="9"/>
        <v>2368.4210526315787</v>
      </c>
      <c r="G185" s="1">
        <f t="shared" si="9"/>
        <v>5818.864864864865</v>
      </c>
    </row>
    <row r="186" spans="1:7" ht="75" x14ac:dyDescent="0.25">
      <c r="A186" s="273"/>
      <c r="B186" s="18" t="s">
        <v>27</v>
      </c>
      <c r="C186" s="2" t="s">
        <v>220</v>
      </c>
      <c r="D186" s="21" t="s">
        <v>111</v>
      </c>
      <c r="E186" s="21"/>
      <c r="F186" s="23">
        <f>F176/E165*100</f>
        <v>207.54730427965652</v>
      </c>
      <c r="G186" s="23">
        <f>G176/F176*100</f>
        <v>51.507451411304174</v>
      </c>
    </row>
    <row r="187" spans="1:7" ht="17.25" customHeight="1" x14ac:dyDescent="0.25">
      <c r="A187" s="273" t="s">
        <v>128</v>
      </c>
      <c r="B187" s="18" t="s">
        <v>28</v>
      </c>
      <c r="C187" s="2" t="s">
        <v>105</v>
      </c>
      <c r="D187" s="21" t="s">
        <v>107</v>
      </c>
      <c r="E187" s="31">
        <f>Дод.2!G169*1000</f>
        <v>2061600</v>
      </c>
      <c r="F187" s="21"/>
      <c r="G187" s="21"/>
    </row>
    <row r="188" spans="1:7" ht="36.75" customHeight="1" x14ac:dyDescent="0.25">
      <c r="A188" s="273"/>
      <c r="B188" s="18" t="s">
        <v>26</v>
      </c>
      <c r="C188" s="2" t="s">
        <v>221</v>
      </c>
      <c r="D188" s="21" t="s">
        <v>133</v>
      </c>
      <c r="E188" s="1">
        <f>558+184</f>
        <v>742</v>
      </c>
      <c r="F188" s="21"/>
      <c r="G188" s="21"/>
    </row>
    <row r="189" spans="1:7" ht="35.25" customHeight="1" x14ac:dyDescent="0.25">
      <c r="A189" s="273"/>
      <c r="B189" s="18" t="s">
        <v>29</v>
      </c>
      <c r="C189" s="4" t="s">
        <v>222</v>
      </c>
      <c r="D189" s="21" t="s">
        <v>107</v>
      </c>
      <c r="E189" s="23">
        <f>E187/E188</f>
        <v>2778.4366576819407</v>
      </c>
      <c r="F189" s="21"/>
      <c r="G189" s="21"/>
    </row>
    <row r="190" spans="1:7" ht="75" x14ac:dyDescent="0.25">
      <c r="A190" s="273"/>
      <c r="B190" s="18" t="s">
        <v>27</v>
      </c>
      <c r="C190" s="2" t="s">
        <v>223</v>
      </c>
      <c r="D190" s="21" t="s">
        <v>111</v>
      </c>
      <c r="E190" s="23">
        <f>E187/2500000*100</f>
        <v>82.463999999999999</v>
      </c>
      <c r="F190" s="21"/>
      <c r="G190" s="21"/>
    </row>
    <row r="191" spans="1:7" x14ac:dyDescent="0.25">
      <c r="A191" s="273" t="s">
        <v>129</v>
      </c>
      <c r="B191" s="18" t="s">
        <v>28</v>
      </c>
      <c r="C191" s="2" t="s">
        <v>105</v>
      </c>
      <c r="D191" s="21" t="s">
        <v>107</v>
      </c>
      <c r="E191" s="21"/>
      <c r="F191" s="22">
        <f>Дод.2!J172*1000</f>
        <v>2196600</v>
      </c>
      <c r="G191" s="22">
        <f>Дод.2!M172*1000</f>
        <v>3515300</v>
      </c>
    </row>
    <row r="192" spans="1:7" ht="30" x14ac:dyDescent="0.25">
      <c r="A192" s="273"/>
      <c r="B192" s="18" t="s">
        <v>26</v>
      </c>
      <c r="C192" s="2" t="s">
        <v>221</v>
      </c>
      <c r="D192" s="21" t="s">
        <v>133</v>
      </c>
      <c r="E192" s="21"/>
      <c r="F192" s="47">
        <v>654</v>
      </c>
      <c r="G192" s="47">
        <v>742</v>
      </c>
    </row>
    <row r="193" spans="1:7" ht="28.5" customHeight="1" x14ac:dyDescent="0.25">
      <c r="A193" s="273"/>
      <c r="B193" s="18" t="s">
        <v>29</v>
      </c>
      <c r="C193" s="4" t="s">
        <v>222</v>
      </c>
      <c r="D193" s="21" t="s">
        <v>107</v>
      </c>
      <c r="E193" s="21"/>
      <c r="F193" s="23">
        <f>F191/F192</f>
        <v>3358.7155963302753</v>
      </c>
      <c r="G193" s="23">
        <f>G191/G192</f>
        <v>4737.6010781671157</v>
      </c>
    </row>
    <row r="194" spans="1:7" ht="75" x14ac:dyDescent="0.25">
      <c r="A194" s="273"/>
      <c r="B194" s="18" t="s">
        <v>27</v>
      </c>
      <c r="C194" s="2" t="s">
        <v>223</v>
      </c>
      <c r="D194" s="21" t="s">
        <v>111</v>
      </c>
      <c r="E194" s="21"/>
      <c r="F194" s="23">
        <f>F191/E187*100</f>
        <v>106.54831199068684</v>
      </c>
      <c r="G194" s="23">
        <f>G191/F191*100</f>
        <v>160.0336884275699</v>
      </c>
    </row>
    <row r="195" spans="1:7" ht="15" customHeight="1" x14ac:dyDescent="0.25">
      <c r="A195" s="262" t="s">
        <v>130</v>
      </c>
      <c r="B195" s="18" t="s">
        <v>28</v>
      </c>
      <c r="C195" s="2" t="s">
        <v>105</v>
      </c>
      <c r="D195" s="21" t="s">
        <v>107</v>
      </c>
      <c r="E195" s="22">
        <f>Дод.2!G175*1000</f>
        <v>364800</v>
      </c>
      <c r="F195" s="21"/>
      <c r="G195" s="21"/>
    </row>
    <row r="196" spans="1:7" x14ac:dyDescent="0.25">
      <c r="A196" s="263"/>
      <c r="B196" s="264" t="s">
        <v>26</v>
      </c>
      <c r="C196" s="2" t="s">
        <v>228</v>
      </c>
      <c r="D196" s="18" t="s">
        <v>106</v>
      </c>
      <c r="E196" s="1">
        <v>1</v>
      </c>
      <c r="F196" s="21"/>
      <c r="G196" s="21"/>
    </row>
    <row r="197" spans="1:7" ht="45" x14ac:dyDescent="0.25">
      <c r="A197" s="263"/>
      <c r="B197" s="266"/>
      <c r="C197" s="2" t="s">
        <v>224</v>
      </c>
      <c r="D197" s="18" t="s">
        <v>133</v>
      </c>
      <c r="E197" s="1">
        <v>99</v>
      </c>
      <c r="F197" s="21"/>
      <c r="G197" s="21"/>
    </row>
    <row r="198" spans="1:7" ht="45" x14ac:dyDescent="0.25">
      <c r="A198" s="263"/>
      <c r="B198" s="265"/>
      <c r="C198" s="2" t="s">
        <v>225</v>
      </c>
      <c r="D198" s="18" t="s">
        <v>133</v>
      </c>
      <c r="E198" s="1">
        <v>4</v>
      </c>
      <c r="F198" s="21"/>
      <c r="G198" s="21"/>
    </row>
    <row r="199" spans="1:7" ht="29.25" customHeight="1" x14ac:dyDescent="0.25">
      <c r="A199" s="263"/>
      <c r="B199" s="262" t="s">
        <v>29</v>
      </c>
      <c r="C199" s="4" t="s">
        <v>226</v>
      </c>
      <c r="D199" s="18" t="s">
        <v>133</v>
      </c>
      <c r="E199" s="1">
        <f>300000/99</f>
        <v>3030.3030303030305</v>
      </c>
      <c r="F199" s="21"/>
      <c r="G199" s="21"/>
    </row>
    <row r="200" spans="1:7" ht="33" customHeight="1" x14ac:dyDescent="0.25">
      <c r="A200" s="263"/>
      <c r="B200" s="267"/>
      <c r="C200" s="4" t="s">
        <v>227</v>
      </c>
      <c r="D200" s="18" t="s">
        <v>133</v>
      </c>
      <c r="E200" s="1">
        <f>64800/4</f>
        <v>16200</v>
      </c>
      <c r="F200" s="21"/>
      <c r="G200" s="21"/>
    </row>
    <row r="201" spans="1:7" ht="30" customHeight="1" x14ac:dyDescent="0.25">
      <c r="A201" s="263"/>
      <c r="B201" s="264" t="s">
        <v>27</v>
      </c>
      <c r="C201" s="4" t="s">
        <v>229</v>
      </c>
      <c r="D201" s="18" t="s">
        <v>111</v>
      </c>
      <c r="E201" s="47">
        <v>100</v>
      </c>
      <c r="F201" s="21"/>
      <c r="G201" s="21"/>
    </row>
    <row r="202" spans="1:7" ht="31.5" customHeight="1" x14ac:dyDescent="0.25">
      <c r="A202" s="267"/>
      <c r="B202" s="265"/>
      <c r="C202" s="4" t="s">
        <v>230</v>
      </c>
      <c r="D202" s="18" t="s">
        <v>111</v>
      </c>
      <c r="E202" s="47">
        <v>100</v>
      </c>
      <c r="F202" s="31"/>
      <c r="G202" s="31"/>
    </row>
    <row r="203" spans="1:7" ht="15" customHeight="1" x14ac:dyDescent="0.25">
      <c r="A203" s="262" t="s">
        <v>131</v>
      </c>
      <c r="B203" s="264" t="s">
        <v>28</v>
      </c>
      <c r="C203" s="2" t="s">
        <v>105</v>
      </c>
      <c r="D203" s="21" t="s">
        <v>107</v>
      </c>
      <c r="E203" s="21"/>
      <c r="F203" s="22">
        <f>Дод.2!J177*1000</f>
        <v>300000</v>
      </c>
      <c r="G203" s="22">
        <f>Дод.2!M177*1000</f>
        <v>300000</v>
      </c>
    </row>
    <row r="204" spans="1:7" ht="30" x14ac:dyDescent="0.25">
      <c r="A204" s="263"/>
      <c r="B204" s="266"/>
      <c r="C204" s="2" t="s">
        <v>413</v>
      </c>
      <c r="D204" s="21" t="s">
        <v>107</v>
      </c>
      <c r="E204" s="21"/>
      <c r="F204" s="22"/>
      <c r="G204" s="22">
        <v>239800</v>
      </c>
    </row>
    <row r="205" spans="1:7" ht="30" x14ac:dyDescent="0.25">
      <c r="A205" s="263"/>
      <c r="B205" s="265"/>
      <c r="C205" s="2" t="s">
        <v>414</v>
      </c>
      <c r="D205" s="21" t="s">
        <v>107</v>
      </c>
      <c r="E205" s="21"/>
      <c r="F205" s="22"/>
      <c r="G205" s="22">
        <v>60200</v>
      </c>
    </row>
    <row r="206" spans="1:7" ht="45" x14ac:dyDescent="0.25">
      <c r="A206" s="263"/>
      <c r="B206" s="266" t="s">
        <v>26</v>
      </c>
      <c r="C206" s="2" t="s">
        <v>415</v>
      </c>
      <c r="D206" s="18" t="s">
        <v>133</v>
      </c>
      <c r="E206" s="21"/>
      <c r="F206" s="47">
        <v>85</v>
      </c>
      <c r="G206" s="47">
        <v>64</v>
      </c>
    </row>
    <row r="207" spans="1:7" ht="45" x14ac:dyDescent="0.25">
      <c r="A207" s="263"/>
      <c r="B207" s="265"/>
      <c r="C207" s="2" t="s">
        <v>416</v>
      </c>
      <c r="D207" s="18" t="s">
        <v>133</v>
      </c>
      <c r="E207" s="21"/>
      <c r="F207" s="133"/>
      <c r="G207" s="133">
        <v>2</v>
      </c>
    </row>
    <row r="208" spans="1:7" ht="30.75" customHeight="1" x14ac:dyDescent="0.25">
      <c r="A208" s="263"/>
      <c r="B208" s="262" t="s">
        <v>29</v>
      </c>
      <c r="C208" s="4" t="s">
        <v>226</v>
      </c>
      <c r="D208" s="18" t="s">
        <v>417</v>
      </c>
      <c r="E208" s="21"/>
      <c r="F208" s="23">
        <f>F203/F206</f>
        <v>3529.4117647058824</v>
      </c>
      <c r="G208" s="23">
        <f>G204/G206</f>
        <v>3746.875</v>
      </c>
    </row>
    <row r="209" spans="1:7" ht="30" customHeight="1" x14ac:dyDescent="0.25">
      <c r="A209" s="263"/>
      <c r="B209" s="267"/>
      <c r="C209" s="4" t="s">
        <v>227</v>
      </c>
      <c r="D209" s="18" t="s">
        <v>417</v>
      </c>
      <c r="E209" s="21"/>
      <c r="F209" s="23"/>
      <c r="G209" s="23">
        <f>G205/G207</f>
        <v>30100</v>
      </c>
    </row>
    <row r="210" spans="1:7" ht="65.25" customHeight="1" x14ac:dyDescent="0.25">
      <c r="A210" s="263"/>
      <c r="B210" s="264" t="s">
        <v>27</v>
      </c>
      <c r="C210" s="4" t="s">
        <v>418</v>
      </c>
      <c r="D210" s="18" t="s">
        <v>111</v>
      </c>
      <c r="E210" s="21"/>
      <c r="F210" s="47">
        <v>100</v>
      </c>
      <c r="G210" s="23">
        <v>80</v>
      </c>
    </row>
    <row r="211" spans="1:7" ht="58.5" customHeight="1" x14ac:dyDescent="0.25">
      <c r="A211" s="267"/>
      <c r="B211" s="265"/>
      <c r="C211" s="4" t="s">
        <v>419</v>
      </c>
      <c r="D211" s="18" t="s">
        <v>111</v>
      </c>
      <c r="E211" s="21"/>
      <c r="F211" s="133"/>
      <c r="G211" s="133">
        <v>100</v>
      </c>
    </row>
    <row r="212" spans="1:7" ht="20.25" customHeight="1" x14ac:dyDescent="0.25">
      <c r="A212" s="268" t="s">
        <v>232</v>
      </c>
      <c r="B212" s="268"/>
      <c r="C212" s="268"/>
      <c r="D212" s="268"/>
      <c r="E212" s="268"/>
      <c r="F212" s="268"/>
      <c r="G212" s="268"/>
    </row>
    <row r="213" spans="1:7" ht="20.25" customHeight="1" x14ac:dyDescent="0.25">
      <c r="A213" s="48"/>
      <c r="B213" s="31" t="s">
        <v>26</v>
      </c>
      <c r="C213" s="41" t="s">
        <v>108</v>
      </c>
      <c r="D213" s="41" t="s">
        <v>106</v>
      </c>
      <c r="E213" s="25">
        <v>2</v>
      </c>
      <c r="F213" s="25">
        <v>2</v>
      </c>
      <c r="G213" s="25">
        <v>2</v>
      </c>
    </row>
    <row r="214" spans="1:7" ht="28.5" customHeight="1" x14ac:dyDescent="0.25">
      <c r="A214" s="48"/>
      <c r="B214" s="39" t="s">
        <v>27</v>
      </c>
      <c r="C214" s="40" t="s">
        <v>328</v>
      </c>
      <c r="D214" s="41" t="s">
        <v>111</v>
      </c>
      <c r="E214" s="38">
        <f>19491400/3658500*100</f>
        <v>532.77026103594369</v>
      </c>
      <c r="F214" s="38">
        <f>F215/E215*100</f>
        <v>35.267989985326864</v>
      </c>
      <c r="G214" s="38">
        <f>G215/F215*100</f>
        <v>64.935683658885182</v>
      </c>
    </row>
    <row r="215" spans="1:7" ht="18.75" customHeight="1" x14ac:dyDescent="0.25">
      <c r="A215" s="268" t="s">
        <v>231</v>
      </c>
      <c r="B215" s="268"/>
      <c r="C215" s="268"/>
      <c r="D215" s="268"/>
      <c r="E215" s="28">
        <f>E217+E231+E234</f>
        <v>19491400</v>
      </c>
      <c r="F215" s="28">
        <f>F217+F231+F234</f>
        <v>6874225</v>
      </c>
      <c r="G215" s="28">
        <f>G217+G231+G234</f>
        <v>4463825</v>
      </c>
    </row>
    <row r="216" spans="1:7" ht="18.75" customHeight="1" x14ac:dyDescent="0.25">
      <c r="A216" s="270" t="s">
        <v>323</v>
      </c>
      <c r="B216" s="271"/>
      <c r="C216" s="271"/>
      <c r="D216" s="271"/>
      <c r="E216" s="271"/>
      <c r="F216" s="271"/>
      <c r="G216" s="272"/>
    </row>
    <row r="217" spans="1:7" ht="22.5" customHeight="1" x14ac:dyDescent="0.25">
      <c r="A217" s="262" t="s">
        <v>412</v>
      </c>
      <c r="B217" s="264" t="s">
        <v>28</v>
      </c>
      <c r="C217" s="2" t="s">
        <v>234</v>
      </c>
      <c r="D217" s="21" t="s">
        <v>107</v>
      </c>
      <c r="E217" s="22">
        <f>Дод.2!G186*1000</f>
        <v>2933100</v>
      </c>
      <c r="F217" s="22">
        <f>(Дод.2!J186+Дод.2!K186)*1000</f>
        <v>3813125</v>
      </c>
      <c r="G217" s="22">
        <f>(Дод.2!M186+Дод.2!N186)*1000</f>
        <v>4113125</v>
      </c>
    </row>
    <row r="218" spans="1:7" ht="22.5" customHeight="1" x14ac:dyDescent="0.25">
      <c r="A218" s="263"/>
      <c r="B218" s="266"/>
      <c r="C218" s="2" t="s">
        <v>233</v>
      </c>
      <c r="D218" s="21"/>
      <c r="E218" s="47">
        <v>2</v>
      </c>
      <c r="F218" s="3">
        <v>2</v>
      </c>
      <c r="G218" s="3">
        <v>2</v>
      </c>
    </row>
    <row r="219" spans="1:7" ht="19.5" customHeight="1" x14ac:dyDescent="0.25">
      <c r="A219" s="263"/>
      <c r="B219" s="266"/>
      <c r="C219" s="2" t="s">
        <v>235</v>
      </c>
      <c r="D219" s="21" t="s">
        <v>106</v>
      </c>
      <c r="E219" s="1">
        <v>1</v>
      </c>
      <c r="F219" s="1">
        <v>1</v>
      </c>
      <c r="G219" s="1">
        <v>1</v>
      </c>
    </row>
    <row r="220" spans="1:7" ht="30" customHeight="1" x14ac:dyDescent="0.25">
      <c r="A220" s="263"/>
      <c r="B220" s="266"/>
      <c r="C220" s="2" t="s">
        <v>236</v>
      </c>
      <c r="D220" s="21" t="s">
        <v>106</v>
      </c>
      <c r="E220" s="1">
        <v>1</v>
      </c>
      <c r="F220" s="1">
        <v>1</v>
      </c>
      <c r="G220" s="1">
        <v>1</v>
      </c>
    </row>
    <row r="221" spans="1:7" ht="15.75" customHeight="1" x14ac:dyDescent="0.25">
      <c r="A221" s="263"/>
      <c r="B221" s="266"/>
      <c r="C221" s="2" t="s">
        <v>246</v>
      </c>
      <c r="D221" s="21" t="s">
        <v>106</v>
      </c>
      <c r="E221" s="1">
        <f>E222+E223</f>
        <v>21</v>
      </c>
      <c r="F221" s="1">
        <f>F222+F223</f>
        <v>21</v>
      </c>
      <c r="G221" s="1">
        <f>G222+G223</f>
        <v>21</v>
      </c>
    </row>
    <row r="222" spans="1:7" ht="18.75" customHeight="1" x14ac:dyDescent="0.25">
      <c r="A222" s="263"/>
      <c r="B222" s="266"/>
      <c r="C222" s="2" t="s">
        <v>245</v>
      </c>
      <c r="D222" s="21" t="s">
        <v>106</v>
      </c>
      <c r="E222" s="1">
        <v>10</v>
      </c>
      <c r="F222" s="1">
        <v>10</v>
      </c>
      <c r="G222" s="1">
        <v>10</v>
      </c>
    </row>
    <row r="223" spans="1:7" ht="18.75" customHeight="1" x14ac:dyDescent="0.25">
      <c r="A223" s="263"/>
      <c r="B223" s="265"/>
      <c r="C223" s="2" t="s">
        <v>244</v>
      </c>
      <c r="D223" s="21" t="s">
        <v>106</v>
      </c>
      <c r="E223" s="1">
        <v>11</v>
      </c>
      <c r="F223" s="1">
        <v>11</v>
      </c>
      <c r="G223" s="1">
        <v>11</v>
      </c>
    </row>
    <row r="224" spans="1:7" ht="45" x14ac:dyDescent="0.25">
      <c r="A224" s="263"/>
      <c r="B224" s="269" t="s">
        <v>26</v>
      </c>
      <c r="C224" s="2" t="s">
        <v>243</v>
      </c>
      <c r="D224" s="21" t="s">
        <v>106</v>
      </c>
      <c r="E224" s="1">
        <v>9</v>
      </c>
      <c r="F224" s="1">
        <v>9</v>
      </c>
      <c r="G224" s="1">
        <v>9</v>
      </c>
    </row>
    <row r="225" spans="1:7" ht="31.5" customHeight="1" x14ac:dyDescent="0.25">
      <c r="A225" s="263"/>
      <c r="B225" s="269"/>
      <c r="C225" s="2" t="s">
        <v>242</v>
      </c>
      <c r="D225" s="21" t="s">
        <v>106</v>
      </c>
      <c r="E225" s="1">
        <v>800</v>
      </c>
      <c r="F225" s="1">
        <v>800</v>
      </c>
      <c r="G225" s="1">
        <v>800</v>
      </c>
    </row>
    <row r="226" spans="1:7" x14ac:dyDescent="0.25">
      <c r="A226" s="263"/>
      <c r="B226" s="269"/>
      <c r="C226" s="2" t="s">
        <v>241</v>
      </c>
      <c r="D226" s="21" t="s">
        <v>106</v>
      </c>
      <c r="E226" s="1">
        <v>42</v>
      </c>
      <c r="F226" s="1">
        <v>42</v>
      </c>
      <c r="G226" s="1">
        <v>42</v>
      </c>
    </row>
    <row r="227" spans="1:7" ht="82.5" customHeight="1" x14ac:dyDescent="0.25">
      <c r="A227" s="263"/>
      <c r="B227" s="269"/>
      <c r="C227" s="2" t="s">
        <v>240</v>
      </c>
      <c r="D227" s="21" t="s">
        <v>106</v>
      </c>
      <c r="E227" s="1">
        <v>220</v>
      </c>
      <c r="F227" s="1">
        <v>220</v>
      </c>
      <c r="G227" s="1">
        <v>220</v>
      </c>
    </row>
    <row r="228" spans="1:7" ht="45" x14ac:dyDescent="0.25">
      <c r="A228" s="263"/>
      <c r="B228" s="262" t="s">
        <v>29</v>
      </c>
      <c r="C228" s="2" t="s">
        <v>239</v>
      </c>
      <c r="D228" s="21" t="s">
        <v>106</v>
      </c>
      <c r="E228" s="47">
        <f>E225/E222</f>
        <v>80</v>
      </c>
      <c r="F228" s="47">
        <f>F225/F222</f>
        <v>80</v>
      </c>
      <c r="G228" s="47">
        <f>G225/G222</f>
        <v>80</v>
      </c>
    </row>
    <row r="229" spans="1:7" ht="45" x14ac:dyDescent="0.25">
      <c r="A229" s="263"/>
      <c r="B229" s="263"/>
      <c r="C229" s="2" t="s">
        <v>238</v>
      </c>
      <c r="D229" s="21" t="s">
        <v>106</v>
      </c>
      <c r="E229" s="23">
        <f t="shared" ref="E229:G230" si="10">E226/E222</f>
        <v>4.2</v>
      </c>
      <c r="F229" s="23">
        <f t="shared" si="10"/>
        <v>4.2</v>
      </c>
      <c r="G229" s="23">
        <f t="shared" si="10"/>
        <v>4.2</v>
      </c>
    </row>
    <row r="230" spans="1:7" ht="75" x14ac:dyDescent="0.25">
      <c r="A230" s="267"/>
      <c r="B230" s="267"/>
      <c r="C230" s="2" t="s">
        <v>237</v>
      </c>
      <c r="D230" s="21" t="s">
        <v>106</v>
      </c>
      <c r="E230" s="47">
        <f t="shared" si="10"/>
        <v>20</v>
      </c>
      <c r="F230" s="47">
        <f t="shared" si="10"/>
        <v>20</v>
      </c>
      <c r="G230" s="47">
        <f t="shared" si="10"/>
        <v>20</v>
      </c>
    </row>
    <row r="231" spans="1:7" ht="16.5" customHeight="1" x14ac:dyDescent="0.25">
      <c r="A231" s="262" t="s">
        <v>361</v>
      </c>
      <c r="B231" s="21" t="s">
        <v>28</v>
      </c>
      <c r="C231" s="2" t="s">
        <v>234</v>
      </c>
      <c r="D231" s="21" t="s">
        <v>107</v>
      </c>
      <c r="E231" s="22">
        <f>Дод.2!G188*1000</f>
        <v>21200</v>
      </c>
      <c r="F231" s="47"/>
      <c r="G231" s="47"/>
    </row>
    <row r="232" spans="1:7" x14ac:dyDescent="0.25">
      <c r="A232" s="263"/>
      <c r="B232" s="49" t="s">
        <v>26</v>
      </c>
      <c r="C232" s="2" t="s">
        <v>247</v>
      </c>
      <c r="D232" s="21" t="s">
        <v>106</v>
      </c>
      <c r="E232" s="47">
        <v>2</v>
      </c>
      <c r="F232" s="47"/>
      <c r="G232" s="47"/>
    </row>
    <row r="233" spans="1:7" ht="30" x14ac:dyDescent="0.25">
      <c r="A233" s="267"/>
      <c r="B233" s="49" t="s">
        <v>29</v>
      </c>
      <c r="C233" s="4" t="s">
        <v>248</v>
      </c>
      <c r="D233" s="21" t="s">
        <v>107</v>
      </c>
      <c r="E233" s="47">
        <f>E231/E232</f>
        <v>10600</v>
      </c>
      <c r="F233" s="47"/>
      <c r="G233" s="47"/>
    </row>
    <row r="234" spans="1:7" ht="60" x14ac:dyDescent="0.25">
      <c r="A234" s="47" t="s">
        <v>362</v>
      </c>
      <c r="B234" s="21" t="s">
        <v>28</v>
      </c>
      <c r="C234" s="21" t="s">
        <v>249</v>
      </c>
      <c r="D234" s="21" t="s">
        <v>107</v>
      </c>
      <c r="E234" s="22">
        <f>Дод.2!H190*1000</f>
        <v>16537099.999999998</v>
      </c>
      <c r="F234" s="22">
        <f>Дод.2!K190*1000</f>
        <v>3061100.0000000005</v>
      </c>
      <c r="G234" s="22">
        <f>Дод.2!N190*1000</f>
        <v>350700</v>
      </c>
    </row>
    <row r="235" spans="1:7" ht="18.75" customHeight="1" x14ac:dyDescent="0.25">
      <c r="A235" s="268" t="s">
        <v>251</v>
      </c>
      <c r="B235" s="268"/>
      <c r="C235" s="268"/>
      <c r="D235" s="268"/>
      <c r="E235" s="268"/>
      <c r="F235" s="268"/>
      <c r="G235" s="268"/>
    </row>
    <row r="236" spans="1:7" ht="22.5" customHeight="1" x14ac:dyDescent="0.25">
      <c r="A236" s="48"/>
      <c r="B236" s="31" t="s">
        <v>26</v>
      </c>
      <c r="C236" s="41" t="s">
        <v>108</v>
      </c>
      <c r="D236" s="48" t="s">
        <v>106</v>
      </c>
      <c r="E236" s="28">
        <v>5</v>
      </c>
      <c r="F236" s="28">
        <v>7</v>
      </c>
      <c r="G236" s="28">
        <v>8</v>
      </c>
    </row>
    <row r="237" spans="1:7" ht="36" customHeight="1" x14ac:dyDescent="0.25">
      <c r="A237" s="48"/>
      <c r="B237" s="39" t="s">
        <v>27</v>
      </c>
      <c r="C237" s="21" t="s">
        <v>328</v>
      </c>
      <c r="D237" s="48" t="s">
        <v>111</v>
      </c>
      <c r="E237" s="38">
        <f>E238/154476500*100</f>
        <v>69.623483183526304</v>
      </c>
      <c r="F237" s="38">
        <f>F238/E238*100</f>
        <v>237.77929766386316</v>
      </c>
      <c r="G237" s="38">
        <f>G238/F238*100</f>
        <v>48.50142451479298</v>
      </c>
    </row>
    <row r="238" spans="1:7" ht="20.25" customHeight="1" x14ac:dyDescent="0.25">
      <c r="A238" s="268" t="s">
        <v>250</v>
      </c>
      <c r="B238" s="268"/>
      <c r="C238" s="268"/>
      <c r="D238" s="268"/>
      <c r="E238" s="27">
        <f>E240+E244+E253+E260+E264+E268+E271</f>
        <v>107551920</v>
      </c>
      <c r="F238" s="42">
        <f>F240+F244+F253+F260+F264+F268+F271+F243+F263</f>
        <v>255736200</v>
      </c>
      <c r="G238" s="42">
        <f>G240+G244+G253+G260+G264+G268+G271+G243</f>
        <v>124035700</v>
      </c>
    </row>
    <row r="239" spans="1:7" x14ac:dyDescent="0.25">
      <c r="A239" s="268" t="s">
        <v>293</v>
      </c>
      <c r="B239" s="268"/>
      <c r="C239" s="268"/>
      <c r="D239" s="268"/>
      <c r="E239" s="268"/>
      <c r="F239" s="268"/>
      <c r="G239" s="268"/>
    </row>
    <row r="240" spans="1:7" ht="30" x14ac:dyDescent="0.25">
      <c r="A240" s="262" t="s">
        <v>252</v>
      </c>
      <c r="B240" s="49" t="s">
        <v>28</v>
      </c>
      <c r="C240" s="2" t="s">
        <v>253</v>
      </c>
      <c r="D240" s="21" t="s">
        <v>107</v>
      </c>
      <c r="E240" s="22">
        <f>Дод.2!H213*1000</f>
        <v>80593000</v>
      </c>
      <c r="F240" s="22">
        <f>Дод.2!K213*1000</f>
        <v>165509200</v>
      </c>
      <c r="G240" s="22">
        <f>Дод.2!N213*1000</f>
        <v>0</v>
      </c>
    </row>
    <row r="241" spans="1:8" ht="20.25" customHeight="1" x14ac:dyDescent="0.25">
      <c r="A241" s="263"/>
      <c r="B241" s="49" t="s">
        <v>26</v>
      </c>
      <c r="C241" s="49" t="s">
        <v>254</v>
      </c>
      <c r="D241" s="21" t="s">
        <v>106</v>
      </c>
      <c r="E241" s="47">
        <v>9</v>
      </c>
      <c r="F241" s="47">
        <v>39</v>
      </c>
      <c r="G241" s="47">
        <v>63</v>
      </c>
    </row>
    <row r="242" spans="1:8" ht="30" x14ac:dyDescent="0.25">
      <c r="A242" s="263"/>
      <c r="B242" s="49" t="s">
        <v>29</v>
      </c>
      <c r="C242" s="4" t="s">
        <v>248</v>
      </c>
      <c r="D242" s="21" t="s">
        <v>107</v>
      </c>
      <c r="E242" s="23">
        <f>E240/E241</f>
        <v>8954777.777777778</v>
      </c>
      <c r="F242" s="23">
        <f t="shared" ref="F242:G242" si="11">F240/F241</f>
        <v>4243825.641025641</v>
      </c>
      <c r="G242" s="23">
        <f t="shared" si="11"/>
        <v>0</v>
      </c>
    </row>
    <row r="243" spans="1:8" ht="40.5" customHeight="1" x14ac:dyDescent="0.25">
      <c r="A243" s="45" t="s">
        <v>344</v>
      </c>
      <c r="B243" s="46" t="s">
        <v>28</v>
      </c>
      <c r="C243" s="4" t="s">
        <v>105</v>
      </c>
      <c r="D243" s="21" t="s">
        <v>107</v>
      </c>
      <c r="E243" s="23"/>
      <c r="F243" s="23">
        <f>Дод.2!K222*1000</f>
        <v>0</v>
      </c>
      <c r="G243" s="23">
        <f>Дод.2!N222*1000</f>
        <v>50000000</v>
      </c>
    </row>
    <row r="244" spans="1:8" ht="38.25" customHeight="1" x14ac:dyDescent="0.25">
      <c r="A244" s="262" t="s">
        <v>363</v>
      </c>
      <c r="B244" s="264" t="s">
        <v>28</v>
      </c>
      <c r="C244" s="2" t="s">
        <v>257</v>
      </c>
      <c r="D244" s="21" t="s">
        <v>107</v>
      </c>
      <c r="E244" s="22">
        <f>Дод.2!H225*1000</f>
        <v>5300000</v>
      </c>
      <c r="F244" s="47"/>
      <c r="G244" s="47"/>
    </row>
    <row r="245" spans="1:8" ht="21" customHeight="1" x14ac:dyDescent="0.25">
      <c r="A245" s="263"/>
      <c r="B245" s="266"/>
      <c r="C245" s="2" t="s">
        <v>255</v>
      </c>
      <c r="D245" s="21" t="s">
        <v>107</v>
      </c>
      <c r="E245" s="1">
        <f>300000+2000000</f>
        <v>2300000</v>
      </c>
      <c r="F245" s="47"/>
      <c r="G245" s="47"/>
    </row>
    <row r="246" spans="1:8" ht="18" customHeight="1" x14ac:dyDescent="0.25">
      <c r="A246" s="263"/>
      <c r="B246" s="265"/>
      <c r="C246" s="2" t="s">
        <v>256</v>
      </c>
      <c r="D246" s="21" t="s">
        <v>107</v>
      </c>
      <c r="E246" s="1">
        <f>2000000+1000000</f>
        <v>3000000</v>
      </c>
      <c r="F246" s="47"/>
      <c r="G246" s="47"/>
    </row>
    <row r="247" spans="1:8" ht="30.75" customHeight="1" x14ac:dyDescent="0.25">
      <c r="A247" s="263"/>
      <c r="B247" s="264" t="s">
        <v>26</v>
      </c>
      <c r="C247" s="4" t="s">
        <v>392</v>
      </c>
      <c r="D247" s="21"/>
      <c r="E247" s="22"/>
      <c r="F247" s="47"/>
      <c r="G247" s="47"/>
    </row>
    <row r="248" spans="1:8" ht="21" customHeight="1" x14ac:dyDescent="0.25">
      <c r="A248" s="263"/>
      <c r="B248" s="266"/>
      <c r="C248" s="2" t="s">
        <v>255</v>
      </c>
      <c r="D248" s="21" t="s">
        <v>106</v>
      </c>
      <c r="E248" s="47">
        <v>2</v>
      </c>
      <c r="F248" s="47"/>
      <c r="G248" s="47"/>
    </row>
    <row r="249" spans="1:8" x14ac:dyDescent="0.25">
      <c r="A249" s="263"/>
      <c r="B249" s="265"/>
      <c r="C249" s="2" t="s">
        <v>256</v>
      </c>
      <c r="D249" s="21" t="s">
        <v>106</v>
      </c>
      <c r="E249" s="47">
        <v>2</v>
      </c>
      <c r="F249" s="47"/>
      <c r="G249" s="47"/>
    </row>
    <row r="250" spans="1:8" ht="30" x14ac:dyDescent="0.25">
      <c r="A250" s="263"/>
      <c r="B250" s="262" t="s">
        <v>29</v>
      </c>
      <c r="C250" s="4" t="s">
        <v>258</v>
      </c>
      <c r="D250" s="21"/>
      <c r="E250" s="47"/>
      <c r="F250" s="47"/>
      <c r="G250" s="47"/>
    </row>
    <row r="251" spans="1:8" x14ac:dyDescent="0.25">
      <c r="A251" s="263"/>
      <c r="B251" s="263"/>
      <c r="C251" s="2" t="s">
        <v>255</v>
      </c>
      <c r="D251" s="21" t="s">
        <v>107</v>
      </c>
      <c r="E251" s="47">
        <f>E245/E248</f>
        <v>1150000</v>
      </c>
      <c r="F251" s="47"/>
      <c r="G251" s="47"/>
    </row>
    <row r="252" spans="1:8" x14ac:dyDescent="0.25">
      <c r="A252" s="263"/>
      <c r="B252" s="267"/>
      <c r="C252" s="2" t="s">
        <v>256</v>
      </c>
      <c r="D252" s="21" t="s">
        <v>107</v>
      </c>
      <c r="E252" s="47">
        <f>E246/E249</f>
        <v>1500000</v>
      </c>
      <c r="F252" s="47"/>
      <c r="G252" s="47"/>
    </row>
    <row r="253" spans="1:8" x14ac:dyDescent="0.25">
      <c r="A253" s="262" t="s">
        <v>406</v>
      </c>
      <c r="B253" s="264" t="s">
        <v>28</v>
      </c>
      <c r="C253" s="11" t="s">
        <v>259</v>
      </c>
      <c r="D253" s="21"/>
      <c r="E253" s="47"/>
      <c r="F253" s="22">
        <f>Дод.2!K230*1000</f>
        <v>35332900</v>
      </c>
      <c r="G253" s="22">
        <f>Дод.2!N230*1000</f>
        <v>8285500</v>
      </c>
      <c r="H253" s="32"/>
    </row>
    <row r="254" spans="1:8" ht="30" x14ac:dyDescent="0.25">
      <c r="A254" s="263"/>
      <c r="B254" s="266"/>
      <c r="C254" s="2" t="s">
        <v>261</v>
      </c>
      <c r="D254" s="21" t="s">
        <v>107</v>
      </c>
      <c r="E254" s="47"/>
      <c r="F254" s="1">
        <f>Дод.2!K232*1000</f>
        <v>27160900</v>
      </c>
      <c r="G254" s="47">
        <f>(Дод.2!N231+Дод.2!N232+Дод.2!N233+Дод.2!N234+1000+52.4)*1000</f>
        <v>8085500</v>
      </c>
    </row>
    <row r="255" spans="1:8" x14ac:dyDescent="0.25">
      <c r="A255" s="263"/>
      <c r="B255" s="265"/>
      <c r="C255" s="2" t="s">
        <v>260</v>
      </c>
      <c r="D255" s="21" t="s">
        <v>107</v>
      </c>
      <c r="E255" s="47"/>
      <c r="F255" s="1">
        <f>Дод.2!K235*1000</f>
        <v>8172000</v>
      </c>
      <c r="G255" s="47">
        <f>80000+100000+20000</f>
        <v>200000</v>
      </c>
    </row>
    <row r="256" spans="1:8" ht="45" x14ac:dyDescent="0.25">
      <c r="A256" s="263"/>
      <c r="B256" s="264" t="s">
        <v>26</v>
      </c>
      <c r="C256" s="2" t="s">
        <v>262</v>
      </c>
      <c r="D256" s="21" t="s">
        <v>106</v>
      </c>
      <c r="E256" s="47"/>
      <c r="F256" s="47">
        <v>2</v>
      </c>
      <c r="G256" s="47">
        <v>3</v>
      </c>
    </row>
    <row r="257" spans="1:7" ht="30" x14ac:dyDescent="0.25">
      <c r="A257" s="263"/>
      <c r="B257" s="265"/>
      <c r="C257" s="2" t="s">
        <v>265</v>
      </c>
      <c r="D257" s="21" t="s">
        <v>106</v>
      </c>
      <c r="E257" s="47"/>
      <c r="F257" s="47">
        <v>2</v>
      </c>
      <c r="G257" s="47">
        <v>2</v>
      </c>
    </row>
    <row r="258" spans="1:7" ht="45" x14ac:dyDescent="0.25">
      <c r="A258" s="263"/>
      <c r="B258" s="262" t="s">
        <v>29</v>
      </c>
      <c r="C258" s="2" t="s">
        <v>264</v>
      </c>
      <c r="D258" s="21" t="s">
        <v>107</v>
      </c>
      <c r="E258" s="47"/>
      <c r="F258" s="47">
        <f>F254/F256</f>
        <v>13580450</v>
      </c>
      <c r="G258" s="23">
        <f>G254/G256</f>
        <v>2695166.6666666665</v>
      </c>
    </row>
    <row r="259" spans="1:7" ht="30" x14ac:dyDescent="0.25">
      <c r="A259" s="263"/>
      <c r="B259" s="267"/>
      <c r="C259" s="2" t="s">
        <v>263</v>
      </c>
      <c r="D259" s="21" t="s">
        <v>107</v>
      </c>
      <c r="E259" s="47"/>
      <c r="F259" s="47">
        <f>F255/F257</f>
        <v>4086000</v>
      </c>
      <c r="G259" s="52">
        <f>G255/G257</f>
        <v>100000</v>
      </c>
    </row>
    <row r="260" spans="1:7" ht="60" customHeight="1" x14ac:dyDescent="0.25">
      <c r="A260" s="288" t="s">
        <v>364</v>
      </c>
      <c r="B260" s="21" t="s">
        <v>28</v>
      </c>
      <c r="C260" s="2" t="s">
        <v>268</v>
      </c>
      <c r="D260" s="21" t="s">
        <v>107</v>
      </c>
      <c r="E260" s="22">
        <f>Дод.2!H250*1000</f>
        <v>16800000</v>
      </c>
      <c r="F260" s="22">
        <f>Дод.2!K250*1000</f>
        <v>0</v>
      </c>
      <c r="G260" s="47"/>
    </row>
    <row r="261" spans="1:7" x14ac:dyDescent="0.25">
      <c r="A261" s="288"/>
      <c r="B261" s="21" t="s">
        <v>26</v>
      </c>
      <c r="C261" s="4" t="s">
        <v>267</v>
      </c>
      <c r="D261" s="21" t="s">
        <v>106</v>
      </c>
      <c r="E261" s="47">
        <v>1</v>
      </c>
      <c r="F261" s="47">
        <v>1</v>
      </c>
      <c r="G261" s="47"/>
    </row>
    <row r="262" spans="1:7" ht="30" x14ac:dyDescent="0.25">
      <c r="A262" s="288"/>
      <c r="B262" s="21" t="s">
        <v>29</v>
      </c>
      <c r="C262" s="4" t="s">
        <v>266</v>
      </c>
      <c r="D262" s="21" t="s">
        <v>107</v>
      </c>
      <c r="E262" s="47">
        <f>E260/E261</f>
        <v>16800000</v>
      </c>
      <c r="F262" s="47">
        <f>F260/F261</f>
        <v>0</v>
      </c>
      <c r="G262" s="47"/>
    </row>
    <row r="263" spans="1:7" ht="30" customHeight="1" x14ac:dyDescent="0.25">
      <c r="A263" s="50" t="s">
        <v>348</v>
      </c>
      <c r="B263" s="21" t="s">
        <v>28</v>
      </c>
      <c r="C263" s="4" t="s">
        <v>105</v>
      </c>
      <c r="D263" s="21" t="s">
        <v>107</v>
      </c>
      <c r="E263" s="47"/>
      <c r="F263" s="47">
        <f>Дод.2!K254*1000</f>
        <v>107200</v>
      </c>
      <c r="G263" s="47"/>
    </row>
    <row r="264" spans="1:7" ht="42.75" customHeight="1" x14ac:dyDescent="0.25">
      <c r="A264" s="273" t="s">
        <v>365</v>
      </c>
      <c r="B264" s="21" t="s">
        <v>28</v>
      </c>
      <c r="C264" s="2" t="s">
        <v>269</v>
      </c>
      <c r="D264" s="21" t="s">
        <v>107</v>
      </c>
      <c r="E264" s="22">
        <f>Дод.2!H255*1000</f>
        <v>4498920</v>
      </c>
      <c r="F264" s="22">
        <f>Дод.2!K255*1000</f>
        <v>1194900</v>
      </c>
      <c r="G264" s="47"/>
    </row>
    <row r="265" spans="1:7" ht="30" x14ac:dyDescent="0.25">
      <c r="A265" s="273"/>
      <c r="B265" s="21" t="s">
        <v>26</v>
      </c>
      <c r="C265" s="4" t="s">
        <v>270</v>
      </c>
      <c r="D265" s="21" t="s">
        <v>106</v>
      </c>
      <c r="E265" s="47">
        <v>3</v>
      </c>
      <c r="F265" s="47">
        <v>1</v>
      </c>
      <c r="G265" s="47"/>
    </row>
    <row r="266" spans="1:7" ht="30.75" customHeight="1" x14ac:dyDescent="0.25">
      <c r="A266" s="273"/>
      <c r="B266" s="21" t="s">
        <v>29</v>
      </c>
      <c r="C266" s="4" t="s">
        <v>272</v>
      </c>
      <c r="D266" s="21" t="s">
        <v>107</v>
      </c>
      <c r="E266" s="47">
        <f>E264/E265</f>
        <v>1499640</v>
      </c>
      <c r="F266" s="47">
        <f>F264/F265</f>
        <v>1194900</v>
      </c>
      <c r="G266" s="47"/>
    </row>
    <row r="267" spans="1:7" ht="30" x14ac:dyDescent="0.25">
      <c r="A267" s="273"/>
      <c r="B267" s="21" t="s">
        <v>27</v>
      </c>
      <c r="C267" s="4" t="s">
        <v>271</v>
      </c>
      <c r="D267" s="21" t="s">
        <v>111</v>
      </c>
      <c r="E267" s="47">
        <v>100</v>
      </c>
      <c r="F267" s="47">
        <v>100</v>
      </c>
      <c r="G267" s="47"/>
    </row>
    <row r="268" spans="1:7" ht="46.5" customHeight="1" x14ac:dyDescent="0.25">
      <c r="A268" s="273" t="s">
        <v>366</v>
      </c>
      <c r="B268" s="34" t="s">
        <v>28</v>
      </c>
      <c r="C268" s="4" t="s">
        <v>274</v>
      </c>
      <c r="D268" s="21" t="s">
        <v>107</v>
      </c>
      <c r="E268" s="22">
        <f>Дод.2!H264*1000</f>
        <v>360000</v>
      </c>
      <c r="F268" s="47"/>
      <c r="G268" s="47"/>
    </row>
    <row r="269" spans="1:7" x14ac:dyDescent="0.25">
      <c r="A269" s="273"/>
      <c r="B269" s="21" t="s">
        <v>26</v>
      </c>
      <c r="C269" s="12" t="s">
        <v>108</v>
      </c>
      <c r="D269" s="21" t="s">
        <v>106</v>
      </c>
      <c r="E269" s="47">
        <v>1</v>
      </c>
      <c r="F269" s="47"/>
      <c r="G269" s="47"/>
    </row>
    <row r="270" spans="1:7" ht="45" x14ac:dyDescent="0.25">
      <c r="A270" s="273"/>
      <c r="B270" s="21" t="s">
        <v>29</v>
      </c>
      <c r="C270" s="2" t="s">
        <v>273</v>
      </c>
      <c r="D270" s="21" t="s">
        <v>107</v>
      </c>
      <c r="E270" s="47">
        <f>E268/E269</f>
        <v>360000</v>
      </c>
      <c r="F270" s="47"/>
      <c r="G270" s="47"/>
    </row>
    <row r="271" spans="1:7" x14ac:dyDescent="0.25">
      <c r="A271" s="273" t="s">
        <v>367</v>
      </c>
      <c r="B271" s="264" t="s">
        <v>28</v>
      </c>
      <c r="C271" s="11" t="s">
        <v>276</v>
      </c>
      <c r="D271" s="21" t="s">
        <v>107</v>
      </c>
      <c r="E271" s="47"/>
      <c r="F271" s="22">
        <f>Дод.2!K266*1000</f>
        <v>53592000</v>
      </c>
      <c r="G271" s="22">
        <f>Дод.2!N266*1000</f>
        <v>65750200</v>
      </c>
    </row>
    <row r="272" spans="1:7" ht="45" x14ac:dyDescent="0.25">
      <c r="A272" s="273"/>
      <c r="B272" s="266"/>
      <c r="C272" s="4" t="s">
        <v>275</v>
      </c>
      <c r="D272" s="21" t="s">
        <v>107</v>
      </c>
      <c r="E272" s="47"/>
      <c r="F272" s="47">
        <f>(Дод.2!K273+Дод.2!K275+Дод.2!K278+Дод.2!K279+Дод.2!K282)*1000</f>
        <v>34561500</v>
      </c>
      <c r="G272" s="47">
        <f>(Дод.2!N276+Дод.2!N279+Дод.2!N282)*1000</f>
        <v>24717100</v>
      </c>
    </row>
    <row r="273" spans="1:7" ht="30" x14ac:dyDescent="0.25">
      <c r="A273" s="273"/>
      <c r="B273" s="265"/>
      <c r="C273" s="4" t="s">
        <v>277</v>
      </c>
      <c r="D273" s="21" t="s">
        <v>107</v>
      </c>
      <c r="E273" s="47"/>
      <c r="F273" s="47">
        <f>(Дод.2!K276+Дод.2!K277)*1000</f>
        <v>19030500</v>
      </c>
      <c r="G273" s="47">
        <f>Дод.2!N274*1000</f>
        <v>500000</v>
      </c>
    </row>
    <row r="274" spans="1:7" ht="45" x14ac:dyDescent="0.25">
      <c r="A274" s="273"/>
      <c r="B274" s="264" t="s">
        <v>26</v>
      </c>
      <c r="C274" s="12" t="s">
        <v>278</v>
      </c>
      <c r="D274" s="21" t="s">
        <v>106</v>
      </c>
      <c r="E274" s="47"/>
      <c r="F274" s="47">
        <v>4</v>
      </c>
      <c r="G274" s="47">
        <v>2</v>
      </c>
    </row>
    <row r="275" spans="1:7" ht="30" x14ac:dyDescent="0.25">
      <c r="A275" s="273"/>
      <c r="B275" s="265"/>
      <c r="C275" s="12" t="s">
        <v>334</v>
      </c>
      <c r="D275" s="21" t="s">
        <v>106</v>
      </c>
      <c r="E275" s="47"/>
      <c r="F275" s="47">
        <v>2</v>
      </c>
      <c r="G275" s="47">
        <v>1</v>
      </c>
    </row>
    <row r="276" spans="1:7" ht="30" x14ac:dyDescent="0.25">
      <c r="A276" s="273"/>
      <c r="B276" s="264" t="s">
        <v>29</v>
      </c>
      <c r="C276" s="2" t="s">
        <v>279</v>
      </c>
      <c r="D276" s="21" t="s">
        <v>107</v>
      </c>
      <c r="E276" s="47"/>
      <c r="F276" s="47">
        <f>F272/F274</f>
        <v>8640375</v>
      </c>
      <c r="G276" s="47">
        <f>G272/G274</f>
        <v>12358550</v>
      </c>
    </row>
    <row r="277" spans="1:7" ht="30" x14ac:dyDescent="0.25">
      <c r="A277" s="273"/>
      <c r="B277" s="265"/>
      <c r="C277" s="2" t="s">
        <v>335</v>
      </c>
      <c r="D277" s="21" t="s">
        <v>107</v>
      </c>
      <c r="E277" s="47"/>
      <c r="F277" s="47">
        <f>F273/F275</f>
        <v>9515250</v>
      </c>
      <c r="G277" s="47">
        <f>G273/G275</f>
        <v>500000</v>
      </c>
    </row>
    <row r="279" spans="1:7" ht="46.5" customHeight="1" x14ac:dyDescent="0.3">
      <c r="A279" s="13" t="s">
        <v>407</v>
      </c>
      <c r="B279" s="13"/>
      <c r="C279" s="13"/>
      <c r="D279" s="284" t="s">
        <v>408</v>
      </c>
      <c r="E279" s="284"/>
      <c r="F279" s="284"/>
      <c r="G279" s="13"/>
    </row>
    <row r="280" spans="1:7" ht="18.75" x14ac:dyDescent="0.3">
      <c r="A280" s="13" t="s">
        <v>319</v>
      </c>
      <c r="B280" s="13"/>
      <c r="C280" s="13"/>
      <c r="D280" s="13"/>
      <c r="E280" s="13"/>
      <c r="F280" s="13"/>
      <c r="G280" s="13"/>
    </row>
    <row r="281" spans="1:7" ht="26.25" customHeight="1" x14ac:dyDescent="0.3">
      <c r="A281" s="13"/>
      <c r="B281" s="13"/>
      <c r="C281" s="13"/>
      <c r="D281" s="13"/>
      <c r="E281" s="13"/>
      <c r="F281" s="13"/>
      <c r="G281" s="13"/>
    </row>
  </sheetData>
  <mergeCells count="120">
    <mergeCell ref="A260:A262"/>
    <mergeCell ref="A264:A267"/>
    <mergeCell ref="A268:A270"/>
    <mergeCell ref="B149:B150"/>
    <mergeCell ref="A146:A150"/>
    <mergeCell ref="A187:A190"/>
    <mergeCell ref="A191:A194"/>
    <mergeCell ref="A212:G212"/>
    <mergeCell ref="A215:D215"/>
    <mergeCell ref="B180:B182"/>
    <mergeCell ref="B183:B185"/>
    <mergeCell ref="B196:B198"/>
    <mergeCell ref="B199:B200"/>
    <mergeCell ref="B201:B202"/>
    <mergeCell ref="A157:G157"/>
    <mergeCell ref="A156:D156"/>
    <mergeCell ref="A158:A160"/>
    <mergeCell ref="A161:A164"/>
    <mergeCell ref="A165:A175"/>
    <mergeCell ref="A176:A186"/>
    <mergeCell ref="B165:B168"/>
    <mergeCell ref="B169:B171"/>
    <mergeCell ref="B172:B174"/>
    <mergeCell ref="A195:A202"/>
    <mergeCell ref="D2:G2"/>
    <mergeCell ref="D3:G3"/>
    <mergeCell ref="D4:G4"/>
    <mergeCell ref="D279:F279"/>
    <mergeCell ref="B137:B140"/>
    <mergeCell ref="B176:B179"/>
    <mergeCell ref="A7:G7"/>
    <mergeCell ref="A8:F8"/>
    <mergeCell ref="A6:G6"/>
    <mergeCell ref="A31:A44"/>
    <mergeCell ref="A27:A30"/>
    <mergeCell ref="A9:A10"/>
    <mergeCell ref="B9:B10"/>
    <mergeCell ref="C9:C10"/>
    <mergeCell ref="D9:D10"/>
    <mergeCell ref="A17:G17"/>
    <mergeCell ref="B25:B26"/>
    <mergeCell ref="A22:A26"/>
    <mergeCell ref="B36:B39"/>
    <mergeCell ref="A271:A277"/>
    <mergeCell ref="B274:B275"/>
    <mergeCell ref="B271:B273"/>
    <mergeCell ref="B276:B277"/>
    <mergeCell ref="B111:B112"/>
    <mergeCell ref="L8:N8"/>
    <mergeCell ref="E9:G9"/>
    <mergeCell ref="A62:A69"/>
    <mergeCell ref="A45:G45"/>
    <mergeCell ref="A51:A54"/>
    <mergeCell ref="A55:A57"/>
    <mergeCell ref="A58:A61"/>
    <mergeCell ref="A46:A50"/>
    <mergeCell ref="B49:B50"/>
    <mergeCell ref="B62:B64"/>
    <mergeCell ref="B65:B66"/>
    <mergeCell ref="B67:B68"/>
    <mergeCell ref="B31:B35"/>
    <mergeCell ref="A12:A15"/>
    <mergeCell ref="A18:A19"/>
    <mergeCell ref="B71:B72"/>
    <mergeCell ref="B73:B74"/>
    <mergeCell ref="B77:B78"/>
    <mergeCell ref="B79:B80"/>
    <mergeCell ref="B82:B85"/>
    <mergeCell ref="B115:B116"/>
    <mergeCell ref="A21:G21"/>
    <mergeCell ref="A20:D20"/>
    <mergeCell ref="B40:B43"/>
    <mergeCell ref="A70:A75"/>
    <mergeCell ref="A76:A81"/>
    <mergeCell ref="A127:G127"/>
    <mergeCell ref="B86:B87"/>
    <mergeCell ref="B88:B89"/>
    <mergeCell ref="B95:B97"/>
    <mergeCell ref="B90:B94"/>
    <mergeCell ref="B98:B100"/>
    <mergeCell ref="A90:A100"/>
    <mergeCell ref="A151:G151"/>
    <mergeCell ref="A152:A155"/>
    <mergeCell ref="A136:G136"/>
    <mergeCell ref="A118:A126"/>
    <mergeCell ref="A82:A89"/>
    <mergeCell ref="A137:A145"/>
    <mergeCell ref="A105:A108"/>
    <mergeCell ref="A110:A113"/>
    <mergeCell ref="A114:A117"/>
    <mergeCell ref="A133:A135"/>
    <mergeCell ref="B118:B123"/>
    <mergeCell ref="A128:A132"/>
    <mergeCell ref="B131:B132"/>
    <mergeCell ref="B141:B142"/>
    <mergeCell ref="B143:B145"/>
    <mergeCell ref="A101:A104"/>
    <mergeCell ref="A231:A233"/>
    <mergeCell ref="A235:G235"/>
    <mergeCell ref="A238:D238"/>
    <mergeCell ref="B224:B227"/>
    <mergeCell ref="B217:B223"/>
    <mergeCell ref="B228:B230"/>
    <mergeCell ref="A217:A230"/>
    <mergeCell ref="A216:G216"/>
    <mergeCell ref="B203:B205"/>
    <mergeCell ref="B206:B207"/>
    <mergeCell ref="B208:B209"/>
    <mergeCell ref="B210:B211"/>
    <mergeCell ref="A203:A211"/>
    <mergeCell ref="A253:A259"/>
    <mergeCell ref="B256:B257"/>
    <mergeCell ref="B253:B255"/>
    <mergeCell ref="B258:B259"/>
    <mergeCell ref="A239:G239"/>
    <mergeCell ref="A240:A242"/>
    <mergeCell ref="A244:A252"/>
    <mergeCell ref="B244:B246"/>
    <mergeCell ref="B247:B249"/>
    <mergeCell ref="B250:B252"/>
  </mergeCells>
  <pageMargins left="0.78740157480314965" right="0.78740157480314965" top="1.1811023622047245" bottom="0.19685039370078741" header="0.31496062992125984" footer="0.31496062992125984"/>
  <pageSetup paperSize="9" scale="95" orientation="landscape" r:id="rId1"/>
  <rowBreaks count="9" manualBreakCount="9">
    <brk id="21" max="6" man="1"/>
    <brk id="35" max="6" man="1"/>
    <brk id="47" max="6" man="1"/>
    <brk id="61" max="6" man="1"/>
    <brk id="78" max="6" man="1"/>
    <brk id="120" max="6" man="1"/>
    <brk id="171" max="6" man="1"/>
    <brk id="184" max="6" man="1"/>
    <brk id="25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Дод.2</vt:lpstr>
      <vt:lpstr>Дод.3</vt:lpstr>
      <vt:lpstr>Дод.2!Заголовки_для_печати</vt:lpstr>
      <vt:lpstr>Дод.3!Заголовки_для_печати</vt:lpstr>
      <vt:lpstr>Дод.2!Область_печати</vt:lpstr>
      <vt:lpstr>Дод.3!Область_печати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2024-11-05T11:51:48Z</dcterms:modified>
</cp:coreProperties>
</file>