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n2-fs2\dfei\Budg\2024\БЮДЖЕТ\РІШЕННЯ\Бюджет+Зміни\Зміни\11 Листопад\Наказ 24.11.2024 № 343\Наказ\"/>
    </mc:Choice>
  </mc:AlternateContent>
  <bookViews>
    <workbookView xWindow="-120" yWindow="-120" windowWidth="29040" windowHeight="15720" tabRatio="322" activeTab="1"/>
  </bookViews>
  <sheets>
    <sheet name="дод 3" sheetId="1" r:id="rId1"/>
    <sheet name="дод 9" sheetId="3" r:id="rId2"/>
  </sheets>
  <definedNames>
    <definedName name="_xlnm.Print_Titles" localSheetId="0">'дод 3'!$13:$15</definedName>
    <definedName name="_xlnm.Print_Titles" localSheetId="1">'дод 9'!$11:$13</definedName>
    <definedName name="_xlnm.Print_Area" localSheetId="0">'дод 3'!$A$1:$P$480</definedName>
    <definedName name="_xlnm.Print_Area" localSheetId="1">'дод 9'!$A$1:$O$337</definedName>
  </definedNames>
  <calcPr calcId="162913"/>
</workbook>
</file>

<file path=xl/calcChain.xml><?xml version="1.0" encoding="utf-8"?>
<calcChain xmlns="http://schemas.openxmlformats.org/spreadsheetml/2006/main">
  <c r="F70" i="1" l="1"/>
  <c r="H70" i="1"/>
  <c r="O70" i="1"/>
  <c r="K70" i="1"/>
  <c r="O74" i="1"/>
  <c r="K74" i="1"/>
  <c r="I308" i="1" l="1"/>
  <c r="O188" i="1" l="1"/>
  <c r="K188" i="1"/>
  <c r="G433" i="1" l="1"/>
  <c r="H433" i="1"/>
  <c r="O308" i="1"/>
  <c r="O307" i="1"/>
  <c r="O187" i="1"/>
  <c r="F228" i="1" l="1"/>
  <c r="F229" i="1"/>
  <c r="F74" i="1" l="1"/>
  <c r="O162" i="1" l="1"/>
  <c r="K162" i="1"/>
  <c r="K187" i="1" l="1"/>
  <c r="F187" i="1"/>
  <c r="O148" i="1" l="1"/>
  <c r="O147" i="1"/>
  <c r="L148" i="1"/>
  <c r="L147" i="1"/>
  <c r="O146" i="1"/>
  <c r="O145" i="1"/>
  <c r="K146" i="1"/>
  <c r="K145" i="1"/>
  <c r="F146" i="1"/>
  <c r="F145" i="1"/>
  <c r="G472" i="1" l="1"/>
  <c r="H472" i="1"/>
  <c r="L472" i="1"/>
  <c r="M472" i="1"/>
  <c r="N472" i="1"/>
  <c r="F432" i="1"/>
  <c r="G432" i="1"/>
  <c r="H432" i="1"/>
  <c r="I432" i="1"/>
  <c r="J432" i="1"/>
  <c r="K432" i="1"/>
  <c r="L432" i="1"/>
  <c r="M432" i="1"/>
  <c r="N432" i="1"/>
  <c r="O432" i="1"/>
  <c r="P432" i="1"/>
  <c r="E432" i="1"/>
  <c r="E288" i="3"/>
  <c r="F288" i="3"/>
  <c r="G288" i="3"/>
  <c r="H288" i="3"/>
  <c r="J288" i="3"/>
  <c r="K288" i="3"/>
  <c r="L288" i="3"/>
  <c r="M288" i="3"/>
  <c r="N288" i="3"/>
  <c r="J439" i="1"/>
  <c r="I288" i="3" s="1"/>
  <c r="E439" i="1"/>
  <c r="D288" i="3" s="1"/>
  <c r="D438" i="1"/>
  <c r="F438" i="1"/>
  <c r="F443" i="1"/>
  <c r="F461" i="1"/>
  <c r="F402" i="1"/>
  <c r="O402" i="1"/>
  <c r="K402" i="1"/>
  <c r="O390" i="1"/>
  <c r="K390" i="1"/>
  <c r="O397" i="1"/>
  <c r="K397" i="1"/>
  <c r="O380" i="1"/>
  <c r="K380" i="1"/>
  <c r="O389" i="1"/>
  <c r="K389" i="1"/>
  <c r="F335" i="1"/>
  <c r="I318" i="1"/>
  <c r="F318" i="1"/>
  <c r="F314" i="1"/>
  <c r="I314" i="1"/>
  <c r="H314" i="1"/>
  <c r="F305" i="1"/>
  <c r="O347" i="1"/>
  <c r="K347" i="1"/>
  <c r="O346" i="1"/>
  <c r="K346" i="1"/>
  <c r="I312" i="1"/>
  <c r="I345" i="1"/>
  <c r="O322" i="1"/>
  <c r="K322" i="1"/>
  <c r="O320" i="1"/>
  <c r="K320" i="1"/>
  <c r="I307" i="1"/>
  <c r="F259" i="1"/>
  <c r="F257" i="1"/>
  <c r="E125" i="3"/>
  <c r="F125" i="3"/>
  <c r="G125" i="3"/>
  <c r="H125" i="3"/>
  <c r="J125" i="3"/>
  <c r="K125" i="3"/>
  <c r="L125" i="3"/>
  <c r="M125" i="3"/>
  <c r="N125" i="3"/>
  <c r="G184" i="1"/>
  <c r="H184" i="1"/>
  <c r="I184" i="1"/>
  <c r="L184" i="1"/>
  <c r="M184" i="1"/>
  <c r="N184" i="1"/>
  <c r="J207" i="1"/>
  <c r="I125" i="3" s="1"/>
  <c r="E207" i="1"/>
  <c r="D125" i="3" s="1"/>
  <c r="O206" i="1"/>
  <c r="K206" i="1"/>
  <c r="O210" i="1"/>
  <c r="K210" i="1"/>
  <c r="F188" i="1"/>
  <c r="F184" i="1" s="1"/>
  <c r="O184" i="1"/>
  <c r="K184" i="1"/>
  <c r="P439" i="1" l="1"/>
  <c r="O288" i="3" s="1"/>
  <c r="P207" i="1"/>
  <c r="O125" i="3" l="1"/>
  <c r="H112" i="1" l="1"/>
  <c r="G112" i="1"/>
  <c r="O93" i="1"/>
  <c r="K93" i="1"/>
  <c r="G93" i="1"/>
  <c r="F93" i="1"/>
  <c r="F73" i="1" l="1"/>
  <c r="E191" i="3"/>
  <c r="E187" i="3" s="1"/>
  <c r="F191" i="3"/>
  <c r="F187" i="3" s="1"/>
  <c r="G191" i="3"/>
  <c r="G187" i="3" s="1"/>
  <c r="H191" i="3"/>
  <c r="H187" i="3" s="1"/>
  <c r="J191" i="3"/>
  <c r="J187" i="3" s="1"/>
  <c r="K191" i="3"/>
  <c r="K187" i="3" s="1"/>
  <c r="L191" i="3"/>
  <c r="L187" i="3" s="1"/>
  <c r="M191" i="3"/>
  <c r="M187" i="3" s="1"/>
  <c r="N191" i="3"/>
  <c r="N187" i="3" s="1"/>
  <c r="F19" i="1"/>
  <c r="G19" i="1"/>
  <c r="H19" i="1"/>
  <c r="I19" i="1"/>
  <c r="K19" i="1"/>
  <c r="L19" i="1"/>
  <c r="M19" i="1"/>
  <c r="N19" i="1"/>
  <c r="O19" i="1"/>
  <c r="J44" i="1"/>
  <c r="E44" i="1"/>
  <c r="D191" i="3" s="1"/>
  <c r="D187" i="3" s="1"/>
  <c r="P44" i="1" l="1"/>
  <c r="I191" i="3"/>
  <c r="I187" i="3" s="1"/>
  <c r="O191" i="3"/>
  <c r="O187" i="3" s="1"/>
  <c r="O43" i="1"/>
  <c r="K43" i="1"/>
  <c r="G22" i="1"/>
  <c r="O22" i="1" l="1"/>
  <c r="K22" i="1"/>
  <c r="O388" i="1"/>
  <c r="E151" i="3"/>
  <c r="F151" i="3"/>
  <c r="G151" i="3"/>
  <c r="H151" i="3"/>
  <c r="J151" i="3"/>
  <c r="K151" i="3"/>
  <c r="L151" i="3"/>
  <c r="M151" i="3"/>
  <c r="N151" i="3"/>
  <c r="E152" i="3"/>
  <c r="E134" i="3" s="1"/>
  <c r="F152" i="3"/>
  <c r="F134" i="3" s="1"/>
  <c r="G152" i="3"/>
  <c r="G134" i="3" s="1"/>
  <c r="H152" i="3"/>
  <c r="H134" i="3" s="1"/>
  <c r="J152" i="3"/>
  <c r="J134" i="3" s="1"/>
  <c r="K152" i="3"/>
  <c r="K134" i="3" s="1"/>
  <c r="L152" i="3"/>
  <c r="L134" i="3" s="1"/>
  <c r="M152" i="3"/>
  <c r="M134" i="3" s="1"/>
  <c r="N152" i="3"/>
  <c r="N134" i="3" s="1"/>
  <c r="F20" i="1"/>
  <c r="G20" i="1"/>
  <c r="G471" i="1" s="1"/>
  <c r="H20" i="1"/>
  <c r="H471" i="1" s="1"/>
  <c r="I20" i="1"/>
  <c r="K20" i="1"/>
  <c r="L20" i="1"/>
  <c r="L471" i="1" s="1"/>
  <c r="M20" i="1"/>
  <c r="M471" i="1" s="1"/>
  <c r="N20" i="1"/>
  <c r="N471" i="1" s="1"/>
  <c r="O20" i="1"/>
  <c r="L17" i="1"/>
  <c r="M17" i="1"/>
  <c r="N17" i="1"/>
  <c r="J31" i="1"/>
  <c r="I151" i="3" s="1"/>
  <c r="J32" i="1"/>
  <c r="J20" i="1" s="1"/>
  <c r="E31" i="1"/>
  <c r="D151" i="3" s="1"/>
  <c r="E32" i="1"/>
  <c r="E20" i="1" s="1"/>
  <c r="B32" i="1"/>
  <c r="C32" i="1"/>
  <c r="D32" i="1"/>
  <c r="C31" i="1"/>
  <c r="D31" i="1"/>
  <c r="B31" i="1"/>
  <c r="I152" i="3" l="1"/>
  <c r="I134" i="3" s="1"/>
  <c r="P31" i="1"/>
  <c r="O151" i="3" s="1"/>
  <c r="D152" i="3"/>
  <c r="D134" i="3" s="1"/>
  <c r="P32" i="1"/>
  <c r="P20" i="1" l="1"/>
  <c r="O152" i="3"/>
  <c r="O134" i="3" s="1"/>
  <c r="F352" i="1"/>
  <c r="G17" i="3"/>
  <c r="H17" i="3"/>
  <c r="K17" i="3"/>
  <c r="L17" i="3"/>
  <c r="M17" i="3"/>
  <c r="J303" i="1"/>
  <c r="E303" i="1"/>
  <c r="P303" i="1" s="1"/>
  <c r="G299" i="1"/>
  <c r="H299" i="1"/>
  <c r="I299" i="1"/>
  <c r="K299" i="1"/>
  <c r="L299" i="1"/>
  <c r="M299" i="1"/>
  <c r="N299" i="1"/>
  <c r="O299" i="1"/>
  <c r="D303" i="1"/>
  <c r="D302" i="1"/>
  <c r="G302" i="1"/>
  <c r="F302" i="1"/>
  <c r="G420" i="1"/>
  <c r="F420" i="1"/>
  <c r="G379" i="1"/>
  <c r="F379" i="1"/>
  <c r="G224" i="1"/>
  <c r="F224" i="1"/>
  <c r="F22" i="1"/>
  <c r="F354" i="1"/>
  <c r="F299" i="1" s="1"/>
  <c r="C28" i="3"/>
  <c r="E104" i="3"/>
  <c r="F104" i="3"/>
  <c r="G104" i="3"/>
  <c r="H104" i="3"/>
  <c r="J104" i="3"/>
  <c r="K104" i="3"/>
  <c r="L104" i="3"/>
  <c r="M104" i="3"/>
  <c r="N104" i="3"/>
  <c r="E105" i="3"/>
  <c r="E28" i="3" s="1"/>
  <c r="F105" i="3"/>
  <c r="F28" i="3" s="1"/>
  <c r="G105" i="3"/>
  <c r="G28" i="3" s="1"/>
  <c r="H105" i="3"/>
  <c r="H28" i="3" s="1"/>
  <c r="J105" i="3"/>
  <c r="J28" i="3" s="1"/>
  <c r="K105" i="3"/>
  <c r="K28" i="3" s="1"/>
  <c r="L105" i="3"/>
  <c r="L28" i="3" s="1"/>
  <c r="M105" i="3"/>
  <c r="M28" i="3" s="1"/>
  <c r="N105" i="3"/>
  <c r="N28" i="3" s="1"/>
  <c r="F81" i="1"/>
  <c r="G81" i="1"/>
  <c r="H81" i="1"/>
  <c r="I81" i="1"/>
  <c r="J81" i="1"/>
  <c r="K81" i="1"/>
  <c r="L81" i="1"/>
  <c r="M81" i="1"/>
  <c r="N81" i="1"/>
  <c r="O81" i="1"/>
  <c r="I76" i="1"/>
  <c r="M76" i="1"/>
  <c r="N76" i="1"/>
  <c r="J151" i="1"/>
  <c r="I105" i="3" s="1"/>
  <c r="I28" i="3" s="1"/>
  <c r="E151" i="1"/>
  <c r="D105" i="3" s="1"/>
  <c r="D28" i="3" s="1"/>
  <c r="J150" i="1"/>
  <c r="I104" i="3" s="1"/>
  <c r="E150" i="1"/>
  <c r="D104" i="3" s="1"/>
  <c r="B151" i="1"/>
  <c r="C151" i="1"/>
  <c r="D151" i="1"/>
  <c r="D81" i="1" s="1"/>
  <c r="C150" i="1"/>
  <c r="D150" i="1"/>
  <c r="B150" i="1"/>
  <c r="I472" i="1" l="1"/>
  <c r="I471" i="1"/>
  <c r="E81" i="1"/>
  <c r="P150" i="1"/>
  <c r="O104" i="3" s="1"/>
  <c r="P151" i="1"/>
  <c r="C344" i="1"/>
  <c r="D344" i="1"/>
  <c r="B344" i="1"/>
  <c r="P81" i="1" l="1"/>
  <c r="O105" i="3"/>
  <c r="O28" i="3" s="1"/>
  <c r="F307" i="1"/>
  <c r="E51" i="3" l="1"/>
  <c r="F51" i="3"/>
  <c r="G51" i="3"/>
  <c r="H51" i="3"/>
  <c r="J51" i="3"/>
  <c r="K51" i="3"/>
  <c r="L51" i="3"/>
  <c r="M51" i="3"/>
  <c r="N51" i="3"/>
  <c r="G82" i="1"/>
  <c r="H82" i="1"/>
  <c r="I82" i="1"/>
  <c r="K82" i="1"/>
  <c r="L82" i="1"/>
  <c r="M82" i="1"/>
  <c r="N82" i="1"/>
  <c r="O82" i="1"/>
  <c r="J97" i="1"/>
  <c r="I51" i="3" s="1"/>
  <c r="E97" i="1"/>
  <c r="P97" i="1" s="1"/>
  <c r="O51" i="3" s="1"/>
  <c r="F95" i="1"/>
  <c r="F82" i="1" s="1"/>
  <c r="F96" i="1"/>
  <c r="O472" i="1" l="1"/>
  <c r="O471" i="1"/>
  <c r="K472" i="1"/>
  <c r="K471" i="1"/>
  <c r="F471" i="1"/>
  <c r="F472" i="1"/>
  <c r="D51" i="3"/>
  <c r="F92" i="1" l="1"/>
  <c r="C33" i="3"/>
  <c r="O92" i="1" l="1"/>
  <c r="K92" i="1"/>
  <c r="G92" i="1"/>
  <c r="E259" i="3" l="1"/>
  <c r="F259" i="3"/>
  <c r="G259" i="3"/>
  <c r="J259" i="3"/>
  <c r="K259" i="3"/>
  <c r="L259" i="3"/>
  <c r="M259" i="3"/>
  <c r="N259" i="3"/>
  <c r="E260" i="3"/>
  <c r="F260" i="3"/>
  <c r="G260" i="3"/>
  <c r="H260" i="3"/>
  <c r="J260" i="3"/>
  <c r="K260" i="3"/>
  <c r="L260" i="3"/>
  <c r="M260" i="3"/>
  <c r="N260" i="3"/>
  <c r="E261" i="3"/>
  <c r="F261" i="3"/>
  <c r="G261" i="3"/>
  <c r="H261" i="3"/>
  <c r="J261" i="3"/>
  <c r="K261" i="3"/>
  <c r="L261" i="3"/>
  <c r="M261" i="3"/>
  <c r="N261" i="3"/>
  <c r="L289" i="1"/>
  <c r="M289" i="1"/>
  <c r="N289" i="1"/>
  <c r="C343" i="1"/>
  <c r="D343" i="1"/>
  <c r="B343" i="1"/>
  <c r="J344" i="1"/>
  <c r="E344" i="1"/>
  <c r="J343" i="1"/>
  <c r="E343" i="1"/>
  <c r="P343" i="1" s="1"/>
  <c r="K59" i="1"/>
  <c r="I53" i="1"/>
  <c r="I51" i="1"/>
  <c r="O395" i="1"/>
  <c r="K395" i="1"/>
  <c r="O398" i="1"/>
  <c r="K398" i="1"/>
  <c r="O385" i="1"/>
  <c r="K385" i="1"/>
  <c r="O391" i="1"/>
  <c r="K391" i="1"/>
  <c r="O396" i="1"/>
  <c r="K396" i="1"/>
  <c r="F246" i="1"/>
  <c r="F247" i="1"/>
  <c r="F227" i="1"/>
  <c r="F226" i="1"/>
  <c r="G111" i="1"/>
  <c r="G96" i="1"/>
  <c r="F42" i="1"/>
  <c r="F41" i="1"/>
  <c r="H259" i="3" l="1"/>
  <c r="I17" i="1"/>
  <c r="P344" i="1"/>
  <c r="E233" i="3"/>
  <c r="F233" i="3"/>
  <c r="G233" i="3"/>
  <c r="H233" i="3"/>
  <c r="J233" i="3"/>
  <c r="K233" i="3"/>
  <c r="L233" i="3"/>
  <c r="M233" i="3"/>
  <c r="N233" i="3"/>
  <c r="F376" i="1"/>
  <c r="G376" i="1"/>
  <c r="H376" i="1"/>
  <c r="I376" i="1"/>
  <c r="K376" i="1"/>
  <c r="L376" i="1"/>
  <c r="M376" i="1"/>
  <c r="N376" i="1"/>
  <c r="O376" i="1"/>
  <c r="J391" i="1"/>
  <c r="E391" i="1"/>
  <c r="G468" i="1"/>
  <c r="G469" i="1"/>
  <c r="F17" i="3" s="1"/>
  <c r="F469" i="1"/>
  <c r="E17" i="3" s="1"/>
  <c r="F468" i="1"/>
  <c r="E283" i="3"/>
  <c r="E271" i="3" s="1"/>
  <c r="F283" i="3"/>
  <c r="F271" i="3" s="1"/>
  <c r="G283" i="3"/>
  <c r="G271" i="3" s="1"/>
  <c r="H283" i="3"/>
  <c r="H271" i="3" s="1"/>
  <c r="J283" i="3"/>
  <c r="J271" i="3" s="1"/>
  <c r="K283" i="3"/>
  <c r="K271" i="3" s="1"/>
  <c r="L283" i="3"/>
  <c r="L271" i="3" s="1"/>
  <c r="M283" i="3"/>
  <c r="M271" i="3" s="1"/>
  <c r="N283" i="3"/>
  <c r="N271" i="3" s="1"/>
  <c r="E206" i="3"/>
  <c r="F206" i="3"/>
  <c r="G206" i="3"/>
  <c r="H206" i="3"/>
  <c r="J206" i="3"/>
  <c r="K206" i="3"/>
  <c r="L206" i="3"/>
  <c r="M206" i="3"/>
  <c r="N206" i="3"/>
  <c r="E201" i="3"/>
  <c r="F201" i="3"/>
  <c r="G201" i="3"/>
  <c r="H201" i="3"/>
  <c r="J201" i="3"/>
  <c r="K201" i="3"/>
  <c r="L201" i="3"/>
  <c r="M201" i="3"/>
  <c r="N201" i="3"/>
  <c r="J308" i="1"/>
  <c r="I201" i="3" s="1"/>
  <c r="E308" i="1"/>
  <c r="J313" i="1"/>
  <c r="I206" i="3" s="1"/>
  <c r="E313" i="1"/>
  <c r="D206" i="3" s="1"/>
  <c r="J347" i="1"/>
  <c r="E347" i="1"/>
  <c r="D283" i="3" s="1"/>
  <c r="D271" i="3" s="1"/>
  <c r="F276" i="1"/>
  <c r="G276" i="1"/>
  <c r="H276" i="1"/>
  <c r="I276" i="1"/>
  <c r="L276" i="1"/>
  <c r="M276" i="1"/>
  <c r="N276" i="1"/>
  <c r="O281" i="1"/>
  <c r="N182" i="3" s="1"/>
  <c r="N179" i="3" s="1"/>
  <c r="K281" i="1"/>
  <c r="J182" i="3" s="1"/>
  <c r="J179" i="3" s="1"/>
  <c r="J281" i="1"/>
  <c r="J276" i="1" s="1"/>
  <c r="E281" i="1"/>
  <c r="E182" i="3"/>
  <c r="E179" i="3" s="1"/>
  <c r="F182" i="3"/>
  <c r="F179" i="3" s="1"/>
  <c r="G182" i="3"/>
  <c r="G179" i="3" s="1"/>
  <c r="H182" i="3"/>
  <c r="H179" i="3" s="1"/>
  <c r="K182" i="3"/>
  <c r="K179" i="3" s="1"/>
  <c r="L182" i="3"/>
  <c r="L179" i="3" s="1"/>
  <c r="M182" i="3"/>
  <c r="M179" i="3" s="1"/>
  <c r="F280" i="1"/>
  <c r="D233" i="3" l="1"/>
  <c r="D201" i="3"/>
  <c r="P281" i="1"/>
  <c r="O182" i="3" s="1"/>
  <c r="O179" i="3" s="1"/>
  <c r="P391" i="1"/>
  <c r="O233" i="3" s="1"/>
  <c r="O276" i="1"/>
  <c r="P313" i="1"/>
  <c r="O206" i="3" s="1"/>
  <c r="E276" i="1"/>
  <c r="P276" i="1"/>
  <c r="K276" i="1"/>
  <c r="I283" i="3"/>
  <c r="I271" i="3" s="1"/>
  <c r="I182" i="3"/>
  <c r="I179" i="3" s="1"/>
  <c r="E197" i="3"/>
  <c r="I233" i="3"/>
  <c r="N197" i="3"/>
  <c r="M197" i="3"/>
  <c r="K197" i="3"/>
  <c r="F197" i="3"/>
  <c r="D197" i="3"/>
  <c r="L197" i="3"/>
  <c r="J197" i="3"/>
  <c r="I197" i="3"/>
  <c r="H197" i="3"/>
  <c r="G197" i="3"/>
  <c r="P308" i="1"/>
  <c r="O201" i="3" s="1"/>
  <c r="P347" i="1"/>
  <c r="O283" i="3" s="1"/>
  <c r="O271" i="3" s="1"/>
  <c r="D182" i="3"/>
  <c r="D179" i="3" s="1"/>
  <c r="D87" i="1"/>
  <c r="O197" i="3" l="1"/>
  <c r="E289" i="3"/>
  <c r="F289" i="3"/>
  <c r="G289" i="3"/>
  <c r="H289" i="3"/>
  <c r="J289" i="3"/>
  <c r="K289" i="3"/>
  <c r="L289" i="3"/>
  <c r="M289" i="3"/>
  <c r="N289" i="3"/>
  <c r="E290" i="3"/>
  <c r="F290" i="3"/>
  <c r="G290" i="3"/>
  <c r="H290" i="3"/>
  <c r="J290" i="3"/>
  <c r="K290" i="3"/>
  <c r="L290" i="3"/>
  <c r="M290" i="3"/>
  <c r="N290" i="3"/>
  <c r="F301" i="1"/>
  <c r="G301" i="1"/>
  <c r="H301" i="1"/>
  <c r="H476" i="1" s="1"/>
  <c r="I301" i="1"/>
  <c r="K301" i="1"/>
  <c r="L301" i="1"/>
  <c r="M301" i="1"/>
  <c r="N301" i="1"/>
  <c r="O301" i="1"/>
  <c r="J351" i="1"/>
  <c r="J301" i="1" s="1"/>
  <c r="E351" i="1"/>
  <c r="E301" i="1" s="1"/>
  <c r="J350" i="1"/>
  <c r="E350" i="1"/>
  <c r="D351" i="1"/>
  <c r="D301" i="1" s="1"/>
  <c r="C350" i="1"/>
  <c r="D350" i="1"/>
  <c r="B350" i="1"/>
  <c r="F21" i="1"/>
  <c r="G21" i="1"/>
  <c r="H21" i="1"/>
  <c r="I21" i="1"/>
  <c r="K21" i="1"/>
  <c r="L21" i="1"/>
  <c r="L476" i="1" s="1"/>
  <c r="M21" i="1"/>
  <c r="N21" i="1"/>
  <c r="O21" i="1"/>
  <c r="J64" i="1"/>
  <c r="J21" i="1" s="1"/>
  <c r="J476" i="1" s="1"/>
  <c r="E64" i="1"/>
  <c r="E21" i="1" s="1"/>
  <c r="J63" i="1"/>
  <c r="E63" i="1"/>
  <c r="D64" i="1"/>
  <c r="D21" i="1" s="1"/>
  <c r="C63" i="1"/>
  <c r="D63" i="1"/>
  <c r="B63" i="1"/>
  <c r="K476" i="1" l="1"/>
  <c r="I476" i="1"/>
  <c r="M476" i="1"/>
  <c r="F476" i="1"/>
  <c r="E476" i="1"/>
  <c r="G476" i="1"/>
  <c r="O476" i="1"/>
  <c r="N476" i="1"/>
  <c r="D289" i="3"/>
  <c r="I289" i="3"/>
  <c r="D290" i="3"/>
  <c r="P350" i="1"/>
  <c r="I290" i="3"/>
  <c r="P351" i="1"/>
  <c r="P301" i="1" s="1"/>
  <c r="P64" i="1"/>
  <c r="P63" i="1"/>
  <c r="O289" i="3" l="1"/>
  <c r="P21" i="1"/>
  <c r="P476" i="1" s="1"/>
  <c r="O290" i="3"/>
  <c r="O469" i="1"/>
  <c r="N17" i="3" s="1"/>
  <c r="K469" i="1"/>
  <c r="J17" i="3" s="1"/>
  <c r="F327" i="3" l="1"/>
  <c r="G327" i="3"/>
  <c r="H327" i="3"/>
  <c r="K327" i="3"/>
  <c r="L327" i="3"/>
  <c r="M327" i="3"/>
  <c r="H452" i="1"/>
  <c r="I452" i="1"/>
  <c r="K452" i="1"/>
  <c r="L452" i="1"/>
  <c r="M452" i="1"/>
  <c r="N452" i="1"/>
  <c r="O452" i="1"/>
  <c r="J462" i="1"/>
  <c r="E464" i="1"/>
  <c r="P464" i="1" s="1"/>
  <c r="E327" i="3"/>
  <c r="O352" i="1" l="1"/>
  <c r="K352" i="1"/>
  <c r="E462" i="1" l="1"/>
  <c r="O468" i="1" l="1"/>
  <c r="K468" i="1"/>
  <c r="O392" i="1" l="1"/>
  <c r="K392" i="1"/>
  <c r="C298" i="3" l="1"/>
  <c r="C294" i="3" s="1"/>
  <c r="E300" i="3"/>
  <c r="E298" i="3" s="1"/>
  <c r="E294" i="3" s="1"/>
  <c r="F300" i="3"/>
  <c r="F298" i="3" s="1"/>
  <c r="F294" i="3" s="1"/>
  <c r="G300" i="3"/>
  <c r="G298" i="3" s="1"/>
  <c r="G294" i="3" s="1"/>
  <c r="H300" i="3"/>
  <c r="H298" i="3" s="1"/>
  <c r="H294" i="3" s="1"/>
  <c r="J300" i="3"/>
  <c r="J298" i="3" s="1"/>
  <c r="J294" i="3" s="1"/>
  <c r="K300" i="3"/>
  <c r="K298" i="3" s="1"/>
  <c r="K294" i="3" s="1"/>
  <c r="L300" i="3"/>
  <c r="L298" i="3" s="1"/>
  <c r="L294" i="3" s="1"/>
  <c r="M300" i="3"/>
  <c r="M298" i="3" s="1"/>
  <c r="M294" i="3" s="1"/>
  <c r="N300" i="3"/>
  <c r="N298" i="3" s="1"/>
  <c r="N294" i="3" s="1"/>
  <c r="F300" i="1"/>
  <c r="G300" i="1"/>
  <c r="H300" i="1"/>
  <c r="I300" i="1"/>
  <c r="K300" i="1"/>
  <c r="L300" i="1"/>
  <c r="M300" i="1"/>
  <c r="N300" i="1"/>
  <c r="O300" i="1"/>
  <c r="D300" i="1"/>
  <c r="J353" i="1"/>
  <c r="J300" i="1" s="1"/>
  <c r="E353" i="1"/>
  <c r="D300" i="3" s="1"/>
  <c r="D298" i="3" s="1"/>
  <c r="D294" i="3" s="1"/>
  <c r="F235" i="1"/>
  <c r="F234" i="1"/>
  <c r="E300" i="1" l="1"/>
  <c r="I300" i="3"/>
  <c r="I298" i="3" s="1"/>
  <c r="I294" i="3" s="1"/>
  <c r="P353" i="1"/>
  <c r="O300" i="3" l="1"/>
  <c r="O298" i="3" s="1"/>
  <c r="O294" i="3" s="1"/>
  <c r="P300" i="1"/>
  <c r="G467" i="1" l="1"/>
  <c r="F467" i="1"/>
  <c r="K84" i="1" l="1"/>
  <c r="E20" i="3" l="1"/>
  <c r="F20" i="3"/>
  <c r="G20" i="3"/>
  <c r="H20" i="3"/>
  <c r="J20" i="3"/>
  <c r="K20" i="3"/>
  <c r="L20" i="3"/>
  <c r="M20" i="3"/>
  <c r="N20" i="3"/>
  <c r="J25" i="1"/>
  <c r="I20" i="3" s="1"/>
  <c r="E25" i="1"/>
  <c r="P25" i="1" s="1"/>
  <c r="O20" i="3" s="1"/>
  <c r="D25" i="1"/>
  <c r="D20" i="3" l="1"/>
  <c r="D95" i="1"/>
  <c r="E42" i="3"/>
  <c r="F42" i="3"/>
  <c r="G42" i="3"/>
  <c r="H42" i="3"/>
  <c r="J42" i="3"/>
  <c r="K42" i="3"/>
  <c r="L42" i="3"/>
  <c r="M42" i="3"/>
  <c r="N42" i="3"/>
  <c r="D146" i="1"/>
  <c r="E101" i="3"/>
  <c r="F101" i="3"/>
  <c r="G101" i="3"/>
  <c r="H101" i="3"/>
  <c r="J101" i="3"/>
  <c r="K101" i="3"/>
  <c r="L101" i="3"/>
  <c r="M101" i="3"/>
  <c r="N101" i="3"/>
  <c r="E110" i="3"/>
  <c r="E108" i="3" s="1"/>
  <c r="F110" i="3"/>
  <c r="F108" i="3" s="1"/>
  <c r="G110" i="3"/>
  <c r="G108" i="3" s="1"/>
  <c r="H110" i="3"/>
  <c r="H108" i="3" s="1"/>
  <c r="J110" i="3"/>
  <c r="J108" i="3" s="1"/>
  <c r="K110" i="3"/>
  <c r="K108" i="3" s="1"/>
  <c r="L110" i="3"/>
  <c r="L108" i="3" s="1"/>
  <c r="M110" i="3"/>
  <c r="M108" i="3" s="1"/>
  <c r="N110" i="3"/>
  <c r="N108" i="3" s="1"/>
  <c r="E240" i="3"/>
  <c r="E229" i="3" s="1"/>
  <c r="F240" i="3"/>
  <c r="F229" i="3" s="1"/>
  <c r="G240" i="3"/>
  <c r="G229" i="3" s="1"/>
  <c r="H240" i="3"/>
  <c r="H229" i="3" s="1"/>
  <c r="J240" i="3"/>
  <c r="J229" i="3" s="1"/>
  <c r="K240" i="3"/>
  <c r="K229" i="3" s="1"/>
  <c r="L240" i="3"/>
  <c r="L229" i="3" s="1"/>
  <c r="M240" i="3"/>
  <c r="M229" i="3" s="1"/>
  <c r="N240" i="3"/>
  <c r="N229" i="3" s="1"/>
  <c r="E301" i="3"/>
  <c r="F301" i="3"/>
  <c r="G301" i="3"/>
  <c r="H301" i="3"/>
  <c r="J301" i="3"/>
  <c r="K301" i="3"/>
  <c r="L301" i="3"/>
  <c r="M301" i="3"/>
  <c r="N301" i="3"/>
  <c r="E15" i="3" l="1"/>
  <c r="F15" i="3"/>
  <c r="G15" i="3"/>
  <c r="H15" i="3"/>
  <c r="J15" i="3"/>
  <c r="K15" i="3"/>
  <c r="L15" i="3"/>
  <c r="M15" i="3"/>
  <c r="N15" i="3"/>
  <c r="H467" i="1"/>
  <c r="I467" i="1"/>
  <c r="K467" i="1"/>
  <c r="L467" i="1"/>
  <c r="M467" i="1"/>
  <c r="N467" i="1"/>
  <c r="O467" i="1"/>
  <c r="J469" i="1"/>
  <c r="J467" i="1" s="1"/>
  <c r="E469" i="1"/>
  <c r="E467" i="1" s="1"/>
  <c r="G454" i="1"/>
  <c r="G452" i="1" s="1"/>
  <c r="F454" i="1"/>
  <c r="J455" i="1"/>
  <c r="E455" i="1"/>
  <c r="E453" i="1" s="1"/>
  <c r="F453" i="1"/>
  <c r="G453" i="1"/>
  <c r="H453" i="1"/>
  <c r="I453" i="1"/>
  <c r="K453" i="1"/>
  <c r="L453" i="1"/>
  <c r="M453" i="1"/>
  <c r="N453" i="1"/>
  <c r="O453" i="1"/>
  <c r="P455" i="1" l="1"/>
  <c r="D17" i="3"/>
  <c r="D15" i="3" s="1"/>
  <c r="J453" i="1"/>
  <c r="I17" i="3"/>
  <c r="P469" i="1"/>
  <c r="I15" i="3"/>
  <c r="P467" i="1"/>
  <c r="P453" i="1"/>
  <c r="E219" i="3"/>
  <c r="F219" i="3"/>
  <c r="G219" i="3"/>
  <c r="H219" i="3"/>
  <c r="J219" i="3"/>
  <c r="K219" i="3"/>
  <c r="L219" i="3"/>
  <c r="M219" i="3"/>
  <c r="N219" i="3"/>
  <c r="O17" i="3" l="1"/>
  <c r="O15" i="3" s="1"/>
  <c r="E44" i="3"/>
  <c r="F44" i="3"/>
  <c r="G44" i="3"/>
  <c r="H44" i="3"/>
  <c r="J44" i="3"/>
  <c r="K44" i="3"/>
  <c r="L44" i="3"/>
  <c r="M44" i="3"/>
  <c r="N44" i="3"/>
  <c r="E297" i="3"/>
  <c r="E293" i="3" s="1"/>
  <c r="F297" i="3"/>
  <c r="F293" i="3" s="1"/>
  <c r="H297" i="3"/>
  <c r="H293" i="3" s="1"/>
  <c r="J297" i="3"/>
  <c r="J293" i="3" s="1"/>
  <c r="K297" i="3"/>
  <c r="K293" i="3" s="1"/>
  <c r="L297" i="3"/>
  <c r="L293" i="3" s="1"/>
  <c r="M297" i="3"/>
  <c r="M293" i="3" s="1"/>
  <c r="N297" i="3"/>
  <c r="N293" i="3" s="1"/>
  <c r="J396" i="1"/>
  <c r="E396" i="1"/>
  <c r="E376" i="1" s="1"/>
  <c r="D376" i="1"/>
  <c r="J354" i="1"/>
  <c r="J299" i="1" s="1"/>
  <c r="E354" i="1"/>
  <c r="E299" i="1" s="1"/>
  <c r="G297" i="3"/>
  <c r="G293" i="3" s="1"/>
  <c r="D354" i="1"/>
  <c r="D299" i="1" s="1"/>
  <c r="J188" i="1"/>
  <c r="E188" i="1"/>
  <c r="E184" i="1" s="1"/>
  <c r="D184" i="1"/>
  <c r="J146" i="1"/>
  <c r="I101" i="3" s="1"/>
  <c r="E146" i="1"/>
  <c r="D145" i="1"/>
  <c r="J95" i="1"/>
  <c r="E95" i="1"/>
  <c r="J66" i="1"/>
  <c r="J19" i="1" s="1"/>
  <c r="E66" i="1"/>
  <c r="E19" i="1" s="1"/>
  <c r="D66" i="1"/>
  <c r="D19" i="1" s="1"/>
  <c r="C297" i="3"/>
  <c r="C293" i="3" s="1"/>
  <c r="F65" i="1"/>
  <c r="I110" i="3" l="1"/>
  <c r="I108" i="3" s="1"/>
  <c r="J184" i="1"/>
  <c r="D110" i="3"/>
  <c r="D108" i="3" s="1"/>
  <c r="D101" i="3"/>
  <c r="E82" i="1"/>
  <c r="I42" i="3"/>
  <c r="D42" i="3"/>
  <c r="D240" i="3"/>
  <c r="D229" i="3" s="1"/>
  <c r="D219" i="3" s="1"/>
  <c r="I240" i="3"/>
  <c r="J376" i="1"/>
  <c r="P66" i="1"/>
  <c r="P19" i="1" s="1"/>
  <c r="D301" i="3"/>
  <c r="D297" i="3" s="1"/>
  <c r="D293" i="3" s="1"/>
  <c r="I301" i="3"/>
  <c r="I297" i="3" s="1"/>
  <c r="I293" i="3" s="1"/>
  <c r="P396" i="1"/>
  <c r="P376" i="1" s="1"/>
  <c r="P354" i="1"/>
  <c r="P299" i="1" s="1"/>
  <c r="P188" i="1"/>
  <c r="P184" i="1" s="1"/>
  <c r="P146" i="1"/>
  <c r="O101" i="3" s="1"/>
  <c r="P95" i="1"/>
  <c r="O42" i="3" s="1"/>
  <c r="E69" i="3"/>
  <c r="E29" i="3" s="1"/>
  <c r="F69" i="3"/>
  <c r="F29" i="3" s="1"/>
  <c r="G69" i="3"/>
  <c r="G29" i="3" s="1"/>
  <c r="H69" i="3"/>
  <c r="H29" i="3" s="1"/>
  <c r="J69" i="3"/>
  <c r="J29" i="3" s="1"/>
  <c r="K69" i="3"/>
  <c r="K29" i="3" s="1"/>
  <c r="L69" i="3"/>
  <c r="L29" i="3" s="1"/>
  <c r="M69" i="3"/>
  <c r="M29" i="3" s="1"/>
  <c r="N69" i="3"/>
  <c r="N29" i="3" s="1"/>
  <c r="D69" i="3"/>
  <c r="O112" i="1"/>
  <c r="J113" i="1"/>
  <c r="I69" i="3" s="1"/>
  <c r="D113" i="1"/>
  <c r="D82" i="1" s="1"/>
  <c r="C29" i="3"/>
  <c r="F80" i="1"/>
  <c r="G80" i="1"/>
  <c r="H80" i="1"/>
  <c r="I80" i="1"/>
  <c r="K80" i="1"/>
  <c r="L80" i="1"/>
  <c r="M80" i="1"/>
  <c r="N80" i="1"/>
  <c r="O80" i="1"/>
  <c r="D80" i="1"/>
  <c r="E95" i="3"/>
  <c r="F95" i="3"/>
  <c r="G95" i="3"/>
  <c r="H95" i="3"/>
  <c r="J95" i="3"/>
  <c r="K95" i="3"/>
  <c r="L95" i="3"/>
  <c r="M95" i="3"/>
  <c r="N95" i="3"/>
  <c r="E96" i="3"/>
  <c r="E27" i="3" s="1"/>
  <c r="F96" i="3"/>
  <c r="F27" i="3" s="1"/>
  <c r="G96" i="3"/>
  <c r="G27" i="3" s="1"/>
  <c r="H96" i="3"/>
  <c r="H27" i="3" s="1"/>
  <c r="J96" i="3"/>
  <c r="J27" i="3" s="1"/>
  <c r="K96" i="3"/>
  <c r="K27" i="3" s="1"/>
  <c r="L96" i="3"/>
  <c r="L27" i="3" s="1"/>
  <c r="M96" i="3"/>
  <c r="M27" i="3" s="1"/>
  <c r="N96" i="3"/>
  <c r="N27" i="3" s="1"/>
  <c r="J141" i="1"/>
  <c r="J80" i="1" s="1"/>
  <c r="E141" i="1"/>
  <c r="D96" i="3" s="1"/>
  <c r="D27" i="3" s="1"/>
  <c r="J140" i="1"/>
  <c r="I95" i="3" s="1"/>
  <c r="E140" i="1"/>
  <c r="D95" i="3" s="1"/>
  <c r="C27" i="3"/>
  <c r="I210" i="1"/>
  <c r="O212" i="1"/>
  <c r="F47" i="1"/>
  <c r="O67" i="1"/>
  <c r="K67" i="1"/>
  <c r="F67" i="1"/>
  <c r="O314" i="1"/>
  <c r="K314" i="1"/>
  <c r="F319" i="1"/>
  <c r="F55" i="1"/>
  <c r="F24" i="1"/>
  <c r="E472" i="1" l="1"/>
  <c r="E471" i="1"/>
  <c r="P472" i="1"/>
  <c r="P471" i="1"/>
  <c r="I29" i="3"/>
  <c r="D29" i="3"/>
  <c r="J82" i="1"/>
  <c r="J472" i="1" s="1"/>
  <c r="I229" i="3"/>
  <c r="I219" i="3" s="1"/>
  <c r="O240" i="3"/>
  <c r="O301" i="3"/>
  <c r="O297" i="3" s="1"/>
  <c r="O293" i="3" s="1"/>
  <c r="O110" i="3"/>
  <c r="O108" i="3" s="1"/>
  <c r="P113" i="1"/>
  <c r="P82" i="1" s="1"/>
  <c r="P140" i="1"/>
  <c r="O95" i="3" s="1"/>
  <c r="I96" i="3"/>
  <c r="I27" i="3" s="1"/>
  <c r="P141" i="1"/>
  <c r="E80" i="1"/>
  <c r="H289" i="1"/>
  <c r="J471" i="1" l="1"/>
  <c r="O229" i="3"/>
  <c r="O219" i="3" s="1"/>
  <c r="O69" i="3"/>
  <c r="O29" i="3" s="1"/>
  <c r="O96" i="3"/>
  <c r="O27" i="3" s="1"/>
  <c r="P80" i="1"/>
  <c r="F69" i="1"/>
  <c r="L212" i="1" l="1"/>
  <c r="L210" i="1"/>
  <c r="F210" i="1" l="1"/>
  <c r="F224" i="3" l="1"/>
  <c r="G224" i="3"/>
  <c r="H224" i="3"/>
  <c r="J224" i="3"/>
  <c r="K224" i="3"/>
  <c r="L224" i="3"/>
  <c r="M224" i="3"/>
  <c r="N224" i="3"/>
  <c r="J319" i="1"/>
  <c r="E319" i="1"/>
  <c r="C319" i="1"/>
  <c r="D319" i="1"/>
  <c r="B319" i="1"/>
  <c r="P319" i="1" l="1"/>
  <c r="K387" i="1" l="1"/>
  <c r="O387" i="1"/>
  <c r="O386" i="1"/>
  <c r="K386" i="1"/>
  <c r="H96" i="1" l="1"/>
  <c r="H93" i="1"/>
  <c r="K56" i="1"/>
  <c r="H69" i="1"/>
  <c r="F56" i="1"/>
  <c r="G67" i="1"/>
  <c r="G17" i="1" s="1"/>
  <c r="C107" i="3" l="1"/>
  <c r="E124" i="3"/>
  <c r="F124" i="3"/>
  <c r="G124" i="3"/>
  <c r="H124" i="3"/>
  <c r="J124" i="3"/>
  <c r="K124" i="3"/>
  <c r="L124" i="3"/>
  <c r="M124" i="3"/>
  <c r="N124" i="3"/>
  <c r="E126" i="3"/>
  <c r="F126" i="3"/>
  <c r="G126" i="3"/>
  <c r="H126" i="3"/>
  <c r="J126" i="3"/>
  <c r="K126" i="3"/>
  <c r="L126" i="3"/>
  <c r="M126" i="3"/>
  <c r="N126" i="3"/>
  <c r="E127" i="3"/>
  <c r="E107" i="3" s="1"/>
  <c r="F127" i="3"/>
  <c r="F107" i="3" s="1"/>
  <c r="G127" i="3"/>
  <c r="G107" i="3" s="1"/>
  <c r="H127" i="3"/>
  <c r="H107" i="3" s="1"/>
  <c r="J127" i="3"/>
  <c r="J107" i="3" s="1"/>
  <c r="K127" i="3"/>
  <c r="K107" i="3" s="1"/>
  <c r="L127" i="3"/>
  <c r="L107" i="3" s="1"/>
  <c r="M127" i="3"/>
  <c r="M107" i="3" s="1"/>
  <c r="N127" i="3"/>
  <c r="N107" i="3" s="1"/>
  <c r="H174" i="1"/>
  <c r="I174" i="1"/>
  <c r="L174" i="1"/>
  <c r="M174" i="1"/>
  <c r="N174" i="1"/>
  <c r="F183" i="1"/>
  <c r="G183" i="1"/>
  <c r="H183" i="1"/>
  <c r="I183" i="1"/>
  <c r="K183" i="1"/>
  <c r="L183" i="1"/>
  <c r="M183" i="1"/>
  <c r="N183" i="1"/>
  <c r="O183" i="1"/>
  <c r="D183" i="1"/>
  <c r="J209" i="1"/>
  <c r="I127" i="3" s="1"/>
  <c r="I107" i="3" s="1"/>
  <c r="E209" i="1"/>
  <c r="D127" i="3" s="1"/>
  <c r="D107" i="3" s="1"/>
  <c r="J208" i="1"/>
  <c r="I126" i="3" s="1"/>
  <c r="E208" i="1"/>
  <c r="J206" i="1"/>
  <c r="I124" i="3" s="1"/>
  <c r="E206" i="1"/>
  <c r="D124" i="3" s="1"/>
  <c r="C136" i="3"/>
  <c r="C135" i="3"/>
  <c r="I218" i="1"/>
  <c r="K218" i="1"/>
  <c r="L218" i="1"/>
  <c r="M218" i="1"/>
  <c r="N218" i="1"/>
  <c r="O218" i="1"/>
  <c r="F222" i="1"/>
  <c r="G222" i="1"/>
  <c r="H222" i="1"/>
  <c r="I222" i="1"/>
  <c r="K222" i="1"/>
  <c r="L222" i="1"/>
  <c r="M222" i="1"/>
  <c r="N222" i="1"/>
  <c r="O222" i="1"/>
  <c r="F223" i="1"/>
  <c r="G223" i="1"/>
  <c r="H223" i="1"/>
  <c r="I223" i="1"/>
  <c r="K223" i="1"/>
  <c r="L223" i="1"/>
  <c r="M223" i="1"/>
  <c r="N223" i="1"/>
  <c r="O223" i="1"/>
  <c r="D223" i="1"/>
  <c r="D222" i="1"/>
  <c r="E72" i="3"/>
  <c r="F72" i="3"/>
  <c r="G72" i="3"/>
  <c r="H72" i="3"/>
  <c r="J72" i="3"/>
  <c r="K72" i="3"/>
  <c r="L72" i="3"/>
  <c r="M72" i="3"/>
  <c r="N72" i="3"/>
  <c r="E73" i="3"/>
  <c r="F73" i="3"/>
  <c r="G73" i="3"/>
  <c r="H73" i="3"/>
  <c r="J73" i="3"/>
  <c r="K73" i="3"/>
  <c r="L73" i="3"/>
  <c r="M73" i="3"/>
  <c r="N73" i="3"/>
  <c r="F84" i="1"/>
  <c r="G84" i="1"/>
  <c r="H84" i="1"/>
  <c r="I84" i="1"/>
  <c r="M84" i="1"/>
  <c r="N84" i="1"/>
  <c r="J117" i="1"/>
  <c r="I73" i="3" s="1"/>
  <c r="E117" i="1"/>
  <c r="D114" i="1"/>
  <c r="J116" i="1"/>
  <c r="I72" i="3" s="1"/>
  <c r="E116" i="1"/>
  <c r="D72" i="3" s="1"/>
  <c r="E94" i="3"/>
  <c r="F94" i="3"/>
  <c r="G94" i="3"/>
  <c r="H94" i="3"/>
  <c r="J94" i="3"/>
  <c r="K94" i="3"/>
  <c r="L94" i="3"/>
  <c r="M94" i="3"/>
  <c r="N94" i="3"/>
  <c r="J139" i="1"/>
  <c r="I94" i="3" s="1"/>
  <c r="E139" i="1"/>
  <c r="D94" i="3" s="1"/>
  <c r="O56" i="1"/>
  <c r="J183" i="1" l="1"/>
  <c r="P208" i="1"/>
  <c r="O126" i="3" s="1"/>
  <c r="P209" i="1"/>
  <c r="E183" i="1"/>
  <c r="D126" i="3"/>
  <c r="P117" i="1"/>
  <c r="O73" i="3" s="1"/>
  <c r="P206" i="1"/>
  <c r="O124" i="3" s="1"/>
  <c r="D73" i="3"/>
  <c r="P139" i="1"/>
  <c r="O94" i="3" s="1"/>
  <c r="P116" i="1"/>
  <c r="O72" i="3" s="1"/>
  <c r="O65" i="1"/>
  <c r="K65" i="1"/>
  <c r="O127" i="3" l="1"/>
  <c r="O107" i="3" s="1"/>
  <c r="P183" i="1"/>
  <c r="H275" i="1"/>
  <c r="I275" i="1"/>
  <c r="L275" i="1"/>
  <c r="M275" i="1"/>
  <c r="N275" i="1"/>
  <c r="J287" i="1"/>
  <c r="E287" i="1"/>
  <c r="C287" i="1"/>
  <c r="D287" i="1"/>
  <c r="B287" i="1"/>
  <c r="O111" i="1"/>
  <c r="K111" i="1"/>
  <c r="O73" i="1"/>
  <c r="N327" i="3" s="1"/>
  <c r="K73" i="1"/>
  <c r="J327" i="3" s="1"/>
  <c r="P287" i="1" l="1"/>
  <c r="O195" i="1" l="1"/>
  <c r="O174" i="1" s="1"/>
  <c r="K195" i="1"/>
  <c r="K174" i="1" s="1"/>
  <c r="F433" i="1"/>
  <c r="F201" i="1"/>
  <c r="F153" i="1"/>
  <c r="F45" i="1"/>
  <c r="F43" i="1"/>
  <c r="G442" i="1" l="1"/>
  <c r="F442" i="1"/>
  <c r="G417" i="1"/>
  <c r="F417" i="1"/>
  <c r="G289" i="1"/>
  <c r="G277" i="1"/>
  <c r="F277" i="1"/>
  <c r="G268" i="1"/>
  <c r="F268" i="1"/>
  <c r="G186" i="1"/>
  <c r="G174" i="1" s="1"/>
  <c r="F186" i="1"/>
  <c r="F174" i="1" s="1"/>
  <c r="G91" i="1"/>
  <c r="F91" i="1"/>
  <c r="F446" i="1" l="1"/>
  <c r="E91" i="3"/>
  <c r="F91" i="3"/>
  <c r="G91" i="3"/>
  <c r="H91" i="3"/>
  <c r="J91" i="3"/>
  <c r="K91" i="3"/>
  <c r="L91" i="3"/>
  <c r="M91" i="3"/>
  <c r="N91" i="3"/>
  <c r="F137" i="1"/>
  <c r="E137" i="1" s="1"/>
  <c r="D92" i="3" s="1"/>
  <c r="J136" i="1"/>
  <c r="I91" i="3" s="1"/>
  <c r="E136" i="1"/>
  <c r="C136" i="1"/>
  <c r="D136" i="1"/>
  <c r="B136" i="1"/>
  <c r="C221" i="3"/>
  <c r="E279" i="3"/>
  <c r="E274" i="3" s="1"/>
  <c r="F279" i="3"/>
  <c r="F274" i="3" s="1"/>
  <c r="G279" i="3"/>
  <c r="G274" i="3" s="1"/>
  <c r="H279" i="3"/>
  <c r="H274" i="3" s="1"/>
  <c r="J279" i="3"/>
  <c r="J274" i="3" s="1"/>
  <c r="K279" i="3"/>
  <c r="K274" i="3" s="1"/>
  <c r="L279" i="3"/>
  <c r="L274" i="3" s="1"/>
  <c r="M279" i="3"/>
  <c r="M274" i="3" s="1"/>
  <c r="N279" i="3"/>
  <c r="N274" i="3" s="1"/>
  <c r="F185" i="1"/>
  <c r="G185" i="1"/>
  <c r="H185" i="1"/>
  <c r="I185" i="1"/>
  <c r="K185" i="1"/>
  <c r="L185" i="1"/>
  <c r="M185" i="1"/>
  <c r="N185" i="1"/>
  <c r="O185" i="1"/>
  <c r="J212" i="1"/>
  <c r="J185" i="1" s="1"/>
  <c r="E212" i="1"/>
  <c r="D279" i="3" s="1"/>
  <c r="D274" i="3" s="1"/>
  <c r="E177" i="3"/>
  <c r="F177" i="3"/>
  <c r="G177" i="3"/>
  <c r="H177" i="3"/>
  <c r="J177" i="3"/>
  <c r="K177" i="3"/>
  <c r="L177" i="3"/>
  <c r="M177" i="3"/>
  <c r="N177" i="3"/>
  <c r="E158" i="3"/>
  <c r="F158" i="3"/>
  <c r="G158" i="3"/>
  <c r="H158" i="3"/>
  <c r="J158" i="3"/>
  <c r="K158" i="3"/>
  <c r="L158" i="3"/>
  <c r="M158" i="3"/>
  <c r="N158" i="3"/>
  <c r="F221" i="1"/>
  <c r="G221" i="1"/>
  <c r="H221" i="1"/>
  <c r="I221" i="1"/>
  <c r="K221" i="1"/>
  <c r="L221" i="1"/>
  <c r="M221" i="1"/>
  <c r="N221" i="1"/>
  <c r="O221" i="1"/>
  <c r="D221" i="1"/>
  <c r="J259" i="1"/>
  <c r="I177" i="3" s="1"/>
  <c r="E259" i="1"/>
  <c r="D177" i="3" s="1"/>
  <c r="J240" i="1"/>
  <c r="I158" i="3" s="1"/>
  <c r="E240" i="1"/>
  <c r="D158" i="3" s="1"/>
  <c r="F238" i="1"/>
  <c r="F79" i="1"/>
  <c r="G79" i="1"/>
  <c r="H79" i="1"/>
  <c r="I79" i="1"/>
  <c r="K79" i="1"/>
  <c r="L79" i="1"/>
  <c r="M79" i="1"/>
  <c r="N79" i="1"/>
  <c r="O79" i="1"/>
  <c r="F92" i="3"/>
  <c r="G92" i="3"/>
  <c r="H92" i="3"/>
  <c r="J92" i="3"/>
  <c r="K92" i="3"/>
  <c r="L92" i="3"/>
  <c r="M92" i="3"/>
  <c r="N92" i="3"/>
  <c r="E93" i="3"/>
  <c r="E26" i="3" s="1"/>
  <c r="F93" i="3"/>
  <c r="F26" i="3" s="1"/>
  <c r="G93" i="3"/>
  <c r="G26" i="3" s="1"/>
  <c r="H93" i="3"/>
  <c r="H26" i="3" s="1"/>
  <c r="J93" i="3"/>
  <c r="J26" i="3" s="1"/>
  <c r="K93" i="3"/>
  <c r="K26" i="3" s="1"/>
  <c r="L93" i="3"/>
  <c r="L26" i="3" s="1"/>
  <c r="M93" i="3"/>
  <c r="M26" i="3" s="1"/>
  <c r="N93" i="3"/>
  <c r="N26" i="3" s="1"/>
  <c r="J138" i="1"/>
  <c r="I93" i="3" s="1"/>
  <c r="I26" i="3" s="1"/>
  <c r="E138" i="1"/>
  <c r="E79" i="1" s="1"/>
  <c r="J137" i="1"/>
  <c r="I92" i="3" s="1"/>
  <c r="B138" i="1"/>
  <c r="C138" i="1"/>
  <c r="D138" i="1"/>
  <c r="D79" i="1" s="1"/>
  <c r="C137" i="1"/>
  <c r="D137" i="1"/>
  <c r="B137" i="1"/>
  <c r="E92" i="3" l="1"/>
  <c r="P136" i="1"/>
  <c r="O91" i="3" s="1"/>
  <c r="L133" i="3"/>
  <c r="E221" i="1"/>
  <c r="I279" i="3"/>
  <c r="I274" i="3" s="1"/>
  <c r="N133" i="3"/>
  <c r="G133" i="3"/>
  <c r="F133" i="3"/>
  <c r="E133" i="3"/>
  <c r="K133" i="3"/>
  <c r="J133" i="3"/>
  <c r="M133" i="3"/>
  <c r="H133" i="3"/>
  <c r="I133" i="3"/>
  <c r="P212" i="1"/>
  <c r="E185" i="1"/>
  <c r="P240" i="1"/>
  <c r="J221" i="1"/>
  <c r="P259" i="1"/>
  <c r="O177" i="3" s="1"/>
  <c r="D91" i="3"/>
  <c r="D133" i="3"/>
  <c r="D93" i="3"/>
  <c r="D26" i="3" s="1"/>
  <c r="J79" i="1"/>
  <c r="P138" i="1"/>
  <c r="P137" i="1"/>
  <c r="O92" i="3" s="1"/>
  <c r="H331" i="3" l="1"/>
  <c r="I483" i="1" s="1"/>
  <c r="K331" i="3"/>
  <c r="L483" i="1" s="1"/>
  <c r="F331" i="3"/>
  <c r="G483" i="1" s="1"/>
  <c r="M331" i="3"/>
  <c r="N483" i="1" s="1"/>
  <c r="E331" i="3"/>
  <c r="F483" i="1" s="1"/>
  <c r="G331" i="3"/>
  <c r="H483" i="1" s="1"/>
  <c r="L331" i="3"/>
  <c r="M483" i="1" s="1"/>
  <c r="J331" i="3"/>
  <c r="K483" i="1" s="1"/>
  <c r="D331" i="3"/>
  <c r="E483" i="1" s="1"/>
  <c r="N331" i="3"/>
  <c r="O483" i="1" s="1"/>
  <c r="I331" i="3"/>
  <c r="J483" i="1" s="1"/>
  <c r="O158" i="3"/>
  <c r="O133" i="3" s="1"/>
  <c r="P221" i="1"/>
  <c r="O279" i="3"/>
  <c r="O274" i="3" s="1"/>
  <c r="P185" i="1"/>
  <c r="O93" i="3"/>
  <c r="O26" i="3" s="1"/>
  <c r="P79" i="1"/>
  <c r="O331" i="3" l="1"/>
  <c r="P483" i="1" s="1"/>
  <c r="O84" i="1"/>
  <c r="F356" i="1" l="1"/>
  <c r="E100" i="3"/>
  <c r="F100" i="3"/>
  <c r="G100" i="3"/>
  <c r="H100" i="3"/>
  <c r="J100" i="3"/>
  <c r="K100" i="3"/>
  <c r="L100" i="3"/>
  <c r="M100" i="3"/>
  <c r="N100" i="3"/>
  <c r="J145" i="1"/>
  <c r="I100" i="3" s="1"/>
  <c r="E145" i="1"/>
  <c r="D100" i="3" s="1"/>
  <c r="P145" i="1" l="1"/>
  <c r="O100" i="3" s="1"/>
  <c r="F85" i="1" l="1"/>
  <c r="G85" i="1"/>
  <c r="H85" i="1"/>
  <c r="I85" i="1"/>
  <c r="K85" i="1"/>
  <c r="L85" i="1"/>
  <c r="M85" i="1"/>
  <c r="N85" i="1"/>
  <c r="O85" i="1"/>
  <c r="F86" i="1"/>
  <c r="G86" i="1"/>
  <c r="H86" i="1"/>
  <c r="I86" i="1"/>
  <c r="K86" i="1"/>
  <c r="L86" i="1"/>
  <c r="M86" i="1"/>
  <c r="N86" i="1"/>
  <c r="O86" i="1"/>
  <c r="O142" i="1" l="1"/>
  <c r="O76" i="1" s="1"/>
  <c r="K142" i="1"/>
  <c r="K76" i="1" s="1"/>
  <c r="K17" i="1" l="1"/>
  <c r="J148" i="1"/>
  <c r="E148" i="1"/>
  <c r="D103" i="3" s="1"/>
  <c r="J147" i="1"/>
  <c r="E147" i="1"/>
  <c r="C147" i="1"/>
  <c r="D147" i="1"/>
  <c r="B147" i="1"/>
  <c r="E102" i="3"/>
  <c r="F102" i="3"/>
  <c r="G102" i="3"/>
  <c r="H102" i="3"/>
  <c r="J102" i="3"/>
  <c r="K102" i="3"/>
  <c r="L102" i="3"/>
  <c r="M102" i="3"/>
  <c r="N102" i="3"/>
  <c r="E103" i="3"/>
  <c r="F103" i="3"/>
  <c r="G103" i="3"/>
  <c r="H103" i="3"/>
  <c r="J103" i="3"/>
  <c r="K103" i="3"/>
  <c r="L103" i="3"/>
  <c r="M103" i="3"/>
  <c r="N103" i="3"/>
  <c r="O17" i="1"/>
  <c r="I103" i="3" l="1"/>
  <c r="I102" i="3"/>
  <c r="P148" i="1"/>
  <c r="O103" i="3" s="1"/>
  <c r="P147" i="1"/>
  <c r="O102" i="3" l="1"/>
  <c r="L107" i="1"/>
  <c r="L84" i="1" s="1"/>
  <c r="L106" i="1"/>
  <c r="C273" i="3" l="1"/>
  <c r="C222" i="3" s="1"/>
  <c r="E278" i="3"/>
  <c r="E273" i="3" s="1"/>
  <c r="E222" i="3" s="1"/>
  <c r="F278" i="3"/>
  <c r="F273" i="3" s="1"/>
  <c r="F222" i="3" s="1"/>
  <c r="G278" i="3"/>
  <c r="G273" i="3" s="1"/>
  <c r="G222" i="3" s="1"/>
  <c r="H278" i="3"/>
  <c r="H273" i="3" s="1"/>
  <c r="H222" i="3" s="1"/>
  <c r="J278" i="3"/>
  <c r="J273" i="3" s="1"/>
  <c r="J222" i="3" s="1"/>
  <c r="K278" i="3"/>
  <c r="K273" i="3" s="1"/>
  <c r="K222" i="3" s="1"/>
  <c r="L278" i="3"/>
  <c r="L273" i="3" s="1"/>
  <c r="L222" i="3" s="1"/>
  <c r="M278" i="3"/>
  <c r="M273" i="3" s="1"/>
  <c r="M222" i="3" s="1"/>
  <c r="N278" i="3"/>
  <c r="N273" i="3" s="1"/>
  <c r="N222" i="3" s="1"/>
  <c r="D278" i="3"/>
  <c r="D273" i="3" s="1"/>
  <c r="D222" i="3" s="1"/>
  <c r="F378" i="1"/>
  <c r="G378" i="1"/>
  <c r="H378" i="1"/>
  <c r="I378" i="1"/>
  <c r="K378" i="1"/>
  <c r="L378" i="1"/>
  <c r="M378" i="1"/>
  <c r="N378" i="1"/>
  <c r="O378" i="1"/>
  <c r="E378" i="1"/>
  <c r="D378" i="1"/>
  <c r="J404" i="1"/>
  <c r="P404" i="1" s="1"/>
  <c r="O278" i="3" l="1"/>
  <c r="O273" i="3" s="1"/>
  <c r="O222" i="3" s="1"/>
  <c r="P378" i="1"/>
  <c r="J378" i="1"/>
  <c r="I278" i="3"/>
  <c r="I273" i="3" s="1"/>
  <c r="I222" i="3" s="1"/>
  <c r="H22" i="1"/>
  <c r="O446" i="1" l="1"/>
  <c r="K446" i="1"/>
  <c r="F444" i="1"/>
  <c r="E224" i="3" s="1"/>
  <c r="O335" i="1" l="1"/>
  <c r="O289" i="1" s="1"/>
  <c r="K335" i="1"/>
  <c r="K289" i="1" s="1"/>
  <c r="F289" i="1"/>
  <c r="H65" i="1" l="1"/>
  <c r="H17" i="1" s="1"/>
  <c r="L93" i="1" l="1"/>
  <c r="L76" i="1" s="1"/>
  <c r="E62" i="3" l="1"/>
  <c r="E31" i="3" s="1"/>
  <c r="F62" i="3"/>
  <c r="F31" i="3" s="1"/>
  <c r="G62" i="3"/>
  <c r="G31" i="3" s="1"/>
  <c r="H62" i="3"/>
  <c r="H31" i="3" s="1"/>
  <c r="J62" i="3"/>
  <c r="J31" i="3" s="1"/>
  <c r="K62" i="3"/>
  <c r="K31" i="3" s="1"/>
  <c r="L62" i="3"/>
  <c r="L31" i="3" s="1"/>
  <c r="M62" i="3"/>
  <c r="M31" i="3" s="1"/>
  <c r="N62" i="3"/>
  <c r="N31" i="3" s="1"/>
  <c r="E43" i="3"/>
  <c r="E37" i="3" s="1"/>
  <c r="F43" i="3"/>
  <c r="F37" i="3" s="1"/>
  <c r="G43" i="3"/>
  <c r="G37" i="3" s="1"/>
  <c r="H43" i="3"/>
  <c r="H37" i="3" s="1"/>
  <c r="J43" i="3"/>
  <c r="J37" i="3" s="1"/>
  <c r="K43" i="3"/>
  <c r="K37" i="3" s="1"/>
  <c r="L43" i="3"/>
  <c r="L37" i="3" s="1"/>
  <c r="M43" i="3"/>
  <c r="M37" i="3" s="1"/>
  <c r="N43" i="3"/>
  <c r="N37" i="3" s="1"/>
  <c r="D94" i="1"/>
  <c r="C44" i="3" s="1"/>
  <c r="O280" i="1" l="1"/>
  <c r="O275" i="1" s="1"/>
  <c r="K280" i="1"/>
  <c r="K275" i="1" s="1"/>
  <c r="C132" i="3" l="1"/>
  <c r="F220" i="1"/>
  <c r="G220" i="1"/>
  <c r="H220" i="1"/>
  <c r="I220" i="1"/>
  <c r="K220" i="1"/>
  <c r="L220" i="1"/>
  <c r="M220" i="1"/>
  <c r="N220" i="1"/>
  <c r="O220" i="1"/>
  <c r="E157" i="3"/>
  <c r="E132" i="3" s="1"/>
  <c r="F157" i="3"/>
  <c r="F132" i="3" s="1"/>
  <c r="G157" i="3"/>
  <c r="G132" i="3" s="1"/>
  <c r="H157" i="3"/>
  <c r="H132" i="3" s="1"/>
  <c r="J157" i="3"/>
  <c r="J132" i="3" s="1"/>
  <c r="K157" i="3"/>
  <c r="K132" i="3" s="1"/>
  <c r="L157" i="3"/>
  <c r="L132" i="3" s="1"/>
  <c r="M157" i="3"/>
  <c r="M132" i="3" s="1"/>
  <c r="N157" i="3"/>
  <c r="N132" i="3" s="1"/>
  <c r="J239" i="1"/>
  <c r="I157" i="3" s="1"/>
  <c r="I132" i="3" s="1"/>
  <c r="E239" i="1"/>
  <c r="P239" i="1" l="1"/>
  <c r="P220" i="1" s="1"/>
  <c r="J220" i="1"/>
  <c r="D157" i="3"/>
  <c r="D132" i="3" s="1"/>
  <c r="E220" i="1"/>
  <c r="O157" i="3" l="1"/>
  <c r="O132" i="3" s="1"/>
  <c r="F78" i="1" l="1"/>
  <c r="G78" i="1"/>
  <c r="H78" i="1"/>
  <c r="I78" i="1"/>
  <c r="K78" i="1"/>
  <c r="L78" i="1"/>
  <c r="M78" i="1"/>
  <c r="N78" i="1"/>
  <c r="O78" i="1"/>
  <c r="F256" i="1" l="1"/>
  <c r="G256" i="1" l="1"/>
  <c r="G218" i="1" s="1"/>
  <c r="H256" i="1"/>
  <c r="H218" i="1" s="1"/>
  <c r="E253" i="3" l="1"/>
  <c r="F253" i="3"/>
  <c r="G253" i="3"/>
  <c r="H253" i="3"/>
  <c r="J253" i="3"/>
  <c r="K253" i="3"/>
  <c r="L253" i="3"/>
  <c r="M253" i="3"/>
  <c r="N253" i="3"/>
  <c r="E254" i="3"/>
  <c r="E228" i="3" s="1"/>
  <c r="E218" i="3" s="1"/>
  <c r="F254" i="3"/>
  <c r="F228" i="3" s="1"/>
  <c r="F218" i="3" s="1"/>
  <c r="G254" i="3"/>
  <c r="G228" i="3" s="1"/>
  <c r="G218" i="3" s="1"/>
  <c r="H254" i="3"/>
  <c r="H228" i="3" s="1"/>
  <c r="H218" i="3" s="1"/>
  <c r="J254" i="3"/>
  <c r="J228" i="3" s="1"/>
  <c r="J218" i="3" s="1"/>
  <c r="K254" i="3"/>
  <c r="K228" i="3" s="1"/>
  <c r="K218" i="3" s="1"/>
  <c r="L254" i="3"/>
  <c r="L228" i="3" s="1"/>
  <c r="L218" i="3" s="1"/>
  <c r="M254" i="3"/>
  <c r="M228" i="3" s="1"/>
  <c r="M218" i="3" s="1"/>
  <c r="N254" i="3"/>
  <c r="N228" i="3" s="1"/>
  <c r="N218" i="3" s="1"/>
  <c r="F298" i="1"/>
  <c r="G298" i="1"/>
  <c r="H298" i="1"/>
  <c r="I298" i="1"/>
  <c r="K298" i="1"/>
  <c r="L298" i="1"/>
  <c r="M298" i="1"/>
  <c r="N298" i="1"/>
  <c r="O298" i="1"/>
  <c r="J342" i="1"/>
  <c r="E342" i="1"/>
  <c r="E298" i="1" s="1"/>
  <c r="J341" i="1"/>
  <c r="E341" i="1"/>
  <c r="F90" i="1"/>
  <c r="G90" i="1"/>
  <c r="H90" i="1"/>
  <c r="I90" i="1"/>
  <c r="K90" i="1"/>
  <c r="L90" i="1"/>
  <c r="M90" i="1"/>
  <c r="N90" i="1"/>
  <c r="O90" i="1"/>
  <c r="J160" i="1"/>
  <c r="J90" i="1" s="1"/>
  <c r="E160" i="1"/>
  <c r="P160" i="1" s="1"/>
  <c r="P90" i="1" s="1"/>
  <c r="J159" i="1"/>
  <c r="E159" i="1"/>
  <c r="I254" i="3" l="1"/>
  <c r="I228" i="3" s="1"/>
  <c r="I218" i="3" s="1"/>
  <c r="P159" i="1"/>
  <c r="I253" i="3"/>
  <c r="J298" i="1"/>
  <c r="D253" i="3"/>
  <c r="D254" i="3"/>
  <c r="D228" i="3" s="1"/>
  <c r="D218" i="3" s="1"/>
  <c r="E90" i="1"/>
  <c r="P341" i="1"/>
  <c r="P342" i="1"/>
  <c r="O253" i="3" l="1"/>
  <c r="P298" i="1"/>
  <c r="O254" i="3"/>
  <c r="O228" i="3" s="1"/>
  <c r="O218" i="3" s="1"/>
  <c r="D67" i="1"/>
  <c r="F34" i="1" l="1"/>
  <c r="D320" i="1" l="1"/>
  <c r="E236" i="1" l="1"/>
  <c r="F112" i="1" l="1"/>
  <c r="G123" i="1"/>
  <c r="G76" i="1" s="1"/>
  <c r="F123" i="1"/>
  <c r="H92" i="1"/>
  <c r="H76" i="1" s="1"/>
  <c r="I421" i="1"/>
  <c r="F421" i="1"/>
  <c r="J278" i="1" l="1"/>
  <c r="J112" i="1" l="1"/>
  <c r="I289" i="1" l="1"/>
  <c r="J468" i="1" l="1"/>
  <c r="E420" i="1" l="1"/>
  <c r="E22" i="1"/>
  <c r="J279" i="1" l="1"/>
  <c r="J30" i="1" l="1"/>
  <c r="F373" i="1" l="1"/>
  <c r="G373" i="1"/>
  <c r="H373" i="1"/>
  <c r="I373" i="1"/>
  <c r="K373" i="1"/>
  <c r="L373" i="1"/>
  <c r="M373" i="1"/>
  <c r="N373" i="1"/>
  <c r="O373" i="1"/>
  <c r="G266" i="1"/>
  <c r="H266" i="1"/>
  <c r="I266" i="1"/>
  <c r="L266" i="1"/>
  <c r="M266" i="1"/>
  <c r="N266" i="1"/>
  <c r="E208" i="3" l="1"/>
  <c r="F208" i="3"/>
  <c r="G208" i="3"/>
  <c r="H208" i="3"/>
  <c r="J208" i="3"/>
  <c r="K208" i="3"/>
  <c r="L208" i="3"/>
  <c r="M208" i="3"/>
  <c r="N208" i="3"/>
  <c r="E315" i="1" l="1"/>
  <c r="E316" i="1"/>
  <c r="E317" i="1"/>
  <c r="D208" i="3" l="1"/>
  <c r="F149" i="1"/>
  <c r="F76" i="1" s="1"/>
  <c r="F231" i="1" l="1"/>
  <c r="F33" i="1"/>
  <c r="F230" i="1" l="1"/>
  <c r="F218" i="1" s="1"/>
  <c r="F60" i="1"/>
  <c r="F17" i="1" s="1"/>
  <c r="F283" i="1"/>
  <c r="F457" i="1"/>
  <c r="F62" i="1"/>
  <c r="G280" i="1" l="1"/>
  <c r="G275" i="1" s="1"/>
  <c r="F16" i="1" l="1"/>
  <c r="F18" i="1"/>
  <c r="G18" i="1"/>
  <c r="H18" i="1"/>
  <c r="I18" i="1"/>
  <c r="K18" i="1"/>
  <c r="L18" i="1"/>
  <c r="M18" i="1"/>
  <c r="N18" i="1"/>
  <c r="O18" i="1"/>
  <c r="E250" i="3"/>
  <c r="F250" i="3"/>
  <c r="G250" i="3"/>
  <c r="H250" i="3"/>
  <c r="J250" i="3"/>
  <c r="K250" i="3"/>
  <c r="L250" i="3"/>
  <c r="M250" i="3"/>
  <c r="N250" i="3"/>
  <c r="J324" i="1"/>
  <c r="J325" i="1"/>
  <c r="J326" i="1"/>
  <c r="J327" i="1"/>
  <c r="J328" i="1"/>
  <c r="J329" i="1"/>
  <c r="J330" i="1"/>
  <c r="J331" i="1"/>
  <c r="J332" i="1"/>
  <c r="J333" i="1"/>
  <c r="J334" i="1"/>
  <c r="J335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P335" i="1" l="1"/>
  <c r="O250" i="3" s="1"/>
  <c r="P331" i="1"/>
  <c r="P327" i="1"/>
  <c r="D250" i="3"/>
  <c r="P328" i="1"/>
  <c r="P334" i="1"/>
  <c r="P326" i="1"/>
  <c r="P332" i="1"/>
  <c r="P324" i="1"/>
  <c r="P330" i="1"/>
  <c r="P333" i="1"/>
  <c r="P325" i="1"/>
  <c r="I250" i="3"/>
  <c r="P329" i="1"/>
  <c r="F456" i="1" l="1"/>
  <c r="F452" i="1" s="1"/>
  <c r="F278" i="1" l="1"/>
  <c r="F275" i="1" s="1"/>
  <c r="J56" i="1" l="1"/>
  <c r="I274" i="1" l="1"/>
  <c r="E48" i="1"/>
  <c r="E49" i="1"/>
  <c r="E50" i="1"/>
  <c r="E51" i="1"/>
  <c r="D259" i="3" s="1"/>
  <c r="F270" i="1" l="1"/>
  <c r="F266" i="1" s="1"/>
  <c r="E205" i="3" l="1"/>
  <c r="F205" i="3"/>
  <c r="G205" i="3"/>
  <c r="H205" i="3"/>
  <c r="J205" i="3"/>
  <c r="K205" i="3"/>
  <c r="L205" i="3"/>
  <c r="M205" i="3"/>
  <c r="N205" i="3"/>
  <c r="I288" i="1"/>
  <c r="G288" i="1"/>
  <c r="H288" i="1"/>
  <c r="E155" i="3"/>
  <c r="F155" i="3"/>
  <c r="G155" i="3"/>
  <c r="H155" i="3"/>
  <c r="J155" i="3"/>
  <c r="K155" i="3"/>
  <c r="L155" i="3"/>
  <c r="M155" i="3"/>
  <c r="N155" i="3"/>
  <c r="F288" i="1" l="1"/>
  <c r="E312" i="1" l="1"/>
  <c r="J149" i="1" l="1"/>
  <c r="E149" i="1"/>
  <c r="P149" i="1" l="1"/>
  <c r="E457" i="1"/>
  <c r="H16" i="3"/>
  <c r="K16" i="3"/>
  <c r="L16" i="3"/>
  <c r="M16" i="3"/>
  <c r="E468" i="1"/>
  <c r="P468" i="1" l="1"/>
  <c r="E466" i="1"/>
  <c r="E465" i="1" s="1"/>
  <c r="F466" i="1"/>
  <c r="F465" i="1" s="1"/>
  <c r="G466" i="1"/>
  <c r="G465" i="1" s="1"/>
  <c r="H466" i="1"/>
  <c r="H465" i="1" s="1"/>
  <c r="I466" i="1"/>
  <c r="I465" i="1" s="1"/>
  <c r="J466" i="1"/>
  <c r="J465" i="1" s="1"/>
  <c r="K466" i="1"/>
  <c r="K465" i="1" s="1"/>
  <c r="L466" i="1"/>
  <c r="L465" i="1" s="1"/>
  <c r="M466" i="1"/>
  <c r="M465" i="1" s="1"/>
  <c r="N466" i="1"/>
  <c r="N465" i="1" s="1"/>
  <c r="O466" i="1"/>
  <c r="O465" i="1" s="1"/>
  <c r="P465" i="1" l="1"/>
  <c r="P466" i="1"/>
  <c r="F375" i="1"/>
  <c r="G375" i="1"/>
  <c r="H375" i="1"/>
  <c r="I375" i="1"/>
  <c r="K375" i="1"/>
  <c r="L375" i="1"/>
  <c r="M375" i="1"/>
  <c r="N375" i="1"/>
  <c r="O375" i="1"/>
  <c r="E92" i="1" l="1"/>
  <c r="E93" i="1"/>
  <c r="E94" i="1"/>
  <c r="E96" i="1"/>
  <c r="E98" i="1"/>
  <c r="E99" i="1"/>
  <c r="E100" i="1"/>
  <c r="E101" i="1"/>
  <c r="E102" i="1"/>
  <c r="E103" i="1"/>
  <c r="E104" i="1"/>
  <c r="E105" i="1"/>
  <c r="E106" i="1"/>
  <c r="E107" i="1"/>
  <c r="E84" i="1" s="1"/>
  <c r="E108" i="1"/>
  <c r="E78" i="1" s="1"/>
  <c r="E109" i="1"/>
  <c r="E110" i="1"/>
  <c r="E111" i="1"/>
  <c r="E112" i="1"/>
  <c r="E114" i="1"/>
  <c r="E115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87" i="1" s="1"/>
  <c r="E131" i="1"/>
  <c r="E132" i="1"/>
  <c r="E85" i="1" s="1"/>
  <c r="E133" i="1"/>
  <c r="E134" i="1"/>
  <c r="E86" i="1" s="1"/>
  <c r="E135" i="1"/>
  <c r="E142" i="1"/>
  <c r="E143" i="1"/>
  <c r="E144" i="1"/>
  <c r="E152" i="1"/>
  <c r="E153" i="1"/>
  <c r="E154" i="1"/>
  <c r="E155" i="1"/>
  <c r="E156" i="1"/>
  <c r="E157" i="1"/>
  <c r="E158" i="1"/>
  <c r="E161" i="1"/>
  <c r="E162" i="1"/>
  <c r="E163" i="1"/>
  <c r="E164" i="1"/>
  <c r="E165" i="1"/>
  <c r="E166" i="1"/>
  <c r="E167" i="1"/>
  <c r="E168" i="1"/>
  <c r="E91" i="1"/>
  <c r="D43" i="3" l="1"/>
  <c r="D37" i="3" s="1"/>
  <c r="D44" i="3"/>
  <c r="D62" i="3"/>
  <c r="D31" i="3" s="1"/>
  <c r="E282" i="3"/>
  <c r="F282" i="3"/>
  <c r="G282" i="3"/>
  <c r="H282" i="3"/>
  <c r="J282" i="3"/>
  <c r="K282" i="3"/>
  <c r="L282" i="3"/>
  <c r="N282" i="3"/>
  <c r="E277" i="1" l="1"/>
  <c r="E278" i="1"/>
  <c r="E279" i="1"/>
  <c r="E280" i="1"/>
  <c r="E282" i="1"/>
  <c r="E283" i="1"/>
  <c r="D339" i="1" l="1"/>
  <c r="C339" i="1"/>
  <c r="B339" i="1"/>
  <c r="E265" i="3"/>
  <c r="F265" i="3"/>
  <c r="G265" i="3"/>
  <c r="H265" i="3"/>
  <c r="J265" i="3"/>
  <c r="K265" i="3"/>
  <c r="L265" i="3"/>
  <c r="M265" i="3"/>
  <c r="N265" i="3"/>
  <c r="B338" i="1"/>
  <c r="E267" i="3" l="1"/>
  <c r="F267" i="3"/>
  <c r="G267" i="3"/>
  <c r="H267" i="3"/>
  <c r="J267" i="3"/>
  <c r="K267" i="3"/>
  <c r="L267" i="3"/>
  <c r="M267" i="3"/>
  <c r="N267" i="3"/>
  <c r="F290" i="1"/>
  <c r="G290" i="1"/>
  <c r="H290" i="1"/>
  <c r="I290" i="1"/>
  <c r="K290" i="1"/>
  <c r="L290" i="1"/>
  <c r="M290" i="1"/>
  <c r="N290" i="1"/>
  <c r="O290" i="1"/>
  <c r="J340" i="1"/>
  <c r="E339" i="1"/>
  <c r="E340" i="1"/>
  <c r="J290" i="1" l="1"/>
  <c r="I267" i="3"/>
  <c r="I256" i="3" s="1"/>
  <c r="D267" i="3"/>
  <c r="P340" i="1"/>
  <c r="O267" i="3" s="1"/>
  <c r="E290" i="1"/>
  <c r="P290" i="1" l="1"/>
  <c r="E338" i="1"/>
  <c r="J338" i="1"/>
  <c r="E337" i="1"/>
  <c r="C338" i="1"/>
  <c r="D338" i="1"/>
  <c r="I265" i="3" l="1"/>
  <c r="D265" i="3"/>
  <c r="P338" i="1"/>
  <c r="O265" i="3" l="1"/>
  <c r="J162" i="1"/>
  <c r="D254" i="1" l="1"/>
  <c r="J387" i="1" l="1"/>
  <c r="E99" i="3"/>
  <c r="F99" i="3"/>
  <c r="G99" i="3"/>
  <c r="H99" i="3"/>
  <c r="J99" i="3"/>
  <c r="K99" i="3"/>
  <c r="L99" i="3"/>
  <c r="M99" i="3"/>
  <c r="N99" i="3"/>
  <c r="E98" i="3"/>
  <c r="F98" i="3"/>
  <c r="G98" i="3"/>
  <c r="H98" i="3"/>
  <c r="J98" i="3"/>
  <c r="K98" i="3"/>
  <c r="L98" i="3"/>
  <c r="M98" i="3"/>
  <c r="N98" i="3"/>
  <c r="E97" i="3"/>
  <c r="F97" i="3"/>
  <c r="G97" i="3"/>
  <c r="H97" i="3"/>
  <c r="J97" i="3"/>
  <c r="K97" i="3"/>
  <c r="L97" i="3"/>
  <c r="M97" i="3"/>
  <c r="N97" i="3"/>
  <c r="J381" i="1"/>
  <c r="J382" i="1"/>
  <c r="J383" i="1"/>
  <c r="J384" i="1"/>
  <c r="J385" i="1"/>
  <c r="J386" i="1"/>
  <c r="E381" i="1"/>
  <c r="E382" i="1"/>
  <c r="E383" i="1"/>
  <c r="E384" i="1"/>
  <c r="E385" i="1"/>
  <c r="E386" i="1"/>
  <c r="E387" i="1"/>
  <c r="E388" i="1"/>
  <c r="J375" i="1" l="1"/>
  <c r="D99" i="3"/>
  <c r="E375" i="1"/>
  <c r="D98" i="3"/>
  <c r="D97" i="3"/>
  <c r="P381" i="1"/>
  <c r="P384" i="1"/>
  <c r="P383" i="1"/>
  <c r="P382" i="1"/>
  <c r="P385" i="1"/>
  <c r="P387" i="1"/>
  <c r="P375" i="1" s="1"/>
  <c r="P386" i="1"/>
  <c r="J130" i="3" l="1"/>
  <c r="K130" i="3"/>
  <c r="L130" i="3"/>
  <c r="M130" i="3"/>
  <c r="N130" i="3"/>
  <c r="E38" i="3"/>
  <c r="F38" i="3"/>
  <c r="G38" i="3"/>
  <c r="H38" i="3"/>
  <c r="J38" i="3"/>
  <c r="K38" i="3"/>
  <c r="L38" i="3"/>
  <c r="M38" i="3"/>
  <c r="N38" i="3"/>
  <c r="D38" i="3"/>
  <c r="J132" i="1"/>
  <c r="J85" i="1" s="1"/>
  <c r="J133" i="1"/>
  <c r="J134" i="1"/>
  <c r="J86" i="1" s="1"/>
  <c r="J135" i="1"/>
  <c r="J142" i="1"/>
  <c r="J143" i="1"/>
  <c r="J144" i="1"/>
  <c r="J152" i="1"/>
  <c r="P142" i="1" l="1"/>
  <c r="I97" i="3"/>
  <c r="P144" i="1"/>
  <c r="I99" i="3"/>
  <c r="I38" i="3" s="1"/>
  <c r="P143" i="1"/>
  <c r="I98" i="3"/>
  <c r="O98" i="3" l="1"/>
  <c r="O97" i="3"/>
  <c r="O99" i="3"/>
  <c r="O38" i="3" s="1"/>
  <c r="O297" i="1" l="1"/>
  <c r="N297" i="1"/>
  <c r="M297" i="1"/>
  <c r="L297" i="1"/>
  <c r="K297" i="1"/>
  <c r="I297" i="1"/>
  <c r="H297" i="1"/>
  <c r="G297" i="1"/>
  <c r="F297" i="1"/>
  <c r="C217" i="3"/>
  <c r="N252" i="3"/>
  <c r="N217" i="3" s="1"/>
  <c r="M252" i="3"/>
  <c r="M217" i="3" s="1"/>
  <c r="L252" i="3"/>
  <c r="L217" i="3" s="1"/>
  <c r="K252" i="3"/>
  <c r="K217" i="3" s="1"/>
  <c r="J252" i="3"/>
  <c r="J217" i="3" s="1"/>
  <c r="H252" i="3"/>
  <c r="H217" i="3" s="1"/>
  <c r="G252" i="3"/>
  <c r="G217" i="3" s="1"/>
  <c r="F252" i="3"/>
  <c r="F217" i="3" s="1"/>
  <c r="E252" i="3"/>
  <c r="E217" i="3" s="1"/>
  <c r="D252" i="3"/>
  <c r="D217" i="3" s="1"/>
  <c r="J337" i="1"/>
  <c r="D337" i="1"/>
  <c r="D297" i="1" s="1"/>
  <c r="D336" i="1"/>
  <c r="N251" i="3"/>
  <c r="M251" i="3"/>
  <c r="L251" i="3"/>
  <c r="K251" i="3"/>
  <c r="J251" i="3"/>
  <c r="H251" i="3"/>
  <c r="G251" i="3"/>
  <c r="F251" i="3"/>
  <c r="E251" i="3"/>
  <c r="J336" i="1"/>
  <c r="E336" i="1"/>
  <c r="D251" i="3" l="1"/>
  <c r="J297" i="1"/>
  <c r="P337" i="1"/>
  <c r="E297" i="1"/>
  <c r="I252" i="3"/>
  <c r="I217" i="3" s="1"/>
  <c r="I251" i="3"/>
  <c r="P336" i="1"/>
  <c r="O252" i="3" l="1"/>
  <c r="O217" i="3" s="1"/>
  <c r="O251" i="3"/>
  <c r="P297" i="1"/>
  <c r="C216" i="3" l="1"/>
  <c r="E231" i="3" l="1"/>
  <c r="F231" i="3"/>
  <c r="G231" i="3"/>
  <c r="H231" i="3"/>
  <c r="J231" i="3"/>
  <c r="K231" i="3"/>
  <c r="L231" i="3"/>
  <c r="M231" i="3"/>
  <c r="N231" i="3"/>
  <c r="C231" i="3"/>
  <c r="F296" i="1"/>
  <c r="G296" i="1"/>
  <c r="H296" i="1"/>
  <c r="I296" i="1"/>
  <c r="K296" i="1"/>
  <c r="L296" i="1"/>
  <c r="M296" i="1"/>
  <c r="N296" i="1"/>
  <c r="O296" i="1"/>
  <c r="E320" i="1"/>
  <c r="E321" i="1"/>
  <c r="J321" i="1"/>
  <c r="F216" i="3" l="1"/>
  <c r="J216" i="3"/>
  <c r="N216" i="3"/>
  <c r="E216" i="3"/>
  <c r="M216" i="3"/>
  <c r="D231" i="3"/>
  <c r="L216" i="3"/>
  <c r="G216" i="3"/>
  <c r="K216" i="3"/>
  <c r="H216" i="3"/>
  <c r="P321" i="1"/>
  <c r="J296" i="1"/>
  <c r="I231" i="3"/>
  <c r="E296" i="1"/>
  <c r="D216" i="3" l="1"/>
  <c r="I216" i="3"/>
  <c r="O231" i="3"/>
  <c r="P296" i="1"/>
  <c r="O216" i="3" l="1"/>
  <c r="E221" i="3" l="1"/>
  <c r="E335" i="3" s="1"/>
  <c r="F487" i="1" s="1"/>
  <c r="F221" i="3"/>
  <c r="F335" i="3" s="1"/>
  <c r="G487" i="1" s="1"/>
  <c r="G221" i="3"/>
  <c r="G335" i="3" s="1"/>
  <c r="H487" i="1" s="1"/>
  <c r="H221" i="3"/>
  <c r="H335" i="3" s="1"/>
  <c r="I487" i="1" s="1"/>
  <c r="J221" i="3"/>
  <c r="J335" i="3" s="1"/>
  <c r="K487" i="1" s="1"/>
  <c r="K221" i="3"/>
  <c r="K335" i="3" s="1"/>
  <c r="L487" i="1" s="1"/>
  <c r="L221" i="3"/>
  <c r="L335" i="3" s="1"/>
  <c r="M487" i="1" s="1"/>
  <c r="M221" i="3"/>
  <c r="M335" i="3" s="1"/>
  <c r="N487" i="1" s="1"/>
  <c r="J166" i="1" l="1"/>
  <c r="J165" i="1"/>
  <c r="C165" i="1"/>
  <c r="D165" i="1"/>
  <c r="B165" i="1"/>
  <c r="P166" i="1" l="1"/>
  <c r="P165" i="1"/>
  <c r="J323" i="1" l="1"/>
  <c r="E306" i="3" l="1"/>
  <c r="F306" i="3"/>
  <c r="H306" i="3"/>
  <c r="J306" i="3"/>
  <c r="K306" i="3"/>
  <c r="L306" i="3"/>
  <c r="M306" i="3"/>
  <c r="N306" i="3"/>
  <c r="J163" i="1"/>
  <c r="J164" i="1"/>
  <c r="J167" i="1"/>
  <c r="D167" i="1"/>
  <c r="C167" i="1"/>
  <c r="P167" i="1" l="1"/>
  <c r="J346" i="1"/>
  <c r="J322" i="1"/>
  <c r="J269" i="3"/>
  <c r="K269" i="3"/>
  <c r="L269" i="3"/>
  <c r="M269" i="3"/>
  <c r="N269" i="3"/>
  <c r="E308" i="3" l="1"/>
  <c r="F308" i="3"/>
  <c r="G308" i="3"/>
  <c r="H308" i="3"/>
  <c r="J308" i="3"/>
  <c r="K308" i="3"/>
  <c r="L308" i="3"/>
  <c r="M308" i="3"/>
  <c r="N308" i="3"/>
  <c r="J357" i="1"/>
  <c r="E357" i="1"/>
  <c r="F309" i="3"/>
  <c r="G309" i="3"/>
  <c r="H309" i="3"/>
  <c r="J309" i="3"/>
  <c r="K309" i="3"/>
  <c r="L309" i="3"/>
  <c r="M309" i="3"/>
  <c r="N309" i="3"/>
  <c r="E346" i="1"/>
  <c r="J315" i="1"/>
  <c r="J316" i="1"/>
  <c r="J317" i="1"/>
  <c r="F287" i="3"/>
  <c r="G287" i="3"/>
  <c r="H287" i="3"/>
  <c r="K287" i="3"/>
  <c r="L287" i="3"/>
  <c r="M287" i="3"/>
  <c r="P164" i="1"/>
  <c r="C164" i="1"/>
  <c r="D164" i="1"/>
  <c r="B164" i="1"/>
  <c r="I208" i="3" l="1"/>
  <c r="D308" i="3"/>
  <c r="I308" i="3"/>
  <c r="P346" i="1"/>
  <c r="P316" i="1"/>
  <c r="P315" i="1"/>
  <c r="P317" i="1"/>
  <c r="O208" i="3" s="1"/>
  <c r="P357" i="1"/>
  <c r="P163" i="1"/>
  <c r="E74" i="1"/>
  <c r="E356" i="1"/>
  <c r="O308" i="3" l="1"/>
  <c r="J352" i="1"/>
  <c r="J356" i="1"/>
  <c r="J355" i="1"/>
  <c r="E358" i="1"/>
  <c r="E359" i="1"/>
  <c r="E360" i="1"/>
  <c r="E361" i="1"/>
  <c r="E362" i="1"/>
  <c r="E355" i="1"/>
  <c r="D356" i="1"/>
  <c r="C356" i="1"/>
  <c r="G306" i="3"/>
  <c r="P356" i="1" l="1"/>
  <c r="P355" i="1"/>
  <c r="F275" i="3"/>
  <c r="G275" i="3"/>
  <c r="K275" i="3"/>
  <c r="L275" i="3"/>
  <c r="M275" i="3"/>
  <c r="C421" i="1"/>
  <c r="D421" i="1"/>
  <c r="B421" i="1"/>
  <c r="C420" i="1"/>
  <c r="B420" i="1"/>
  <c r="I371" i="1"/>
  <c r="H275" i="3" s="1"/>
  <c r="F371" i="1"/>
  <c r="E275" i="3" s="1"/>
  <c r="H370" i="1"/>
  <c r="G370" i="1"/>
  <c r="F370" i="1"/>
  <c r="O421" i="1"/>
  <c r="K421" i="1"/>
  <c r="E421" i="1"/>
  <c r="O420" i="1"/>
  <c r="K420" i="1"/>
  <c r="N419" i="1"/>
  <c r="N418" i="1" s="1"/>
  <c r="M419" i="1"/>
  <c r="M418" i="1" s="1"/>
  <c r="L419" i="1"/>
  <c r="L418" i="1" s="1"/>
  <c r="I419" i="1"/>
  <c r="I418" i="1" s="1"/>
  <c r="H419" i="1"/>
  <c r="H418" i="1" s="1"/>
  <c r="G419" i="1"/>
  <c r="G418" i="1" s="1"/>
  <c r="F419" i="1"/>
  <c r="F418" i="1" s="1"/>
  <c r="J420" i="1" l="1"/>
  <c r="J421" i="1"/>
  <c r="K419" i="1"/>
  <c r="K418" i="1" s="1"/>
  <c r="E419" i="1"/>
  <c r="E418" i="1" s="1"/>
  <c r="O419" i="1"/>
  <c r="O418" i="1" s="1"/>
  <c r="P420" i="1" l="1"/>
  <c r="P421" i="1"/>
  <c r="J419" i="1"/>
  <c r="J418" i="1" s="1"/>
  <c r="E187" i="1"/>
  <c r="P419" i="1" l="1"/>
  <c r="P418" i="1" s="1"/>
  <c r="E463" i="1"/>
  <c r="H424" i="1" l="1"/>
  <c r="G16" i="3" s="1"/>
  <c r="G424" i="1"/>
  <c r="F16" i="3" s="1"/>
  <c r="F424" i="1"/>
  <c r="E16" i="3" s="1"/>
  <c r="E309" i="3"/>
  <c r="D99" i="1" l="1"/>
  <c r="D213" i="1" l="1"/>
  <c r="D187" i="1"/>
  <c r="D93" i="1"/>
  <c r="D59" i="1"/>
  <c r="E214" i="1" l="1"/>
  <c r="D221" i="3" l="1"/>
  <c r="D335" i="3" s="1"/>
  <c r="E487" i="1" s="1"/>
  <c r="N221" i="3"/>
  <c r="N335" i="3" s="1"/>
  <c r="O487" i="1" s="1"/>
  <c r="J214" i="1"/>
  <c r="I221" i="3" l="1"/>
  <c r="I335" i="3" s="1"/>
  <c r="J487" i="1" s="1"/>
  <c r="P214" i="1"/>
  <c r="O221" i="3" s="1"/>
  <c r="O335" i="3" s="1"/>
  <c r="P487" i="1" s="1"/>
  <c r="C371" i="1" l="1"/>
  <c r="D371" i="1"/>
  <c r="B371" i="1"/>
  <c r="F369" i="1"/>
  <c r="G369" i="1"/>
  <c r="H369" i="1"/>
  <c r="I369" i="1"/>
  <c r="L369" i="1"/>
  <c r="M369" i="1"/>
  <c r="N369" i="1"/>
  <c r="O371" i="1"/>
  <c r="J371" i="1" s="1"/>
  <c r="K371" i="1"/>
  <c r="E371" i="1"/>
  <c r="P371" i="1" l="1"/>
  <c r="J358" i="1" l="1"/>
  <c r="C58" i="1" l="1"/>
  <c r="B58" i="1"/>
  <c r="F276" i="3"/>
  <c r="G276" i="3"/>
  <c r="H276" i="3"/>
  <c r="J276" i="3"/>
  <c r="K276" i="3"/>
  <c r="L276" i="3"/>
  <c r="M276" i="3"/>
  <c r="N276" i="3"/>
  <c r="J58" i="1" l="1"/>
  <c r="E58" i="1"/>
  <c r="E454" i="1"/>
  <c r="P58" i="1" l="1"/>
  <c r="J458" i="1" l="1"/>
  <c r="E458" i="1"/>
  <c r="P458" i="1" l="1"/>
  <c r="E281" i="3" l="1"/>
  <c r="F281" i="3"/>
  <c r="G281" i="3"/>
  <c r="H281" i="3"/>
  <c r="K281" i="3"/>
  <c r="L281" i="3"/>
  <c r="M281" i="3"/>
  <c r="E280" i="3"/>
  <c r="F280" i="3"/>
  <c r="G280" i="3"/>
  <c r="H280" i="3"/>
  <c r="K280" i="3"/>
  <c r="L280" i="3"/>
  <c r="M280" i="3"/>
  <c r="E249" i="3"/>
  <c r="F249" i="3"/>
  <c r="G249" i="3"/>
  <c r="H249" i="3"/>
  <c r="K249" i="3"/>
  <c r="L249" i="3"/>
  <c r="M249" i="3"/>
  <c r="E241" i="3"/>
  <c r="F241" i="3"/>
  <c r="G241" i="3"/>
  <c r="H241" i="3"/>
  <c r="K241" i="3"/>
  <c r="L241" i="3"/>
  <c r="M241" i="3"/>
  <c r="E212" i="3"/>
  <c r="F212" i="3"/>
  <c r="G212" i="3"/>
  <c r="H212" i="3"/>
  <c r="K212" i="3"/>
  <c r="L212" i="3"/>
  <c r="M212" i="3"/>
  <c r="C447" i="1"/>
  <c r="D447" i="1"/>
  <c r="C448" i="1"/>
  <c r="D448" i="1"/>
  <c r="C449" i="1"/>
  <c r="D449" i="1"/>
  <c r="C450" i="1"/>
  <c r="D450" i="1"/>
  <c r="B450" i="1"/>
  <c r="B449" i="1"/>
  <c r="B448" i="1"/>
  <c r="B447" i="1"/>
  <c r="C446" i="1"/>
  <c r="D446" i="1"/>
  <c r="B446" i="1"/>
  <c r="C445" i="1"/>
  <c r="D445" i="1"/>
  <c r="B445" i="1"/>
  <c r="C444" i="1"/>
  <c r="D444" i="1"/>
  <c r="B444" i="1"/>
  <c r="C443" i="1"/>
  <c r="D443" i="1"/>
  <c r="B443" i="1"/>
  <c r="F441" i="1"/>
  <c r="F440" i="1" s="1"/>
  <c r="G441" i="1"/>
  <c r="G440" i="1" s="1"/>
  <c r="H441" i="1"/>
  <c r="H440" i="1" s="1"/>
  <c r="I441" i="1"/>
  <c r="I440" i="1" s="1"/>
  <c r="L441" i="1"/>
  <c r="L440" i="1" s="1"/>
  <c r="M441" i="1"/>
  <c r="M440" i="1" s="1"/>
  <c r="N441" i="1"/>
  <c r="N440" i="1" s="1"/>
  <c r="N287" i="3"/>
  <c r="J287" i="3"/>
  <c r="E450" i="1"/>
  <c r="J449" i="1"/>
  <c r="J281" i="3"/>
  <c r="E449" i="1"/>
  <c r="J448" i="1"/>
  <c r="J280" i="3"/>
  <c r="E448" i="1"/>
  <c r="N275" i="3"/>
  <c r="J275" i="3"/>
  <c r="E447" i="1"/>
  <c r="N249" i="3"/>
  <c r="J249" i="3"/>
  <c r="E446" i="1"/>
  <c r="J445" i="1"/>
  <c r="J241" i="3"/>
  <c r="E445" i="1"/>
  <c r="J444" i="1"/>
  <c r="E444" i="1"/>
  <c r="J443" i="1"/>
  <c r="J212" i="3"/>
  <c r="E443" i="1"/>
  <c r="C438" i="1"/>
  <c r="B438" i="1"/>
  <c r="C437" i="1"/>
  <c r="B437" i="1"/>
  <c r="C436" i="1"/>
  <c r="B436" i="1"/>
  <c r="C435" i="1"/>
  <c r="B435" i="1"/>
  <c r="C434" i="1"/>
  <c r="B434" i="1"/>
  <c r="C442" i="1"/>
  <c r="B442" i="1"/>
  <c r="C433" i="1"/>
  <c r="B433" i="1"/>
  <c r="C370" i="1"/>
  <c r="B370" i="1"/>
  <c r="D437" i="1"/>
  <c r="D436" i="1"/>
  <c r="D435" i="1"/>
  <c r="D434" i="1"/>
  <c r="E442" i="1"/>
  <c r="J438" i="1"/>
  <c r="E438" i="1"/>
  <c r="J437" i="1"/>
  <c r="E437" i="1"/>
  <c r="J436" i="1"/>
  <c r="E436" i="1"/>
  <c r="J435" i="1"/>
  <c r="E435" i="1"/>
  <c r="J434" i="1"/>
  <c r="E434" i="1"/>
  <c r="J433" i="1"/>
  <c r="E433" i="1"/>
  <c r="O431" i="1"/>
  <c r="O430" i="1" s="1"/>
  <c r="N431" i="1"/>
  <c r="N430" i="1" s="1"/>
  <c r="M431" i="1"/>
  <c r="M430" i="1" s="1"/>
  <c r="L431" i="1"/>
  <c r="L430" i="1" s="1"/>
  <c r="K431" i="1"/>
  <c r="K430" i="1" s="1"/>
  <c r="I431" i="1"/>
  <c r="I430" i="1" s="1"/>
  <c r="H431" i="1"/>
  <c r="H430" i="1" s="1"/>
  <c r="G431" i="1"/>
  <c r="G430" i="1" s="1"/>
  <c r="F431" i="1"/>
  <c r="F430" i="1" s="1"/>
  <c r="D370" i="1"/>
  <c r="O370" i="1"/>
  <c r="O369" i="1" s="1"/>
  <c r="O368" i="1" s="1"/>
  <c r="K370" i="1"/>
  <c r="K369" i="1" s="1"/>
  <c r="K368" i="1" s="1"/>
  <c r="E370" i="1"/>
  <c r="E369" i="1" s="1"/>
  <c r="M368" i="1"/>
  <c r="L368" i="1"/>
  <c r="I368" i="1"/>
  <c r="H368" i="1"/>
  <c r="G368" i="1"/>
  <c r="F368" i="1"/>
  <c r="N368" i="1"/>
  <c r="J370" i="1" l="1"/>
  <c r="J369" i="1" s="1"/>
  <c r="J368" i="1" s="1"/>
  <c r="J431" i="1"/>
  <c r="J430" i="1" s="1"/>
  <c r="O441" i="1"/>
  <c r="O440" i="1" s="1"/>
  <c r="J447" i="1"/>
  <c r="K441" i="1"/>
  <c r="K440" i="1" s="1"/>
  <c r="N212" i="3"/>
  <c r="N280" i="3"/>
  <c r="J442" i="1"/>
  <c r="N241" i="3"/>
  <c r="N281" i="3"/>
  <c r="J446" i="1"/>
  <c r="J450" i="1"/>
  <c r="P443" i="1"/>
  <c r="P444" i="1"/>
  <c r="P445" i="1"/>
  <c r="P448" i="1"/>
  <c r="P449" i="1"/>
  <c r="E441" i="1"/>
  <c r="E440" i="1" s="1"/>
  <c r="P434" i="1"/>
  <c r="P436" i="1"/>
  <c r="P438" i="1"/>
  <c r="E431" i="1"/>
  <c r="E430" i="1" s="1"/>
  <c r="P433" i="1"/>
  <c r="P435" i="1"/>
  <c r="P437" i="1"/>
  <c r="E368" i="1"/>
  <c r="P370" i="1" l="1"/>
  <c r="P369" i="1" s="1"/>
  <c r="P368" i="1" s="1"/>
  <c r="P450" i="1"/>
  <c r="P442" i="1"/>
  <c r="P447" i="1"/>
  <c r="P446" i="1"/>
  <c r="J441" i="1"/>
  <c r="J440" i="1" s="1"/>
  <c r="P431" i="1"/>
  <c r="P430" i="1" s="1"/>
  <c r="P441" i="1" l="1"/>
  <c r="P440" i="1" s="1"/>
  <c r="E276" i="3"/>
  <c r="E287" i="3" l="1"/>
  <c r="G203" i="3" l="1"/>
  <c r="H203" i="3"/>
  <c r="J203" i="3"/>
  <c r="K203" i="3"/>
  <c r="L203" i="3"/>
  <c r="M203" i="3"/>
  <c r="N203" i="3"/>
  <c r="J309" i="1"/>
  <c r="J310" i="1"/>
  <c r="J311" i="1"/>
  <c r="I203" i="3" l="1"/>
  <c r="K288" i="1"/>
  <c r="L288" i="1"/>
  <c r="M288" i="1"/>
  <c r="O288" i="1"/>
  <c r="J318" i="1"/>
  <c r="D309" i="1" l="1"/>
  <c r="E114" i="3" l="1"/>
  <c r="F114" i="3"/>
  <c r="G114" i="3"/>
  <c r="H114" i="3"/>
  <c r="J114" i="3"/>
  <c r="K114" i="3"/>
  <c r="L114" i="3"/>
  <c r="M114" i="3"/>
  <c r="N114" i="3"/>
  <c r="O175" i="1" l="1"/>
  <c r="N175" i="1"/>
  <c r="M175" i="1"/>
  <c r="L175" i="1"/>
  <c r="K175" i="1"/>
  <c r="I175" i="1"/>
  <c r="H175" i="1"/>
  <c r="G175" i="1"/>
  <c r="F175" i="1"/>
  <c r="E175" i="1"/>
  <c r="O89" i="1"/>
  <c r="N89" i="1"/>
  <c r="M89" i="1"/>
  <c r="L89" i="1"/>
  <c r="K89" i="1"/>
  <c r="I89" i="1"/>
  <c r="H89" i="1"/>
  <c r="G89" i="1"/>
  <c r="F89" i="1"/>
  <c r="C65" i="3"/>
  <c r="J94" i="1"/>
  <c r="I43" i="3" l="1"/>
  <c r="I37" i="3" s="1"/>
  <c r="I44" i="3"/>
  <c r="P94" i="1"/>
  <c r="O44" i="3" s="1"/>
  <c r="J175" i="1"/>
  <c r="O43" i="3" l="1"/>
  <c r="O37" i="3" s="1"/>
  <c r="P175" i="1"/>
  <c r="E263" i="1"/>
  <c r="E192" i="1" l="1"/>
  <c r="J192" i="1"/>
  <c r="I114" i="3" l="1"/>
  <c r="D114" i="3"/>
  <c r="J161" i="1"/>
  <c r="P161" i="1" l="1"/>
  <c r="J359" i="1"/>
  <c r="P359" i="1" l="1"/>
  <c r="H217" i="1" l="1"/>
  <c r="I217" i="1"/>
  <c r="L217" i="1"/>
  <c r="M217" i="1"/>
  <c r="N217" i="1"/>
  <c r="F219" i="1"/>
  <c r="F474" i="1" s="1"/>
  <c r="G219" i="1"/>
  <c r="G474" i="1" s="1"/>
  <c r="H219" i="1"/>
  <c r="H474" i="1" s="1"/>
  <c r="I219" i="1"/>
  <c r="I474" i="1" s="1"/>
  <c r="K219" i="1"/>
  <c r="K474" i="1" s="1"/>
  <c r="L219" i="1"/>
  <c r="L474" i="1" s="1"/>
  <c r="M219" i="1"/>
  <c r="M474" i="1" s="1"/>
  <c r="N219" i="1"/>
  <c r="N474" i="1" s="1"/>
  <c r="O219" i="1"/>
  <c r="O474" i="1" s="1"/>
  <c r="C262" i="1"/>
  <c r="D262" i="1"/>
  <c r="B262" i="1"/>
  <c r="C364" i="1"/>
  <c r="D364" i="1"/>
  <c r="B364" i="1"/>
  <c r="F328" i="3"/>
  <c r="G328" i="3"/>
  <c r="H328" i="3"/>
  <c r="J328" i="3"/>
  <c r="K328" i="3"/>
  <c r="L328" i="3"/>
  <c r="M328" i="3"/>
  <c r="N328" i="3"/>
  <c r="J364" i="1"/>
  <c r="E364" i="1"/>
  <c r="J262" i="1"/>
  <c r="E262" i="1"/>
  <c r="E328" i="3"/>
  <c r="F130" i="3" l="1"/>
  <c r="E130" i="3"/>
  <c r="H130" i="3"/>
  <c r="G130" i="3"/>
  <c r="P262" i="1"/>
  <c r="P364" i="1"/>
  <c r="C309" i="1" l="1"/>
  <c r="B309" i="1"/>
  <c r="E202" i="3"/>
  <c r="F202" i="3"/>
  <c r="G202" i="3"/>
  <c r="H202" i="3"/>
  <c r="J202" i="3"/>
  <c r="K202" i="3"/>
  <c r="L202" i="3"/>
  <c r="M202" i="3"/>
  <c r="N202" i="3"/>
  <c r="I202" i="3"/>
  <c r="E309" i="1"/>
  <c r="P309" i="1" l="1"/>
  <c r="O202" i="3" s="1"/>
  <c r="D202" i="3"/>
  <c r="C70" i="1" l="1"/>
  <c r="D70" i="1"/>
  <c r="B70" i="1"/>
  <c r="J70" i="1"/>
  <c r="E70" i="1"/>
  <c r="J360" i="1"/>
  <c r="I306" i="3" l="1"/>
  <c r="D306" i="3"/>
  <c r="P70" i="1"/>
  <c r="O306" i="3" s="1"/>
  <c r="P360" i="1"/>
  <c r="E216" i="1" l="1"/>
  <c r="J263" i="1"/>
  <c r="P263" i="1" s="1"/>
  <c r="J216" i="1"/>
  <c r="P216" i="1" l="1"/>
  <c r="P192" i="1"/>
  <c r="O114" i="3" l="1"/>
  <c r="N109" i="3" l="1"/>
  <c r="M109" i="3"/>
  <c r="L109" i="3"/>
  <c r="K109" i="3"/>
  <c r="J109" i="3"/>
  <c r="H109" i="3"/>
  <c r="G109" i="3"/>
  <c r="F109" i="3"/>
  <c r="I372" i="1"/>
  <c r="J207" i="3" l="1"/>
  <c r="N50" i="3"/>
  <c r="M50" i="3"/>
  <c r="L50" i="3"/>
  <c r="K50" i="3"/>
  <c r="J50" i="3"/>
  <c r="H50" i="3"/>
  <c r="G50" i="3"/>
  <c r="N41" i="3"/>
  <c r="M41" i="3"/>
  <c r="L41" i="3"/>
  <c r="K41" i="3"/>
  <c r="J41" i="3"/>
  <c r="H41" i="3"/>
  <c r="G217" i="1" l="1"/>
  <c r="N326" i="3" l="1"/>
  <c r="M326" i="3"/>
  <c r="L326" i="3"/>
  <c r="K326" i="3"/>
  <c r="J326" i="3"/>
  <c r="H326" i="3"/>
  <c r="G326" i="3"/>
  <c r="F326" i="3"/>
  <c r="E326" i="3"/>
  <c r="J362" i="1"/>
  <c r="D326" i="3"/>
  <c r="I326" i="3" l="1"/>
  <c r="P362" i="1"/>
  <c r="O326" i="3" l="1"/>
  <c r="M39" i="3"/>
  <c r="L39" i="3"/>
  <c r="K39" i="3"/>
  <c r="H39" i="3"/>
  <c r="E39" i="3"/>
  <c r="E41" i="3" l="1"/>
  <c r="N39" i="3"/>
  <c r="J39" i="3"/>
  <c r="J380" i="1"/>
  <c r="E380" i="1"/>
  <c r="E109" i="3" l="1"/>
  <c r="P380" i="1"/>
  <c r="F41" i="3" l="1"/>
  <c r="F39" i="3" l="1"/>
  <c r="G41" i="3" l="1"/>
  <c r="F50" i="3" l="1"/>
  <c r="E50" i="3"/>
  <c r="F217" i="1" l="1"/>
  <c r="G39" i="3" l="1"/>
  <c r="E68" i="3" l="1"/>
  <c r="F68" i="3"/>
  <c r="G68" i="3"/>
  <c r="H68" i="3"/>
  <c r="J68" i="3"/>
  <c r="K68" i="3"/>
  <c r="L68" i="3"/>
  <c r="M68" i="3"/>
  <c r="N68" i="3"/>
  <c r="E70" i="3"/>
  <c r="F70" i="3"/>
  <c r="G70" i="3"/>
  <c r="H70" i="3"/>
  <c r="J70" i="3"/>
  <c r="K70" i="3"/>
  <c r="L70" i="3"/>
  <c r="M70" i="3"/>
  <c r="N70" i="3"/>
  <c r="E71" i="3"/>
  <c r="F71" i="3"/>
  <c r="G71" i="3"/>
  <c r="H71" i="3"/>
  <c r="J71" i="3"/>
  <c r="K71" i="3"/>
  <c r="L71" i="3"/>
  <c r="M71" i="3"/>
  <c r="N71" i="3"/>
  <c r="F77" i="1"/>
  <c r="G77" i="1"/>
  <c r="H77" i="1"/>
  <c r="I77" i="1"/>
  <c r="K77" i="1"/>
  <c r="L77" i="1"/>
  <c r="M77" i="1"/>
  <c r="N77" i="1"/>
  <c r="O77" i="1"/>
  <c r="J114" i="1"/>
  <c r="J115" i="1"/>
  <c r="D68" i="3"/>
  <c r="D70" i="3"/>
  <c r="D71" i="3"/>
  <c r="D112" i="1"/>
  <c r="D104" i="1"/>
  <c r="I71" i="3" l="1"/>
  <c r="I70" i="3"/>
  <c r="I68" i="3"/>
  <c r="P112" i="1"/>
  <c r="P115" i="1"/>
  <c r="P114" i="1"/>
  <c r="O70" i="3" l="1"/>
  <c r="O68" i="3"/>
  <c r="O71" i="3"/>
  <c r="D225" i="1" l="1"/>
  <c r="D237" i="1"/>
  <c r="D243" i="1"/>
  <c r="D247" i="1"/>
  <c r="D260" i="1"/>
  <c r="D278" i="1"/>
  <c r="D284" i="1"/>
  <c r="D317" i="1"/>
  <c r="D388" i="1"/>
  <c r="D390" i="1"/>
  <c r="D392" i="1"/>
  <c r="D393" i="1"/>
  <c r="D394" i="1"/>
  <c r="D395" i="1"/>
  <c r="D402" i="1"/>
  <c r="D411" i="1"/>
  <c r="D413" i="1"/>
  <c r="D424" i="1"/>
  <c r="D409" i="1"/>
  <c r="D367" i="1"/>
  <c r="D202" i="1"/>
  <c r="D193" i="1"/>
  <c r="D190" i="1"/>
  <c r="D171" i="1"/>
  <c r="D168" i="1"/>
  <c r="D155" i="1"/>
  <c r="D153" i="1"/>
  <c r="D135" i="1"/>
  <c r="D127" i="1"/>
  <c r="D124" i="1"/>
  <c r="D123" i="1"/>
  <c r="D121" i="1"/>
  <c r="D120" i="1"/>
  <c r="D119" i="1"/>
  <c r="D118" i="1"/>
  <c r="D111" i="1"/>
  <c r="D102" i="1"/>
  <c r="D98" i="1"/>
  <c r="D96" i="1"/>
  <c r="D92" i="1"/>
  <c r="D56" i="1"/>
  <c r="D55" i="1"/>
  <c r="D53" i="1"/>
  <c r="D50" i="1"/>
  <c r="D49" i="1"/>
  <c r="D48" i="1"/>
  <c r="D46" i="1"/>
  <c r="D45" i="1"/>
  <c r="D43" i="1"/>
  <c r="D42" i="1"/>
  <c r="D41" i="1"/>
  <c r="D40" i="1"/>
  <c r="D39" i="1"/>
  <c r="D38" i="1"/>
  <c r="D36" i="1"/>
  <c r="D35" i="1"/>
  <c r="D34" i="1"/>
  <c r="D30" i="1"/>
  <c r="E175" i="3" l="1"/>
  <c r="F175" i="3"/>
  <c r="G175" i="3"/>
  <c r="H175" i="3"/>
  <c r="J175" i="3"/>
  <c r="K175" i="3"/>
  <c r="L175" i="3"/>
  <c r="M175" i="3"/>
  <c r="N175" i="3"/>
  <c r="J271" i="1"/>
  <c r="E271" i="1"/>
  <c r="E34" i="1"/>
  <c r="P271" i="1" l="1"/>
  <c r="F408" i="1"/>
  <c r="G408" i="1"/>
  <c r="H408" i="1"/>
  <c r="I408" i="1"/>
  <c r="L408" i="1"/>
  <c r="M408" i="1"/>
  <c r="N408" i="1"/>
  <c r="J411" i="1"/>
  <c r="E411" i="1"/>
  <c r="P411" i="1" l="1"/>
  <c r="J261" i="1"/>
  <c r="E261" i="1"/>
  <c r="J237" i="1"/>
  <c r="E237" i="1"/>
  <c r="P261" i="1" l="1"/>
  <c r="P237" i="1"/>
  <c r="E310" i="3"/>
  <c r="E307" i="3" s="1"/>
  <c r="F310" i="3"/>
  <c r="F307" i="3" s="1"/>
  <c r="G310" i="3"/>
  <c r="G307" i="3" s="1"/>
  <c r="H310" i="3"/>
  <c r="H307" i="3" s="1"/>
  <c r="J310" i="3"/>
  <c r="J307" i="3" s="1"/>
  <c r="K310" i="3"/>
  <c r="K307" i="3" s="1"/>
  <c r="L310" i="3"/>
  <c r="L307" i="3" s="1"/>
  <c r="M310" i="3"/>
  <c r="M307" i="3" s="1"/>
  <c r="N310" i="3"/>
  <c r="N307" i="3" s="1"/>
  <c r="E154" i="3" l="1"/>
  <c r="F154" i="3"/>
  <c r="G154" i="3"/>
  <c r="H154" i="3"/>
  <c r="J154" i="3"/>
  <c r="K154" i="3"/>
  <c r="L154" i="3"/>
  <c r="M154" i="3"/>
  <c r="N154" i="3"/>
  <c r="D154" i="3"/>
  <c r="J34" i="1"/>
  <c r="E236" i="3"/>
  <c r="F236" i="3"/>
  <c r="G236" i="3"/>
  <c r="H236" i="3"/>
  <c r="J236" i="3"/>
  <c r="K236" i="3"/>
  <c r="L236" i="3"/>
  <c r="M236" i="3"/>
  <c r="N236" i="3"/>
  <c r="J48" i="1"/>
  <c r="J49" i="1"/>
  <c r="I154" i="3" l="1"/>
  <c r="P34" i="1"/>
  <c r="P48" i="1"/>
  <c r="O154" i="3" l="1"/>
  <c r="F179" i="1"/>
  <c r="F181" i="1"/>
  <c r="M246" i="3" l="1"/>
  <c r="M226" i="3" s="1"/>
  <c r="L246" i="3"/>
  <c r="L226" i="3" s="1"/>
  <c r="K246" i="3"/>
  <c r="K226" i="3" s="1"/>
  <c r="H246" i="3"/>
  <c r="H226" i="3" s="1"/>
  <c r="G246" i="3"/>
  <c r="G226" i="3" s="1"/>
  <c r="F246" i="3"/>
  <c r="F226" i="3" s="1"/>
  <c r="E246" i="3"/>
  <c r="E226" i="3" s="1"/>
  <c r="M245" i="3"/>
  <c r="L245" i="3"/>
  <c r="K245" i="3"/>
  <c r="H245" i="3"/>
  <c r="G245" i="3"/>
  <c r="F245" i="3"/>
  <c r="E245" i="3"/>
  <c r="O374" i="1"/>
  <c r="N374" i="1"/>
  <c r="M374" i="1"/>
  <c r="L374" i="1"/>
  <c r="K374" i="1"/>
  <c r="I374" i="1"/>
  <c r="H374" i="1"/>
  <c r="G374" i="1"/>
  <c r="F374" i="1"/>
  <c r="E400" i="1"/>
  <c r="J400" i="1"/>
  <c r="N245" i="3"/>
  <c r="J245" i="3"/>
  <c r="N246" i="3"/>
  <c r="N226" i="3" s="1"/>
  <c r="E374" i="1" l="1"/>
  <c r="J246" i="3"/>
  <c r="J226" i="3" s="1"/>
  <c r="P400" i="1"/>
  <c r="P374" i="1" s="1"/>
  <c r="J374" i="1"/>
  <c r="J72" i="1" l="1"/>
  <c r="J73" i="1"/>
  <c r="E73" i="1"/>
  <c r="P73" i="1" l="1"/>
  <c r="E209" i="3" l="1"/>
  <c r="F209" i="3"/>
  <c r="G209" i="3"/>
  <c r="H209" i="3"/>
  <c r="J209" i="3"/>
  <c r="K209" i="3"/>
  <c r="L209" i="3"/>
  <c r="M209" i="3"/>
  <c r="N209" i="3"/>
  <c r="E210" i="3"/>
  <c r="F210" i="3"/>
  <c r="G210" i="3"/>
  <c r="H210" i="3"/>
  <c r="J210" i="3"/>
  <c r="K210" i="3"/>
  <c r="L210" i="3"/>
  <c r="M210" i="3"/>
  <c r="N210" i="3"/>
  <c r="F293" i="1"/>
  <c r="G293" i="1"/>
  <c r="H293" i="1"/>
  <c r="I293" i="1"/>
  <c r="K293" i="1"/>
  <c r="L293" i="1"/>
  <c r="M293" i="1"/>
  <c r="N293" i="1"/>
  <c r="O293" i="1"/>
  <c r="P293" i="1" l="1"/>
  <c r="E293" i="1"/>
  <c r="J293" i="1"/>
  <c r="K217" i="1" l="1"/>
  <c r="O217" i="1"/>
  <c r="N60" i="3"/>
  <c r="M60" i="3"/>
  <c r="L60" i="3"/>
  <c r="K60" i="3"/>
  <c r="J60" i="3"/>
  <c r="H60" i="3"/>
  <c r="G60" i="3"/>
  <c r="F60" i="3"/>
  <c r="E60" i="3"/>
  <c r="N59" i="3"/>
  <c r="M59" i="3"/>
  <c r="L59" i="3"/>
  <c r="K59" i="3"/>
  <c r="J59" i="3"/>
  <c r="H59" i="3"/>
  <c r="G59" i="3"/>
  <c r="F59" i="3"/>
  <c r="E59" i="3"/>
  <c r="N53" i="3"/>
  <c r="M53" i="3"/>
  <c r="L53" i="3"/>
  <c r="K53" i="3"/>
  <c r="J53" i="3"/>
  <c r="H53" i="3"/>
  <c r="G53" i="3"/>
  <c r="F53" i="3"/>
  <c r="E53" i="3"/>
  <c r="J105" i="1"/>
  <c r="J104" i="1"/>
  <c r="J98" i="1"/>
  <c r="I53" i="3" l="1"/>
  <c r="I59" i="3"/>
  <c r="I60" i="3"/>
  <c r="P98" i="1"/>
  <c r="P105" i="1"/>
  <c r="P104" i="1"/>
  <c r="D53" i="3"/>
  <c r="D59" i="3"/>
  <c r="D60" i="3"/>
  <c r="N258" i="3"/>
  <c r="M258" i="3"/>
  <c r="L258" i="3"/>
  <c r="K258" i="3"/>
  <c r="J258" i="3"/>
  <c r="H258" i="3"/>
  <c r="G258" i="3"/>
  <c r="F258" i="3"/>
  <c r="E258" i="3"/>
  <c r="N248" i="3"/>
  <c r="M248" i="3"/>
  <c r="L248" i="3"/>
  <c r="K248" i="3"/>
  <c r="J248" i="3"/>
  <c r="H248" i="3"/>
  <c r="G248" i="3"/>
  <c r="F248" i="3"/>
  <c r="E248" i="3"/>
  <c r="N247" i="3"/>
  <c r="M247" i="3"/>
  <c r="L247" i="3"/>
  <c r="K247" i="3"/>
  <c r="J247" i="3"/>
  <c r="H247" i="3"/>
  <c r="G247" i="3"/>
  <c r="F247" i="3"/>
  <c r="E247" i="3"/>
  <c r="O60" i="3" l="1"/>
  <c r="O59" i="3"/>
  <c r="O53" i="3"/>
  <c r="O181" i="1"/>
  <c r="N181" i="1"/>
  <c r="M181" i="1"/>
  <c r="L181" i="1"/>
  <c r="K181" i="1"/>
  <c r="I181" i="1"/>
  <c r="H181" i="1"/>
  <c r="G181" i="1"/>
  <c r="N234" i="3"/>
  <c r="N227" i="3" s="1"/>
  <c r="M234" i="3"/>
  <c r="M227" i="3" s="1"/>
  <c r="L234" i="3"/>
  <c r="L227" i="3" s="1"/>
  <c r="K234" i="3"/>
  <c r="K227" i="3" s="1"/>
  <c r="J234" i="3"/>
  <c r="H234" i="3"/>
  <c r="H227" i="3" s="1"/>
  <c r="G234" i="3"/>
  <c r="G227" i="3" s="1"/>
  <c r="F234" i="3"/>
  <c r="F227" i="3" s="1"/>
  <c r="E234" i="3"/>
  <c r="E227" i="3" s="1"/>
  <c r="N84" i="3"/>
  <c r="M84" i="3"/>
  <c r="L84" i="3"/>
  <c r="K84" i="3"/>
  <c r="J84" i="3"/>
  <c r="H84" i="3"/>
  <c r="G84" i="3"/>
  <c r="F84" i="3"/>
  <c r="E84" i="3"/>
  <c r="O294" i="1"/>
  <c r="N294" i="1"/>
  <c r="M294" i="1"/>
  <c r="L294" i="1"/>
  <c r="K294" i="1"/>
  <c r="I294" i="1"/>
  <c r="H294" i="1"/>
  <c r="G294" i="1"/>
  <c r="F294" i="1"/>
  <c r="D234" i="3"/>
  <c r="J156" i="1"/>
  <c r="J128" i="1"/>
  <c r="D84" i="3"/>
  <c r="J227" i="3" l="1"/>
  <c r="J215" i="3" s="1"/>
  <c r="I258" i="3"/>
  <c r="D258" i="3"/>
  <c r="I234" i="3"/>
  <c r="I247" i="3"/>
  <c r="I248" i="3"/>
  <c r="I84" i="3"/>
  <c r="D247" i="3"/>
  <c r="E294" i="1"/>
  <c r="D248" i="3"/>
  <c r="D227" i="3" s="1"/>
  <c r="D215" i="3" s="1"/>
  <c r="F215" i="3"/>
  <c r="H215" i="3"/>
  <c r="K215" i="3"/>
  <c r="M215" i="3"/>
  <c r="E215" i="3"/>
  <c r="G215" i="3"/>
  <c r="L215" i="3"/>
  <c r="N215" i="3"/>
  <c r="J294" i="1"/>
  <c r="O258" i="3"/>
  <c r="P156" i="1"/>
  <c r="P128" i="1"/>
  <c r="I227" i="3" l="1"/>
  <c r="I215" i="3" s="1"/>
  <c r="O248" i="3"/>
  <c r="O247" i="3"/>
  <c r="O84" i="3"/>
  <c r="O234" i="3"/>
  <c r="P294" i="1"/>
  <c r="O227" i="3" l="1"/>
  <c r="O215" i="3" s="1"/>
  <c r="J171" i="1"/>
  <c r="E171" i="1"/>
  <c r="P171" i="1" l="1"/>
  <c r="N325" i="3" l="1"/>
  <c r="M325" i="3"/>
  <c r="L325" i="3"/>
  <c r="K325" i="3"/>
  <c r="J325" i="3"/>
  <c r="H325" i="3"/>
  <c r="G325" i="3"/>
  <c r="F325" i="3"/>
  <c r="E325" i="3"/>
  <c r="M237" i="3"/>
  <c r="L237" i="3"/>
  <c r="K237" i="3"/>
  <c r="H237" i="3"/>
  <c r="G237" i="3"/>
  <c r="F237" i="3"/>
  <c r="E237" i="3"/>
  <c r="J361" i="1" l="1"/>
  <c r="D325" i="3"/>
  <c r="N83" i="3"/>
  <c r="M83" i="3"/>
  <c r="L83" i="3"/>
  <c r="K83" i="3"/>
  <c r="J83" i="3"/>
  <c r="H83" i="3"/>
  <c r="G83" i="3"/>
  <c r="F83" i="3"/>
  <c r="E83" i="3"/>
  <c r="N80" i="3"/>
  <c r="M80" i="3"/>
  <c r="L80" i="3"/>
  <c r="K80" i="3"/>
  <c r="J80" i="3"/>
  <c r="H80" i="3"/>
  <c r="G80" i="3"/>
  <c r="F80" i="3"/>
  <c r="E80" i="3"/>
  <c r="J127" i="1"/>
  <c r="D83" i="3"/>
  <c r="J124" i="1"/>
  <c r="D80" i="3"/>
  <c r="J53" i="1"/>
  <c r="I261" i="3" s="1"/>
  <c r="E53" i="1"/>
  <c r="D261" i="3" s="1"/>
  <c r="O88" i="1"/>
  <c r="N88" i="1"/>
  <c r="M88" i="1"/>
  <c r="L88" i="1"/>
  <c r="K88" i="1"/>
  <c r="I88" i="1"/>
  <c r="H88" i="1"/>
  <c r="G88" i="1"/>
  <c r="F88" i="1"/>
  <c r="O87" i="1"/>
  <c r="N87" i="1"/>
  <c r="M87" i="1"/>
  <c r="L87" i="1"/>
  <c r="K87" i="1"/>
  <c r="I87" i="1"/>
  <c r="H87" i="1"/>
  <c r="G87" i="1"/>
  <c r="F87" i="1"/>
  <c r="N192" i="3"/>
  <c r="N186" i="3" s="1"/>
  <c r="M192" i="3"/>
  <c r="M186" i="3" s="1"/>
  <c r="L192" i="3"/>
  <c r="L186" i="3" s="1"/>
  <c r="K192" i="3"/>
  <c r="K186" i="3" s="1"/>
  <c r="J192" i="3"/>
  <c r="J186" i="3" s="1"/>
  <c r="H192" i="3"/>
  <c r="H186" i="3" s="1"/>
  <c r="G192" i="3"/>
  <c r="G186" i="3" s="1"/>
  <c r="F192" i="3"/>
  <c r="F186" i="3" s="1"/>
  <c r="E192" i="3"/>
  <c r="E186" i="3" s="1"/>
  <c r="N171" i="3"/>
  <c r="N136" i="3" s="1"/>
  <c r="M171" i="3"/>
  <c r="M136" i="3" s="1"/>
  <c r="L171" i="3"/>
  <c r="L136" i="3" s="1"/>
  <c r="K171" i="3"/>
  <c r="K136" i="3" s="1"/>
  <c r="J171" i="3"/>
  <c r="J136" i="3" s="1"/>
  <c r="H171" i="3"/>
  <c r="H136" i="3" s="1"/>
  <c r="G171" i="3"/>
  <c r="G136" i="3" s="1"/>
  <c r="F171" i="3"/>
  <c r="F136" i="3" s="1"/>
  <c r="E171" i="3"/>
  <c r="E136" i="3" s="1"/>
  <c r="N170" i="3"/>
  <c r="M170" i="3"/>
  <c r="L170" i="3"/>
  <c r="K170" i="3"/>
  <c r="J170" i="3"/>
  <c r="H170" i="3"/>
  <c r="G170" i="3"/>
  <c r="F170" i="3"/>
  <c r="E170" i="3"/>
  <c r="J393" i="1"/>
  <c r="E393" i="1"/>
  <c r="N237" i="3"/>
  <c r="J237" i="3"/>
  <c r="I80" i="3" l="1"/>
  <c r="I325" i="3"/>
  <c r="P127" i="1"/>
  <c r="P361" i="1"/>
  <c r="P393" i="1"/>
  <c r="P53" i="1"/>
  <c r="O261" i="3" s="1"/>
  <c r="I83" i="3"/>
  <c r="P124" i="1"/>
  <c r="J253" i="1"/>
  <c r="J223" i="1" s="1"/>
  <c r="E253" i="1"/>
  <c r="J252" i="1"/>
  <c r="E252" i="1"/>
  <c r="D170" i="3" s="1"/>
  <c r="J154" i="1"/>
  <c r="N86" i="3"/>
  <c r="M86" i="3"/>
  <c r="L86" i="3"/>
  <c r="K86" i="3"/>
  <c r="J86" i="3"/>
  <c r="H86" i="3"/>
  <c r="G86" i="3"/>
  <c r="F86" i="3"/>
  <c r="E86" i="3"/>
  <c r="N85" i="3"/>
  <c r="M85" i="3"/>
  <c r="L85" i="3"/>
  <c r="K85" i="3"/>
  <c r="J85" i="3"/>
  <c r="H85" i="3"/>
  <c r="G85" i="3"/>
  <c r="F85" i="3"/>
  <c r="E85" i="3"/>
  <c r="N82" i="3"/>
  <c r="N35" i="3" s="1"/>
  <c r="M82" i="3"/>
  <c r="M35" i="3" s="1"/>
  <c r="L82" i="3"/>
  <c r="L35" i="3" s="1"/>
  <c r="K82" i="3"/>
  <c r="K35" i="3" s="1"/>
  <c r="J82" i="3"/>
  <c r="J35" i="3" s="1"/>
  <c r="H82" i="3"/>
  <c r="H35" i="3" s="1"/>
  <c r="G82" i="3"/>
  <c r="G35" i="3" s="1"/>
  <c r="F82" i="3"/>
  <c r="F35" i="3" s="1"/>
  <c r="E82" i="3"/>
  <c r="E35" i="3" s="1"/>
  <c r="N81" i="3"/>
  <c r="M81" i="3"/>
  <c r="L81" i="3"/>
  <c r="K81" i="3"/>
  <c r="J81" i="3"/>
  <c r="H81" i="3"/>
  <c r="G81" i="3"/>
  <c r="F81" i="3"/>
  <c r="E81" i="3"/>
  <c r="D85" i="3"/>
  <c r="D81" i="3"/>
  <c r="J130" i="1"/>
  <c r="J129" i="1"/>
  <c r="J126" i="1"/>
  <c r="J125" i="1"/>
  <c r="E36" i="3" l="1"/>
  <c r="E33" i="3"/>
  <c r="G36" i="3"/>
  <c r="G33" i="3"/>
  <c r="F36" i="3"/>
  <c r="F33" i="3"/>
  <c r="J36" i="3"/>
  <c r="J33" i="3"/>
  <c r="L36" i="3"/>
  <c r="L33" i="3"/>
  <c r="N36" i="3"/>
  <c r="N33" i="3"/>
  <c r="H36" i="3"/>
  <c r="H33" i="3"/>
  <c r="K36" i="3"/>
  <c r="K33" i="3"/>
  <c r="M36" i="3"/>
  <c r="M33" i="3"/>
  <c r="D171" i="3"/>
  <c r="D136" i="3" s="1"/>
  <c r="E223" i="1"/>
  <c r="O325" i="3"/>
  <c r="I170" i="3"/>
  <c r="O80" i="3"/>
  <c r="O83" i="3"/>
  <c r="P129" i="1"/>
  <c r="P125" i="1"/>
  <c r="I171" i="3"/>
  <c r="I136" i="3" s="1"/>
  <c r="I192" i="3"/>
  <c r="I186" i="3" s="1"/>
  <c r="P126" i="1"/>
  <c r="J88" i="1"/>
  <c r="P130" i="1"/>
  <c r="J87" i="1"/>
  <c r="D82" i="3"/>
  <c r="D35" i="3" s="1"/>
  <c r="E88" i="1"/>
  <c r="D86" i="3"/>
  <c r="P154" i="1"/>
  <c r="D192" i="3"/>
  <c r="D186" i="3" s="1"/>
  <c r="P252" i="1"/>
  <c r="P253" i="1"/>
  <c r="P223" i="1" s="1"/>
  <c r="I81" i="3"/>
  <c r="I85" i="3"/>
  <c r="I82" i="3"/>
  <c r="I35" i="3" s="1"/>
  <c r="I86" i="3"/>
  <c r="D36" i="3" l="1"/>
  <c r="D33" i="3"/>
  <c r="I36" i="3"/>
  <c r="I33" i="3"/>
  <c r="I130" i="3"/>
  <c r="O170" i="3"/>
  <c r="O81" i="3"/>
  <c r="O85" i="3"/>
  <c r="O171" i="3"/>
  <c r="O136" i="3" s="1"/>
  <c r="O192" i="3"/>
  <c r="O186" i="3" s="1"/>
  <c r="O86" i="3"/>
  <c r="P87" i="1"/>
  <c r="O82" i="3"/>
  <c r="O35" i="3" s="1"/>
  <c r="P88" i="1"/>
  <c r="E319" i="3"/>
  <c r="E318" i="3" s="1"/>
  <c r="F319" i="3"/>
  <c r="F318" i="3" s="1"/>
  <c r="G319" i="3"/>
  <c r="G318" i="3" s="1"/>
  <c r="H319" i="3"/>
  <c r="H318" i="3" s="1"/>
  <c r="J319" i="3"/>
  <c r="J318" i="3" s="1"/>
  <c r="K319" i="3"/>
  <c r="K318" i="3" s="1"/>
  <c r="L319" i="3"/>
  <c r="L318" i="3" s="1"/>
  <c r="M319" i="3"/>
  <c r="M318" i="3" s="1"/>
  <c r="N319" i="3"/>
  <c r="N318" i="3" s="1"/>
  <c r="E322" i="3"/>
  <c r="E320" i="3" s="1"/>
  <c r="F322" i="3"/>
  <c r="F320" i="3" s="1"/>
  <c r="G322" i="3"/>
  <c r="G320" i="3" s="1"/>
  <c r="H322" i="3"/>
  <c r="H320" i="3" s="1"/>
  <c r="J322" i="3"/>
  <c r="J320" i="3" s="1"/>
  <c r="K322" i="3"/>
  <c r="K320" i="3" s="1"/>
  <c r="L322" i="3"/>
  <c r="L320" i="3" s="1"/>
  <c r="M322" i="3"/>
  <c r="M320" i="3" s="1"/>
  <c r="N322" i="3"/>
  <c r="N320" i="3" s="1"/>
  <c r="E323" i="3"/>
  <c r="E321" i="3" s="1"/>
  <c r="E317" i="3" s="1"/>
  <c r="F323" i="3"/>
  <c r="F321" i="3" s="1"/>
  <c r="F317" i="3" s="1"/>
  <c r="G323" i="3"/>
  <c r="G321" i="3" s="1"/>
  <c r="G317" i="3" s="1"/>
  <c r="H323" i="3"/>
  <c r="H321" i="3" s="1"/>
  <c r="H317" i="3" s="1"/>
  <c r="J323" i="3"/>
  <c r="J321" i="3" s="1"/>
  <c r="J317" i="3" s="1"/>
  <c r="K323" i="3"/>
  <c r="K321" i="3" s="1"/>
  <c r="K317" i="3" s="1"/>
  <c r="L323" i="3"/>
  <c r="L321" i="3" s="1"/>
  <c r="L317" i="3" s="1"/>
  <c r="M323" i="3"/>
  <c r="M321" i="3" s="1"/>
  <c r="M317" i="3" s="1"/>
  <c r="N323" i="3"/>
  <c r="N321" i="3" s="1"/>
  <c r="N317" i="3" s="1"/>
  <c r="O36" i="3" l="1"/>
  <c r="O33" i="3"/>
  <c r="O130" i="3"/>
  <c r="L324" i="3"/>
  <c r="L316" i="3" s="1"/>
  <c r="G324" i="3"/>
  <c r="G316" i="3" s="1"/>
  <c r="M324" i="3"/>
  <c r="M316" i="3" s="1"/>
  <c r="K324" i="3"/>
  <c r="K316" i="3" s="1"/>
  <c r="H324" i="3"/>
  <c r="H316" i="3" s="1"/>
  <c r="F324" i="3"/>
  <c r="F316" i="3" s="1"/>
  <c r="O292" i="1" l="1"/>
  <c r="N292" i="1"/>
  <c r="M292" i="1"/>
  <c r="L292" i="1"/>
  <c r="K292" i="1"/>
  <c r="I292" i="1"/>
  <c r="H292" i="1"/>
  <c r="G292" i="1"/>
  <c r="F292" i="1"/>
  <c r="O412" i="1"/>
  <c r="K412" i="1"/>
  <c r="K408" i="1" s="1"/>
  <c r="J413" i="1"/>
  <c r="O180" i="1"/>
  <c r="N180" i="1"/>
  <c r="M180" i="1"/>
  <c r="L180" i="1"/>
  <c r="K180" i="1"/>
  <c r="I180" i="1"/>
  <c r="H180" i="1"/>
  <c r="G180" i="1"/>
  <c r="F180" i="1"/>
  <c r="J158" i="1"/>
  <c r="J157" i="1"/>
  <c r="J89" i="1" l="1"/>
  <c r="E89" i="1"/>
  <c r="O408" i="1"/>
  <c r="J412" i="1"/>
  <c r="P158" i="1"/>
  <c r="E413" i="1"/>
  <c r="P157" i="1"/>
  <c r="P89" i="1" l="1"/>
  <c r="P413" i="1"/>
  <c r="N324" i="3"/>
  <c r="N316" i="3" s="1"/>
  <c r="J324" i="3"/>
  <c r="J316" i="3" s="1"/>
  <c r="J107" i="1" l="1"/>
  <c r="J84" i="1" s="1"/>
  <c r="N19" i="3"/>
  <c r="M19" i="3"/>
  <c r="L19" i="3"/>
  <c r="K19" i="3"/>
  <c r="J19" i="3"/>
  <c r="H19" i="3"/>
  <c r="G19" i="3"/>
  <c r="F19" i="3"/>
  <c r="E19" i="3"/>
  <c r="J304" i="1"/>
  <c r="E304" i="1"/>
  <c r="O269" i="1"/>
  <c r="K269" i="1"/>
  <c r="O268" i="1"/>
  <c r="K268" i="1"/>
  <c r="I62" i="3" l="1"/>
  <c r="I31" i="3" s="1"/>
  <c r="K266" i="1"/>
  <c r="O266" i="1"/>
  <c r="J16" i="3"/>
  <c r="N16" i="3"/>
  <c r="P304" i="1"/>
  <c r="P107" i="1"/>
  <c r="P84" i="1" s="1"/>
  <c r="N266" i="3"/>
  <c r="M266" i="3"/>
  <c r="L266" i="3"/>
  <c r="K266" i="3"/>
  <c r="J266" i="3"/>
  <c r="H266" i="3"/>
  <c r="G266" i="3"/>
  <c r="F266" i="3"/>
  <c r="E266" i="3"/>
  <c r="N257" i="3"/>
  <c r="M257" i="3"/>
  <c r="L257" i="3"/>
  <c r="K257" i="3"/>
  <c r="J257" i="3"/>
  <c r="H257" i="3"/>
  <c r="G257" i="3"/>
  <c r="F257" i="3"/>
  <c r="E257" i="3"/>
  <c r="N64" i="3"/>
  <c r="M64" i="3"/>
  <c r="L64" i="3"/>
  <c r="K64" i="3"/>
  <c r="J64" i="3"/>
  <c r="H64" i="3"/>
  <c r="G64" i="3"/>
  <c r="F64" i="3"/>
  <c r="E64" i="3"/>
  <c r="N65" i="3"/>
  <c r="M65" i="3"/>
  <c r="L65" i="3"/>
  <c r="K65" i="3"/>
  <c r="J65" i="3"/>
  <c r="H65" i="3"/>
  <c r="G65" i="3"/>
  <c r="F65" i="3"/>
  <c r="E65" i="3"/>
  <c r="J170" i="1"/>
  <c r="J169" i="1"/>
  <c r="E170" i="1"/>
  <c r="E169" i="1"/>
  <c r="J110" i="1"/>
  <c r="J109" i="1"/>
  <c r="I64" i="3" l="1"/>
  <c r="I322" i="3"/>
  <c r="I320" i="3" s="1"/>
  <c r="I323" i="3"/>
  <c r="I321" i="3" s="1"/>
  <c r="I317" i="3" s="1"/>
  <c r="P109" i="1"/>
  <c r="P110" i="1"/>
  <c r="I65" i="3"/>
  <c r="P169" i="1"/>
  <c r="P170" i="1"/>
  <c r="D323" i="3"/>
  <c r="D321" i="3" s="1"/>
  <c r="D317" i="3" s="1"/>
  <c r="D65" i="3"/>
  <c r="O62" i="3"/>
  <c r="O31" i="3" s="1"/>
  <c r="D64" i="3"/>
  <c r="D322" i="3"/>
  <c r="D320" i="3" s="1"/>
  <c r="O322" i="3" l="1"/>
  <c r="O320" i="3" s="1"/>
  <c r="O323" i="3"/>
  <c r="O321" i="3" s="1"/>
  <c r="O317" i="3" s="1"/>
  <c r="O64" i="3"/>
  <c r="O65" i="3"/>
  <c r="J225" i="1"/>
  <c r="E225" i="1" l="1"/>
  <c r="P225" i="1" l="1"/>
  <c r="N63" i="3"/>
  <c r="M63" i="3"/>
  <c r="L63" i="3"/>
  <c r="K63" i="3"/>
  <c r="J63" i="3"/>
  <c r="H63" i="3"/>
  <c r="G63" i="3"/>
  <c r="F63" i="3"/>
  <c r="E63" i="3"/>
  <c r="J108" i="1"/>
  <c r="J78" i="1" s="1"/>
  <c r="E25" i="3" l="1"/>
  <c r="F25" i="3"/>
  <c r="G25" i="3"/>
  <c r="H25" i="3"/>
  <c r="J25" i="3"/>
  <c r="K25" i="3"/>
  <c r="L25" i="3"/>
  <c r="M25" i="3"/>
  <c r="N25" i="3"/>
  <c r="E324" i="3"/>
  <c r="E316" i="3" s="1"/>
  <c r="P108" i="1"/>
  <c r="P78" i="1" s="1"/>
  <c r="D63" i="3"/>
  <c r="I63" i="3"/>
  <c r="D25" i="3" l="1"/>
  <c r="I25" i="3"/>
  <c r="O63" i="3"/>
  <c r="O25" i="3" l="1"/>
  <c r="N232" i="3"/>
  <c r="M232" i="3"/>
  <c r="L232" i="3"/>
  <c r="K232" i="3"/>
  <c r="J232" i="3"/>
  <c r="H232" i="3"/>
  <c r="G232" i="3"/>
  <c r="F232" i="3"/>
  <c r="E232" i="3"/>
  <c r="K179" i="1" l="1"/>
  <c r="N61" i="3" l="1"/>
  <c r="M61" i="3"/>
  <c r="L61" i="3"/>
  <c r="K61" i="3"/>
  <c r="J61" i="3"/>
  <c r="H61" i="3"/>
  <c r="G61" i="3"/>
  <c r="F61" i="3"/>
  <c r="E61" i="3"/>
  <c r="J106" i="1"/>
  <c r="J406" i="1"/>
  <c r="E406" i="1"/>
  <c r="I61" i="3" l="1"/>
  <c r="D61" i="3"/>
  <c r="P406" i="1"/>
  <c r="P106" i="1"/>
  <c r="J172" i="1"/>
  <c r="O61" i="3" l="1"/>
  <c r="E172" i="1"/>
  <c r="E76" i="1" s="1"/>
  <c r="N90" i="3"/>
  <c r="N34" i="3" s="1"/>
  <c r="M90" i="3"/>
  <c r="M34" i="3" s="1"/>
  <c r="L90" i="3"/>
  <c r="L34" i="3" s="1"/>
  <c r="K90" i="3"/>
  <c r="K34" i="3" s="1"/>
  <c r="J90" i="3"/>
  <c r="J34" i="3" s="1"/>
  <c r="H90" i="3"/>
  <c r="H34" i="3" s="1"/>
  <c r="G90" i="3"/>
  <c r="G34" i="3" s="1"/>
  <c r="F90" i="3"/>
  <c r="F34" i="3" s="1"/>
  <c r="E90" i="3"/>
  <c r="E34" i="3" s="1"/>
  <c r="N89" i="3"/>
  <c r="M89" i="3"/>
  <c r="L89" i="3"/>
  <c r="K89" i="3"/>
  <c r="J89" i="3"/>
  <c r="H89" i="3"/>
  <c r="G89" i="3"/>
  <c r="F89" i="3"/>
  <c r="E89" i="3"/>
  <c r="I90" i="3"/>
  <c r="I34" i="3" s="1"/>
  <c r="I89" i="3"/>
  <c r="D89" i="3" l="1"/>
  <c r="P133" i="1"/>
  <c r="D90" i="3"/>
  <c r="D34" i="3" s="1"/>
  <c r="P134" i="1"/>
  <c r="P86" i="1" s="1"/>
  <c r="P172" i="1"/>
  <c r="O90" i="3" l="1"/>
  <c r="O34" i="3" s="1"/>
  <c r="O89" i="3"/>
  <c r="N67" i="3"/>
  <c r="M67" i="3"/>
  <c r="L67" i="3"/>
  <c r="K67" i="3"/>
  <c r="J67" i="3"/>
  <c r="H67" i="3"/>
  <c r="G67" i="3"/>
  <c r="F67" i="3"/>
  <c r="E67" i="3"/>
  <c r="I67" i="3" l="1"/>
  <c r="D67" i="3"/>
  <c r="P278" i="1"/>
  <c r="O67" i="3" l="1"/>
  <c r="N190" i="3"/>
  <c r="M190" i="3"/>
  <c r="L190" i="3"/>
  <c r="K190" i="3"/>
  <c r="J190" i="3"/>
  <c r="H190" i="3"/>
  <c r="G190" i="3"/>
  <c r="F190" i="3"/>
  <c r="E190" i="3"/>
  <c r="N88" i="3"/>
  <c r="N32" i="3" s="1"/>
  <c r="M88" i="3"/>
  <c r="M32" i="3" s="1"/>
  <c r="L88" i="3"/>
  <c r="L32" i="3" s="1"/>
  <c r="K88" i="3"/>
  <c r="K32" i="3" s="1"/>
  <c r="J88" i="3"/>
  <c r="J32" i="3" s="1"/>
  <c r="H88" i="3"/>
  <c r="H32" i="3" s="1"/>
  <c r="G88" i="3"/>
  <c r="G32" i="3" s="1"/>
  <c r="F88" i="3"/>
  <c r="F32" i="3" s="1"/>
  <c r="E88" i="3"/>
  <c r="E32" i="3" s="1"/>
  <c r="N87" i="3"/>
  <c r="M87" i="3"/>
  <c r="L87" i="3"/>
  <c r="K87" i="3"/>
  <c r="J87" i="3"/>
  <c r="H87" i="3"/>
  <c r="G87" i="3"/>
  <c r="F87" i="3"/>
  <c r="E87" i="3"/>
  <c r="N79" i="3"/>
  <c r="M79" i="3"/>
  <c r="L79" i="3"/>
  <c r="K79" i="3"/>
  <c r="J79" i="3"/>
  <c r="H79" i="3"/>
  <c r="G79" i="3"/>
  <c r="F79" i="3"/>
  <c r="E79" i="3"/>
  <c r="B79" i="3"/>
  <c r="N78" i="3"/>
  <c r="M78" i="3"/>
  <c r="L78" i="3"/>
  <c r="K78" i="3"/>
  <c r="J78" i="3"/>
  <c r="H78" i="3"/>
  <c r="G78" i="3"/>
  <c r="F78" i="3"/>
  <c r="E78" i="3"/>
  <c r="N77" i="3"/>
  <c r="M77" i="3"/>
  <c r="L77" i="3"/>
  <c r="K77" i="3"/>
  <c r="J77" i="3"/>
  <c r="H77" i="3"/>
  <c r="G77" i="3"/>
  <c r="F77" i="3"/>
  <c r="E77" i="3"/>
  <c r="N76" i="3"/>
  <c r="M76" i="3"/>
  <c r="L76" i="3"/>
  <c r="K76" i="3"/>
  <c r="J76" i="3"/>
  <c r="H76" i="3"/>
  <c r="G76" i="3"/>
  <c r="F76" i="3"/>
  <c r="E76" i="3"/>
  <c r="N75" i="3"/>
  <c r="M75" i="3"/>
  <c r="L75" i="3"/>
  <c r="K75" i="3"/>
  <c r="J75" i="3"/>
  <c r="H75" i="3"/>
  <c r="G75" i="3"/>
  <c r="F75" i="3"/>
  <c r="E75" i="3"/>
  <c r="N74" i="3"/>
  <c r="M74" i="3"/>
  <c r="L74" i="3"/>
  <c r="K74" i="3"/>
  <c r="J74" i="3"/>
  <c r="H74" i="3"/>
  <c r="G74" i="3"/>
  <c r="F74" i="3"/>
  <c r="E74" i="3"/>
  <c r="N66" i="3"/>
  <c r="M66" i="3"/>
  <c r="L66" i="3"/>
  <c r="K66" i="3"/>
  <c r="J66" i="3"/>
  <c r="H66" i="3"/>
  <c r="G66" i="3"/>
  <c r="F66" i="3"/>
  <c r="E66" i="3"/>
  <c r="N58" i="3"/>
  <c r="M58" i="3"/>
  <c r="L58" i="3"/>
  <c r="K58" i="3"/>
  <c r="J58" i="3"/>
  <c r="H58" i="3"/>
  <c r="G58" i="3"/>
  <c r="F58" i="3"/>
  <c r="E58" i="3"/>
  <c r="N57" i="3"/>
  <c r="M57" i="3"/>
  <c r="L57" i="3"/>
  <c r="K57" i="3"/>
  <c r="J57" i="3"/>
  <c r="H57" i="3"/>
  <c r="G57" i="3"/>
  <c r="F57" i="3"/>
  <c r="E57" i="3"/>
  <c r="N56" i="3"/>
  <c r="M56" i="3"/>
  <c r="L56" i="3"/>
  <c r="K56" i="3"/>
  <c r="J56" i="3"/>
  <c r="J30" i="3" s="1"/>
  <c r="H56" i="3"/>
  <c r="H30" i="3" s="1"/>
  <c r="G56" i="3"/>
  <c r="F56" i="3"/>
  <c r="E56" i="3"/>
  <c r="N55" i="3"/>
  <c r="M55" i="3"/>
  <c r="L55" i="3"/>
  <c r="K55" i="3"/>
  <c r="J55" i="3"/>
  <c r="H55" i="3"/>
  <c r="G55" i="3"/>
  <c r="F55" i="3"/>
  <c r="E55" i="3"/>
  <c r="N54" i="3"/>
  <c r="M54" i="3"/>
  <c r="M23" i="3" s="1"/>
  <c r="L54" i="3"/>
  <c r="L23" i="3" s="1"/>
  <c r="K54" i="3"/>
  <c r="K23" i="3" s="1"/>
  <c r="J54" i="3"/>
  <c r="H54" i="3"/>
  <c r="G54" i="3"/>
  <c r="F54" i="3"/>
  <c r="E54" i="3"/>
  <c r="F23" i="3" l="1"/>
  <c r="N23" i="3"/>
  <c r="H23" i="3"/>
  <c r="E23" i="3"/>
  <c r="G23" i="3"/>
  <c r="J23" i="3"/>
  <c r="L30" i="3"/>
  <c r="K30" i="3"/>
  <c r="N30" i="3"/>
  <c r="M30" i="3"/>
  <c r="G30" i="3"/>
  <c r="F30" i="3"/>
  <c r="E30" i="3"/>
  <c r="E24" i="3"/>
  <c r="E330" i="3" s="1"/>
  <c r="G24" i="3"/>
  <c r="G330" i="3" s="1"/>
  <c r="J24" i="3"/>
  <c r="J330" i="3" s="1"/>
  <c r="L24" i="3"/>
  <c r="L330" i="3" s="1"/>
  <c r="N24" i="3"/>
  <c r="N330" i="3" s="1"/>
  <c r="F24" i="3"/>
  <c r="F330" i="3" s="1"/>
  <c r="H24" i="3"/>
  <c r="H330" i="3" s="1"/>
  <c r="K24" i="3"/>
  <c r="K330" i="3" s="1"/>
  <c r="M24" i="3"/>
  <c r="M330" i="3" s="1"/>
  <c r="J168" i="1"/>
  <c r="J155" i="1"/>
  <c r="J153" i="1"/>
  <c r="P135" i="1"/>
  <c r="N482" i="1" l="1"/>
  <c r="G482" i="1"/>
  <c r="M482" i="1"/>
  <c r="H482" i="1"/>
  <c r="F482" i="1"/>
  <c r="L482" i="1"/>
  <c r="I482" i="1"/>
  <c r="O482" i="1"/>
  <c r="K482" i="1"/>
  <c r="P153" i="1"/>
  <c r="P162" i="1"/>
  <c r="P155" i="1"/>
  <c r="P168" i="1"/>
  <c r="P152" i="1"/>
  <c r="O83" i="1"/>
  <c r="O473" i="1" s="1"/>
  <c r="N83" i="1"/>
  <c r="N473" i="1" s="1"/>
  <c r="M83" i="1"/>
  <c r="M473" i="1" s="1"/>
  <c r="L83" i="1"/>
  <c r="L473" i="1" s="1"/>
  <c r="K83" i="1"/>
  <c r="K473" i="1" s="1"/>
  <c r="I83" i="1"/>
  <c r="I473" i="1" s="1"/>
  <c r="H83" i="1"/>
  <c r="H473" i="1" s="1"/>
  <c r="G83" i="1"/>
  <c r="G473" i="1" s="1"/>
  <c r="F83" i="1"/>
  <c r="F473" i="1" s="1"/>
  <c r="J122" i="1"/>
  <c r="J103" i="1"/>
  <c r="D58" i="3"/>
  <c r="I58" i="3" l="1"/>
  <c r="I78" i="3"/>
  <c r="D78" i="3"/>
  <c r="P122" i="1"/>
  <c r="P103" i="1"/>
  <c r="O58" i="3" l="1"/>
  <c r="O78" i="3"/>
  <c r="D280" i="1"/>
  <c r="N286" i="3" l="1"/>
  <c r="M286" i="3"/>
  <c r="L286" i="3"/>
  <c r="K286" i="3"/>
  <c r="J286" i="3"/>
  <c r="H286" i="3"/>
  <c r="G286" i="3"/>
  <c r="F286" i="3"/>
  <c r="E286" i="3"/>
  <c r="N238" i="3"/>
  <c r="N242" i="3"/>
  <c r="M242" i="3"/>
  <c r="L242" i="3"/>
  <c r="K242" i="3"/>
  <c r="J242" i="3"/>
  <c r="H242" i="3"/>
  <c r="G242" i="3"/>
  <c r="F242" i="3"/>
  <c r="E242" i="3"/>
  <c r="N284" i="3"/>
  <c r="M284" i="3"/>
  <c r="L284" i="3"/>
  <c r="K284" i="3"/>
  <c r="J284" i="3"/>
  <c r="H284" i="3"/>
  <c r="G284" i="3"/>
  <c r="F284" i="3"/>
  <c r="E284" i="3"/>
  <c r="O295" i="1"/>
  <c r="N295" i="1"/>
  <c r="M295" i="1"/>
  <c r="L295" i="1"/>
  <c r="K295" i="1"/>
  <c r="I295" i="1"/>
  <c r="H295" i="1"/>
  <c r="G295" i="1"/>
  <c r="F295" i="1"/>
  <c r="E412" i="1"/>
  <c r="E348" i="1"/>
  <c r="J348" i="1"/>
  <c r="E284" i="1"/>
  <c r="J284" i="1"/>
  <c r="D284" i="3" l="1"/>
  <c r="I237" i="3"/>
  <c r="D237" i="3"/>
  <c r="I284" i="3"/>
  <c r="D242" i="3"/>
  <c r="I242" i="3"/>
  <c r="P284" i="1"/>
  <c r="P348" i="1"/>
  <c r="E295" i="1"/>
  <c r="P412" i="1"/>
  <c r="J295" i="1"/>
  <c r="E18" i="3"/>
  <c r="F18" i="3"/>
  <c r="G18" i="3"/>
  <c r="H18" i="3"/>
  <c r="J18" i="3"/>
  <c r="K18" i="3"/>
  <c r="L18" i="3"/>
  <c r="M18" i="3"/>
  <c r="N18" i="3"/>
  <c r="O237" i="3" l="1"/>
  <c r="O242" i="3"/>
  <c r="O284" i="3"/>
  <c r="P295" i="1"/>
  <c r="N264" i="3"/>
  <c r="M264" i="3"/>
  <c r="L264" i="3"/>
  <c r="K264" i="3"/>
  <c r="J264" i="3"/>
  <c r="H264" i="3"/>
  <c r="G264" i="3"/>
  <c r="F264" i="3"/>
  <c r="E264" i="3"/>
  <c r="J55" i="1" l="1"/>
  <c r="E55" i="1"/>
  <c r="J23" i="1"/>
  <c r="E23" i="1"/>
  <c r="I18" i="3" l="1"/>
  <c r="I264" i="3"/>
  <c r="D264" i="3"/>
  <c r="P55" i="1"/>
  <c r="P23" i="1"/>
  <c r="D18" i="3"/>
  <c r="O18" i="3" l="1"/>
  <c r="O264" i="3"/>
  <c r="F267" i="1"/>
  <c r="G267" i="1"/>
  <c r="H267" i="1"/>
  <c r="I267" i="1"/>
  <c r="K267" i="1"/>
  <c r="L267" i="1"/>
  <c r="M267" i="1"/>
  <c r="N267" i="1"/>
  <c r="O267" i="1"/>
  <c r="E111" i="3" l="1"/>
  <c r="F111" i="3"/>
  <c r="G111" i="3"/>
  <c r="H111" i="3"/>
  <c r="J111" i="3"/>
  <c r="K111" i="3"/>
  <c r="L111" i="3"/>
  <c r="M111" i="3"/>
  <c r="N111" i="3"/>
  <c r="E189" i="1" l="1"/>
  <c r="J189" i="1"/>
  <c r="D189" i="1"/>
  <c r="I111" i="3" l="1"/>
  <c r="P189" i="1"/>
  <c r="D111" i="3"/>
  <c r="E263" i="3"/>
  <c r="F263" i="3"/>
  <c r="G263" i="3"/>
  <c r="H263" i="3"/>
  <c r="J263" i="3"/>
  <c r="K263" i="3"/>
  <c r="L263" i="3"/>
  <c r="M263" i="3"/>
  <c r="N263" i="3"/>
  <c r="F291" i="1"/>
  <c r="G291" i="1"/>
  <c r="H291" i="1"/>
  <c r="I291" i="1"/>
  <c r="K291" i="1"/>
  <c r="L291" i="1"/>
  <c r="M291" i="1"/>
  <c r="N291" i="1"/>
  <c r="O291" i="1"/>
  <c r="O111" i="3" l="1"/>
  <c r="D263" i="3"/>
  <c r="D257" i="3"/>
  <c r="J291" i="1"/>
  <c r="I257" i="3"/>
  <c r="E291" i="1"/>
  <c r="I263" i="3"/>
  <c r="E273" i="1"/>
  <c r="J273" i="1"/>
  <c r="E168" i="3"/>
  <c r="F168" i="3"/>
  <c r="G168" i="3"/>
  <c r="H168" i="3"/>
  <c r="J168" i="3"/>
  <c r="K168" i="3"/>
  <c r="L168" i="3"/>
  <c r="M168" i="3"/>
  <c r="N168" i="3"/>
  <c r="E169" i="3"/>
  <c r="E135" i="3" s="1"/>
  <c r="F169" i="3"/>
  <c r="F135" i="3" s="1"/>
  <c r="G169" i="3"/>
  <c r="G135" i="3" s="1"/>
  <c r="H169" i="3"/>
  <c r="H135" i="3" s="1"/>
  <c r="J169" i="3"/>
  <c r="J135" i="3" s="1"/>
  <c r="K169" i="3"/>
  <c r="K135" i="3" s="1"/>
  <c r="L169" i="3"/>
  <c r="L135" i="3" s="1"/>
  <c r="M169" i="3"/>
  <c r="M135" i="3" s="1"/>
  <c r="N169" i="3"/>
  <c r="N135" i="3" s="1"/>
  <c r="E172" i="3"/>
  <c r="F172" i="3"/>
  <c r="G172" i="3"/>
  <c r="H172" i="3"/>
  <c r="J172" i="3"/>
  <c r="K172" i="3"/>
  <c r="L172" i="3"/>
  <c r="M172" i="3"/>
  <c r="N172" i="3"/>
  <c r="E173" i="3"/>
  <c r="F173" i="3"/>
  <c r="G173" i="3"/>
  <c r="H173" i="3"/>
  <c r="J173" i="3"/>
  <c r="K173" i="3"/>
  <c r="L173" i="3"/>
  <c r="M173" i="3"/>
  <c r="N173" i="3"/>
  <c r="E251" i="1"/>
  <c r="E250" i="1"/>
  <c r="D168" i="3" s="1"/>
  <c r="J251" i="1"/>
  <c r="J222" i="1" s="1"/>
  <c r="J250" i="1"/>
  <c r="E198" i="3"/>
  <c r="F198" i="3"/>
  <c r="G198" i="3"/>
  <c r="H198" i="3"/>
  <c r="J198" i="3"/>
  <c r="K198" i="3"/>
  <c r="L198" i="3"/>
  <c r="M198" i="3"/>
  <c r="N198" i="3"/>
  <c r="J254" i="1"/>
  <c r="J255" i="1"/>
  <c r="E254" i="1"/>
  <c r="E255" i="1"/>
  <c r="J24" i="1"/>
  <c r="J26" i="1"/>
  <c r="J27" i="1"/>
  <c r="I22" i="3" s="1"/>
  <c r="E27" i="1"/>
  <c r="D27" i="1"/>
  <c r="E22" i="3"/>
  <c r="F22" i="3"/>
  <c r="G22" i="3"/>
  <c r="H22" i="3"/>
  <c r="J22" i="3"/>
  <c r="K22" i="3"/>
  <c r="L22" i="3"/>
  <c r="M22" i="3"/>
  <c r="N22" i="3"/>
  <c r="J332" i="3" l="1"/>
  <c r="K484" i="1" s="1"/>
  <c r="F332" i="3"/>
  <c r="G484" i="1" s="1"/>
  <c r="E332" i="3"/>
  <c r="F484" i="1" s="1"/>
  <c r="H332" i="3"/>
  <c r="I484" i="1" s="1"/>
  <c r="N332" i="3"/>
  <c r="O484" i="1" s="1"/>
  <c r="K332" i="3"/>
  <c r="L484" i="1" s="1"/>
  <c r="M332" i="3"/>
  <c r="N484" i="1" s="1"/>
  <c r="G332" i="3"/>
  <c r="H484" i="1" s="1"/>
  <c r="L332" i="3"/>
  <c r="M484" i="1" s="1"/>
  <c r="E222" i="1"/>
  <c r="D169" i="3"/>
  <c r="D135" i="3" s="1"/>
  <c r="D22" i="3"/>
  <c r="O257" i="3"/>
  <c r="I168" i="3"/>
  <c r="I210" i="3"/>
  <c r="I198" i="3" s="1"/>
  <c r="I172" i="3"/>
  <c r="D172" i="3"/>
  <c r="I19" i="3"/>
  <c r="E267" i="1"/>
  <c r="D210" i="3"/>
  <c r="D198" i="3" s="1"/>
  <c r="N129" i="3"/>
  <c r="L129" i="3"/>
  <c r="J129" i="3"/>
  <c r="G129" i="3"/>
  <c r="E129" i="3"/>
  <c r="M129" i="3"/>
  <c r="K129" i="3"/>
  <c r="H129" i="3"/>
  <c r="F129" i="3"/>
  <c r="P291" i="1"/>
  <c r="O263" i="3"/>
  <c r="P273" i="1"/>
  <c r="J267" i="1"/>
  <c r="P251" i="1"/>
  <c r="P222" i="1" s="1"/>
  <c r="D173" i="3"/>
  <c r="I169" i="3"/>
  <c r="I135" i="3" s="1"/>
  <c r="I173" i="3"/>
  <c r="P250" i="1"/>
  <c r="P254" i="1"/>
  <c r="P255" i="1"/>
  <c r="P27" i="1"/>
  <c r="D130" i="3" l="1"/>
  <c r="O172" i="3"/>
  <c r="P267" i="1"/>
  <c r="O210" i="3"/>
  <c r="D129" i="3"/>
  <c r="O169" i="3"/>
  <c r="O135" i="3" s="1"/>
  <c r="I129" i="3"/>
  <c r="O168" i="3"/>
  <c r="O173" i="3"/>
  <c r="O22" i="3"/>
  <c r="O129" i="3" l="1"/>
  <c r="O198" i="3"/>
  <c r="J272" i="1"/>
  <c r="E272" i="1"/>
  <c r="E403" i="1"/>
  <c r="E401" i="1"/>
  <c r="N21" i="3"/>
  <c r="M21" i="3"/>
  <c r="L21" i="3"/>
  <c r="K21" i="3"/>
  <c r="J21" i="3"/>
  <c r="H21" i="3"/>
  <c r="G21" i="3"/>
  <c r="F21" i="3"/>
  <c r="E21" i="3"/>
  <c r="I21" i="3"/>
  <c r="E26" i="1"/>
  <c r="D249" i="3" l="1"/>
  <c r="D209" i="3"/>
  <c r="I209" i="3"/>
  <c r="P272" i="1"/>
  <c r="P26" i="1"/>
  <c r="D21" i="3"/>
  <c r="J215" i="1"/>
  <c r="E215" i="1"/>
  <c r="O209" i="3" l="1"/>
  <c r="O21" i="3"/>
  <c r="P215" i="1"/>
  <c r="J401" i="1" l="1"/>
  <c r="I249" i="3" l="1"/>
  <c r="P401" i="1"/>
  <c r="O249" i="3" l="1"/>
  <c r="J119" i="1"/>
  <c r="D75" i="3" l="1"/>
  <c r="I75" i="3"/>
  <c r="P119" i="1"/>
  <c r="O75" i="3" l="1"/>
  <c r="M268" i="3"/>
  <c r="L268" i="3"/>
  <c r="K268" i="3"/>
  <c r="H269" i="3"/>
  <c r="H268" i="3" s="1"/>
  <c r="G269" i="3"/>
  <c r="G268" i="3" s="1"/>
  <c r="F269" i="3"/>
  <c r="F268" i="3" s="1"/>
  <c r="J397" i="1" l="1"/>
  <c r="E397" i="1"/>
  <c r="E394" i="1"/>
  <c r="N268" i="3"/>
  <c r="J268" i="3"/>
  <c r="I241" i="3" l="1"/>
  <c r="P397" i="1"/>
  <c r="O177" i="1" l="1"/>
  <c r="N177" i="1"/>
  <c r="M177" i="1"/>
  <c r="L177" i="1"/>
  <c r="K177" i="1"/>
  <c r="I177" i="1"/>
  <c r="H177" i="1"/>
  <c r="G177" i="1"/>
  <c r="F177" i="1"/>
  <c r="J204" i="1"/>
  <c r="J205" i="1"/>
  <c r="E204" i="1"/>
  <c r="E205" i="1"/>
  <c r="J180" i="1" l="1"/>
  <c r="E177" i="1"/>
  <c r="E180" i="1"/>
  <c r="P205" i="1"/>
  <c r="P204" i="1"/>
  <c r="J177" i="1"/>
  <c r="P177" i="1" l="1"/>
  <c r="P180" i="1"/>
  <c r="D323" i="1"/>
  <c r="N277" i="3" l="1"/>
  <c r="M277" i="3"/>
  <c r="L277" i="3"/>
  <c r="K277" i="3"/>
  <c r="J277" i="3"/>
  <c r="H277" i="3"/>
  <c r="G277" i="3"/>
  <c r="F277" i="3"/>
  <c r="E277" i="3"/>
  <c r="F272" i="3" l="1"/>
  <c r="F220" i="3" s="1"/>
  <c r="F334" i="3" s="1"/>
  <c r="H272" i="3"/>
  <c r="H220" i="3" s="1"/>
  <c r="H334" i="3" s="1"/>
  <c r="K272" i="3"/>
  <c r="K220" i="3" s="1"/>
  <c r="K334" i="3" s="1"/>
  <c r="M272" i="3"/>
  <c r="M220" i="3" s="1"/>
  <c r="M334" i="3" s="1"/>
  <c r="E272" i="3"/>
  <c r="E220" i="3" s="1"/>
  <c r="E334" i="3" s="1"/>
  <c r="G272" i="3"/>
  <c r="G220" i="3" s="1"/>
  <c r="G334" i="3" s="1"/>
  <c r="L272" i="3"/>
  <c r="L220" i="3" s="1"/>
  <c r="L334" i="3" s="1"/>
  <c r="N272" i="3"/>
  <c r="N220" i="3" s="1"/>
  <c r="N334" i="3" s="1"/>
  <c r="J272" i="3"/>
  <c r="J220" i="3" s="1"/>
  <c r="J334" i="3" s="1"/>
  <c r="O182" i="1"/>
  <c r="N182" i="1"/>
  <c r="M182" i="1"/>
  <c r="L182" i="1"/>
  <c r="K182" i="1"/>
  <c r="I182" i="1"/>
  <c r="H182" i="1"/>
  <c r="G182" i="1"/>
  <c r="F182" i="1"/>
  <c r="O377" i="1"/>
  <c r="N377" i="1"/>
  <c r="M377" i="1"/>
  <c r="L377" i="1"/>
  <c r="K377" i="1"/>
  <c r="I377" i="1"/>
  <c r="H377" i="1"/>
  <c r="G377" i="1"/>
  <c r="F377" i="1"/>
  <c r="E377" i="1"/>
  <c r="H475" i="1" l="1"/>
  <c r="H486" i="1" s="1"/>
  <c r="N475" i="1"/>
  <c r="N486" i="1" s="1"/>
  <c r="F475" i="1"/>
  <c r="F486" i="1" s="1"/>
  <c r="O475" i="1"/>
  <c r="O486" i="1" s="1"/>
  <c r="G475" i="1"/>
  <c r="G486" i="1" s="1"/>
  <c r="I475" i="1"/>
  <c r="I486" i="1" s="1"/>
  <c r="K475" i="1"/>
  <c r="K486" i="1" s="1"/>
  <c r="L475" i="1"/>
  <c r="L486" i="1" s="1"/>
  <c r="M475" i="1"/>
  <c r="M486" i="1" s="1"/>
  <c r="E269" i="3" l="1"/>
  <c r="E268" i="3" s="1"/>
  <c r="M238" i="3" l="1"/>
  <c r="L238" i="3"/>
  <c r="K238" i="3"/>
  <c r="H238" i="3"/>
  <c r="G238" i="3"/>
  <c r="F238" i="3"/>
  <c r="E238" i="3"/>
  <c r="M235" i="3" l="1"/>
  <c r="L235" i="3"/>
  <c r="K235" i="3"/>
  <c r="H235" i="3"/>
  <c r="G235" i="3"/>
  <c r="F235" i="3"/>
  <c r="E235" i="3"/>
  <c r="M239" i="3"/>
  <c r="L239" i="3"/>
  <c r="K239" i="3"/>
  <c r="H239" i="3"/>
  <c r="G239" i="3"/>
  <c r="F239" i="3"/>
  <c r="E239" i="3"/>
  <c r="J260" i="1" l="1"/>
  <c r="E260" i="1"/>
  <c r="J202" i="1"/>
  <c r="E202" i="1"/>
  <c r="J50" i="1"/>
  <c r="D236" i="3" l="1"/>
  <c r="I236" i="3"/>
  <c r="P50" i="1"/>
  <c r="D238" i="3"/>
  <c r="P49" i="1"/>
  <c r="P202" i="1"/>
  <c r="P260" i="1"/>
  <c r="N239" i="3"/>
  <c r="J239" i="3"/>
  <c r="O236" i="3" l="1"/>
  <c r="E211" i="1"/>
  <c r="J211" i="1"/>
  <c r="P211" i="1" l="1"/>
  <c r="J182" i="1"/>
  <c r="D277" i="3"/>
  <c r="E182" i="1"/>
  <c r="E475" i="1" s="1"/>
  <c r="J403" i="1"/>
  <c r="J377" i="1" l="1"/>
  <c r="J475" i="1" s="1"/>
  <c r="D272" i="3"/>
  <c r="I277" i="3"/>
  <c r="P182" i="1"/>
  <c r="P403" i="1"/>
  <c r="P377" i="1" s="1"/>
  <c r="N176" i="3"/>
  <c r="M176" i="3"/>
  <c r="L176" i="3"/>
  <c r="K176" i="3"/>
  <c r="J176" i="3"/>
  <c r="H176" i="3"/>
  <c r="G176" i="3"/>
  <c r="F176" i="3"/>
  <c r="N162" i="3"/>
  <c r="M162" i="3"/>
  <c r="L162" i="3"/>
  <c r="K162" i="3"/>
  <c r="J162" i="3"/>
  <c r="H162" i="3"/>
  <c r="G162" i="3"/>
  <c r="F162" i="3"/>
  <c r="E162" i="3"/>
  <c r="N160" i="3"/>
  <c r="M160" i="3"/>
  <c r="L160" i="3"/>
  <c r="K160" i="3"/>
  <c r="J160" i="3"/>
  <c r="H160" i="3"/>
  <c r="G160" i="3"/>
  <c r="F160" i="3"/>
  <c r="E160" i="3"/>
  <c r="N146" i="3"/>
  <c r="M146" i="3"/>
  <c r="L146" i="3"/>
  <c r="K146" i="3"/>
  <c r="J146" i="3"/>
  <c r="H146" i="3"/>
  <c r="G146" i="3"/>
  <c r="F146" i="3"/>
  <c r="E146" i="3"/>
  <c r="N144" i="3"/>
  <c r="M144" i="3"/>
  <c r="L144" i="3"/>
  <c r="K144" i="3"/>
  <c r="J144" i="3"/>
  <c r="H144" i="3"/>
  <c r="G144" i="3"/>
  <c r="F144" i="3"/>
  <c r="E144" i="3"/>
  <c r="N140" i="3"/>
  <c r="M140" i="3"/>
  <c r="L140" i="3"/>
  <c r="K140" i="3"/>
  <c r="J140" i="3"/>
  <c r="H140" i="3"/>
  <c r="G140" i="3"/>
  <c r="F140" i="3"/>
  <c r="N121" i="3"/>
  <c r="M121" i="3"/>
  <c r="L121" i="3"/>
  <c r="K121" i="3"/>
  <c r="J121" i="3"/>
  <c r="H121" i="3"/>
  <c r="G121" i="3"/>
  <c r="F121" i="3"/>
  <c r="E121" i="3"/>
  <c r="N120" i="3"/>
  <c r="M120" i="3"/>
  <c r="L120" i="3"/>
  <c r="K120" i="3"/>
  <c r="J120" i="3"/>
  <c r="H120" i="3"/>
  <c r="G120" i="3"/>
  <c r="F120" i="3"/>
  <c r="E120" i="3"/>
  <c r="N118" i="3"/>
  <c r="M118" i="3"/>
  <c r="L118" i="3"/>
  <c r="K118" i="3"/>
  <c r="J118" i="3"/>
  <c r="H118" i="3"/>
  <c r="G118" i="3"/>
  <c r="F118" i="3"/>
  <c r="E118" i="3"/>
  <c r="N116" i="3"/>
  <c r="M116" i="3"/>
  <c r="L116" i="3"/>
  <c r="K116" i="3"/>
  <c r="J116" i="3"/>
  <c r="H116" i="3"/>
  <c r="G116" i="3"/>
  <c r="F116" i="3"/>
  <c r="E116" i="3"/>
  <c r="N113" i="3"/>
  <c r="M113" i="3"/>
  <c r="L113" i="3"/>
  <c r="K113" i="3"/>
  <c r="J113" i="3"/>
  <c r="I113" i="3"/>
  <c r="H113" i="3"/>
  <c r="G113" i="3"/>
  <c r="F113" i="3"/>
  <c r="E113" i="3"/>
  <c r="O176" i="1"/>
  <c r="N176" i="1"/>
  <c r="M176" i="1"/>
  <c r="L176" i="1"/>
  <c r="K176" i="1"/>
  <c r="I176" i="1"/>
  <c r="H176" i="1"/>
  <c r="G176" i="1"/>
  <c r="F176" i="1"/>
  <c r="P475" i="1" l="1"/>
  <c r="F131" i="3"/>
  <c r="H131" i="3"/>
  <c r="K131" i="3"/>
  <c r="M131" i="3"/>
  <c r="G131" i="3"/>
  <c r="J131" i="3"/>
  <c r="L131" i="3"/>
  <c r="N131" i="3"/>
  <c r="D220" i="3"/>
  <c r="I272" i="3"/>
  <c r="I220" i="3" s="1"/>
  <c r="O277" i="3"/>
  <c r="I334" i="3" l="1"/>
  <c r="J486" i="1" s="1"/>
  <c r="D334" i="3"/>
  <c r="E486" i="1" s="1"/>
  <c r="O272" i="3"/>
  <c r="O220" i="3" s="1"/>
  <c r="O334" i="3" l="1"/>
  <c r="P486" i="1" s="1"/>
  <c r="O178" i="1"/>
  <c r="N178" i="1"/>
  <c r="M178" i="1"/>
  <c r="L178" i="1"/>
  <c r="K178" i="1"/>
  <c r="I178" i="1"/>
  <c r="H178" i="1"/>
  <c r="G178" i="1"/>
  <c r="O179" i="1" l="1"/>
  <c r="N179" i="1"/>
  <c r="M179" i="1"/>
  <c r="L179" i="1"/>
  <c r="I179" i="1"/>
  <c r="H179" i="1"/>
  <c r="G179" i="1"/>
  <c r="J194" i="1"/>
  <c r="E194" i="1"/>
  <c r="E191" i="1"/>
  <c r="P191" i="1" l="1"/>
  <c r="O113" i="3" s="1"/>
  <c r="D116" i="3"/>
  <c r="I116" i="3"/>
  <c r="E181" i="1"/>
  <c r="J181" i="1"/>
  <c r="F178" i="1"/>
  <c r="D113" i="3"/>
  <c r="E176" i="1"/>
  <c r="J176" i="1"/>
  <c r="P194" i="1"/>
  <c r="O116" i="3" l="1"/>
  <c r="P181" i="1"/>
  <c r="P176" i="1"/>
  <c r="N256" i="3"/>
  <c r="M256" i="3"/>
  <c r="L256" i="3"/>
  <c r="K256" i="3"/>
  <c r="J256" i="3"/>
  <c r="H256" i="3"/>
  <c r="G256" i="3"/>
  <c r="F256" i="3"/>
  <c r="E256" i="3"/>
  <c r="F214" i="3" l="1"/>
  <c r="H214" i="3"/>
  <c r="K214" i="3"/>
  <c r="M214" i="3"/>
  <c r="E214" i="3"/>
  <c r="G214" i="3"/>
  <c r="J214" i="3"/>
  <c r="L214" i="3"/>
  <c r="N214" i="3"/>
  <c r="J258" i="1"/>
  <c r="J244" i="1"/>
  <c r="E244" i="1"/>
  <c r="J242" i="1"/>
  <c r="E242" i="1"/>
  <c r="J235" i="1"/>
  <c r="E235" i="1"/>
  <c r="J233" i="1"/>
  <c r="E233" i="1"/>
  <c r="J229" i="1"/>
  <c r="J199" i="1"/>
  <c r="E199" i="1"/>
  <c r="J198" i="1"/>
  <c r="E198" i="1"/>
  <c r="J196" i="1"/>
  <c r="E196" i="1"/>
  <c r="J118" i="1"/>
  <c r="D74" i="3"/>
  <c r="J101" i="1"/>
  <c r="E83" i="1"/>
  <c r="E473" i="1" s="1"/>
  <c r="J100" i="1"/>
  <c r="E77" i="1"/>
  <c r="J96" i="1"/>
  <c r="J219" i="1" l="1"/>
  <c r="D246" i="3"/>
  <c r="D226" i="3" s="1"/>
  <c r="I50" i="3"/>
  <c r="I56" i="3"/>
  <c r="I30" i="3" s="1"/>
  <c r="I118" i="3"/>
  <c r="I121" i="3"/>
  <c r="D146" i="3"/>
  <c r="D162" i="3"/>
  <c r="I246" i="3"/>
  <c r="I226" i="3" s="1"/>
  <c r="I146" i="3"/>
  <c r="I144" i="3"/>
  <c r="I160" i="3"/>
  <c r="I162" i="3"/>
  <c r="J77" i="1"/>
  <c r="I74" i="3"/>
  <c r="D144" i="3"/>
  <c r="D160" i="3"/>
  <c r="I176" i="3"/>
  <c r="P132" i="1"/>
  <c r="P85" i="1" s="1"/>
  <c r="D56" i="3"/>
  <c r="D30" i="3" s="1"/>
  <c r="D332" i="3" s="1"/>
  <c r="I55" i="3"/>
  <c r="I24" i="3" s="1"/>
  <c r="I330" i="3" s="1"/>
  <c r="D55" i="3"/>
  <c r="D24" i="3" s="1"/>
  <c r="D330" i="3" s="1"/>
  <c r="J292" i="1"/>
  <c r="E292" i="1"/>
  <c r="D121" i="3"/>
  <c r="E179" i="1"/>
  <c r="D118" i="3"/>
  <c r="I88" i="3"/>
  <c r="I32" i="3" s="1"/>
  <c r="D88" i="3"/>
  <c r="D32" i="3" s="1"/>
  <c r="J83" i="1"/>
  <c r="J473" i="1" s="1"/>
  <c r="E229" i="1"/>
  <c r="E140" i="3"/>
  <c r="E258" i="1"/>
  <c r="E176" i="3"/>
  <c r="I140" i="3"/>
  <c r="E178" i="1"/>
  <c r="D120" i="3"/>
  <c r="J178" i="1"/>
  <c r="I120" i="3"/>
  <c r="J179" i="1"/>
  <c r="D50" i="3"/>
  <c r="P233" i="1"/>
  <c r="P235" i="1"/>
  <c r="P242" i="1"/>
  <c r="P244" i="1"/>
  <c r="P196" i="1"/>
  <c r="P198" i="1"/>
  <c r="P199" i="1"/>
  <c r="P100" i="1"/>
  <c r="P101" i="1"/>
  <c r="P118" i="1"/>
  <c r="I332" i="3" l="1"/>
  <c r="E484" i="1"/>
  <c r="E482" i="1"/>
  <c r="J484" i="1"/>
  <c r="J482" i="1"/>
  <c r="E219" i="1"/>
  <c r="O146" i="3"/>
  <c r="O118" i="3"/>
  <c r="O246" i="3"/>
  <c r="O226" i="3" s="1"/>
  <c r="O144" i="3"/>
  <c r="O162" i="3"/>
  <c r="I131" i="3"/>
  <c r="O121" i="3"/>
  <c r="O160" i="3"/>
  <c r="O74" i="3"/>
  <c r="O56" i="3"/>
  <c r="O30" i="3" s="1"/>
  <c r="P77" i="1"/>
  <c r="O55" i="3"/>
  <c r="O24" i="3" s="1"/>
  <c r="O330" i="3" s="1"/>
  <c r="E131" i="3"/>
  <c r="D140" i="3"/>
  <c r="P292" i="1"/>
  <c r="P258" i="1"/>
  <c r="O88" i="3"/>
  <c r="O32" i="3" s="1"/>
  <c r="P83" i="1"/>
  <c r="P473" i="1" s="1"/>
  <c r="D176" i="3"/>
  <c r="P229" i="1"/>
  <c r="P178" i="1"/>
  <c r="O120" i="3"/>
  <c r="P96" i="1"/>
  <c r="P179" i="1"/>
  <c r="O332" i="3" l="1"/>
  <c r="P482" i="1"/>
  <c r="O176" i="3"/>
  <c r="O50" i="3"/>
  <c r="P219" i="1"/>
  <c r="D131" i="3"/>
  <c r="O140" i="3"/>
  <c r="C296" i="3"/>
  <c r="N303" i="3"/>
  <c r="M303" i="3"/>
  <c r="L303" i="3"/>
  <c r="K303" i="3"/>
  <c r="J303" i="3"/>
  <c r="H303" i="3"/>
  <c r="G303" i="3"/>
  <c r="F303" i="3"/>
  <c r="E303" i="3"/>
  <c r="D68" i="1"/>
  <c r="J68" i="1"/>
  <c r="E68" i="1"/>
  <c r="P484" i="1" l="1"/>
  <c r="J18" i="1"/>
  <c r="J474" i="1" s="1"/>
  <c r="E18" i="1"/>
  <c r="E474" i="1" s="1"/>
  <c r="O131" i="3"/>
  <c r="E296" i="3"/>
  <c r="E292" i="3" s="1"/>
  <c r="F296" i="3"/>
  <c r="F292" i="3" s="1"/>
  <c r="K296" i="3"/>
  <c r="K292" i="3" s="1"/>
  <c r="M296" i="3"/>
  <c r="M292" i="3" s="1"/>
  <c r="H296" i="3"/>
  <c r="H292" i="3" s="1"/>
  <c r="G296" i="3"/>
  <c r="G292" i="3" s="1"/>
  <c r="J296" i="3"/>
  <c r="J292" i="3" s="1"/>
  <c r="L296" i="3"/>
  <c r="L292" i="3" s="1"/>
  <c r="N296" i="3"/>
  <c r="N292" i="3" s="1"/>
  <c r="I303" i="3"/>
  <c r="P68" i="1"/>
  <c r="P18" i="1" s="1"/>
  <c r="P474" i="1" s="1"/>
  <c r="D303" i="3"/>
  <c r="G333" i="3" l="1"/>
  <c r="H485" i="1" s="1"/>
  <c r="H333" i="3"/>
  <c r="I485" i="1" s="1"/>
  <c r="J333" i="3"/>
  <c r="K485" i="1" s="1"/>
  <c r="K333" i="3"/>
  <c r="L485" i="1" s="1"/>
  <c r="F333" i="3"/>
  <c r="G485" i="1" s="1"/>
  <c r="N333" i="3"/>
  <c r="O485" i="1" s="1"/>
  <c r="M333" i="3"/>
  <c r="N485" i="1" s="1"/>
  <c r="E333" i="3"/>
  <c r="F485" i="1" s="1"/>
  <c r="L333" i="3"/>
  <c r="M485" i="1" s="1"/>
  <c r="I296" i="3"/>
  <c r="I292" i="3" s="1"/>
  <c r="D296" i="3"/>
  <c r="D292" i="3" s="1"/>
  <c r="O303" i="3"/>
  <c r="D333" i="3" l="1"/>
  <c r="E485" i="1" s="1"/>
  <c r="I333" i="3"/>
  <c r="J485" i="1" s="1"/>
  <c r="O296" i="3"/>
  <c r="O292" i="3" s="1"/>
  <c r="E201" i="1"/>
  <c r="J74" i="1"/>
  <c r="O333" i="3" l="1"/>
  <c r="P485" i="1" s="1"/>
  <c r="I328" i="3"/>
  <c r="D328" i="3"/>
  <c r="P74" i="1"/>
  <c r="O328" i="3" l="1"/>
  <c r="E323" i="1"/>
  <c r="C323" i="1"/>
  <c r="D241" i="3" l="1"/>
  <c r="P323" i="1"/>
  <c r="O241" i="3" s="1"/>
  <c r="J238" i="3" l="1"/>
  <c r="E299" i="3" l="1"/>
  <c r="F299" i="3"/>
  <c r="G299" i="3"/>
  <c r="H299" i="3"/>
  <c r="J299" i="3"/>
  <c r="K299" i="3"/>
  <c r="L299" i="3"/>
  <c r="M299" i="3"/>
  <c r="N299" i="3"/>
  <c r="E352" i="1"/>
  <c r="C352" i="1"/>
  <c r="D352" i="1"/>
  <c r="B352" i="1"/>
  <c r="P352" i="1" l="1"/>
  <c r="E305" i="3" l="1"/>
  <c r="E304" i="3" s="1"/>
  <c r="F305" i="3"/>
  <c r="F304" i="3" s="1"/>
  <c r="G305" i="3"/>
  <c r="G304" i="3" s="1"/>
  <c r="H305" i="3"/>
  <c r="H304" i="3" s="1"/>
  <c r="J305" i="3"/>
  <c r="J304" i="3" s="1"/>
  <c r="K305" i="3"/>
  <c r="K304" i="3" s="1"/>
  <c r="L305" i="3"/>
  <c r="L304" i="3" s="1"/>
  <c r="M305" i="3"/>
  <c r="M304" i="3" s="1"/>
  <c r="N305" i="3"/>
  <c r="N304" i="3" s="1"/>
  <c r="C355" i="1"/>
  <c r="D355" i="1"/>
  <c r="B355" i="1"/>
  <c r="E262" i="3" l="1"/>
  <c r="F262" i="3"/>
  <c r="G262" i="3"/>
  <c r="H262" i="3"/>
  <c r="J262" i="3"/>
  <c r="K262" i="3"/>
  <c r="L262" i="3"/>
  <c r="M262" i="3"/>
  <c r="N262" i="3"/>
  <c r="E52" i="1"/>
  <c r="E54" i="1"/>
  <c r="J51" i="1"/>
  <c r="I259" i="3" s="1"/>
  <c r="J52" i="1"/>
  <c r="I260" i="3" s="1"/>
  <c r="J54" i="1"/>
  <c r="C52" i="1"/>
  <c r="D52" i="1"/>
  <c r="D54" i="1"/>
  <c r="B54" i="1"/>
  <c r="B52" i="1"/>
  <c r="D260" i="3" l="1"/>
  <c r="I262" i="3"/>
  <c r="D262" i="3"/>
  <c r="P54" i="1"/>
  <c r="P52" i="1"/>
  <c r="O260" i="3" s="1"/>
  <c r="O262" i="3" l="1"/>
  <c r="N235" i="3"/>
  <c r="J235" i="3" l="1"/>
  <c r="J339" i="1" l="1"/>
  <c r="D266" i="3"/>
  <c r="D255" i="3" s="1"/>
  <c r="I266" i="3" l="1"/>
  <c r="P339" i="1"/>
  <c r="N243" i="3"/>
  <c r="M243" i="3"/>
  <c r="L243" i="3"/>
  <c r="K243" i="3"/>
  <c r="J243" i="3"/>
  <c r="H243" i="3"/>
  <c r="G243" i="3"/>
  <c r="F243" i="3"/>
  <c r="E243" i="3"/>
  <c r="J203" i="1"/>
  <c r="E203" i="1"/>
  <c r="D203" i="1"/>
  <c r="C203" i="1"/>
  <c r="B203" i="1"/>
  <c r="D398" i="1"/>
  <c r="C398" i="1"/>
  <c r="B398" i="1"/>
  <c r="D324" i="1"/>
  <c r="C324" i="1"/>
  <c r="B324" i="1"/>
  <c r="O266" i="3" l="1"/>
  <c r="P203" i="1"/>
  <c r="J398" i="1"/>
  <c r="E398" i="1"/>
  <c r="D243" i="3" l="1"/>
  <c r="P398" i="1"/>
  <c r="I243" i="3"/>
  <c r="O243" i="3" l="1"/>
  <c r="K423" i="1"/>
  <c r="J405" i="1" l="1"/>
  <c r="E405" i="1"/>
  <c r="P405" i="1" l="1"/>
  <c r="J399" i="1" l="1"/>
  <c r="E399" i="1"/>
  <c r="D245" i="3" l="1"/>
  <c r="I245" i="3"/>
  <c r="P399" i="1"/>
  <c r="O245" i="3" s="1"/>
  <c r="J213" i="1" l="1"/>
  <c r="E213" i="1"/>
  <c r="P213" i="1" l="1"/>
  <c r="D227" i="1"/>
  <c r="B394" i="1" l="1"/>
  <c r="J394" i="1"/>
  <c r="I238" i="3" l="1"/>
  <c r="P394" i="1"/>
  <c r="O238" i="3" l="1"/>
  <c r="D264" i="1"/>
  <c r="G423" i="1"/>
  <c r="H423" i="1"/>
  <c r="L423" i="1"/>
  <c r="M423" i="1"/>
  <c r="N423" i="1"/>
  <c r="O423" i="1"/>
  <c r="G173" i="1"/>
  <c r="H173" i="1"/>
  <c r="I173" i="1"/>
  <c r="L173" i="1"/>
  <c r="M173" i="1"/>
  <c r="N173" i="1"/>
  <c r="I423" i="1" l="1"/>
  <c r="F423" i="1" l="1"/>
  <c r="F173" i="1"/>
  <c r="D363" i="1" l="1"/>
  <c r="O173" i="1" l="1"/>
  <c r="K173" i="1"/>
  <c r="J286" i="1"/>
  <c r="E286" i="1"/>
  <c r="C286" i="1"/>
  <c r="D286" i="1"/>
  <c r="B286" i="1"/>
  <c r="P286" i="1" l="1"/>
  <c r="E14" i="3"/>
  <c r="F14" i="3"/>
  <c r="G14" i="3"/>
  <c r="H14" i="3"/>
  <c r="J14" i="3"/>
  <c r="K14" i="3"/>
  <c r="L14" i="3"/>
  <c r="M14" i="3"/>
  <c r="N14" i="3"/>
  <c r="E112" i="3"/>
  <c r="F112" i="3"/>
  <c r="G112" i="3"/>
  <c r="H112" i="3"/>
  <c r="J112" i="3"/>
  <c r="K112" i="3"/>
  <c r="L112" i="3"/>
  <c r="M112" i="3"/>
  <c r="N112" i="3"/>
  <c r="E115" i="3"/>
  <c r="F115" i="3"/>
  <c r="G115" i="3"/>
  <c r="H115" i="3"/>
  <c r="J115" i="3"/>
  <c r="K115" i="3"/>
  <c r="L115" i="3"/>
  <c r="M115" i="3"/>
  <c r="N115" i="3"/>
  <c r="E117" i="3"/>
  <c r="F117" i="3"/>
  <c r="G117" i="3"/>
  <c r="H117" i="3"/>
  <c r="J117" i="3"/>
  <c r="K117" i="3"/>
  <c r="L117" i="3"/>
  <c r="M117" i="3"/>
  <c r="N117" i="3"/>
  <c r="E119" i="3"/>
  <c r="F119" i="3"/>
  <c r="G119" i="3"/>
  <c r="H119" i="3"/>
  <c r="J119" i="3"/>
  <c r="K119" i="3"/>
  <c r="L119" i="3"/>
  <c r="M119" i="3"/>
  <c r="N119" i="3"/>
  <c r="E122" i="3"/>
  <c r="F122" i="3"/>
  <c r="G122" i="3"/>
  <c r="H122" i="3"/>
  <c r="J122" i="3"/>
  <c r="K122" i="3"/>
  <c r="L122" i="3"/>
  <c r="M122" i="3"/>
  <c r="N122" i="3"/>
  <c r="E123" i="3"/>
  <c r="F123" i="3"/>
  <c r="G123" i="3"/>
  <c r="H123" i="3"/>
  <c r="J123" i="3"/>
  <c r="K123" i="3"/>
  <c r="L123" i="3"/>
  <c r="M123" i="3"/>
  <c r="N123" i="3"/>
  <c r="E137" i="3"/>
  <c r="F137" i="3"/>
  <c r="G137" i="3"/>
  <c r="H137" i="3"/>
  <c r="K137" i="3"/>
  <c r="L137" i="3"/>
  <c r="M137" i="3"/>
  <c r="E138" i="3"/>
  <c r="F138" i="3"/>
  <c r="G138" i="3"/>
  <c r="H138" i="3"/>
  <c r="J138" i="3"/>
  <c r="K138" i="3"/>
  <c r="L138" i="3"/>
  <c r="M138" i="3"/>
  <c r="N138" i="3"/>
  <c r="E139" i="3"/>
  <c r="F139" i="3"/>
  <c r="G139" i="3"/>
  <c r="H139" i="3"/>
  <c r="J139" i="3"/>
  <c r="K139" i="3"/>
  <c r="L139" i="3"/>
  <c r="M139" i="3"/>
  <c r="N139" i="3"/>
  <c r="E141" i="3"/>
  <c r="F141" i="3"/>
  <c r="G141" i="3"/>
  <c r="H141" i="3"/>
  <c r="J141" i="3"/>
  <c r="K141" i="3"/>
  <c r="L141" i="3"/>
  <c r="M141" i="3"/>
  <c r="N141" i="3"/>
  <c r="E142" i="3"/>
  <c r="F142" i="3"/>
  <c r="G142" i="3"/>
  <c r="H142" i="3"/>
  <c r="J142" i="3"/>
  <c r="K142" i="3"/>
  <c r="L142" i="3"/>
  <c r="M142" i="3"/>
  <c r="N142" i="3"/>
  <c r="E143" i="3"/>
  <c r="F143" i="3"/>
  <c r="G143" i="3"/>
  <c r="H143" i="3"/>
  <c r="J143" i="3"/>
  <c r="K143" i="3"/>
  <c r="L143" i="3"/>
  <c r="M143" i="3"/>
  <c r="N143" i="3"/>
  <c r="E145" i="3"/>
  <c r="F145" i="3"/>
  <c r="G145" i="3"/>
  <c r="H145" i="3"/>
  <c r="J145" i="3"/>
  <c r="K145" i="3"/>
  <c r="L145" i="3"/>
  <c r="M145" i="3"/>
  <c r="N145" i="3"/>
  <c r="E147" i="3"/>
  <c r="F147" i="3"/>
  <c r="G147" i="3"/>
  <c r="H147" i="3"/>
  <c r="J147" i="3"/>
  <c r="K147" i="3"/>
  <c r="L147" i="3"/>
  <c r="M147" i="3"/>
  <c r="N147" i="3"/>
  <c r="E148" i="3"/>
  <c r="F148" i="3"/>
  <c r="G148" i="3"/>
  <c r="H148" i="3"/>
  <c r="J148" i="3"/>
  <c r="K148" i="3"/>
  <c r="L148" i="3"/>
  <c r="M148" i="3"/>
  <c r="N148" i="3"/>
  <c r="E149" i="3"/>
  <c r="F149" i="3"/>
  <c r="G149" i="3"/>
  <c r="H149" i="3"/>
  <c r="J149" i="3"/>
  <c r="K149" i="3"/>
  <c r="L149" i="3"/>
  <c r="M149" i="3"/>
  <c r="N149" i="3"/>
  <c r="E150" i="3"/>
  <c r="F150" i="3"/>
  <c r="G150" i="3"/>
  <c r="H150" i="3"/>
  <c r="J150" i="3"/>
  <c r="K150" i="3"/>
  <c r="L150" i="3"/>
  <c r="M150" i="3"/>
  <c r="N150" i="3"/>
  <c r="E153" i="3"/>
  <c r="F153" i="3"/>
  <c r="G153" i="3"/>
  <c r="H153" i="3"/>
  <c r="J153" i="3"/>
  <c r="K153" i="3"/>
  <c r="L153" i="3"/>
  <c r="M153" i="3"/>
  <c r="N153" i="3"/>
  <c r="E156" i="3"/>
  <c r="F156" i="3"/>
  <c r="G156" i="3"/>
  <c r="H156" i="3"/>
  <c r="J156" i="3"/>
  <c r="K156" i="3"/>
  <c r="L156" i="3"/>
  <c r="M156" i="3"/>
  <c r="N156" i="3"/>
  <c r="E159" i="3"/>
  <c r="F159" i="3"/>
  <c r="G159" i="3"/>
  <c r="H159" i="3"/>
  <c r="J159" i="3"/>
  <c r="K159" i="3"/>
  <c r="L159" i="3"/>
  <c r="M159" i="3"/>
  <c r="N159" i="3"/>
  <c r="E161" i="3"/>
  <c r="F161" i="3"/>
  <c r="G161" i="3"/>
  <c r="H161" i="3"/>
  <c r="J161" i="3"/>
  <c r="K161" i="3"/>
  <c r="L161" i="3"/>
  <c r="M161" i="3"/>
  <c r="N161" i="3"/>
  <c r="F163" i="3"/>
  <c r="G163" i="3"/>
  <c r="H163" i="3"/>
  <c r="J163" i="3"/>
  <c r="K163" i="3"/>
  <c r="L163" i="3"/>
  <c r="M163" i="3"/>
  <c r="N163" i="3"/>
  <c r="E164" i="3"/>
  <c r="F164" i="3"/>
  <c r="G164" i="3"/>
  <c r="H164" i="3"/>
  <c r="J164" i="3"/>
  <c r="K164" i="3"/>
  <c r="L164" i="3"/>
  <c r="M164" i="3"/>
  <c r="N164" i="3"/>
  <c r="E165" i="3"/>
  <c r="F165" i="3"/>
  <c r="G165" i="3"/>
  <c r="H165" i="3"/>
  <c r="J165" i="3"/>
  <c r="K165" i="3"/>
  <c r="L165" i="3"/>
  <c r="M165" i="3"/>
  <c r="N165" i="3"/>
  <c r="E166" i="3"/>
  <c r="F166" i="3"/>
  <c r="G166" i="3"/>
  <c r="H166" i="3"/>
  <c r="J166" i="3"/>
  <c r="K166" i="3"/>
  <c r="L166" i="3"/>
  <c r="M166" i="3"/>
  <c r="N166" i="3"/>
  <c r="E167" i="3"/>
  <c r="F167" i="3"/>
  <c r="G167" i="3"/>
  <c r="H167" i="3"/>
  <c r="J167" i="3"/>
  <c r="K167" i="3"/>
  <c r="L167" i="3"/>
  <c r="M167" i="3"/>
  <c r="N167" i="3"/>
  <c r="E174" i="3"/>
  <c r="F174" i="3"/>
  <c r="G174" i="3"/>
  <c r="H174" i="3"/>
  <c r="J174" i="3"/>
  <c r="K174" i="3"/>
  <c r="L174" i="3"/>
  <c r="M174" i="3"/>
  <c r="N174" i="3"/>
  <c r="E180" i="3"/>
  <c r="F180" i="3"/>
  <c r="G180" i="3"/>
  <c r="H180" i="3"/>
  <c r="J180" i="3"/>
  <c r="K180" i="3"/>
  <c r="L180" i="3"/>
  <c r="M180" i="3"/>
  <c r="N180" i="3"/>
  <c r="E181" i="3"/>
  <c r="F181" i="3"/>
  <c r="G181" i="3"/>
  <c r="H181" i="3"/>
  <c r="J181" i="3"/>
  <c r="K181" i="3"/>
  <c r="L181" i="3"/>
  <c r="M181" i="3"/>
  <c r="N181" i="3"/>
  <c r="E183" i="3"/>
  <c r="F183" i="3"/>
  <c r="G183" i="3"/>
  <c r="H183" i="3"/>
  <c r="J183" i="3"/>
  <c r="K183" i="3"/>
  <c r="L183" i="3"/>
  <c r="M183" i="3"/>
  <c r="N183" i="3"/>
  <c r="E184" i="3"/>
  <c r="F184" i="3"/>
  <c r="G184" i="3"/>
  <c r="H184" i="3"/>
  <c r="J184" i="3"/>
  <c r="K184" i="3"/>
  <c r="L184" i="3"/>
  <c r="M184" i="3"/>
  <c r="N184" i="3"/>
  <c r="E188" i="3"/>
  <c r="F188" i="3"/>
  <c r="G188" i="3"/>
  <c r="H188" i="3"/>
  <c r="J188" i="3"/>
  <c r="K188" i="3"/>
  <c r="L188" i="3"/>
  <c r="M188" i="3"/>
  <c r="N188" i="3"/>
  <c r="E189" i="3"/>
  <c r="F189" i="3"/>
  <c r="G189" i="3"/>
  <c r="H189" i="3"/>
  <c r="J189" i="3"/>
  <c r="K189" i="3"/>
  <c r="L189" i="3"/>
  <c r="M189" i="3"/>
  <c r="N189" i="3"/>
  <c r="E193" i="3"/>
  <c r="F193" i="3"/>
  <c r="G193" i="3"/>
  <c r="H193" i="3"/>
  <c r="J193" i="3"/>
  <c r="K193" i="3"/>
  <c r="L193" i="3"/>
  <c r="M193" i="3"/>
  <c r="N193" i="3"/>
  <c r="F194" i="3"/>
  <c r="G194" i="3"/>
  <c r="H194" i="3"/>
  <c r="J194" i="3"/>
  <c r="K194" i="3"/>
  <c r="L194" i="3"/>
  <c r="M194" i="3"/>
  <c r="N194" i="3"/>
  <c r="E195" i="3"/>
  <c r="F195" i="3"/>
  <c r="G195" i="3"/>
  <c r="H195" i="3"/>
  <c r="J195" i="3"/>
  <c r="K195" i="3"/>
  <c r="L195" i="3"/>
  <c r="M195" i="3"/>
  <c r="N195" i="3"/>
  <c r="E199" i="3"/>
  <c r="F199" i="3"/>
  <c r="G199" i="3"/>
  <c r="H199" i="3"/>
  <c r="J199" i="3"/>
  <c r="K199" i="3"/>
  <c r="L199" i="3"/>
  <c r="M199" i="3"/>
  <c r="N199" i="3"/>
  <c r="E200" i="3"/>
  <c r="F200" i="3"/>
  <c r="G200" i="3"/>
  <c r="H200" i="3"/>
  <c r="J200" i="3"/>
  <c r="K200" i="3"/>
  <c r="L200" i="3"/>
  <c r="M200" i="3"/>
  <c r="N200" i="3"/>
  <c r="E203" i="3"/>
  <c r="F203" i="3"/>
  <c r="E204" i="3"/>
  <c r="F204" i="3"/>
  <c r="G204" i="3"/>
  <c r="H204" i="3"/>
  <c r="J204" i="3"/>
  <c r="K204" i="3"/>
  <c r="L204" i="3"/>
  <c r="M204" i="3"/>
  <c r="N204" i="3"/>
  <c r="E207" i="3"/>
  <c r="F207" i="3"/>
  <c r="G207" i="3"/>
  <c r="H207" i="3"/>
  <c r="K207" i="3"/>
  <c r="L207" i="3"/>
  <c r="M207" i="3"/>
  <c r="N207" i="3"/>
  <c r="E211" i="3"/>
  <c r="F211" i="3"/>
  <c r="G211" i="3"/>
  <c r="H211" i="3"/>
  <c r="J211" i="3"/>
  <c r="K211" i="3"/>
  <c r="L211" i="3"/>
  <c r="M211" i="3"/>
  <c r="N211" i="3"/>
  <c r="E223" i="3"/>
  <c r="F223" i="3"/>
  <c r="G223" i="3"/>
  <c r="H223" i="3"/>
  <c r="J223" i="3"/>
  <c r="K223" i="3"/>
  <c r="L223" i="3"/>
  <c r="M223" i="3"/>
  <c r="N223" i="3"/>
  <c r="E230" i="3"/>
  <c r="E225" i="3" s="1"/>
  <c r="F230" i="3"/>
  <c r="F225" i="3" s="1"/>
  <c r="G230" i="3"/>
  <c r="G225" i="3" s="1"/>
  <c r="H230" i="3"/>
  <c r="H225" i="3" s="1"/>
  <c r="J230" i="3"/>
  <c r="J225" i="3" s="1"/>
  <c r="K230" i="3"/>
  <c r="K225" i="3" s="1"/>
  <c r="L230" i="3"/>
  <c r="L225" i="3" s="1"/>
  <c r="M230" i="3"/>
  <c r="M225" i="3" s="1"/>
  <c r="N230" i="3"/>
  <c r="N225" i="3" s="1"/>
  <c r="E244" i="3"/>
  <c r="F244" i="3"/>
  <c r="G244" i="3"/>
  <c r="H244" i="3"/>
  <c r="J244" i="3"/>
  <c r="K244" i="3"/>
  <c r="L244" i="3"/>
  <c r="M244" i="3"/>
  <c r="N244" i="3"/>
  <c r="E255" i="3"/>
  <c r="F255" i="3"/>
  <c r="G255" i="3"/>
  <c r="H255" i="3"/>
  <c r="J255" i="3"/>
  <c r="K255" i="3"/>
  <c r="L255" i="3"/>
  <c r="M255" i="3"/>
  <c r="N255" i="3"/>
  <c r="F285" i="3"/>
  <c r="G285" i="3"/>
  <c r="H285" i="3"/>
  <c r="J285" i="3"/>
  <c r="J270" i="3" s="1"/>
  <c r="K285" i="3"/>
  <c r="K270" i="3" s="1"/>
  <c r="L285" i="3"/>
  <c r="L270" i="3" s="1"/>
  <c r="M285" i="3"/>
  <c r="N285" i="3"/>
  <c r="N270" i="3" s="1"/>
  <c r="E302" i="3"/>
  <c r="F302" i="3"/>
  <c r="G302" i="3"/>
  <c r="H302" i="3"/>
  <c r="J302" i="3"/>
  <c r="K302" i="3"/>
  <c r="L302" i="3"/>
  <c r="M302" i="3"/>
  <c r="N302" i="3"/>
  <c r="E312" i="3"/>
  <c r="E311" i="3" s="1"/>
  <c r="F312" i="3"/>
  <c r="F311" i="3" s="1"/>
  <c r="G312" i="3"/>
  <c r="G311" i="3" s="1"/>
  <c r="H312" i="3"/>
  <c r="H311" i="3" s="1"/>
  <c r="J312" i="3"/>
  <c r="J311" i="3" s="1"/>
  <c r="K312" i="3"/>
  <c r="K311" i="3" s="1"/>
  <c r="L312" i="3"/>
  <c r="L311" i="3" s="1"/>
  <c r="M312" i="3"/>
  <c r="M311" i="3" s="1"/>
  <c r="N312" i="3"/>
  <c r="N311" i="3" s="1"/>
  <c r="E313" i="3"/>
  <c r="F313" i="3"/>
  <c r="G313" i="3"/>
  <c r="H313" i="3"/>
  <c r="J313" i="3"/>
  <c r="K313" i="3"/>
  <c r="L313" i="3"/>
  <c r="M313" i="3"/>
  <c r="N313" i="3"/>
  <c r="D315" i="3"/>
  <c r="D314" i="3" s="1"/>
  <c r="E315" i="3"/>
  <c r="E314" i="3" s="1"/>
  <c r="F315" i="3"/>
  <c r="F314" i="3" s="1"/>
  <c r="G315" i="3"/>
  <c r="G314" i="3" s="1"/>
  <c r="H315" i="3"/>
  <c r="H314" i="3" s="1"/>
  <c r="J315" i="3"/>
  <c r="J314" i="3" s="1"/>
  <c r="K315" i="3"/>
  <c r="K314" i="3" s="1"/>
  <c r="L315" i="3"/>
  <c r="L314" i="3" s="1"/>
  <c r="M315" i="3"/>
  <c r="M314" i="3" s="1"/>
  <c r="N315" i="3"/>
  <c r="N314" i="3" s="1"/>
  <c r="J92" i="1"/>
  <c r="J456" i="1"/>
  <c r="J457" i="1"/>
  <c r="J459" i="1"/>
  <c r="J460" i="1"/>
  <c r="J461" i="1"/>
  <c r="J463" i="1"/>
  <c r="P463" i="1" s="1"/>
  <c r="J454" i="1"/>
  <c r="J425" i="1"/>
  <c r="I224" i="3" s="1"/>
  <c r="J426" i="1"/>
  <c r="J427" i="1"/>
  <c r="J428" i="1"/>
  <c r="J429" i="1"/>
  <c r="J424" i="1"/>
  <c r="J417" i="1"/>
  <c r="J388" i="1"/>
  <c r="J389" i="1"/>
  <c r="J390" i="1"/>
  <c r="J392" i="1"/>
  <c r="J395" i="1"/>
  <c r="J409" i="1"/>
  <c r="J410" i="1"/>
  <c r="J414" i="1"/>
  <c r="J379" i="1"/>
  <c r="J367" i="1"/>
  <c r="J305" i="1"/>
  <c r="J306" i="1"/>
  <c r="J307" i="1"/>
  <c r="I204" i="3"/>
  <c r="J312" i="1"/>
  <c r="J314" i="1"/>
  <c r="J320" i="1"/>
  <c r="I244" i="3"/>
  <c r="J345" i="1"/>
  <c r="J363" i="1"/>
  <c r="J302" i="1"/>
  <c r="J280" i="1"/>
  <c r="J282" i="1"/>
  <c r="J283" i="1"/>
  <c r="J285" i="1"/>
  <c r="J277" i="1"/>
  <c r="J269" i="1"/>
  <c r="J270" i="1"/>
  <c r="J268" i="1"/>
  <c r="J227" i="1"/>
  <c r="J228" i="1"/>
  <c r="J230" i="1"/>
  <c r="J231" i="1"/>
  <c r="J232" i="1"/>
  <c r="J234" i="1"/>
  <c r="J236" i="1"/>
  <c r="J238" i="1"/>
  <c r="J241" i="1"/>
  <c r="J243" i="1"/>
  <c r="J245" i="1"/>
  <c r="J246" i="1"/>
  <c r="J247" i="1"/>
  <c r="J248" i="1"/>
  <c r="J249" i="1"/>
  <c r="J256" i="1"/>
  <c r="J257" i="1"/>
  <c r="J264" i="1"/>
  <c r="J224" i="1"/>
  <c r="J187" i="1"/>
  <c r="J190" i="1"/>
  <c r="J193" i="1"/>
  <c r="J195" i="1"/>
  <c r="J197" i="1"/>
  <c r="J200" i="1"/>
  <c r="J201" i="1"/>
  <c r="J186" i="1"/>
  <c r="J99" i="1"/>
  <c r="J102" i="1"/>
  <c r="J111" i="1"/>
  <c r="J120" i="1"/>
  <c r="J121" i="1"/>
  <c r="J123" i="1"/>
  <c r="J131" i="1"/>
  <c r="J91" i="1"/>
  <c r="J28" i="1"/>
  <c r="J29" i="1"/>
  <c r="J33" i="1"/>
  <c r="J35" i="1"/>
  <c r="J36" i="1"/>
  <c r="J37" i="1"/>
  <c r="J38" i="1"/>
  <c r="J39" i="1"/>
  <c r="J40" i="1"/>
  <c r="J41" i="1"/>
  <c r="J42" i="1"/>
  <c r="J43" i="1"/>
  <c r="J45" i="1"/>
  <c r="J46" i="1"/>
  <c r="J47" i="1"/>
  <c r="I255" i="3"/>
  <c r="J57" i="1"/>
  <c r="J59" i="1"/>
  <c r="J60" i="1"/>
  <c r="J61" i="1"/>
  <c r="J62" i="1"/>
  <c r="J65" i="1"/>
  <c r="J67" i="1"/>
  <c r="J69" i="1"/>
  <c r="J71" i="1"/>
  <c r="I312" i="3"/>
  <c r="I311" i="3" s="1"/>
  <c r="J22" i="1"/>
  <c r="J17" i="1" l="1"/>
  <c r="M128" i="3"/>
  <c r="L128" i="3"/>
  <c r="K128" i="3"/>
  <c r="H128" i="3"/>
  <c r="G128" i="3"/>
  <c r="F128" i="3"/>
  <c r="J452" i="1"/>
  <c r="P22" i="1"/>
  <c r="I327" i="3"/>
  <c r="K213" i="3"/>
  <c r="N213" i="3"/>
  <c r="L213" i="3"/>
  <c r="J213" i="3"/>
  <c r="F106" i="3"/>
  <c r="E106" i="3"/>
  <c r="N106" i="3"/>
  <c r="M106" i="3"/>
  <c r="L106" i="3"/>
  <c r="K106" i="3"/>
  <c r="J106" i="3"/>
  <c r="H106" i="3"/>
  <c r="G106" i="3"/>
  <c r="J275" i="1"/>
  <c r="J266" i="1"/>
  <c r="E196" i="3"/>
  <c r="K196" i="3"/>
  <c r="F196" i="3"/>
  <c r="N196" i="3"/>
  <c r="J196" i="3"/>
  <c r="M196" i="3"/>
  <c r="L196" i="3"/>
  <c r="G196" i="3"/>
  <c r="H196" i="3"/>
  <c r="I205" i="3"/>
  <c r="I155" i="3"/>
  <c r="I16" i="3"/>
  <c r="I39" i="3"/>
  <c r="I77" i="3"/>
  <c r="I54" i="3"/>
  <c r="I119" i="3"/>
  <c r="I164" i="3"/>
  <c r="I156" i="3"/>
  <c r="I180" i="3"/>
  <c r="I223" i="3"/>
  <c r="I313" i="3"/>
  <c r="I302" i="3"/>
  <c r="I285" i="3"/>
  <c r="I190" i="3"/>
  <c r="I299" i="3"/>
  <c r="I282" i="3"/>
  <c r="I195" i="3"/>
  <c r="I189" i="3"/>
  <c r="I153" i="3"/>
  <c r="I76" i="3"/>
  <c r="I117" i="3"/>
  <c r="I163" i="3"/>
  <c r="I147" i="3"/>
  <c r="I141" i="3"/>
  <c r="I149" i="3"/>
  <c r="I200" i="3"/>
  <c r="I281" i="3"/>
  <c r="I194" i="3"/>
  <c r="I188" i="3"/>
  <c r="I150" i="3"/>
  <c r="I87" i="3"/>
  <c r="I66" i="3"/>
  <c r="I123" i="3"/>
  <c r="I115" i="3"/>
  <c r="I166" i="3"/>
  <c r="I161" i="3"/>
  <c r="I145" i="3"/>
  <c r="I148" i="3"/>
  <c r="I235" i="3"/>
  <c r="I280" i="3"/>
  <c r="I319" i="3"/>
  <c r="I318" i="3" s="1"/>
  <c r="I309" i="3"/>
  <c r="I193" i="3"/>
  <c r="I57" i="3"/>
  <c r="I122" i="3"/>
  <c r="I165" i="3"/>
  <c r="I159" i="3"/>
  <c r="I143" i="3"/>
  <c r="I212" i="3"/>
  <c r="I232" i="3"/>
  <c r="I315" i="3"/>
  <c r="I314" i="3" s="1"/>
  <c r="I211" i="3"/>
  <c r="I287" i="3"/>
  <c r="I79" i="3"/>
  <c r="I275" i="3"/>
  <c r="I109" i="3"/>
  <c r="I175" i="3"/>
  <c r="I310" i="3"/>
  <c r="J408" i="1"/>
  <c r="J407" i="1" s="1"/>
  <c r="H270" i="3"/>
  <c r="H213" i="3" s="1"/>
  <c r="F270" i="3"/>
  <c r="F213" i="3" s="1"/>
  <c r="G270" i="3"/>
  <c r="G213" i="3" s="1"/>
  <c r="I269" i="3"/>
  <c r="I268" i="3" s="1"/>
  <c r="I239" i="3"/>
  <c r="I138" i="3"/>
  <c r="I112" i="3"/>
  <c r="I305" i="3"/>
  <c r="I304" i="3" s="1"/>
  <c r="I199" i="3"/>
  <c r="J423" i="1"/>
  <c r="J402" i="1"/>
  <c r="I184" i="3"/>
  <c r="I181" i="3"/>
  <c r="I183" i="3"/>
  <c r="E194" i="3"/>
  <c r="E185" i="3" s="1"/>
  <c r="I230" i="3"/>
  <c r="L295" i="3"/>
  <c r="J295" i="3"/>
  <c r="G295" i="3"/>
  <c r="I139" i="3"/>
  <c r="I167" i="3"/>
  <c r="N295" i="3"/>
  <c r="H295" i="3"/>
  <c r="M295" i="3"/>
  <c r="M291" i="3" s="1"/>
  <c r="K295" i="3"/>
  <c r="K291" i="3" s="1"/>
  <c r="F295" i="3"/>
  <c r="F291" i="3" s="1"/>
  <c r="E295" i="3"/>
  <c r="E291" i="3" s="1"/>
  <c r="I207" i="3"/>
  <c r="M185" i="3"/>
  <c r="F185" i="3"/>
  <c r="I174" i="3"/>
  <c r="I142" i="3"/>
  <c r="K185" i="3"/>
  <c r="L178" i="3"/>
  <c r="H178" i="3"/>
  <c r="N178" i="3"/>
  <c r="J178" i="3"/>
  <c r="G178" i="3"/>
  <c r="M178" i="3"/>
  <c r="K178" i="3"/>
  <c r="F178" i="3"/>
  <c r="E178" i="3"/>
  <c r="N185" i="3"/>
  <c r="L185" i="3"/>
  <c r="J185" i="3"/>
  <c r="H185" i="3"/>
  <c r="G185" i="3"/>
  <c r="J349" i="1"/>
  <c r="J289" i="1" s="1"/>
  <c r="I106" i="3" l="1"/>
  <c r="I225" i="3"/>
  <c r="J288" i="1"/>
  <c r="J373" i="1"/>
  <c r="I196" i="3"/>
  <c r="K329" i="3"/>
  <c r="F329" i="3"/>
  <c r="I286" i="3"/>
  <c r="I185" i="3"/>
  <c r="I295" i="3"/>
  <c r="I307" i="3"/>
  <c r="G291" i="3"/>
  <c r="G329" i="3" s="1"/>
  <c r="L291" i="3"/>
  <c r="L329" i="3" s="1"/>
  <c r="H291" i="3"/>
  <c r="H329" i="3" s="1"/>
  <c r="N291" i="3"/>
  <c r="J291" i="3"/>
  <c r="I324" i="3"/>
  <c r="I316" i="3" s="1"/>
  <c r="I14" i="3"/>
  <c r="I178" i="3"/>
  <c r="E459" i="1"/>
  <c r="D459" i="1"/>
  <c r="B459" i="1"/>
  <c r="I291" i="3" l="1"/>
  <c r="D309" i="3"/>
  <c r="E285" i="3"/>
  <c r="J210" i="1"/>
  <c r="J174" i="1" s="1"/>
  <c r="P459" i="1"/>
  <c r="O309" i="3" l="1"/>
  <c r="I276" i="3"/>
  <c r="I270" i="3" s="1"/>
  <c r="I213" i="3" s="1"/>
  <c r="E270" i="3"/>
  <c r="E213" i="3" s="1"/>
  <c r="J173" i="1" l="1"/>
  <c r="C325" i="1"/>
  <c r="D325" i="1"/>
  <c r="B325" i="1"/>
  <c r="D244" i="3" l="1"/>
  <c r="O244" i="3" l="1"/>
  <c r="E163" i="3"/>
  <c r="E128" i="3" l="1"/>
  <c r="E329" i="3" s="1"/>
  <c r="J93" i="1"/>
  <c r="J76" i="1" s="1"/>
  <c r="J75" i="1" l="1"/>
  <c r="I41" i="3"/>
  <c r="I23" i="3" s="1"/>
  <c r="D61" i="1"/>
  <c r="D414" i="1"/>
  <c r="D349" i="1"/>
  <c r="C280" i="1"/>
  <c r="B280" i="1"/>
  <c r="D269" i="1"/>
  <c r="P462" i="1"/>
  <c r="E456" i="1"/>
  <c r="E460" i="1"/>
  <c r="E461" i="1"/>
  <c r="D319" i="3"/>
  <c r="D318" i="3" s="1"/>
  <c r="K451" i="1"/>
  <c r="L451" i="1"/>
  <c r="M451" i="1"/>
  <c r="N451" i="1"/>
  <c r="O451" i="1"/>
  <c r="F451" i="1"/>
  <c r="G451" i="1"/>
  <c r="H451" i="1"/>
  <c r="I451" i="1"/>
  <c r="E425" i="1"/>
  <c r="D224" i="3" s="1"/>
  <c r="E426" i="1"/>
  <c r="E427" i="1"/>
  <c r="E428" i="1"/>
  <c r="E429" i="1"/>
  <c r="E424" i="1"/>
  <c r="K422" i="1"/>
  <c r="L422" i="1"/>
  <c r="M422" i="1"/>
  <c r="N422" i="1"/>
  <c r="O422" i="1"/>
  <c r="F422" i="1"/>
  <c r="G422" i="1"/>
  <c r="H422" i="1"/>
  <c r="I422" i="1"/>
  <c r="J416" i="1"/>
  <c r="J415" i="1" s="1"/>
  <c r="E417" i="1"/>
  <c r="K416" i="1"/>
  <c r="K415" i="1" s="1"/>
  <c r="L416" i="1"/>
  <c r="L415" i="1" s="1"/>
  <c r="M416" i="1"/>
  <c r="M415" i="1" s="1"/>
  <c r="N416" i="1"/>
  <c r="N415" i="1" s="1"/>
  <c r="O416" i="1"/>
  <c r="O415" i="1" s="1"/>
  <c r="F416" i="1"/>
  <c r="F415" i="1" s="1"/>
  <c r="G416" i="1"/>
  <c r="G415" i="1" s="1"/>
  <c r="H416" i="1"/>
  <c r="H415" i="1" s="1"/>
  <c r="I416" i="1"/>
  <c r="I415" i="1" s="1"/>
  <c r="E410" i="1"/>
  <c r="E414" i="1"/>
  <c r="E409" i="1"/>
  <c r="K407" i="1"/>
  <c r="L407" i="1"/>
  <c r="M407" i="1"/>
  <c r="N407" i="1"/>
  <c r="O407" i="1"/>
  <c r="F407" i="1"/>
  <c r="G407" i="1"/>
  <c r="H407" i="1"/>
  <c r="I407" i="1"/>
  <c r="D211" i="3"/>
  <c r="E389" i="1"/>
  <c r="E390" i="1"/>
  <c r="E392" i="1"/>
  <c r="E395" i="1"/>
  <c r="E402" i="1"/>
  <c r="E379" i="1"/>
  <c r="K372" i="1"/>
  <c r="M372" i="1"/>
  <c r="N372" i="1"/>
  <c r="O372" i="1"/>
  <c r="F372" i="1"/>
  <c r="G372" i="1"/>
  <c r="H372" i="1"/>
  <c r="J366" i="1"/>
  <c r="J365" i="1" s="1"/>
  <c r="E367" i="1"/>
  <c r="K366" i="1"/>
  <c r="K365" i="1" s="1"/>
  <c r="L366" i="1"/>
  <c r="L365" i="1" s="1"/>
  <c r="M366" i="1"/>
  <c r="M365" i="1" s="1"/>
  <c r="N366" i="1"/>
  <c r="N365" i="1" s="1"/>
  <c r="O366" i="1"/>
  <c r="O365" i="1" s="1"/>
  <c r="F366" i="1"/>
  <c r="F365" i="1" s="1"/>
  <c r="G366" i="1"/>
  <c r="G365" i="1" s="1"/>
  <c r="H366" i="1"/>
  <c r="H365" i="1" s="1"/>
  <c r="I366" i="1"/>
  <c r="I365" i="1" s="1"/>
  <c r="E305" i="1"/>
  <c r="E306" i="1"/>
  <c r="E307" i="1"/>
  <c r="E310" i="1"/>
  <c r="E311" i="1"/>
  <c r="E314" i="1"/>
  <c r="E318" i="1"/>
  <c r="E322" i="1"/>
  <c r="E345" i="1"/>
  <c r="E349" i="1"/>
  <c r="P358" i="1"/>
  <c r="E363" i="1"/>
  <c r="E302" i="1"/>
  <c r="E285" i="1"/>
  <c r="E275" i="1" s="1"/>
  <c r="K274" i="1"/>
  <c r="L274" i="1"/>
  <c r="M274" i="1"/>
  <c r="N274" i="1"/>
  <c r="F274" i="1"/>
  <c r="G274" i="1"/>
  <c r="H274" i="1"/>
  <c r="E269" i="1"/>
  <c r="E270" i="1"/>
  <c r="E268" i="1"/>
  <c r="K265" i="1"/>
  <c r="L265" i="1"/>
  <c r="M265" i="1"/>
  <c r="N265" i="1"/>
  <c r="O265" i="1"/>
  <c r="F265" i="1"/>
  <c r="G265" i="1"/>
  <c r="H265" i="1"/>
  <c r="I265" i="1"/>
  <c r="E226" i="1"/>
  <c r="E227" i="1"/>
  <c r="E228" i="1"/>
  <c r="E230" i="1"/>
  <c r="E231" i="1"/>
  <c r="E232" i="1"/>
  <c r="E234" i="1"/>
  <c r="E238" i="1"/>
  <c r="E241" i="1"/>
  <c r="E243" i="1"/>
  <c r="E245" i="1"/>
  <c r="E246" i="1"/>
  <c r="E247" i="1"/>
  <c r="E248" i="1"/>
  <c r="E249" i="1"/>
  <c r="E256" i="1"/>
  <c r="E257" i="1"/>
  <c r="E264" i="1"/>
  <c r="D327" i="3" s="1"/>
  <c r="E224" i="1"/>
  <c r="D109" i="3"/>
  <c r="E190" i="1"/>
  <c r="E193" i="1"/>
  <c r="E195" i="1"/>
  <c r="E197" i="1"/>
  <c r="E200" i="1"/>
  <c r="D123" i="3"/>
  <c r="E210" i="1"/>
  <c r="E186" i="1"/>
  <c r="K75" i="1"/>
  <c r="L75" i="1"/>
  <c r="M75" i="1"/>
  <c r="N75" i="1"/>
  <c r="O75" i="1"/>
  <c r="F75" i="1"/>
  <c r="G75" i="1"/>
  <c r="H75" i="1"/>
  <c r="I75" i="1"/>
  <c r="D57" i="3"/>
  <c r="D66" i="3"/>
  <c r="D76" i="3"/>
  <c r="D77" i="3"/>
  <c r="D79" i="3"/>
  <c r="D87" i="3"/>
  <c r="E24" i="1"/>
  <c r="E28" i="1"/>
  <c r="E29" i="1"/>
  <c r="E30" i="1"/>
  <c r="E33" i="1"/>
  <c r="E35" i="1"/>
  <c r="E36" i="1"/>
  <c r="E37" i="1"/>
  <c r="E38" i="1"/>
  <c r="E39" i="1"/>
  <c r="E40" i="1"/>
  <c r="E41" i="1"/>
  <c r="E42" i="1"/>
  <c r="E43" i="1"/>
  <c r="E45" i="1"/>
  <c r="E46" i="1"/>
  <c r="E47" i="1"/>
  <c r="E56" i="1"/>
  <c r="E57" i="1"/>
  <c r="E59" i="1"/>
  <c r="E60" i="1"/>
  <c r="E61" i="1"/>
  <c r="E62" i="1"/>
  <c r="E65" i="1"/>
  <c r="E67" i="1"/>
  <c r="E69" i="1"/>
  <c r="E71" i="1"/>
  <c r="E72" i="1"/>
  <c r="K16" i="1"/>
  <c r="M16" i="1"/>
  <c r="N16" i="1"/>
  <c r="O16" i="1"/>
  <c r="G16" i="1"/>
  <c r="H16" i="1"/>
  <c r="I16" i="1"/>
  <c r="L16" i="1"/>
  <c r="E17" i="1" l="1"/>
  <c r="E16" i="1" s="1"/>
  <c r="E289" i="1"/>
  <c r="E288" i="1" s="1"/>
  <c r="E452" i="1"/>
  <c r="E451" i="1" s="1"/>
  <c r="E174" i="1"/>
  <c r="E218" i="1"/>
  <c r="E217" i="1" s="1"/>
  <c r="E373" i="1"/>
  <c r="E372" i="1" s="1"/>
  <c r="E274" i="1"/>
  <c r="I470" i="1"/>
  <c r="I481" i="1" s="1"/>
  <c r="E266" i="1"/>
  <c r="E265" i="1" s="1"/>
  <c r="F470" i="1"/>
  <c r="F481" i="1" s="1"/>
  <c r="G470" i="1"/>
  <c r="G481" i="1" s="1"/>
  <c r="H470" i="1"/>
  <c r="H481" i="1" s="1"/>
  <c r="M470" i="1"/>
  <c r="M481" i="1" s="1"/>
  <c r="D155" i="3"/>
  <c r="E366" i="1"/>
  <c r="E365" i="1" s="1"/>
  <c r="E416" i="1"/>
  <c r="E415" i="1" s="1"/>
  <c r="K470" i="1"/>
  <c r="P322" i="1"/>
  <c r="P349" i="1"/>
  <c r="D16" i="3"/>
  <c r="D122" i="3"/>
  <c r="D143" i="3"/>
  <c r="D149" i="3"/>
  <c r="D203" i="3"/>
  <c r="D280" i="3"/>
  <c r="D299" i="3"/>
  <c r="D282" i="3"/>
  <c r="D153" i="3"/>
  <c r="D119" i="3"/>
  <c r="D148" i="3"/>
  <c r="D235" i="3"/>
  <c r="D313" i="3"/>
  <c r="D163" i="3"/>
  <c r="D199" i="3"/>
  <c r="D232" i="3"/>
  <c r="D223" i="3"/>
  <c r="D150" i="3"/>
  <c r="D117" i="3"/>
  <c r="D115" i="3"/>
  <c r="D161" i="3"/>
  <c r="D145" i="3"/>
  <c r="D281" i="3"/>
  <c r="D166" i="3"/>
  <c r="D165" i="3"/>
  <c r="D164" i="3"/>
  <c r="D141" i="3"/>
  <c r="D137" i="3"/>
  <c r="D285" i="3"/>
  <c r="D193" i="3"/>
  <c r="D189" i="3"/>
  <c r="D188" i="3"/>
  <c r="D19" i="3"/>
  <c r="D302" i="3"/>
  <c r="E75" i="1"/>
  <c r="D287" i="3"/>
  <c r="D39" i="3"/>
  <c r="D212" i="3"/>
  <c r="D275" i="3"/>
  <c r="D276" i="3"/>
  <c r="O315" i="3"/>
  <c r="O314" i="3" s="1"/>
  <c r="D312" i="3"/>
  <c r="D311" i="3" s="1"/>
  <c r="D41" i="3"/>
  <c r="D54" i="3"/>
  <c r="D310" i="3"/>
  <c r="D307" i="3" s="1"/>
  <c r="D175" i="3"/>
  <c r="E408" i="1"/>
  <c r="E407" i="1" s="1"/>
  <c r="D156" i="3"/>
  <c r="P35" i="1"/>
  <c r="O155" i="3" s="1"/>
  <c r="D195" i="3"/>
  <c r="E423" i="1"/>
  <c r="E422" i="1" s="1"/>
  <c r="D190" i="3"/>
  <c r="D180" i="3"/>
  <c r="D147" i="3"/>
  <c r="D286" i="3"/>
  <c r="D194" i="3"/>
  <c r="D269" i="3"/>
  <c r="D268" i="3" s="1"/>
  <c r="D239" i="3"/>
  <c r="P257" i="1"/>
  <c r="P305" i="1"/>
  <c r="D138" i="3"/>
  <c r="D112" i="3"/>
  <c r="D204" i="3"/>
  <c r="D305" i="3"/>
  <c r="D304" i="3" s="1"/>
  <c r="D205" i="3"/>
  <c r="P363" i="1"/>
  <c r="D200" i="3"/>
  <c r="D207" i="3"/>
  <c r="D159" i="3"/>
  <c r="P302" i="1"/>
  <c r="O274" i="1"/>
  <c r="O470" i="1" s="1"/>
  <c r="D183" i="3"/>
  <c r="D167" i="3"/>
  <c r="D230" i="3"/>
  <c r="D184" i="3"/>
  <c r="D181" i="3"/>
  <c r="J274" i="1"/>
  <c r="P264" i="1"/>
  <c r="O327" i="3" s="1"/>
  <c r="D174" i="3"/>
  <c r="D142" i="3"/>
  <c r="D139" i="3"/>
  <c r="P71" i="1"/>
  <c r="P67" i="1"/>
  <c r="P62" i="1"/>
  <c r="P60" i="1"/>
  <c r="P57" i="1"/>
  <c r="P131" i="1"/>
  <c r="P123" i="1"/>
  <c r="P121" i="1"/>
  <c r="P102" i="1"/>
  <c r="P99" i="1"/>
  <c r="P93" i="1"/>
  <c r="P186" i="1"/>
  <c r="P248" i="1"/>
  <c r="P246" i="1"/>
  <c r="P243" i="1"/>
  <c r="P238" i="1"/>
  <c r="P234" i="1"/>
  <c r="P231" i="1"/>
  <c r="P228" i="1"/>
  <c r="P318" i="1"/>
  <c r="P312" i="1"/>
  <c r="O205" i="3" s="1"/>
  <c r="P307" i="1"/>
  <c r="P390" i="1"/>
  <c r="P72" i="1"/>
  <c r="P69" i="1"/>
  <c r="P65" i="1"/>
  <c r="P61" i="1"/>
  <c r="P59" i="1"/>
  <c r="P56" i="1"/>
  <c r="P120" i="1"/>
  <c r="P111" i="1"/>
  <c r="P224" i="1"/>
  <c r="P249" i="1"/>
  <c r="P247" i="1"/>
  <c r="P245" i="1"/>
  <c r="P241" i="1"/>
  <c r="P236" i="1"/>
  <c r="P232" i="1"/>
  <c r="P230" i="1"/>
  <c r="P227" i="1"/>
  <c r="P314" i="1"/>
  <c r="P311" i="1"/>
  <c r="P310" i="1"/>
  <c r="P392" i="1"/>
  <c r="P454" i="1"/>
  <c r="P345" i="1"/>
  <c r="P409" i="1"/>
  <c r="P410" i="1"/>
  <c r="P427" i="1"/>
  <c r="J422" i="1"/>
  <c r="P460" i="1"/>
  <c r="P456" i="1"/>
  <c r="P270" i="1"/>
  <c r="P269" i="1"/>
  <c r="P51" i="1"/>
  <c r="O259" i="3" s="1"/>
  <c r="P43" i="1"/>
  <c r="P41" i="1"/>
  <c r="P39" i="1"/>
  <c r="P37" i="1"/>
  <c r="P30" i="1"/>
  <c r="P28" i="1"/>
  <c r="P277" i="1"/>
  <c r="P402" i="1"/>
  <c r="P417" i="1"/>
  <c r="P416" i="1" s="1"/>
  <c r="P415" i="1" s="1"/>
  <c r="P428" i="1"/>
  <c r="P426" i="1"/>
  <c r="P425" i="1"/>
  <c r="O224" i="3" s="1"/>
  <c r="P429" i="1"/>
  <c r="P320" i="1"/>
  <c r="P47" i="1"/>
  <c r="P45" i="1"/>
  <c r="P42" i="1"/>
  <c r="P40" i="1"/>
  <c r="P36" i="1"/>
  <c r="P33" i="1"/>
  <c r="P29" i="1"/>
  <c r="P210" i="1"/>
  <c r="P201" i="1"/>
  <c r="P200" i="1"/>
  <c r="P197" i="1"/>
  <c r="P195" i="1"/>
  <c r="P193" i="1"/>
  <c r="P190" i="1"/>
  <c r="P187" i="1"/>
  <c r="J265" i="1"/>
  <c r="P283" i="1"/>
  <c r="P285" i="1"/>
  <c r="P279" i="1"/>
  <c r="P395" i="1"/>
  <c r="P389" i="1"/>
  <c r="P24" i="1"/>
  <c r="P38" i="1"/>
  <c r="P306" i="1"/>
  <c r="P414" i="1"/>
  <c r="P46" i="1"/>
  <c r="P92" i="1"/>
  <c r="P268" i="1"/>
  <c r="P282" i="1"/>
  <c r="P280" i="1"/>
  <c r="P457" i="1"/>
  <c r="P379" i="1"/>
  <c r="P461" i="1"/>
  <c r="J451" i="1"/>
  <c r="P424" i="1"/>
  <c r="P367" i="1"/>
  <c r="P366" i="1" s="1"/>
  <c r="P365" i="1" s="1"/>
  <c r="P91" i="1"/>
  <c r="J16" i="1"/>
  <c r="P256" i="1"/>
  <c r="P17" i="1" l="1"/>
  <c r="D128" i="3"/>
  <c r="P76" i="1"/>
  <c r="P75" i="1" s="1"/>
  <c r="P452" i="1"/>
  <c r="P289" i="1"/>
  <c r="P288" i="1" s="1"/>
  <c r="D106" i="3"/>
  <c r="P174" i="1"/>
  <c r="P173" i="1" s="1"/>
  <c r="P275" i="1"/>
  <c r="D225" i="3"/>
  <c r="P266" i="1"/>
  <c r="D14" i="3"/>
  <c r="D196" i="3"/>
  <c r="O16" i="3"/>
  <c r="E173" i="1"/>
  <c r="D295" i="3"/>
  <c r="D291" i="3" s="1"/>
  <c r="O115" i="3"/>
  <c r="O123" i="3"/>
  <c r="O148" i="3"/>
  <c r="O143" i="3"/>
  <c r="O299" i="3"/>
  <c r="O232" i="3"/>
  <c r="O161" i="3"/>
  <c r="O199" i="3"/>
  <c r="O117" i="3"/>
  <c r="O281" i="3"/>
  <c r="O280" i="3"/>
  <c r="O269" i="3"/>
  <c r="O268" i="3" s="1"/>
  <c r="O313" i="3"/>
  <c r="O149" i="3"/>
  <c r="O147" i="3"/>
  <c r="O109" i="3"/>
  <c r="O119" i="3"/>
  <c r="O150" i="3"/>
  <c r="O235" i="3"/>
  <c r="O159" i="3"/>
  <c r="O282" i="3"/>
  <c r="O145" i="3"/>
  <c r="O122" i="3"/>
  <c r="O153" i="3"/>
  <c r="O223" i="3"/>
  <c r="O255" i="3"/>
  <c r="O203" i="3"/>
  <c r="O163" i="3"/>
  <c r="O319" i="3"/>
  <c r="O318" i="3" s="1"/>
  <c r="O166" i="3"/>
  <c r="O165" i="3"/>
  <c r="O164" i="3"/>
  <c r="O141" i="3"/>
  <c r="O285" i="3"/>
  <c r="O194" i="3"/>
  <c r="O193" i="3"/>
  <c r="O190" i="3"/>
  <c r="O189" i="3"/>
  <c r="O188" i="3"/>
  <c r="O19" i="3"/>
  <c r="O302" i="3"/>
  <c r="O57" i="3"/>
  <c r="O76" i="3"/>
  <c r="O79" i="3"/>
  <c r="O66" i="3"/>
  <c r="O77" i="3"/>
  <c r="O87" i="3"/>
  <c r="O287" i="3"/>
  <c r="O39" i="3"/>
  <c r="D270" i="3"/>
  <c r="O275" i="3"/>
  <c r="O212" i="3"/>
  <c r="O276" i="3"/>
  <c r="O324" i="3"/>
  <c r="O312" i="3"/>
  <c r="O311" i="3" s="1"/>
  <c r="O41" i="3"/>
  <c r="O200" i="3"/>
  <c r="O175" i="3"/>
  <c r="O239" i="3"/>
  <c r="O54" i="3"/>
  <c r="P408" i="1"/>
  <c r="O310" i="3"/>
  <c r="O307" i="3" s="1"/>
  <c r="O156" i="3"/>
  <c r="O195" i="3"/>
  <c r="D324" i="3"/>
  <c r="D316" i="3" s="1"/>
  <c r="O286" i="3"/>
  <c r="D185" i="3"/>
  <c r="O180" i="3"/>
  <c r="O167" i="3"/>
  <c r="O138" i="3"/>
  <c r="O112" i="3"/>
  <c r="O204" i="3"/>
  <c r="O305" i="3"/>
  <c r="O304" i="3" s="1"/>
  <c r="P423" i="1"/>
  <c r="O230" i="3"/>
  <c r="O174" i="3"/>
  <c r="D178" i="3"/>
  <c r="O207" i="3"/>
  <c r="O184" i="3"/>
  <c r="O183" i="3"/>
  <c r="O142" i="3"/>
  <c r="O181" i="3"/>
  <c r="O139" i="3"/>
  <c r="L372" i="1"/>
  <c r="L470" i="1" s="1"/>
  <c r="L481" i="1" s="1"/>
  <c r="O23" i="3" l="1"/>
  <c r="D213" i="3"/>
  <c r="O106" i="3"/>
  <c r="O316" i="3"/>
  <c r="O225" i="3"/>
  <c r="E470" i="1"/>
  <c r="O295" i="3"/>
  <c r="O291" i="3" s="1"/>
  <c r="O185" i="3"/>
  <c r="O14" i="3"/>
  <c r="O270" i="3"/>
  <c r="O178" i="3"/>
  <c r="P388" i="1"/>
  <c r="P373" i="1" s="1"/>
  <c r="J372" i="1"/>
  <c r="O213" i="3" l="1"/>
  <c r="O211" i="3"/>
  <c r="O196" i="3" s="1"/>
  <c r="J137" i="3" l="1"/>
  <c r="N137" i="3"/>
  <c r="J226" i="1"/>
  <c r="J218" i="1" s="1"/>
  <c r="N128" i="3" l="1"/>
  <c r="N329" i="3" s="1"/>
  <c r="O481" i="1" s="1"/>
  <c r="J128" i="3"/>
  <c r="J329" i="3" s="1"/>
  <c r="K481" i="1" s="1"/>
  <c r="J217" i="1"/>
  <c r="J470" i="1" s="1"/>
  <c r="I137" i="3"/>
  <c r="I128" i="3" s="1"/>
  <c r="P226" i="1"/>
  <c r="P218" i="1" s="1"/>
  <c r="P16" i="1"/>
  <c r="P407" i="1"/>
  <c r="P451" i="1"/>
  <c r="P217" i="1" l="1"/>
  <c r="I329" i="3"/>
  <c r="J481" i="1" s="1"/>
  <c r="O137" i="3"/>
  <c r="P422" i="1"/>
  <c r="P372" i="1"/>
  <c r="P274" i="1"/>
  <c r="P265" i="1"/>
  <c r="O128" i="3" l="1"/>
  <c r="O329" i="3" s="1"/>
  <c r="P470" i="1"/>
  <c r="C67" i="1"/>
  <c r="P481" i="1" l="1"/>
  <c r="C457" i="1"/>
  <c r="D457" i="1"/>
  <c r="B457" i="1"/>
  <c r="C346" i="1"/>
  <c r="D346" i="1"/>
  <c r="B346" i="1"/>
  <c r="C230" i="1" l="1"/>
  <c r="D230" i="1"/>
  <c r="B230" i="1"/>
  <c r="C38" i="1"/>
  <c r="B38" i="1"/>
  <c r="B197" i="1"/>
  <c r="C197" i="1"/>
  <c r="D197" i="1"/>
  <c r="B241" i="1"/>
  <c r="C241" i="1"/>
  <c r="B243" i="1"/>
  <c r="C243" i="1"/>
  <c r="C234" i="1"/>
  <c r="D234" i="1"/>
  <c r="B234" i="1"/>
  <c r="C414" i="1"/>
  <c r="B414" i="1"/>
  <c r="C410" i="1"/>
  <c r="D410" i="1"/>
  <c r="B410" i="1"/>
  <c r="D201" i="1"/>
  <c r="C201" i="1"/>
  <c r="B201" i="1"/>
  <c r="C200" i="1"/>
  <c r="D200" i="1"/>
  <c r="B200" i="1"/>
  <c r="C61" i="1"/>
  <c r="B61" i="1"/>
  <c r="C264" i="1"/>
  <c r="B264" i="1"/>
  <c r="C256" i="1"/>
  <c r="D256" i="1"/>
  <c r="C257" i="1"/>
  <c r="B257" i="1"/>
  <c r="B256" i="1"/>
  <c r="C249" i="1"/>
  <c r="D249" i="1"/>
  <c r="B249" i="1"/>
  <c r="C248" i="1"/>
  <c r="D248" i="1"/>
  <c r="B248" i="1"/>
  <c r="C247" i="1"/>
  <c r="B247" i="1"/>
  <c r="C246" i="1"/>
  <c r="D246" i="1"/>
  <c r="B246" i="1"/>
  <c r="C245" i="1"/>
  <c r="D245" i="1"/>
  <c r="B245" i="1"/>
  <c r="C238" i="1"/>
  <c r="D238" i="1"/>
  <c r="B238" i="1"/>
  <c r="C236" i="1"/>
  <c r="D236" i="1"/>
  <c r="B236" i="1"/>
  <c r="C232" i="1"/>
  <c r="D232" i="1"/>
  <c r="B232" i="1"/>
  <c r="C231" i="1"/>
  <c r="D231" i="1"/>
  <c r="B231" i="1"/>
  <c r="C228" i="1"/>
  <c r="B228" i="1"/>
  <c r="C227" i="1"/>
  <c r="B227" i="1"/>
  <c r="C226" i="1"/>
  <c r="D226" i="1"/>
  <c r="B226" i="1"/>
  <c r="C210" i="1"/>
  <c r="B210" i="1"/>
  <c r="C195" i="1"/>
  <c r="D195" i="1"/>
  <c r="B195" i="1"/>
  <c r="C193" i="1"/>
  <c r="B193" i="1"/>
  <c r="C190" i="1"/>
  <c r="B190" i="1"/>
  <c r="C187" i="1"/>
  <c r="B187" i="1"/>
  <c r="C121" i="1"/>
  <c r="C123" i="1"/>
  <c r="C93" i="1"/>
  <c r="B93" i="1"/>
  <c r="C92" i="1"/>
  <c r="B92" i="1"/>
  <c r="C72" i="1"/>
  <c r="D72" i="1"/>
  <c r="B72" i="1"/>
  <c r="C71" i="1"/>
  <c r="D71" i="1"/>
  <c r="B71" i="1"/>
  <c r="C69" i="1"/>
  <c r="D69" i="1"/>
  <c r="B69" i="1"/>
  <c r="B67" i="1"/>
  <c r="C65" i="1"/>
  <c r="D65" i="1"/>
  <c r="B65" i="1"/>
  <c r="C62" i="1"/>
  <c r="D62" i="1"/>
  <c r="B62" i="1"/>
  <c r="C60" i="1"/>
  <c r="D60" i="1"/>
  <c r="B60" i="1"/>
  <c r="C59" i="1"/>
  <c r="B59" i="1"/>
  <c r="C57" i="1"/>
  <c r="D57" i="1"/>
  <c r="B57" i="1"/>
  <c r="C56" i="1"/>
  <c r="B56" i="1"/>
  <c r="C51" i="1"/>
  <c r="D51" i="1"/>
  <c r="B51" i="1"/>
  <c r="C36" i="1"/>
  <c r="C37" i="1"/>
  <c r="B37" i="1"/>
  <c r="B36" i="1"/>
  <c r="C39" i="1"/>
  <c r="C40" i="1"/>
  <c r="B39" i="1"/>
  <c r="C47" i="1"/>
  <c r="D47" i="1"/>
  <c r="B47" i="1"/>
  <c r="C46" i="1"/>
  <c r="B46" i="1"/>
  <c r="C45" i="1"/>
  <c r="B45" i="1"/>
  <c r="C43" i="1"/>
  <c r="B43" i="1"/>
  <c r="C42" i="1"/>
  <c r="B42" i="1"/>
  <c r="C41" i="1"/>
  <c r="B41" i="1"/>
  <c r="C35" i="1"/>
  <c r="B35" i="1"/>
  <c r="C33" i="1"/>
  <c r="D33" i="1"/>
  <c r="B33" i="1"/>
  <c r="C30" i="1"/>
  <c r="B30" i="1"/>
  <c r="C29" i="1"/>
  <c r="D29" i="1"/>
  <c r="B29" i="1"/>
  <c r="C28" i="1"/>
  <c r="B28" i="1"/>
  <c r="C24" i="1"/>
  <c r="D24" i="1"/>
  <c r="B24" i="1"/>
  <c r="D270" i="1"/>
  <c r="C270" i="1"/>
  <c r="B270" i="1"/>
  <c r="C279" i="1"/>
  <c r="D279" i="1"/>
  <c r="B279" i="1"/>
  <c r="C282" i="1"/>
  <c r="D282" i="1"/>
  <c r="C283" i="1"/>
  <c r="D283" i="1"/>
  <c r="B283" i="1"/>
  <c r="B282" i="1"/>
  <c r="C285" i="1"/>
  <c r="B285" i="1"/>
  <c r="C305" i="1"/>
  <c r="D305" i="1"/>
  <c r="B305" i="1"/>
  <c r="C311" i="1"/>
  <c r="D311" i="1"/>
  <c r="B311" i="1"/>
  <c r="C310" i="1"/>
  <c r="D310" i="1"/>
  <c r="B310" i="1"/>
  <c r="C307" i="1"/>
  <c r="D307" i="1"/>
  <c r="B307" i="1"/>
  <c r="C306" i="1"/>
  <c r="D306" i="1"/>
  <c r="B306" i="1"/>
  <c r="C312" i="1"/>
  <c r="D312" i="1"/>
  <c r="B312" i="1"/>
  <c r="C314" i="1"/>
  <c r="D314" i="1"/>
  <c r="B314" i="1"/>
  <c r="C318" i="1"/>
  <c r="D318" i="1"/>
  <c r="B318" i="1"/>
  <c r="C320" i="1"/>
  <c r="B320" i="1"/>
  <c r="C322" i="1"/>
  <c r="B322" i="1"/>
  <c r="C345" i="1"/>
  <c r="B345" i="1"/>
  <c r="C358" i="1"/>
  <c r="D358" i="1"/>
  <c r="B358" i="1"/>
  <c r="C363" i="1"/>
  <c r="B363" i="1"/>
  <c r="C384" i="1"/>
  <c r="D384" i="1"/>
  <c r="B384" i="1"/>
  <c r="C388" i="1"/>
  <c r="B388" i="1"/>
  <c r="C389" i="1"/>
  <c r="B389" i="1"/>
  <c r="C392" i="1"/>
  <c r="B392" i="1"/>
  <c r="C390" i="1"/>
  <c r="B390" i="1"/>
  <c r="C395" i="1"/>
  <c r="B395" i="1"/>
  <c r="C402" i="1"/>
  <c r="B402" i="1"/>
  <c r="C425" i="1"/>
  <c r="D425" i="1"/>
  <c r="B425" i="1"/>
  <c r="C426" i="1"/>
  <c r="D426" i="1"/>
  <c r="B426" i="1"/>
  <c r="C427" i="1"/>
  <c r="D427" i="1"/>
  <c r="B427" i="1"/>
  <c r="C428" i="1"/>
  <c r="D428" i="1"/>
  <c r="B428" i="1"/>
  <c r="C429" i="1"/>
  <c r="D429" i="1"/>
  <c r="B429" i="1"/>
  <c r="C456" i="1"/>
  <c r="B456" i="1"/>
  <c r="C460" i="1"/>
  <c r="D460" i="1"/>
  <c r="B460" i="1"/>
  <c r="C461" i="1"/>
  <c r="D461" i="1"/>
  <c r="B461" i="1"/>
  <c r="C462" i="1"/>
  <c r="D462" i="1"/>
  <c r="C463" i="1"/>
  <c r="D463" i="1"/>
  <c r="B463" i="1"/>
  <c r="C454" i="1"/>
  <c r="B454" i="1"/>
  <c r="C424" i="1"/>
  <c r="B424" i="1"/>
  <c r="C417" i="1"/>
  <c r="B417" i="1"/>
  <c r="C409" i="1"/>
  <c r="B409" i="1"/>
  <c r="C379" i="1"/>
  <c r="B379" i="1"/>
  <c r="C367" i="1"/>
  <c r="B367" i="1"/>
  <c r="C302" i="1"/>
  <c r="B302" i="1"/>
  <c r="C277" i="1"/>
  <c r="B277" i="1"/>
  <c r="C268" i="1"/>
  <c r="B268" i="1"/>
  <c r="C224" i="1"/>
  <c r="B224" i="1"/>
  <c r="C186" i="1"/>
  <c r="B186" i="1"/>
  <c r="C91" i="1"/>
  <c r="B91" i="1"/>
  <c r="C22" i="1"/>
  <c r="B22" i="1"/>
  <c r="D256" i="3" l="1"/>
  <c r="O256" i="3" l="1"/>
  <c r="D214" i="3" l="1"/>
  <c r="O214" i="3" l="1"/>
  <c r="I214" i="3"/>
  <c r="D102" i="3" l="1"/>
  <c r="D23" i="3" l="1"/>
  <c r="D329" i="3" s="1"/>
  <c r="E481" i="1" s="1"/>
  <c r="M282" i="3"/>
  <c r="M270" i="3" s="1"/>
  <c r="M213" i="3" s="1"/>
  <c r="M329" i="3" s="1"/>
  <c r="N288" i="1"/>
  <c r="N470" i="1" s="1"/>
  <c r="N481" i="1" l="1"/>
</calcChain>
</file>

<file path=xl/sharedStrings.xml><?xml version="1.0" encoding="utf-8"?>
<sst xmlns="http://schemas.openxmlformats.org/spreadsheetml/2006/main" count="1304" uniqueCount="757">
  <si>
    <t>1410160</t>
  </si>
  <si>
    <t>Проектування, реставрація та охорона пам'яток архітектури</t>
  </si>
  <si>
    <t>7640</t>
  </si>
  <si>
    <t>7412</t>
  </si>
  <si>
    <t>7610</t>
  </si>
  <si>
    <t>7670</t>
  </si>
  <si>
    <t>8300</t>
  </si>
  <si>
    <t>8110</t>
  </si>
  <si>
    <t xml:space="preserve">Охорона навколишнього природного середовища </t>
  </si>
  <si>
    <t>8340</t>
  </si>
  <si>
    <t>Природоохоронні заходи за рахунок цільових фондів</t>
  </si>
  <si>
    <t>Обслуговування місцевого боргу</t>
  </si>
  <si>
    <t>9000</t>
  </si>
  <si>
    <t>9700</t>
  </si>
  <si>
    <t>9770</t>
  </si>
  <si>
    <t>Забезпечення діяльності бібліотек</t>
  </si>
  <si>
    <t>Проведення навчально-тренувальних зборів і змагань з неолімпійських видів спорту</t>
  </si>
  <si>
    <t>Інші заходи, пов'язані з економічною діяльністю</t>
  </si>
  <si>
    <t>Інші видатки на соціальний захист ветеранів війни та праці</t>
  </si>
  <si>
    <t>Компенсаційні виплати на пільговий проїзд електротранспортом окремим категоріям громадян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</si>
  <si>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</si>
  <si>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</si>
  <si>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Фінансова підтримка дитячо-юнацьких спортивних шкіл фізкультурно-спортивних товариств</t>
  </si>
  <si>
    <t>Сприяння розвитку малого та середнього підприємництва</t>
  </si>
  <si>
    <t>Управління  освіти і науки Сумської міської ради</t>
  </si>
  <si>
    <t>1000000</t>
  </si>
  <si>
    <t>1400000</t>
  </si>
  <si>
    <t>1500000</t>
  </si>
  <si>
    <t>1510000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</si>
  <si>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</si>
  <si>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Заходи державної політики з питань дітей та їх соціального захисту</t>
  </si>
  <si>
    <t>Департамент інфраструктури міста Сумської міської ради</t>
  </si>
  <si>
    <t>Управління капітального будівництва та дорожнього господарства Сумської міської ради</t>
  </si>
  <si>
    <t>Управління «Інспекція з благоустрою міста Суми» Сумської міської ради</t>
  </si>
  <si>
    <t>Виконавчий комітет Сумської міської ради</t>
  </si>
  <si>
    <t>Регулювання цін на послуги місцевого автотранспорту</t>
  </si>
  <si>
    <t>Організація та проведення громадських робіт</t>
  </si>
  <si>
    <t xml:space="preserve">Департамент соціального захисту населення Сумської міської ради </t>
  </si>
  <si>
    <t>Департамент забезпечення ресурсних платежів Сумської міської ради</t>
  </si>
  <si>
    <t>Управління архітектури та містобудування Сумської міської ради</t>
  </si>
  <si>
    <t>Департамент фінансів, економіки та інвестицій Сумської міської ради</t>
  </si>
  <si>
    <t>Управління державного архітектурно-будівельного контролю Сумської міської ради</t>
  </si>
  <si>
    <t>0100</t>
  </si>
  <si>
    <t>0180</t>
  </si>
  <si>
    <t>0111</t>
  </si>
  <si>
    <t>1000</t>
  </si>
  <si>
    <t>1010</t>
  </si>
  <si>
    <t>0910</t>
  </si>
  <si>
    <t>1020</t>
  </si>
  <si>
    <t>0921</t>
  </si>
  <si>
    <t>1030</t>
  </si>
  <si>
    <t>1060</t>
  </si>
  <si>
    <t>1070</t>
  </si>
  <si>
    <t>0922</t>
  </si>
  <si>
    <t>1090</t>
  </si>
  <si>
    <t>0960</t>
  </si>
  <si>
    <t>0990</t>
  </si>
  <si>
    <t>2000</t>
  </si>
  <si>
    <t>2010</t>
  </si>
  <si>
    <t>0731</t>
  </si>
  <si>
    <t>0733</t>
  </si>
  <si>
    <t>0722</t>
  </si>
  <si>
    <t>0763</t>
  </si>
  <si>
    <t>3000</t>
  </si>
  <si>
    <t>6000</t>
  </si>
  <si>
    <t>0610</t>
  </si>
  <si>
    <t>6020</t>
  </si>
  <si>
    <t>0620</t>
  </si>
  <si>
    <t>4000</t>
  </si>
  <si>
    <t>4030</t>
  </si>
  <si>
    <t>0824</t>
  </si>
  <si>
    <t>0829</t>
  </si>
  <si>
    <t>Засоби масової інформації</t>
  </si>
  <si>
    <t>0830</t>
  </si>
  <si>
    <t>5000</t>
  </si>
  <si>
    <t>5011</t>
  </si>
  <si>
    <t>0810</t>
  </si>
  <si>
    <t>5012</t>
  </si>
  <si>
    <t>0490</t>
  </si>
  <si>
    <t>0421</t>
  </si>
  <si>
    <t>0451</t>
  </si>
  <si>
    <t>7400</t>
  </si>
  <si>
    <t>0470</t>
  </si>
  <si>
    <t>0411</t>
  </si>
  <si>
    <t>7600</t>
  </si>
  <si>
    <t>0320</t>
  </si>
  <si>
    <t>0170</t>
  </si>
  <si>
    <t>9110</t>
  </si>
  <si>
    <t>0540</t>
  </si>
  <si>
    <t>0133</t>
  </si>
  <si>
    <t>8000</t>
  </si>
  <si>
    <t>8600</t>
  </si>
  <si>
    <t>8100</t>
  </si>
  <si>
    <t>7300</t>
  </si>
  <si>
    <t>3031</t>
  </si>
  <si>
    <t>3033</t>
  </si>
  <si>
    <t>1040</t>
  </si>
  <si>
    <t>3050</t>
  </si>
  <si>
    <t>3104</t>
  </si>
  <si>
    <t>3112</t>
  </si>
  <si>
    <t>3180</t>
  </si>
  <si>
    <t>3200</t>
  </si>
  <si>
    <t>1050</t>
  </si>
  <si>
    <t>3131</t>
  </si>
  <si>
    <t>3140</t>
  </si>
  <si>
    <t>3160</t>
  </si>
  <si>
    <t>Реверсна дотація</t>
  </si>
  <si>
    <t>0443</t>
  </si>
  <si>
    <t>5061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</si>
  <si>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</si>
  <si>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</si>
  <si>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5031</t>
  </si>
  <si>
    <t>5032</t>
  </si>
  <si>
    <t>1410000</t>
  </si>
  <si>
    <t>0160</t>
  </si>
  <si>
    <t>2030</t>
  </si>
  <si>
    <t>2100</t>
  </si>
  <si>
    <t>2111</t>
  </si>
  <si>
    <t>Надання інших пільг окремим категоріям громадян відповідно до законодавства</t>
  </si>
  <si>
    <t>3032</t>
  </si>
  <si>
    <t>3036</t>
  </si>
  <si>
    <t>3121</t>
  </si>
  <si>
    <t>6011</t>
  </si>
  <si>
    <t>Експлуатація та технічне обслуговування житлового фонду</t>
  </si>
  <si>
    <t>6013</t>
  </si>
  <si>
    <t>6030</t>
  </si>
  <si>
    <t>Організація благоустрою населених пунктів</t>
  </si>
  <si>
    <t>8400</t>
  </si>
  <si>
    <t>6084</t>
  </si>
  <si>
    <t>7000</t>
  </si>
  <si>
    <t>7130</t>
  </si>
  <si>
    <t>7340</t>
  </si>
  <si>
    <t>1010160</t>
  </si>
  <si>
    <t>1510160</t>
  </si>
  <si>
    <t>6090</t>
  </si>
  <si>
    <t>Інша діяльність у сфері житлово-комунального господарства</t>
  </si>
  <si>
    <t>7100</t>
  </si>
  <si>
    <t>Сільське, лісове, рибне господарство та мисливство</t>
  </si>
  <si>
    <t>1017640</t>
  </si>
  <si>
    <t>1517640</t>
  </si>
  <si>
    <t>8120</t>
  </si>
  <si>
    <t>0200000</t>
  </si>
  <si>
    <t>0210000</t>
  </si>
  <si>
    <t>0210160</t>
  </si>
  <si>
    <t>0213036</t>
  </si>
  <si>
    <t>0213121</t>
  </si>
  <si>
    <t>0213131</t>
  </si>
  <si>
    <t>0213140</t>
  </si>
  <si>
    <t>0215011</t>
  </si>
  <si>
    <t>0215012</t>
  </si>
  <si>
    <t>0215031</t>
  </si>
  <si>
    <t>0215061</t>
  </si>
  <si>
    <t>0217412</t>
  </si>
  <si>
    <t>0217610</t>
  </si>
  <si>
    <t>0217670</t>
  </si>
  <si>
    <t>0218110</t>
  </si>
  <si>
    <t>0218340</t>
  </si>
  <si>
    <t>0600000</t>
  </si>
  <si>
    <t>0610000</t>
  </si>
  <si>
    <t>0610160</t>
  </si>
  <si>
    <t>0611010</t>
  </si>
  <si>
    <t>0700000</t>
  </si>
  <si>
    <t>0710000</t>
  </si>
  <si>
    <t>0710160</t>
  </si>
  <si>
    <t>0712010</t>
  </si>
  <si>
    <t>0717640</t>
  </si>
  <si>
    <t>0712144</t>
  </si>
  <si>
    <t>0712111</t>
  </si>
  <si>
    <t>0712100</t>
  </si>
  <si>
    <t>0712030</t>
  </si>
  <si>
    <t>0800000</t>
  </si>
  <si>
    <t>0810000</t>
  </si>
  <si>
    <t>0810160</t>
  </si>
  <si>
    <t>0813031</t>
  </si>
  <si>
    <t>0813032</t>
  </si>
  <si>
    <t>0813036</t>
  </si>
  <si>
    <t>0813104</t>
  </si>
  <si>
    <t>0813160</t>
  </si>
  <si>
    <t>0813180</t>
  </si>
  <si>
    <t>0813200</t>
  </si>
  <si>
    <t>0900000</t>
  </si>
  <si>
    <t>0910000</t>
  </si>
  <si>
    <t>0910160</t>
  </si>
  <si>
    <t>0913112</t>
  </si>
  <si>
    <t>1010000</t>
  </si>
  <si>
    <t>1014030</t>
  </si>
  <si>
    <t>1200000</t>
  </si>
  <si>
    <t>1210000</t>
  </si>
  <si>
    <t>1210160</t>
  </si>
  <si>
    <t>1216011</t>
  </si>
  <si>
    <t>1216013</t>
  </si>
  <si>
    <t>1216020</t>
  </si>
  <si>
    <t>1216030</t>
  </si>
  <si>
    <t>1217340</t>
  </si>
  <si>
    <t>1217640</t>
  </si>
  <si>
    <t>1218340</t>
  </si>
  <si>
    <t>1219770</t>
  </si>
  <si>
    <t>1516030</t>
  </si>
  <si>
    <t>1516084</t>
  </si>
  <si>
    <t>1600000</t>
  </si>
  <si>
    <t>1610000</t>
  </si>
  <si>
    <t>1610160</t>
  </si>
  <si>
    <t>1710000</t>
  </si>
  <si>
    <t>1710160</t>
  </si>
  <si>
    <t>1700000</t>
  </si>
  <si>
    <t>3100000</t>
  </si>
  <si>
    <t>3110000</t>
  </si>
  <si>
    <t>3110160</t>
  </si>
  <si>
    <t>3117130</t>
  </si>
  <si>
    <t>3117610</t>
  </si>
  <si>
    <t>3700000</t>
  </si>
  <si>
    <t>3710000</t>
  </si>
  <si>
    <t>3710160</t>
  </si>
  <si>
    <t>3718340</t>
  </si>
  <si>
    <t>3718600</t>
  </si>
  <si>
    <t>0218120</t>
  </si>
  <si>
    <t>Загальний фонд</t>
  </si>
  <si>
    <t>Спеціальний фонд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</si>
  <si>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</si>
  <si>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</si>
  <si>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</si>
  <si>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</si>
  <si>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</si>
  <si>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</si>
  <si>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3719110</t>
  </si>
  <si>
    <t>0217530</t>
  </si>
  <si>
    <t>Інші заходи у сфері зв'язку, телекомунікації та інформатики</t>
  </si>
  <si>
    <t>7530</t>
  </si>
  <si>
    <t>0460</t>
  </si>
  <si>
    <t>7500</t>
  </si>
  <si>
    <t>Зв'язок, телекомунікації та інформатика</t>
  </si>
  <si>
    <t>7693</t>
  </si>
  <si>
    <t>0217693</t>
  </si>
  <si>
    <t>0210180</t>
  </si>
  <si>
    <t>Інша діяльність у сфері державного управління</t>
  </si>
  <si>
    <t>0218230</t>
  </si>
  <si>
    <t>8230</t>
  </si>
  <si>
    <t>0380</t>
  </si>
  <si>
    <t>Інші заходи громадського порядку та безпеки</t>
  </si>
  <si>
    <t>0217680</t>
  </si>
  <si>
    <t>7680</t>
  </si>
  <si>
    <t>Членські внески до асоціацій органів місцевого самоврядування</t>
  </si>
  <si>
    <t>8200</t>
  </si>
  <si>
    <t>Громадський порядок та безпека</t>
  </si>
  <si>
    <t>1216090</t>
  </si>
  <si>
    <t>9100</t>
  </si>
  <si>
    <t>0218420</t>
  </si>
  <si>
    <t>8420</t>
  </si>
  <si>
    <t>Інші заходи у сфері засобів масової інформації</t>
  </si>
  <si>
    <t>0213033</t>
  </si>
  <si>
    <t>3717640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</si>
  <si>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</si>
  <si>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</si>
  <si>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</si>
  <si>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</si>
  <si>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</si>
  <si>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3117693</t>
  </si>
  <si>
    <t>0819770</t>
  </si>
  <si>
    <t>3117650</t>
  </si>
  <si>
    <t>7650</t>
  </si>
  <si>
    <t>3117660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</si>
  <si>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</si>
  <si>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</si>
  <si>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1217310</t>
  </si>
  <si>
    <t>7310</t>
  </si>
  <si>
    <t>1217330</t>
  </si>
  <si>
    <t>7330</t>
  </si>
  <si>
    <t>1517310</t>
  </si>
  <si>
    <t>1517321</t>
  </si>
  <si>
    <t>7321</t>
  </si>
  <si>
    <t>1517322</t>
  </si>
  <si>
    <t>7322</t>
  </si>
  <si>
    <t>1517330</t>
  </si>
  <si>
    <t>Інші програми та заходи у сфері освіти</t>
  </si>
  <si>
    <t>2151</t>
  </si>
  <si>
    <t>2152</t>
  </si>
  <si>
    <t>3191</t>
  </si>
  <si>
    <t>3192</t>
  </si>
  <si>
    <t>3210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</si>
  <si>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</si>
  <si>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</si>
  <si>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</si>
  <si>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4081</t>
  </si>
  <si>
    <t>4082</t>
  </si>
  <si>
    <t>Інші заходи в галузі культури і мистецтва</t>
  </si>
  <si>
    <t>7691</t>
  </si>
  <si>
    <t>Дотації з місцевого бюджету іншим бюджетам</t>
  </si>
  <si>
    <t>1617691</t>
  </si>
  <si>
    <t>1217691</t>
  </si>
  <si>
    <t>0217691</t>
  </si>
  <si>
    <t>1213210</t>
  </si>
  <si>
    <t>0214081</t>
  </si>
  <si>
    <t>0214082</t>
  </si>
  <si>
    <t>0213241</t>
  </si>
  <si>
    <t>0213242</t>
  </si>
  <si>
    <t>0813241</t>
  </si>
  <si>
    <t>0813191</t>
  </si>
  <si>
    <t>0813192</t>
  </si>
  <si>
    <t>0813210</t>
  </si>
  <si>
    <t>1616090</t>
  </si>
  <si>
    <t>0640</t>
  </si>
  <si>
    <t>0726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</si>
  <si>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</si>
  <si>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3090</t>
  </si>
  <si>
    <t>3171</t>
  </si>
  <si>
    <t>3172</t>
  </si>
  <si>
    <t>0214060</t>
  </si>
  <si>
    <t>4060</t>
  </si>
  <si>
    <t>0828</t>
  </si>
  <si>
    <t>Компенсаційні виплати за пільговий проїзд окремих категорій громадян на залізничному транспорті</t>
  </si>
  <si>
    <t>3035</t>
  </si>
  <si>
    <t>0813035</t>
  </si>
  <si>
    <t>0712151</t>
  </si>
  <si>
    <t>0712152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</si>
  <si>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</si>
  <si>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</si>
  <si>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</si>
  <si>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3717693</t>
  </si>
  <si>
    <t>1217670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</si>
  <si>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</si>
  <si>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</si>
  <si>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0913111</t>
  </si>
  <si>
    <t>Відділ культури Сумської міської ради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</si>
  <si>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</si>
  <si>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</si>
  <si>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</si>
  <si>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бюджетної програми згідно з Типовою програмною класифікацією видатків та кредитування місцевого бюджету</t>
  </si>
  <si>
    <t>Здійснення заходів та реалізація проектів на виконання Державної цільової соціальної програми "Молодь України"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</si>
  <si>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</si>
  <si>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Забезпечення обробки інформації з нарахування та виплати допомог і компенсацій</t>
  </si>
  <si>
    <t>Забезпечення діяльності інших закладів в галузі культури і мистецтва</t>
  </si>
  <si>
    <t>Інша діяльність, пов’язана з експлуатацією об’єктів житлово-комунального господарства</t>
  </si>
  <si>
    <t>Здійснення заходів із землеустрою</t>
  </si>
  <si>
    <t>Проведення експертної грошової оцінки земельної ділянки чи права на неї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</si>
  <si>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</si>
  <si>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 xml:space="preserve">Інша діяльність у сфері екології та охорони природних ресурсів </t>
  </si>
  <si>
    <t>0215062</t>
  </si>
  <si>
    <t>0813050</t>
  </si>
  <si>
    <t>0813090</t>
  </si>
  <si>
    <t>0813033</t>
  </si>
  <si>
    <t>0813171</t>
  </si>
  <si>
    <t>0813172</t>
  </si>
  <si>
    <t>0813242</t>
  </si>
  <si>
    <t>Інші субвенції з місцевого бюджету</t>
  </si>
  <si>
    <t>0215032</t>
  </si>
  <si>
    <t>(грн)</t>
  </si>
  <si>
    <t>1517325</t>
  </si>
  <si>
    <t>Надання пільг окремим категоріям громадян з оплати послуг зв'язку</t>
  </si>
  <si>
    <t>0717700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</si>
  <si>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</si>
  <si>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Управління  «Служба у справах дітей» Сумської міської ради</t>
  </si>
  <si>
    <t>Виконання інвестиційних проектів в рамках підтримки розвитку об'єднаних територіальних громад</t>
  </si>
  <si>
    <t>Надання позашкільної освіти закладами позашкільної освіти, заходи із позашкільної роботи з дітьми</t>
  </si>
  <si>
    <t>1517363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</si>
  <si>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</si>
  <si>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1217363</t>
  </si>
  <si>
    <t>1517691</t>
  </si>
  <si>
    <t>1217361</t>
  </si>
  <si>
    <t>1517361</t>
  </si>
  <si>
    <t>Співфінансування інвестиційних проектів, що реалізуються за рахунок коштів державного фонду регіонального розвитку</t>
  </si>
  <si>
    <t>0717361</t>
  </si>
  <si>
    <t>1217462</t>
  </si>
  <si>
    <t>Інші заходи у сфері автотранспорту</t>
  </si>
  <si>
    <t>Інші заходи у сфері електротранспорту</t>
  </si>
  <si>
    <t>0217413</t>
  </si>
  <si>
    <t>0217426</t>
  </si>
  <si>
    <t>1218230</t>
  </si>
  <si>
    <t>1218110</t>
  </si>
  <si>
    <t>0219800</t>
  </si>
  <si>
    <t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</si>
  <si>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</si>
  <si>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субвенції з місцевого бюджету на здійснення переданих видатків у сфері освіти за рахунок коштів освітньої субвенції</t>
  </si>
  <si>
    <t>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</si>
  <si>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</si>
  <si>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дотації з місцевого бюджету на здійснення переданих з державного бюджету видатків з утримання закладів освіти та охорони здоров’я за рахунок відповідної додаткової дотації з державного бюджету</t>
  </si>
  <si>
    <t>субвенції з державного бюджету місцевим бюджетам на здійснення заходів щодо соціально-економічного розвитку окремих територій</t>
  </si>
  <si>
    <t>освітньої субвенції з державного бюджету місцевим бюджетам</t>
  </si>
  <si>
    <t>медичної субвенції з державного бюджету місцевим бюджетам</t>
  </si>
  <si>
    <t>субвенції з місцевого бюджету на здійснення переданих видатків у сфері охорони здоров'я за рахунок коштів медичної субвенції</t>
  </si>
  <si>
    <t>субвенції з місцевого бюджету на здійснення підтримки окремих закладів та заходів у системі охорони здоров’я за рахунок відповідної субвенції з державного бюджету</t>
  </si>
  <si>
    <t>іншої субвенції з місцевого бюджету</t>
  </si>
  <si>
    <t xml:space="preserve">іншої субвенції з місцевого бюджету </t>
  </si>
  <si>
    <t>субвенції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</si>
  <si>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Виконання інвестиційних проектів в рамках здійснення заходів щодо соціально-економічного розвитку окремих територій, у т.ч. за рахунок:</t>
  </si>
  <si>
    <t>Утримання та розвиток автомобільних доріг та дорожньої інфраструктури за рахунок субвенції з державного бюджету, у т.ч. за рахунок:</t>
  </si>
  <si>
    <t>0456</t>
  </si>
  <si>
    <t>Централізовані заходи з лікування хворих на цукровий та нецукровий діабет, у т.ч. за рахунок: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</si>
  <si>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обслуговування, у т.ч. за рахунок:</t>
  </si>
  <si>
    <t>Встановлення телефонів особам з інвалідністю I і II груп, у т.ч. за рахунок:</t>
  </si>
  <si>
    <t>Всього видатків, у т.ч. за рахунок:</t>
  </si>
  <si>
    <t>Пільгове медичне обслуговування осіб, які постраждали внаслідок Чорнобильської катастрофи, у т.ч. за рахунок:</t>
  </si>
  <si>
    <t>Видатки на поховання учасників бойових дій та осіб з інвалідністю внаслідок війни, у т.ч. за рахунок:</t>
  </si>
  <si>
    <t>Компенсаційні виплати на пільговий проїзд автомобільним транспортом окремим категоріям громадян</t>
  </si>
  <si>
    <t>Інші заходи у сфері соціального захисту і соціального забезпечення</t>
  </si>
  <si>
    <t>0453</t>
  </si>
  <si>
    <t>0217325</t>
  </si>
  <si>
    <t>0217330</t>
  </si>
  <si>
    <t>0717322</t>
  </si>
  <si>
    <t>0817323</t>
  </si>
  <si>
    <t>Заходи з енергозбереження, у т. ч. за рахунок:</t>
  </si>
  <si>
    <t>місцевого запозичення</t>
  </si>
  <si>
    <t>Управління капітального будівництва та дорожнього господарства Сумської міської ради, у т. ч. за рахунок:</t>
  </si>
  <si>
    <t>Інші програми та заходи, пов'язані з економічною діяльністю, у т.ч. за рахунок:</t>
  </si>
  <si>
    <t>Заходи з енергозбереження</t>
  </si>
  <si>
    <t>0717363</t>
  </si>
  <si>
    <t>1517340</t>
  </si>
  <si>
    <t>1217530</t>
  </si>
  <si>
    <t>1517370</t>
  </si>
  <si>
    <t>Реалізація інших заходів щодо соціально-економічного розвитку територій</t>
  </si>
  <si>
    <t>0719770</t>
  </si>
  <si>
    <t>Інши субвенції з місцевого бюджету</t>
  </si>
  <si>
    <t>0210191</t>
  </si>
  <si>
    <t>0191</t>
  </si>
  <si>
    <t>Проведення місцевих виборів</t>
  </si>
  <si>
    <t>0916083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</si>
  <si>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</si>
  <si>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</si>
  <si>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0813223</t>
  </si>
  <si>
    <t>0813221</t>
  </si>
  <si>
    <t>субвенція з державного бюджету бюджету Сумської міської об’єднаної територіальної громади на поточний ремонт вулично-дорожньої мережі та штучних споруд м. Суми, вул. Харківська</t>
  </si>
  <si>
    <t>0712020</t>
  </si>
  <si>
    <t>0732</t>
  </si>
  <si>
    <t xml:space="preserve"> Спеціалізована стаціонарна медична допомога населенню</t>
  </si>
  <si>
    <t>0210170</t>
  </si>
  <si>
    <t>Підвищення кваліфікації депутатів місцевих рад та посадових осіб місцевого самоврядування</t>
  </si>
  <si>
    <t>0217450</t>
  </si>
  <si>
    <t>7450</t>
  </si>
  <si>
    <t>1017324</t>
  </si>
  <si>
    <t>7324</t>
  </si>
  <si>
    <t>1617350</t>
  </si>
  <si>
    <t>7350</t>
  </si>
  <si>
    <t>Розроблення схем планування та забудови територій (містобудівної документації)</t>
  </si>
  <si>
    <t>Інша діяльність у сфері транспорту</t>
  </si>
  <si>
    <t>0131</t>
  </si>
  <si>
    <t xml:space="preserve">Управління охорони здоров’я Сумської міської ради  </t>
  </si>
  <si>
    <t>Лікарсько-акушерська допомога вагітним, породіллям та новонародженим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</si>
  <si>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</si>
  <si>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</si>
  <si>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0611021</t>
  </si>
  <si>
    <t>Надання загальної середньої освіти закладами загальної середньої освіти</t>
  </si>
  <si>
    <t>0611022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</si>
  <si>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</si>
  <si>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0611031</t>
  </si>
  <si>
    <t>0611032</t>
  </si>
  <si>
    <t>1032</t>
  </si>
  <si>
    <t>0611070</t>
  </si>
  <si>
    <t>0611141</t>
  </si>
  <si>
    <t>1141</t>
  </si>
  <si>
    <t>0611142</t>
  </si>
  <si>
    <t>1142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</si>
  <si>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</si>
  <si>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</si>
  <si>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</si>
  <si>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</si>
  <si>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</si>
  <si>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0611160</t>
  </si>
  <si>
    <t>1160</t>
  </si>
  <si>
    <t>Забезпечення діяльності центрів професійного розвитку педагогічних працівників</t>
  </si>
  <si>
    <t>0611200</t>
  </si>
  <si>
    <t>1200</t>
  </si>
  <si>
    <t>0613140</t>
  </si>
  <si>
    <t>0613242</t>
  </si>
  <si>
    <t>0615031</t>
  </si>
  <si>
    <t>0617321</t>
  </si>
  <si>
    <t>0617640</t>
  </si>
  <si>
    <t>0618340</t>
  </si>
  <si>
    <t>0619770</t>
  </si>
  <si>
    <t>0617700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</si>
  <si>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</si>
  <si>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Надання дошкільної освіти</t>
  </si>
  <si>
    <t xml:space="preserve"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 у т.ч. за рахунок: </t>
  </si>
  <si>
    <t xml:space="preserve">Надання освіти за рахунок субвенції з державного бюджету місцевим бюджетам на надання державної підтримки особам з особливими освітніми потребами,  у т.ч. за рахунок: </t>
  </si>
  <si>
    <t>1011080</t>
  </si>
  <si>
    <t>Забезпечення діяльності інших закладів у сфері освіти</t>
  </si>
  <si>
    <t>Забезпечення діяльності інклюзивно-ресурсних центрів за рахунок освітньої субвенції, у т.ч. за рахунок: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</si>
  <si>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потребами,  у т.ч. за рахунок:</t>
  </si>
  <si>
    <t>3718710</t>
  </si>
  <si>
    <t>Резервний фонд місцевого бюджету</t>
  </si>
  <si>
    <t>0611210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</si>
  <si>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потребами,  у т.ч. за рахунок: </t>
  </si>
  <si>
    <t>1210</t>
  </si>
  <si>
    <t>0619800</t>
  </si>
  <si>
    <t>1519750</t>
  </si>
  <si>
    <t>Субвенція з місцевого бюджету на співфінансування інвестиційних проектів</t>
  </si>
  <si>
    <t>0611061</t>
  </si>
  <si>
    <t>залишок коштів освітньої субвенції , що утворився на початок бюджетного періоду</t>
  </si>
  <si>
    <t xml:space="preserve">Надання загальної середньої освіти закладами загальної середньої освіти,  у т.ч. за рахунок: </t>
  </si>
  <si>
    <t>0810180</t>
  </si>
  <si>
    <t>0611062</t>
  </si>
  <si>
    <t>0619320</t>
  </si>
  <si>
    <t>Субвенції з місцевого бюджету іншим місцевим бюджетам на здійснення програм у галузі освіти за рахунок субвенцій з державного бюджету,  у т.ч. за рахунок:</t>
  </si>
  <si>
    <t>Субвенція з місцевого бюджету за рахунок залишку коштів освітньої субвенції, що утворився на початок бюджетного періоду,  у т.ч. за рахунок:</t>
  </si>
  <si>
    <t>залишку коштів субвенції з державного бюджету Сумської міської об’єднаної територіальної громади на поточний ремонт вулично-дорожньої мережі та штучних споруд м. Суми, вул. Харківська</t>
  </si>
  <si>
    <t>залишку коштів освітньої субвенції , що утворився на початок бюджетного періоду</t>
  </si>
  <si>
    <t>7462</t>
  </si>
  <si>
    <t>1210180</t>
  </si>
  <si>
    <t>субвенції з місцевого бюджету за рахунок залишку коштів освітньої субвенції, що утворився на початок бюджетного періоду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</si>
  <si>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споруд, установ та закладів фізичної культури і спорту</t>
    </r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</si>
  <si>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медичних установ та закладів</t>
    </r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</si>
  <si>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установ та закладів соціальної сфери</t>
    </r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</si>
  <si>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установ та закладів культури</t>
    </r>
  </si>
  <si>
    <t>0617363</t>
  </si>
  <si>
    <t>1617370</t>
  </si>
  <si>
    <t>7370</t>
  </si>
  <si>
    <t>0611172</t>
  </si>
  <si>
    <t>0611182</t>
  </si>
  <si>
    <t>1172</t>
  </si>
  <si>
    <t>1182</t>
  </si>
  <si>
    <t>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</si>
  <si>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1517324</t>
  </si>
  <si>
    <t>0813222</t>
  </si>
  <si>
    <t>0217422</t>
  </si>
  <si>
    <t>Регулювання цін на послуги місцевого наземного електротранспорту</t>
  </si>
  <si>
    <t>0611171</t>
  </si>
  <si>
    <t>1171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</si>
  <si>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</si>
  <si>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</si>
  <si>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</si>
  <si>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1219730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</si>
  <si>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</si>
  <si>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(код бюджету)</t>
  </si>
  <si>
    <t>1217463</t>
  </si>
  <si>
    <t>Утримання та розвиток автомобільних доріг та дорожньої інфраструктури за рахунок трансфертів з інших місцевих бюджетів, у т.ч. за рахунок:</t>
  </si>
  <si>
    <t>1217368</t>
  </si>
  <si>
    <t>Виконання інвестиційних проектів за рахунок субвенцій з інших бюджетів, у т.ч. за рахунок:</t>
  </si>
  <si>
    <t>0611025</t>
  </si>
  <si>
    <t>0611035</t>
  </si>
  <si>
    <t xml:space="preserve">субвенції з державного бюджету місцевим бюджетам на реалізацію програми "Спроможна школа для кращих результатів" </t>
  </si>
  <si>
    <t xml:space="preserve"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бюджетам,  у т.ч. за рахунок: </t>
  </si>
  <si>
    <t xml:space="preserve">Субвенція з місцевого бюджету за рахунок залишку коштів освітньої субвенції, що утворився на початок бюджетного періоду,  у т.ч. за рахунок: </t>
  </si>
  <si>
    <t>1216083</t>
  </si>
  <si>
    <t>0219770</t>
  </si>
  <si>
    <t xml:space="preserve">Виконання заходів в рамках реалізації програми "Спроможна школа для кращих результатів" за рахунок субвенції з державного бюджету місцевим бюджетам,  у т.ч. за рахунок: 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</si>
  <si>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</si>
  <si>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Надання спеціалізованої освіти мистецькими школами</t>
  </si>
  <si>
    <t>0217323</t>
  </si>
  <si>
    <t>0213133</t>
  </si>
  <si>
    <t>Інші заходи та заклади молодіжної політики</t>
  </si>
  <si>
    <t>0813140</t>
  </si>
  <si>
    <t>0817640</t>
  </si>
  <si>
    <t>1216071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</si>
  <si>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</si>
  <si>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>1617340</t>
  </si>
  <si>
    <t>0913242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</si>
  <si>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</si>
  <si>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Багатопрофільна стаціонарна медична допомога населенню</t>
  </si>
  <si>
    <t>Транспорт та транспортна інфраструктура, дорожнє господарство</t>
  </si>
  <si>
    <t>Забезпечення діяльності інших закладів у сфері охорони здоров'я</t>
  </si>
  <si>
    <t>Інші програми та заходи у сфері охорони здоров'я</t>
  </si>
  <si>
    <t>Утримання та забезпечення діяльності центрів соціальних служб</t>
  </si>
  <si>
    <t xml:space="preserve">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</si>
  <si>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Витрати, пов'язані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</si>
  <si>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0611091</t>
  </si>
  <si>
    <t>0930</t>
  </si>
  <si>
    <t>0611092</t>
  </si>
  <si>
    <t xml:space="preserve">Підготовка кадрів закладами професійної (професійно-технічної) освіти та іншими закладами освіти за рахунок освітньої субвенції, у т.ч. за рахунок: </t>
  </si>
  <si>
    <t>Виконання інвестиційних проектів в рамках здійснення заходів щодо соціально-економічного розвитку окремих територій</t>
  </si>
  <si>
    <t>1511010</t>
  </si>
  <si>
    <t>1219750</t>
  </si>
  <si>
    <t>1511021</t>
  </si>
  <si>
    <t>1511022</t>
  </si>
  <si>
    <t>1512010</t>
  </si>
  <si>
    <t>0712070</t>
  </si>
  <si>
    <t>0724</t>
  </si>
  <si>
    <t>Екстрена та швидка медична допомога населенню</t>
  </si>
  <si>
    <t>Інші заходи за рахунок коштів резервного фонду місцевого бюджету</t>
  </si>
  <si>
    <t>0718775</t>
  </si>
  <si>
    <t>Резервний фонд</t>
  </si>
  <si>
    <t>0818775</t>
  </si>
  <si>
    <t>1218775</t>
  </si>
  <si>
    <t>0218240</t>
  </si>
  <si>
    <t>Заходи та роботи з територіальної оборони</t>
  </si>
  <si>
    <t>1216014</t>
  </si>
  <si>
    <t>Забезпечення збору та вивезення сміття і відходів</t>
  </si>
  <si>
    <t>0818751</t>
  </si>
  <si>
    <t>1219800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</si>
  <si>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</si>
  <si>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</si>
  <si>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0617693</t>
  </si>
  <si>
    <t>залишку коштів субвенції з державного бюджету місцевим бюджетам на здійснення заходів щодо соціально-економічного розвитку окремих територій</t>
  </si>
  <si>
    <t>залишку коштів освітньої субвенції, що утворився на початок бюджетного періоду</t>
  </si>
  <si>
    <t>залишку кощтів субвенції з державного бюджету місцевим бюджнтам на здійснення заходів щодо соціально-економічного розвитку окремих територій</t>
  </si>
  <si>
    <t>субвенції з місцевого бюджету на закупівлю опорними закладами охорони здоров'я послуг щодо проектування та встановлення кисневих станцій за рахунок залишку коштів відповідної субвенції з державногобюджету, що утворився на початок бюджетного періоду</t>
  </si>
  <si>
    <t>Виконання інвестиційних проектів в рамках здійснення заходів щодо соціально-економічного розвитку окремих територій:</t>
  </si>
  <si>
    <t>Департамент інспекційної роботи Сумської міської ради</t>
  </si>
  <si>
    <t>3600000</t>
  </si>
  <si>
    <t>3610000</t>
  </si>
  <si>
    <t>3610160</t>
  </si>
  <si>
    <t>Управління комунального майна Сумської міської ради</t>
  </si>
  <si>
    <t>3616090</t>
  </si>
  <si>
    <t>3617340</t>
  </si>
  <si>
    <t>3617370</t>
  </si>
  <si>
    <t>3617130</t>
  </si>
  <si>
    <t>3617610</t>
  </si>
  <si>
    <t>3617650</t>
  </si>
  <si>
    <t>3617660</t>
  </si>
  <si>
    <t>3617693</t>
  </si>
  <si>
    <t>3717700</t>
  </si>
  <si>
    <t>0217640</t>
  </si>
  <si>
    <t>1417610</t>
  </si>
  <si>
    <t>Соціальний захист та соціальне забезпечення, у т. ч. за рахунок:</t>
  </si>
  <si>
    <t>Реалізація програм допомоги і грантів Європейського Союзу, урядів іноземних держав, міжнародних організацій, донорських установ, у т.ч. за рахунок:</t>
  </si>
  <si>
    <t>грантів (дарунків)</t>
  </si>
  <si>
    <t>Економічна діяльність, у т.ч. за рахунок:</t>
  </si>
  <si>
    <t>Департамент соціального захисту населення Сумської міської ради, у т.ч. за рахунок:</t>
  </si>
  <si>
    <t>Інші заходи у сфері соціального захисту і соціального забезпечення, у т.ч. за рахунок:</t>
  </si>
  <si>
    <t>Управління  освіти і науки Сумської міської ради,  у т.ч. за рахунок:</t>
  </si>
  <si>
    <t>Освіта, у т.ч. за рахунок: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</si>
  <si>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</si>
  <si>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t>
  </si>
  <si>
    <t xml:space="preserve">Надання загальної середньої освіти закладами загальної середньої освіти за рахунок освітньої субвенції, у т.ч. за рахунок: </t>
  </si>
  <si>
    <t xml:space="preserve"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субвенції,  у т.ч. за рахунок: </t>
  </si>
  <si>
    <t xml:space="preserve"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освітньої субвенції,  у т.ч. за рахунок: </t>
  </si>
  <si>
    <t>Захист населення і територій від надзвичайних ситуацій техногенного та природного характеру, у т.ч. за рахунок:</t>
  </si>
  <si>
    <t>2700000</t>
  </si>
  <si>
    <t>2710160</t>
  </si>
  <si>
    <t>2710000</t>
  </si>
  <si>
    <t>2717610</t>
  </si>
  <si>
    <t>1218240</t>
  </si>
  <si>
    <t>1218312</t>
  </si>
  <si>
    <t>0512</t>
  </si>
  <si>
    <t>Утилізація відходів</t>
  </si>
  <si>
    <t>0618240</t>
  </si>
  <si>
    <t>1853100000</t>
  </si>
  <si>
    <t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</si>
  <si>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Будівництво1 об'єктів житлово-комунального господарства</t>
  </si>
  <si>
    <t>1217383</t>
  </si>
  <si>
    <t>Реалізація проектів (об'єктів, заходів) за рахунок коштів фонду ліквідації наслідків збройної агресії, у т. ч. за рахунок:</t>
  </si>
  <si>
    <t>субвенції з державного бюджету місцевим бюджетам на реалізацію проектів (об'єктів, заходів), спрямованих на ліквідацію наслідків збройної агресії</t>
  </si>
  <si>
    <t xml:space="preserve"> 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</si>
  <si>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</si>
  <si>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0611261</t>
  </si>
  <si>
    <t>0611262</t>
  </si>
  <si>
    <t>субвенції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</si>
  <si>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>1261</t>
  </si>
  <si>
    <t>1262</t>
  </si>
  <si>
    <t>1511261</t>
  </si>
  <si>
    <t>1511262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</si>
  <si>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умов, у т.ч. за рахунок: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</si>
  <si>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умов, у т.ч. за рахунок: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</si>
  <si>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умов, у т.ч. за рахунок:</t>
  </si>
  <si>
    <t>субвенції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</si>
  <si>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субвенції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</si>
  <si>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</si>
  <si>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1217461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</si>
  <si>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</si>
  <si>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</si>
  <si>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</si>
  <si>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5010000</t>
  </si>
  <si>
    <t>5010160</t>
  </si>
  <si>
    <t>1217375</t>
  </si>
  <si>
    <t xml:space="preserve"> Реалізація проектів (заходів) з відновлення об'єктів житлового фонду, пошкоджених / знищених внаслідок збройної агресії, за рахунок коштів місцевих бюджетів</t>
  </si>
  <si>
    <t>до                    наказу             Сумської</t>
  </si>
  <si>
    <t>міської       військової     адміністрації</t>
  </si>
  <si>
    <t xml:space="preserve">РОЗПОДІЛ
видатків бюджету Сумської міської територіальної громади на 2024 рік за головними розпорядниками бюджетних коштів </t>
  </si>
  <si>
    <t>РОЗПОДІЛ
видатків бюджету Сумської міської територіальної громади на 2024 рік за програмною класифікацією видатків та кредитування місцевого бюджету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</si>
  <si>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об'єктів житлово-комунального господарства</t>
    </r>
  </si>
  <si>
    <t>Інші заходи у сфері соціального захисту і соціального забезпечення,    у т. ч. за рахунок:</t>
  </si>
  <si>
    <t>Сумська міська військова адміністрація Сумського району Сумської області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</si>
  <si>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закладах, що надають загальну середню освіту</t>
  </si>
  <si>
    <t>трансфертів з державного бюджету</t>
  </si>
  <si>
    <t>трансфертів з місцевого бюджету до інших місцевих бюджетів за рахунок трансфертів з державного бюджету</t>
  </si>
  <si>
    <t xml:space="preserve">трансфертів з місцевих бюджетів </t>
  </si>
  <si>
    <t>Виконавчий комітет Сумської міської ради, у т. ч. за рахунок:</t>
  </si>
  <si>
    <t>Інша діяльність, у т. ч. за рахунок:</t>
  </si>
  <si>
    <t>Заходи з організації рятування на водах, у т. ч. за рахунок:</t>
  </si>
  <si>
    <t>0617384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</si>
  <si>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банку, у т.ч за рахунок:</t>
  </si>
  <si>
    <t>Департамент інфраструктури міста Сумської міської ради, у т.ч. за рахунок:</t>
  </si>
  <si>
    <t>1217384</t>
  </si>
  <si>
    <t>Будівництво та регіональний розвиток, у т.ч. за рахунок:</t>
  </si>
  <si>
    <t>субвенції з місцевого бюджету на проектування, відновлення, будівництво, модернізацію, облаштування, ремонт об’єктів будівництва громадського призначення, соціальної сфери, культурної спадщини, житлово-комунального господарства, інших об`єктів, що мають вплив на життєдіяльність населення, за рахунок відповідної субвенції з державного бюджету</t>
  </si>
  <si>
    <t>до                 наказу             Сумської</t>
  </si>
  <si>
    <t>міської     військової    адміністрації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</si>
  <si>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допомоги, у т.ч. за рахунок:</t>
  </si>
  <si>
    <t>залишку коштів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Федерації, що утворився станом на 01.01.2024 року</t>
  </si>
  <si>
    <t>Надання загальної середньої освіти закладами загальної середньої освіти за рахунок коштів місцевого бюджету, у т.ч. за рахунок:</t>
  </si>
  <si>
    <t xml:space="preserve">залишку коштів по запозиченню від ЄІБ «Підвищення енергоефективності в дошкільних закладах м. Суми», що склався станом на 01.01.2024 року 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</si>
  <si>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</si>
  <si>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</si>
  <si>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бюджету), у т.ч. за рахунок: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</si>
  <si>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</si>
  <si>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</si>
  <si>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0611291</t>
  </si>
  <si>
    <t>1222</t>
  </si>
  <si>
    <t xml:space="preserve"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бюджетам, у т.ч. за рахунок: </t>
  </si>
  <si>
    <t>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</si>
  <si>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0611222</t>
  </si>
  <si>
    <t>Управління охорони здоров’я Сумської міської ради, у т. ч. за рахунок:</t>
  </si>
  <si>
    <t>0611221</t>
  </si>
  <si>
    <t>1221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</si>
  <si>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</si>
  <si>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субвенціі з державного бюджету місцевим бюджетам на облаштування безпечних умов у закладах, що надають загальну середню освіту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</si>
  <si>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</si>
  <si>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 xml:space="preserve">Виконання заходів щодо облаштування безпечних умов у закладах, що надають загальну середню освіту, за рахунок субвенції з державного бюджету місцевим бюджетам, у т.ч. за рахунок: </t>
  </si>
  <si>
    <t>1019770</t>
  </si>
  <si>
    <t>0611241</t>
  </si>
  <si>
    <t>1241</t>
  </si>
  <si>
    <t>Співфінансування заходів, що реалізуються за рахунок субвенції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t>
  </si>
  <si>
    <t>0611094</t>
  </si>
  <si>
    <t>Підготовка кадрів закладами професійної (професійно-технічної) освіти та іншими закладами освіти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періодах), у т.ч. за рахунок:</t>
  </si>
  <si>
    <t>0712161</t>
  </si>
  <si>
    <t>0712162</t>
  </si>
  <si>
    <t>Виконання заходів щодо облаштування безпечних умов у закладах охорони здоров'я за рахунок субвенції з державного бюджету місцевим бюджетам, у т.ч. за рахунок:</t>
  </si>
  <si>
    <t>субвенції з державного бюджету місцевим бюджетам на облаштування безпечних умов у закладах охорони здоров'я</t>
  </si>
  <si>
    <t>Охорона здоров’я, у т.ч. за рахунок:</t>
  </si>
  <si>
    <t>1217130</t>
  </si>
  <si>
    <t>1242</t>
  </si>
  <si>
    <t>Виконання заходів щодо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 за рахунок субвенції з державного бюджету місцевим бюджетам, у т.ч. за рахунок:</t>
  </si>
  <si>
    <t>субвенції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t>
  </si>
  <si>
    <t>0611242</t>
  </si>
  <si>
    <t>Підготовка кадрів закладами професійної (професійно-технічної) освіти та іншими закладами освіти за рахунок коштів місцевого бюджету, у т.ч. за рахунок:</t>
  </si>
  <si>
    <t>Заходи із запобігання та ліквідації надзвичайних ситуацій та наслідків стихійного лиха, у т.ч. за рахунок:</t>
  </si>
  <si>
    <t>Міжбюджетні трансферти, у т.ч. за рахунок:</t>
  </si>
  <si>
    <t>Департамент фінансів, економіки та інвестицій Сумської міської ради, у т.ч. за рахунок:</t>
  </si>
  <si>
    <t>Керівництво і управління у відповідній сфері у містах (місті Києві), селищах, селах, територіальних громадах, у т.ч. за рахунок: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</si>
  <si>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інших об'єктів комунальної власності, у т.ч. за рахунок:</t>
    </r>
  </si>
  <si>
    <t>Сумська міська військова адміністрація Сумського району Сумської області, у т.ч. за рахунок:</t>
  </si>
  <si>
    <t>Багатопрофільна стаціонарна медична допомога населенню, у т.ч. за рахунок: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</si>
  <si>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бюджету), у т.ч. за рахунок:</t>
  </si>
  <si>
    <t>Інша діяльність у сфері державного управління, у т.ч.за рахунок:</t>
  </si>
  <si>
    <t>Керівництво і управління у відповідній сфері у містах (місті Києві), селищах, селах, територіальних громадах</t>
  </si>
  <si>
    <t>3719770</t>
  </si>
  <si>
    <t>Будівництво1 інших об'єктів комунальної власності</t>
  </si>
  <si>
    <t>0217700</t>
  </si>
  <si>
    <t>1217700</t>
  </si>
  <si>
    <t xml:space="preserve">                     Додаток 3</t>
  </si>
  <si>
    <t>Забезпечення діяльності палаців i будинків культури, клубів, центрів дозвілля та iнших клубних закладів, у т.ч. за рахунок:</t>
  </si>
  <si>
    <t xml:space="preserve"> Культура і мистецтво, у т.ч. за рахунок:</t>
  </si>
  <si>
    <t>Відділ культури Сумської міської ради, у т.ч. за рахунок:</t>
  </si>
  <si>
    <t>Житлово-комунальне господарство, у т.ч. за рахунок:</t>
  </si>
  <si>
    <t>Забезпечення діяльності водопровідно-каналізаційного господарства,  у т.ч. за рахунок:</t>
  </si>
  <si>
    <t>Забезпечення функціонування підприємств, установ та організацій, що виробляють, виконують та/або надають житлово-комунальні послуги,  у т.ч. за рахунок:</t>
  </si>
  <si>
    <t>Внески до статутного капіталу суб'єктів господарювання,  у т.ч. за рахунок: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</si>
  <si>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освітніх установ та закладів, у т.ч. за рахунок:</t>
    </r>
  </si>
  <si>
    <t>1217412</t>
  </si>
  <si>
    <t>1217422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</si>
  <si>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</si>
  <si>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бюджетам, у т.ч. за рахунок:</t>
  </si>
  <si>
    <t>субвенції з державного бюджету місцевим бюджетам на забезпечення харчуванням учнів початкових класів закладів загальної середньої освіти</t>
  </si>
  <si>
    <t>0611403</t>
  </si>
  <si>
    <t xml:space="preserve">Директор Департаменту фінансів, економіки та                                                                                                                          інвестицій Сумської міської ради                                           </t>
  </si>
  <si>
    <t>Світлана ЛИПОВА</t>
  </si>
  <si>
    <t>Директор Департаменту фінансів, економіки та                                                                                                                          інвестицій Сумської міської ради</t>
  </si>
  <si>
    <t>0213124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</si>
  <si>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статі, у т.ч. за рахунок:</t>
  </si>
  <si>
    <t>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</si>
  <si>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в т.ч. дотац</t>
  </si>
  <si>
    <t>трансфертів з державного бюджету, в т.ч.:</t>
  </si>
  <si>
    <t>Утримання та навчально-тренувальна робота комунальних дитячо-юнацьких спортивних шкіл, у т.ч. за рахунок:</t>
  </si>
  <si>
    <t>Фізична культура і спорт, у т.ч. за рахунок: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</si>
  <si>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охорони здоров'я, у т.ч. за рахунок:</t>
  </si>
  <si>
    <t>Інші заходи, пов'язані з економічною діяльністю, у т.ч. за рахунок:</t>
  </si>
  <si>
    <t>Управління комунального майна Сумської міської ради,у т.ч. за рахунок:</t>
  </si>
  <si>
    <t xml:space="preserve">                     Додаток 9</t>
  </si>
  <si>
    <t>Державне управління, у т.ч. за рахунок:</t>
  </si>
  <si>
    <t>від 04.11.2024 № 343 - СМР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</si>
</sst>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* #,##0.00;* \-#,##0.00;* &quot;-&quot;??;@"/>
  </numFmts>
  <fonts count="51" x14ac:knownFonts="1">
    <font>
      <sz val="10"/>
      <name val="Times New Roman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25"/>
      <name val="Times New Roman"/>
      <family val="1"/>
      <charset val="204"/>
    </font>
    <font>
      <b/>
      <sz val="27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23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sz val="1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9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6" fillId="7" borderId="1" applyNumberFormat="0" applyAlignment="0" applyProtection="0"/>
    <xf numFmtId="0" fontId="7" fillId="22" borderId="2" applyNumberFormat="0" applyAlignment="0" applyProtection="0"/>
    <xf numFmtId="0" fontId="14" fillId="22" borderId="1" applyNumberFormat="0" applyAlignment="0" applyProtection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>
      <alignment vertical="top"/>
    </xf>
    <xf numFmtId="0" fontId="11" fillId="0" borderId="3" applyNumberFormat="0" applyFill="0" applyAlignment="0" applyProtection="0"/>
    <xf numFmtId="0" fontId="9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19" fillId="0" borderId="0"/>
    <xf numFmtId="0" fontId="5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10" borderId="5" applyNumberFormat="0" applyFont="0" applyAlignment="0" applyProtection="0"/>
    <xf numFmtId="0" fontId="17" fillId="0" borderId="6" applyNumberFormat="0" applyFill="0" applyAlignment="0" applyProtection="0"/>
    <xf numFmtId="0" fontId="18" fillId="0" borderId="0"/>
    <xf numFmtId="0" fontId="8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32" fillId="24" borderId="0" applyNumberFormat="0" applyBorder="0" applyAlignment="0" applyProtection="0"/>
    <xf numFmtId="0" fontId="32" fillId="30" borderId="0" applyNumberFormat="0" applyBorder="0" applyAlignment="0" applyProtection="0"/>
    <xf numFmtId="0" fontId="33" fillId="36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3" fillId="37" borderId="0" applyNumberFormat="0" applyBorder="0" applyAlignment="0" applyProtection="0"/>
    <xf numFmtId="0" fontId="32" fillId="26" borderId="0" applyNumberFormat="0" applyBorder="0" applyAlignment="0" applyProtection="0"/>
    <xf numFmtId="0" fontId="32" fillId="32" borderId="0" applyNumberFormat="0" applyBorder="0" applyAlignment="0" applyProtection="0"/>
    <xf numFmtId="0" fontId="33" fillId="38" borderId="0" applyNumberFormat="0" applyBorder="0" applyAlignment="0" applyProtection="0"/>
    <xf numFmtId="0" fontId="32" fillId="27" borderId="0" applyNumberFormat="0" applyBorder="0" applyAlignment="0" applyProtection="0"/>
    <xf numFmtId="0" fontId="32" fillId="33" borderId="0" applyNumberFormat="0" applyBorder="0" applyAlignment="0" applyProtection="0"/>
    <xf numFmtId="0" fontId="33" fillId="39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3" fillId="40" borderId="0" applyNumberFormat="0" applyBorder="0" applyAlignment="0" applyProtection="0"/>
    <xf numFmtId="0" fontId="32" fillId="29" borderId="0" applyNumberFormat="0" applyBorder="0" applyAlignment="0" applyProtection="0"/>
    <xf numFmtId="0" fontId="32" fillId="35" borderId="0" applyNumberFormat="0" applyBorder="0" applyAlignment="0" applyProtection="0"/>
    <xf numFmtId="0" fontId="33" fillId="41" borderId="0" applyNumberFormat="0" applyBorder="0" applyAlignment="0" applyProtection="0"/>
  </cellStyleXfs>
  <cellXfs count="179">
    <xf numFmtId="0" fontId="0" fillId="0" borderId="0" xfId="0"/>
    <xf numFmtId="4" fontId="21" fillId="0" borderId="7" xfId="29" applyNumberFormat="1" applyFont="1" applyFill="1" applyBorder="1" applyAlignment="1">
      <alignment horizontal="right" wrapText="1"/>
    </xf>
    <xf numFmtId="49" fontId="23" fillId="0" borderId="0" xfId="0" applyNumberFormat="1" applyFont="1" applyFill="1" applyAlignment="1">
      <alignment horizontal="center"/>
    </xf>
    <xf numFmtId="3" fontId="23" fillId="0" borderId="0" xfId="0" applyNumberFormat="1" applyFont="1" applyFill="1" applyAlignment="1">
      <alignment horizontal="center"/>
    </xf>
    <xf numFmtId="3" fontId="23" fillId="0" borderId="0" xfId="0" applyNumberFormat="1" applyFont="1" applyFill="1" applyAlignment="1">
      <alignment horizontal="left" wrapText="1"/>
    </xf>
    <xf numFmtId="4" fontId="23" fillId="0" borderId="0" xfId="0" applyNumberFormat="1" applyFont="1" applyFill="1" applyAlignment="1">
      <alignment horizontal="center"/>
    </xf>
    <xf numFmtId="4" fontId="43" fillId="0" borderId="0" xfId="0" applyNumberFormat="1" applyFont="1" applyFill="1"/>
    <xf numFmtId="3" fontId="2" fillId="0" borderId="0" xfId="0" applyNumberFormat="1" applyFont="1" applyFill="1"/>
    <xf numFmtId="4" fontId="43" fillId="0" borderId="0" xfId="0" applyNumberFormat="1" applyFont="1" applyFill="1" applyAlignment="1">
      <alignment vertical="center"/>
    </xf>
    <xf numFmtId="4" fontId="43" fillId="0" borderId="0" xfId="0" applyNumberFormat="1" applyFont="1" applyFill="1" applyAlignment="1">
      <alignment horizontal="left" indent="1"/>
    </xf>
    <xf numFmtId="3" fontId="34" fillId="0" borderId="0" xfId="0" applyNumberFormat="1" applyFont="1" applyFill="1"/>
    <xf numFmtId="49" fontId="23" fillId="0" borderId="0" xfId="0" applyNumberFormat="1" applyFont="1" applyFill="1" applyAlignment="1">
      <alignment horizontal="center" wrapText="1"/>
    </xf>
    <xf numFmtId="3" fontId="23" fillId="0" borderId="0" xfId="0" applyNumberFormat="1" applyFont="1" applyFill="1" applyAlignment="1">
      <alignment horizontal="center" wrapText="1"/>
    </xf>
    <xf numFmtId="4" fontId="23" fillId="0" borderId="0" xfId="0" applyNumberFormat="1" applyFont="1" applyFill="1" applyAlignment="1">
      <alignment horizontal="center" wrapText="1"/>
    </xf>
    <xf numFmtId="4" fontId="31" fillId="0" borderId="0" xfId="0" applyNumberFormat="1" applyFont="1" applyFill="1" applyAlignment="1">
      <alignment horizontal="center" wrapText="1"/>
    </xf>
    <xf numFmtId="3" fontId="23" fillId="0" borderId="0" xfId="0" applyNumberFormat="1" applyFont="1" applyFill="1"/>
    <xf numFmtId="3" fontId="24" fillId="0" borderId="0" xfId="0" applyNumberFormat="1" applyFont="1" applyFill="1" applyAlignment="1">
      <alignment horizontal="center" vertical="center" wrapText="1"/>
    </xf>
    <xf numFmtId="3" fontId="24" fillId="0" borderId="7" xfId="0" applyNumberFormat="1" applyFont="1" applyFill="1" applyBorder="1" applyAlignment="1">
      <alignment horizontal="center" vertical="center" wrapText="1"/>
    </xf>
    <xf numFmtId="49" fontId="28" fillId="0" borderId="8" xfId="0" applyNumberFormat="1" applyFont="1" applyFill="1" applyBorder="1" applyAlignment="1">
      <alignment horizontal="center" vertical="center" wrapText="1"/>
    </xf>
    <xf numFmtId="3" fontId="28" fillId="0" borderId="8" xfId="0" applyNumberFormat="1" applyFont="1" applyFill="1" applyBorder="1" applyAlignment="1">
      <alignment horizontal="center" vertical="center" wrapText="1"/>
    </xf>
    <xf numFmtId="3" fontId="28" fillId="0" borderId="8" xfId="0" applyNumberFormat="1" applyFont="1" applyFill="1" applyBorder="1" applyAlignment="1">
      <alignment horizontal="left" vertical="center" wrapText="1"/>
    </xf>
    <xf numFmtId="4" fontId="28" fillId="0" borderId="7" xfId="0" applyNumberFormat="1" applyFont="1" applyFill="1" applyBorder="1" applyAlignment="1">
      <alignment horizontal="right" wrapText="1"/>
    </xf>
    <xf numFmtId="3" fontId="24" fillId="0" borderId="0" xfId="0" applyNumberFormat="1" applyFont="1" applyFill="1" applyAlignment="1">
      <alignment vertical="center"/>
    </xf>
    <xf numFmtId="49" fontId="30" fillId="0" borderId="7" xfId="0" applyNumberFormat="1" applyFont="1" applyFill="1" applyBorder="1" applyAlignment="1">
      <alignment horizontal="center" vertical="center" wrapText="1"/>
    </xf>
    <xf numFmtId="3" fontId="30" fillId="0" borderId="7" xfId="0" applyNumberFormat="1" applyFont="1" applyFill="1" applyBorder="1" applyAlignment="1">
      <alignment horizontal="center" vertical="center" wrapText="1"/>
    </xf>
    <xf numFmtId="3" fontId="30" fillId="0" borderId="7" xfId="0" applyNumberFormat="1" applyFont="1" applyFill="1" applyBorder="1" applyAlignment="1">
      <alignment horizontal="left" vertical="center" wrapText="1"/>
    </xf>
    <xf numFmtId="4" fontId="30" fillId="0" borderId="7" xfId="0" applyNumberFormat="1" applyFont="1" applyFill="1" applyBorder="1" applyAlignment="1">
      <alignment horizontal="right" wrapText="1"/>
    </xf>
    <xf numFmtId="3" fontId="26" fillId="0" borderId="0" xfId="0" applyNumberFormat="1" applyFont="1" applyFill="1" applyAlignment="1">
      <alignment vertical="center"/>
    </xf>
    <xf numFmtId="49" fontId="21" fillId="0" borderId="7" xfId="0" applyNumberFormat="1" applyFont="1" applyFill="1" applyBorder="1" applyAlignment="1">
      <alignment horizontal="center" vertical="center" wrapText="1"/>
    </xf>
    <xf numFmtId="1" fontId="21" fillId="0" borderId="7" xfId="0" applyNumberFormat="1" applyFont="1" applyFill="1" applyBorder="1" applyAlignment="1">
      <alignment horizontal="center" vertical="center" wrapText="1"/>
    </xf>
    <xf numFmtId="3" fontId="21" fillId="0" borderId="7" xfId="0" applyNumberFormat="1" applyFont="1" applyFill="1" applyBorder="1" applyAlignment="1">
      <alignment horizontal="left" vertical="center" wrapText="1"/>
    </xf>
    <xf numFmtId="4" fontId="21" fillId="0" borderId="7" xfId="0" applyNumberFormat="1" applyFont="1" applyFill="1" applyBorder="1" applyAlignment="1">
      <alignment horizontal="right" wrapText="1"/>
    </xf>
    <xf numFmtId="3" fontId="23" fillId="0" borderId="0" xfId="0" applyNumberFormat="1" applyFont="1" applyFill="1" applyAlignment="1">
      <alignment vertical="center"/>
    </xf>
    <xf numFmtId="49" fontId="29" fillId="0" borderId="7" xfId="0" applyNumberFormat="1" applyFont="1" applyFill="1" applyBorder="1" applyAlignment="1">
      <alignment horizontal="center" vertical="center" wrapText="1"/>
    </xf>
    <xf numFmtId="1" fontId="29" fillId="0" borderId="7" xfId="0" applyNumberFormat="1" applyFont="1" applyFill="1" applyBorder="1" applyAlignment="1">
      <alignment horizontal="center" vertical="center" wrapText="1"/>
    </xf>
    <xf numFmtId="3" fontId="29" fillId="0" borderId="7" xfId="0" applyNumberFormat="1" applyFont="1" applyFill="1" applyBorder="1" applyAlignment="1">
      <alignment horizontal="left" vertical="center" wrapText="1"/>
    </xf>
    <xf numFmtId="4" fontId="29" fillId="0" borderId="7" xfId="0" applyNumberFormat="1" applyFont="1" applyFill="1" applyBorder="1" applyAlignment="1">
      <alignment horizontal="right" wrapText="1"/>
    </xf>
    <xf numFmtId="3" fontId="25" fillId="0" borderId="0" xfId="0" applyNumberFormat="1" applyFont="1" applyFill="1" applyAlignment="1">
      <alignment vertical="center"/>
    </xf>
    <xf numFmtId="3" fontId="29" fillId="0" borderId="7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left" vertical="center" wrapText="1"/>
    </xf>
    <xf numFmtId="49" fontId="21" fillId="0" borderId="7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 wrapText="1"/>
    </xf>
    <xf numFmtId="1" fontId="21" fillId="0" borderId="7" xfId="0" applyNumberFormat="1" applyFont="1" applyFill="1" applyBorder="1" applyAlignment="1">
      <alignment horizontal="left" vertical="center" wrapText="1"/>
    </xf>
    <xf numFmtId="49" fontId="28" fillId="0" borderId="7" xfId="0" applyNumberFormat="1" applyFont="1" applyFill="1" applyBorder="1" applyAlignment="1">
      <alignment horizontal="center" vertical="center" wrapText="1"/>
    </xf>
    <xf numFmtId="1" fontId="28" fillId="0" borderId="7" xfId="0" applyNumberFormat="1" applyFont="1" applyFill="1" applyBorder="1" applyAlignment="1">
      <alignment horizontal="center" vertical="center" wrapText="1"/>
    </xf>
    <xf numFmtId="3" fontId="28" fillId="0" borderId="7" xfId="0" applyNumberFormat="1" applyFont="1" applyFill="1" applyBorder="1" applyAlignment="1">
      <alignment horizontal="left" vertical="center" wrapText="1"/>
    </xf>
    <xf numFmtId="1" fontId="30" fillId="0" borderId="7" xfId="0" applyNumberFormat="1" applyFont="1" applyFill="1" applyBorder="1" applyAlignment="1">
      <alignment horizontal="center" vertical="center" wrapText="1"/>
    </xf>
    <xf numFmtId="3" fontId="27" fillId="0" borderId="10" xfId="0" applyNumberFormat="1" applyFont="1" applyFill="1" applyBorder="1" applyAlignment="1">
      <alignment vertical="center" textRotation="180"/>
    </xf>
    <xf numFmtId="1" fontId="42" fillId="0" borderId="7" xfId="0" applyNumberFormat="1" applyFont="1" applyFill="1" applyBorder="1" applyAlignment="1">
      <alignment horizontal="center" vertical="center" wrapText="1"/>
    </xf>
    <xf numFmtId="49" fontId="21" fillId="0" borderId="7" xfId="0" applyNumberFormat="1" applyFont="1" applyFill="1" applyBorder="1" applyAlignment="1">
      <alignment horizontal="left" vertical="center" wrapText="1"/>
    </xf>
    <xf numFmtId="1" fontId="29" fillId="0" borderId="7" xfId="0" applyNumberFormat="1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vertical="center" wrapText="1"/>
    </xf>
    <xf numFmtId="1" fontId="21" fillId="0" borderId="7" xfId="0" applyNumberFormat="1" applyFont="1" applyFill="1" applyBorder="1" applyAlignment="1">
      <alignment horizontal="center" vertical="center"/>
    </xf>
    <xf numFmtId="3" fontId="25" fillId="0" borderId="7" xfId="0" applyNumberFormat="1" applyFont="1" applyFill="1" applyBorder="1" applyAlignment="1">
      <alignment vertical="center"/>
    </xf>
    <xf numFmtId="4" fontId="21" fillId="0" borderId="7" xfId="0" applyNumberFormat="1" applyFont="1" applyFill="1" applyBorder="1"/>
    <xf numFmtId="0" fontId="29" fillId="0" borderId="7" xfId="0" applyFont="1" applyFill="1" applyBorder="1" applyAlignment="1">
      <alignment horizontal="left" vertical="center" wrapText="1"/>
    </xf>
    <xf numFmtId="3" fontId="21" fillId="0" borderId="7" xfId="0" applyNumberFormat="1" applyFont="1" applyFill="1" applyBorder="1" applyAlignment="1">
      <alignment horizontal="left" vertical="center" wrapText="1" shrinkToFit="1"/>
    </xf>
    <xf numFmtId="3" fontId="29" fillId="0" borderId="7" xfId="0" applyNumberFormat="1" applyFont="1" applyFill="1" applyBorder="1" applyAlignment="1">
      <alignment horizontal="left" vertical="center" wrapText="1" shrinkToFit="1"/>
    </xf>
    <xf numFmtId="4" fontId="29" fillId="0" borderId="7" xfId="0" applyNumberFormat="1" applyFont="1" applyFill="1" applyBorder="1"/>
    <xf numFmtId="4" fontId="21" fillId="0" borderId="7" xfId="0" applyNumberFormat="1" applyFont="1" applyFill="1" applyBorder="1" applyAlignment="1">
      <alignment vertical="center"/>
    </xf>
    <xf numFmtId="4" fontId="29" fillId="0" borderId="7" xfId="0" applyNumberFormat="1" applyFont="1" applyFill="1" applyBorder="1" applyAlignment="1">
      <alignment vertical="center"/>
    </xf>
    <xf numFmtId="4" fontId="21" fillId="0" borderId="7" xfId="0" applyNumberFormat="1" applyFont="1" applyFill="1" applyBorder="1" applyAlignment="1">
      <alignment horizontal="right" vertical="center" wrapText="1"/>
    </xf>
    <xf numFmtId="4" fontId="29" fillId="0" borderId="7" xfId="0" applyNumberFormat="1" applyFont="1" applyFill="1" applyBorder="1" applyAlignment="1">
      <alignment horizontal="right" vertical="center" wrapText="1"/>
    </xf>
    <xf numFmtId="49" fontId="30" fillId="0" borderId="7" xfId="0" applyNumberFormat="1" applyFont="1" applyFill="1" applyBorder="1" applyAlignment="1">
      <alignment horizontal="left" vertical="center" wrapText="1"/>
    </xf>
    <xf numFmtId="3" fontId="27" fillId="0" borderId="10" xfId="0" applyNumberFormat="1" applyFont="1" applyFill="1" applyBorder="1" applyAlignment="1">
      <alignment horizontal="center" vertical="center" textRotation="180"/>
    </xf>
    <xf numFmtId="49" fontId="29" fillId="0" borderId="7" xfId="0" applyNumberFormat="1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3" fontId="48" fillId="0" borderId="10" xfId="0" applyNumberFormat="1" applyFont="1" applyFill="1" applyBorder="1" applyAlignment="1">
      <alignment horizontal="center" vertical="center" textRotation="180"/>
    </xf>
    <xf numFmtId="4" fontId="21" fillId="0" borderId="0" xfId="0" applyNumberFormat="1" applyFont="1" applyFill="1" applyAlignment="1">
      <alignment horizontal="center"/>
    </xf>
    <xf numFmtId="3" fontId="23" fillId="0" borderId="0" xfId="0" applyNumberFormat="1" applyFont="1" applyFill="1" applyAlignment="1">
      <alignment horizontal="center" vertical="center"/>
    </xf>
    <xf numFmtId="3" fontId="27" fillId="0" borderId="0" xfId="0" applyNumberFormat="1" applyFont="1" applyFill="1" applyAlignment="1">
      <alignment horizontal="center" vertical="center" textRotation="180"/>
    </xf>
    <xf numFmtId="3" fontId="48" fillId="0" borderId="0" xfId="0" applyNumberFormat="1" applyFont="1" applyFill="1" applyAlignment="1">
      <alignment horizontal="center" vertical="center" textRotation="180"/>
    </xf>
    <xf numFmtId="49" fontId="30" fillId="0" borderId="0" xfId="0" applyNumberFormat="1" applyFont="1" applyFill="1" applyAlignment="1">
      <alignment horizontal="center" vertical="center" wrapText="1"/>
    </xf>
    <xf numFmtId="1" fontId="30" fillId="0" borderId="0" xfId="0" applyNumberFormat="1" applyFont="1" applyFill="1" applyAlignment="1">
      <alignment horizontal="center" vertical="center" wrapText="1"/>
    </xf>
    <xf numFmtId="3" fontId="30" fillId="0" borderId="0" xfId="0" applyNumberFormat="1" applyFont="1" applyFill="1" applyAlignment="1">
      <alignment horizontal="left" vertical="center" wrapText="1"/>
    </xf>
    <xf numFmtId="4" fontId="30" fillId="0" borderId="0" xfId="0" applyNumberFormat="1" applyFont="1" applyFill="1" applyAlignment="1">
      <alignment horizontal="right" wrapText="1"/>
    </xf>
    <xf numFmtId="3" fontId="44" fillId="0" borderId="0" xfId="0" applyNumberFormat="1" applyFont="1" applyFill="1"/>
    <xf numFmtId="4" fontId="44" fillId="0" borderId="0" xfId="0" applyNumberFormat="1" applyFont="1" applyFill="1" applyAlignment="1">
      <alignment horizontal="center"/>
    </xf>
    <xf numFmtId="49" fontId="27" fillId="0" borderId="0" xfId="0" applyNumberFormat="1" applyFont="1" applyFill="1" applyAlignment="1">
      <alignment horizontal="center"/>
    </xf>
    <xf numFmtId="3" fontId="27" fillId="0" borderId="0" xfId="0" applyNumberFormat="1" applyFont="1" applyFill="1" applyAlignment="1">
      <alignment horizontal="center"/>
    </xf>
    <xf numFmtId="4" fontId="46" fillId="0" borderId="7" xfId="0" applyNumberFormat="1" applyFont="1" applyFill="1" applyBorder="1" applyAlignment="1">
      <alignment horizontal="center"/>
    </xf>
    <xf numFmtId="3" fontId="27" fillId="0" borderId="0" xfId="0" applyNumberFormat="1" applyFont="1" applyFill="1" applyAlignment="1">
      <alignment vertical="center" textRotation="180"/>
    </xf>
    <xf numFmtId="3" fontId="27" fillId="0" borderId="0" xfId="0" applyNumberFormat="1" applyFont="1" applyFill="1"/>
    <xf numFmtId="4" fontId="47" fillId="0" borderId="7" xfId="0" applyNumberFormat="1" applyFont="1" applyFill="1" applyBorder="1" applyAlignment="1">
      <alignment horizontal="center"/>
    </xf>
    <xf numFmtId="4" fontId="50" fillId="0" borderId="7" xfId="0" applyNumberFormat="1" applyFont="1" applyFill="1" applyBorder="1" applyAlignment="1">
      <alignment horizontal="center"/>
    </xf>
    <xf numFmtId="4" fontId="23" fillId="0" borderId="9" xfId="0" applyNumberFormat="1" applyFont="1" applyFill="1" applyBorder="1" applyAlignment="1">
      <alignment horizontal="center"/>
    </xf>
    <xf numFmtId="4" fontId="43" fillId="0" borderId="0" xfId="0" applyNumberFormat="1" applyFont="1" applyFill="1"/>
    <xf numFmtId="49" fontId="21" fillId="0" borderId="0" xfId="0" applyNumberFormat="1" applyFont="1" applyFill="1" applyAlignment="1">
      <alignment horizontal="center" vertical="center"/>
    </xf>
    <xf numFmtId="0" fontId="21" fillId="0" borderId="0" xfId="0" applyFont="1" applyFill="1"/>
    <xf numFmtId="0" fontId="21" fillId="0" borderId="0" xfId="0" applyFont="1" applyFill="1" applyAlignment="1">
      <alignment wrapText="1"/>
    </xf>
    <xf numFmtId="4" fontId="21" fillId="0" borderId="0" xfId="0" applyNumberFormat="1" applyFont="1" applyFill="1"/>
    <xf numFmtId="49" fontId="31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 wrapText="1"/>
    </xf>
    <xf numFmtId="4" fontId="31" fillId="0" borderId="0" xfId="0" applyNumberFormat="1" applyFont="1" applyFill="1"/>
    <xf numFmtId="0" fontId="31" fillId="0" borderId="0" xfId="0" applyFont="1" applyFill="1"/>
    <xf numFmtId="0" fontId="28" fillId="0" borderId="0" xfId="0" applyFont="1" applyFill="1"/>
    <xf numFmtId="49" fontId="28" fillId="0" borderId="7" xfId="0" applyNumberFormat="1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vertical="center" wrapText="1"/>
    </xf>
    <xf numFmtId="4" fontId="28" fillId="0" borderId="7" xfId="0" applyNumberFormat="1" applyFont="1" applyFill="1" applyBorder="1" applyAlignment="1">
      <alignment horizontal="right"/>
    </xf>
    <xf numFmtId="4" fontId="30" fillId="0" borderId="7" xfId="0" applyNumberFormat="1" applyFont="1" applyFill="1" applyBorder="1" applyAlignment="1">
      <alignment horizontal="right"/>
    </xf>
    <xf numFmtId="4" fontId="21" fillId="0" borderId="7" xfId="0" applyNumberFormat="1" applyFont="1" applyFill="1" applyBorder="1" applyAlignment="1">
      <alignment horizontal="right"/>
    </xf>
    <xf numFmtId="4" fontId="29" fillId="0" borderId="7" xfId="0" applyNumberFormat="1" applyFont="1" applyFill="1" applyBorder="1" applyAlignment="1">
      <alignment horizontal="right"/>
    </xf>
    <xf numFmtId="1" fontId="29" fillId="0" borderId="7" xfId="0" applyNumberFormat="1" applyFont="1" applyFill="1" applyBorder="1" applyAlignment="1">
      <alignment horizontal="center" vertical="center"/>
    </xf>
    <xf numFmtId="0" fontId="29" fillId="0" borderId="0" xfId="0" applyFont="1" applyFill="1"/>
    <xf numFmtId="1" fontId="28" fillId="0" borderId="7" xfId="0" applyNumberFormat="1" applyFont="1" applyFill="1" applyBorder="1" applyAlignment="1">
      <alignment horizontal="center" vertical="center"/>
    </xf>
    <xf numFmtId="1" fontId="30" fillId="0" borderId="7" xfId="0" applyNumberFormat="1" applyFont="1" applyFill="1" applyBorder="1" applyAlignment="1">
      <alignment horizontal="center" vertical="center"/>
    </xf>
    <xf numFmtId="0" fontId="30" fillId="0" borderId="0" xfId="0" applyFont="1" applyFill="1"/>
    <xf numFmtId="3" fontId="21" fillId="0" borderId="7" xfId="0" applyNumberFormat="1" applyFont="1" applyFill="1" applyBorder="1" applyAlignment="1">
      <alignment horizontal="left" wrapText="1"/>
    </xf>
    <xf numFmtId="1" fontId="28" fillId="0" borderId="7" xfId="0" applyNumberFormat="1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1" fontId="30" fillId="0" borderId="7" xfId="0" applyNumberFormat="1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top" wrapText="1"/>
    </xf>
    <xf numFmtId="4" fontId="21" fillId="0" borderId="7" xfId="0" applyNumberFormat="1" applyFont="1" applyFill="1" applyBorder="1" applyAlignment="1">
      <alignment horizontal="right" vertical="center"/>
    </xf>
    <xf numFmtId="4" fontId="29" fillId="0" borderId="7" xfId="0" applyNumberFormat="1" applyFont="1" applyFill="1" applyBorder="1" applyAlignment="1">
      <alignment horizontal="right" vertical="center"/>
    </xf>
    <xf numFmtId="49" fontId="29" fillId="0" borderId="7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textRotation="180"/>
    </xf>
    <xf numFmtId="0" fontId="48" fillId="0" borderId="10" xfId="0" applyFont="1" applyFill="1" applyBorder="1" applyAlignment="1">
      <alignment horizontal="center" vertical="center" textRotation="180"/>
    </xf>
    <xf numFmtId="4" fontId="30" fillId="0" borderId="7" xfId="0" applyNumberFormat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vertical="center" wrapText="1"/>
    </xf>
    <xf numFmtId="0" fontId="45" fillId="0" borderId="10" xfId="0" applyFont="1" applyFill="1" applyBorder="1" applyAlignment="1">
      <alignment horizontal="center" vertical="center" textRotation="180"/>
    </xf>
    <xf numFmtId="0" fontId="49" fillId="0" borderId="10" xfId="0" applyFont="1" applyFill="1" applyBorder="1" applyAlignment="1">
      <alignment horizontal="center" vertical="center" textRotation="180"/>
    </xf>
    <xf numFmtId="49" fontId="28" fillId="0" borderId="7" xfId="0" applyNumberFormat="1" applyFont="1" applyFill="1" applyBorder="1" applyAlignment="1">
      <alignment horizontal="left" vertical="center" wrapText="1"/>
    </xf>
    <xf numFmtId="4" fontId="29" fillId="0" borderId="7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49" fontId="30" fillId="0" borderId="7" xfId="0" applyNumberFormat="1" applyFont="1" applyFill="1" applyBorder="1" applyAlignment="1">
      <alignment horizontal="center" vertical="center"/>
    </xf>
    <xf numFmtId="49" fontId="28" fillId="0" borderId="7" xfId="0" applyNumberFormat="1" applyFont="1" applyFill="1" applyBorder="1" applyAlignment="1">
      <alignment horizontal="left" vertical="center"/>
    </xf>
    <xf numFmtId="4" fontId="30" fillId="0" borderId="0" xfId="0" applyNumberFormat="1" applyFont="1" applyFill="1"/>
    <xf numFmtId="1" fontId="30" fillId="0" borderId="0" xfId="0" applyNumberFormat="1" applyFont="1" applyFill="1" applyAlignment="1">
      <alignment horizontal="center" vertical="center"/>
    </xf>
    <xf numFmtId="4" fontId="30" fillId="0" borderId="0" xfId="0" applyNumberFormat="1" applyFont="1" applyFill="1" applyAlignment="1">
      <alignment horizontal="right"/>
    </xf>
    <xf numFmtId="0" fontId="27" fillId="0" borderId="0" xfId="0" applyFont="1" applyFill="1" applyAlignment="1">
      <alignment vertical="center" textRotation="180"/>
    </xf>
    <xf numFmtId="0" fontId="27" fillId="0" borderId="0" xfId="0" applyFont="1" applyFill="1" applyAlignment="1">
      <alignment horizontal="center" vertical="center" textRotation="180"/>
    </xf>
    <xf numFmtId="0" fontId="27" fillId="0" borderId="10" xfId="0" applyFont="1" applyFill="1" applyBorder="1" applyAlignment="1">
      <alignment horizontal="center" vertical="center" textRotation="180"/>
    </xf>
    <xf numFmtId="4" fontId="24" fillId="0" borderId="7" xfId="0" applyNumberFormat="1" applyFont="1" applyFill="1" applyBorder="1" applyAlignment="1">
      <alignment horizontal="center" vertical="center" wrapText="1"/>
    </xf>
    <xf numFmtId="3" fontId="25" fillId="42" borderId="0" xfId="0" applyNumberFormat="1" applyFont="1" applyFill="1" applyAlignment="1">
      <alignment vertical="center"/>
    </xf>
    <xf numFmtId="3" fontId="23" fillId="42" borderId="0" xfId="0" applyNumberFormat="1" applyFont="1" applyFill="1" applyAlignment="1">
      <alignment vertical="center"/>
    </xf>
    <xf numFmtId="3" fontId="26" fillId="42" borderId="0" xfId="0" applyNumberFormat="1" applyFont="1" applyFill="1" applyAlignment="1">
      <alignment vertical="center"/>
    </xf>
    <xf numFmtId="3" fontId="27" fillId="42" borderId="10" xfId="0" applyNumberFormat="1" applyFont="1" applyFill="1" applyBorder="1" applyAlignment="1">
      <alignment horizontal="center" vertical="center" textRotation="180"/>
    </xf>
    <xf numFmtId="3" fontId="48" fillId="42" borderId="10" xfId="0" applyNumberFormat="1" applyFont="1" applyFill="1" applyBorder="1" applyAlignment="1">
      <alignment horizontal="center" vertical="center" textRotation="180"/>
    </xf>
    <xf numFmtId="3" fontId="23" fillId="43" borderId="0" xfId="0" applyNumberFormat="1" applyFont="1" applyFill="1" applyAlignment="1">
      <alignment vertical="center"/>
    </xf>
    <xf numFmtId="3" fontId="25" fillId="43" borderId="0" xfId="0" applyNumberFormat="1" applyFont="1" applyFill="1" applyAlignment="1">
      <alignment vertical="center"/>
    </xf>
    <xf numFmtId="3" fontId="26" fillId="43" borderId="0" xfId="0" applyNumberFormat="1" applyFont="1" applyFill="1" applyAlignment="1">
      <alignment vertical="center"/>
    </xf>
    <xf numFmtId="1" fontId="21" fillId="43" borderId="7" xfId="0" applyNumberFormat="1" applyFont="1" applyFill="1" applyBorder="1" applyAlignment="1">
      <alignment horizontal="center" vertical="center"/>
    </xf>
    <xf numFmtId="0" fontId="21" fillId="43" borderId="7" xfId="0" applyFont="1" applyFill="1" applyBorder="1" applyAlignment="1">
      <alignment horizontal="left" vertical="center" wrapText="1"/>
    </xf>
    <xf numFmtId="4" fontId="21" fillId="43" borderId="7" xfId="0" applyNumberFormat="1" applyFont="1" applyFill="1" applyBorder="1" applyAlignment="1">
      <alignment horizontal="right"/>
    </xf>
    <xf numFmtId="0" fontId="29" fillId="43" borderId="0" xfId="0" applyFont="1" applyFill="1"/>
    <xf numFmtId="1" fontId="29" fillId="43" borderId="7" xfId="0" applyNumberFormat="1" applyFont="1" applyFill="1" applyBorder="1" applyAlignment="1">
      <alignment horizontal="center" vertical="center"/>
    </xf>
    <xf numFmtId="0" fontId="29" fillId="43" borderId="7" xfId="0" applyFont="1" applyFill="1" applyBorder="1" applyAlignment="1">
      <alignment horizontal="left" vertical="center" wrapText="1"/>
    </xf>
    <xf numFmtId="4" fontId="29" fillId="43" borderId="7" xfId="0" applyNumberFormat="1" applyFont="1" applyFill="1" applyBorder="1" applyAlignment="1">
      <alignment horizontal="right"/>
    </xf>
    <xf numFmtId="1" fontId="30" fillId="43" borderId="7" xfId="0" applyNumberFormat="1" applyFont="1" applyFill="1" applyBorder="1" applyAlignment="1">
      <alignment horizontal="center" vertical="center"/>
    </xf>
    <xf numFmtId="1" fontId="30" fillId="43" borderId="7" xfId="0" applyNumberFormat="1" applyFont="1" applyFill="1" applyBorder="1" applyAlignment="1">
      <alignment horizontal="left" vertical="center" wrapText="1"/>
    </xf>
    <xf numFmtId="0" fontId="30" fillId="43" borderId="7" xfId="0" applyFont="1" applyFill="1" applyBorder="1" applyAlignment="1">
      <alignment horizontal="left" vertical="center" wrapText="1"/>
    </xf>
    <xf numFmtId="4" fontId="30" fillId="43" borderId="7" xfId="0" applyNumberFormat="1" applyFont="1" applyFill="1" applyBorder="1" applyAlignment="1">
      <alignment horizontal="right"/>
    </xf>
    <xf numFmtId="0" fontId="30" fillId="43" borderId="0" xfId="0" applyFont="1" applyFill="1"/>
    <xf numFmtId="4" fontId="28" fillId="0" borderId="7" xfId="0" applyNumberFormat="1" applyFont="1" applyFill="1" applyBorder="1" applyAlignment="1">
      <alignment horizontal="center" vertical="center" wrapText="1"/>
    </xf>
    <xf numFmtId="3" fontId="28" fillId="0" borderId="7" xfId="0" applyNumberFormat="1" applyFont="1" applyFill="1" applyBorder="1" applyAlignment="1">
      <alignment horizontal="center" vertical="center" wrapText="1"/>
    </xf>
    <xf numFmtId="164" fontId="21" fillId="0" borderId="7" xfId="29" applyFont="1" applyFill="1" applyBorder="1" applyAlignment="1">
      <alignment horizontal="right" wrapText="1"/>
    </xf>
    <xf numFmtId="4" fontId="28" fillId="0" borderId="7" xfId="0" applyNumberFormat="1" applyFont="1" applyFill="1" applyBorder="1" applyAlignment="1">
      <alignment horizontal="center" vertical="center" wrapText="1"/>
    </xf>
    <xf numFmtId="4" fontId="39" fillId="0" borderId="7" xfId="0" applyNumberFormat="1" applyFont="1" applyFill="1" applyBorder="1" applyAlignment="1">
      <alignment horizontal="center" vertical="center" wrapText="1"/>
    </xf>
    <xf numFmtId="49" fontId="38" fillId="0" borderId="0" xfId="0" applyNumberFormat="1" applyFont="1" applyFill="1" applyAlignment="1">
      <alignment horizontal="center"/>
    </xf>
    <xf numFmtId="3" fontId="44" fillId="0" borderId="0" xfId="0" applyNumberFormat="1" applyFont="1" applyFill="1" applyAlignment="1">
      <alignment horizontal="left" vertical="top" wrapText="1"/>
    </xf>
    <xf numFmtId="4" fontId="43" fillId="0" borderId="0" xfId="0" applyNumberFormat="1" applyFont="1" applyFill="1"/>
    <xf numFmtId="4" fontId="43" fillId="0" borderId="0" xfId="0" applyNumberFormat="1" applyFont="1" applyFill="1" applyAlignment="1">
      <alignment horizontal="left" indent="1"/>
    </xf>
    <xf numFmtId="3" fontId="36" fillId="0" borderId="0" xfId="0" applyNumberFormat="1" applyFont="1" applyFill="1" applyAlignment="1">
      <alignment horizontal="center" vertical="top" wrapText="1"/>
    </xf>
    <xf numFmtId="49" fontId="24" fillId="0" borderId="7" xfId="0" applyNumberFormat="1" applyFont="1" applyFill="1" applyBorder="1" applyAlignment="1">
      <alignment horizontal="center" vertical="center" wrapText="1"/>
    </xf>
    <xf numFmtId="3" fontId="24" fillId="0" borderId="7" xfId="0" applyNumberFormat="1" applyFont="1" applyFill="1" applyBorder="1" applyAlignment="1">
      <alignment horizontal="center" vertical="center" wrapText="1"/>
    </xf>
    <xf numFmtId="3" fontId="27" fillId="0" borderId="0" xfId="0" applyNumberFormat="1" applyFont="1" applyFill="1" applyAlignment="1">
      <alignment horizontal="center" vertical="center" textRotation="180"/>
    </xf>
    <xf numFmtId="3" fontId="27" fillId="0" borderId="10" xfId="0" applyNumberFormat="1" applyFont="1" applyFill="1" applyBorder="1" applyAlignment="1">
      <alignment horizontal="center" vertical="center" textRotation="180"/>
    </xf>
    <xf numFmtId="0" fontId="35" fillId="0" borderId="0" xfId="0" applyFont="1" applyFill="1" applyAlignment="1">
      <alignment horizontal="center" vertical="top"/>
    </xf>
    <xf numFmtId="4" fontId="40" fillId="0" borderId="7" xfId="0" applyNumberFormat="1" applyFont="1" applyFill="1" applyBorder="1" applyAlignment="1">
      <alignment horizontal="center" vertical="center" wrapText="1"/>
    </xf>
    <xf numFmtId="3" fontId="44" fillId="0" borderId="0" xfId="0" applyNumberFormat="1" applyFont="1" applyFill="1" applyAlignment="1">
      <alignment horizontal="center"/>
    </xf>
    <xf numFmtId="3" fontId="44" fillId="0" borderId="0" xfId="0" applyNumberFormat="1" applyFont="1" applyFill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center" textRotation="180"/>
    </xf>
    <xf numFmtId="0" fontId="27" fillId="0" borderId="0" xfId="0" applyFont="1" applyFill="1" applyAlignment="1">
      <alignment horizontal="center" vertical="center" textRotation="180"/>
    </xf>
    <xf numFmtId="4" fontId="24" fillId="0" borderId="7" xfId="0" applyNumberFormat="1" applyFont="1" applyFill="1" applyBorder="1" applyAlignment="1">
      <alignment horizontal="center" vertical="center" wrapText="1"/>
    </xf>
    <xf numFmtId="49" fontId="38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horizontal="center" vertical="top" wrapText="1"/>
    </xf>
    <xf numFmtId="3" fontId="28" fillId="0" borderId="7" xfId="0" applyNumberFormat="1" applyFont="1" applyFill="1" applyBorder="1" applyAlignment="1">
      <alignment horizontal="center" vertical="center" wrapText="1"/>
    </xf>
  </cellXfs>
  <cellStyles count="80">
    <cellStyle name="20% - Акцент1" xfId="1"/>
    <cellStyle name="20% — акцент1" xfId="62" builtinId="30" hidden="1"/>
    <cellStyle name="20% - Акцент2" xfId="2"/>
    <cellStyle name="20% — акцент2" xfId="65" builtinId="34" hidden="1"/>
    <cellStyle name="20% - Акцент3" xfId="3"/>
    <cellStyle name="20% — акцент3" xfId="68" builtinId="38" hidden="1"/>
    <cellStyle name="20% - Акцент4" xfId="4"/>
    <cellStyle name="20% — акцент4" xfId="71" builtinId="42" hidden="1"/>
    <cellStyle name="20% - Акцент5" xfId="5"/>
    <cellStyle name="20% — акцент5" xfId="74" builtinId="46" hidden="1"/>
    <cellStyle name="20% - Акцент6" xfId="6"/>
    <cellStyle name="20% — акцент6" xfId="77" builtinId="50" hidden="1"/>
    <cellStyle name="40% - Акцент1" xfId="7"/>
    <cellStyle name="40% — акцент1" xfId="63" builtinId="31" hidden="1"/>
    <cellStyle name="40% - Акцент2" xfId="8"/>
    <cellStyle name="40% — акцент2" xfId="66" builtinId="35" hidden="1"/>
    <cellStyle name="40% - Акцент3" xfId="9"/>
    <cellStyle name="40% — акцент3" xfId="69" builtinId="39" hidden="1"/>
    <cellStyle name="40% - Акцент4" xfId="10"/>
    <cellStyle name="40% — акцент4" xfId="72" builtinId="43" hidden="1"/>
    <cellStyle name="40% - Акцент5" xfId="11"/>
    <cellStyle name="40% — акцент5" xfId="75" builtinId="47" hidden="1"/>
    <cellStyle name="40% - Акцент6" xfId="12"/>
    <cellStyle name="40% — акцент6" xfId="78" builtinId="51" hidden="1"/>
    <cellStyle name="60% - Акцент1" xfId="13"/>
    <cellStyle name="60% — акцент1" xfId="64" builtinId="32" hidden="1"/>
    <cellStyle name="60% - Акцент2" xfId="14"/>
    <cellStyle name="60% — акцент2" xfId="67" builtinId="36" hidden="1"/>
    <cellStyle name="60% - Акцент3" xfId="15"/>
    <cellStyle name="60% — акцент3" xfId="70" builtinId="40" hidden="1"/>
    <cellStyle name="60% - Акцент4" xfId="16"/>
    <cellStyle name="60% — акцент4" xfId="73" builtinId="44" hidden="1"/>
    <cellStyle name="60% - Акцент5" xfId="17"/>
    <cellStyle name="60% — акцент5" xfId="76" builtinId="48" hidden="1"/>
    <cellStyle name="60% - Акцент6" xfId="18"/>
    <cellStyle name="60% — акцент6" xfId="79" builtinId="52" hidden="1"/>
    <cellStyle name="Normal_meresha_07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Денежный" xfId="29" builtinId="4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" xfId="50"/>
    <cellStyle name="Контрольная ячейка" xfId="51"/>
    <cellStyle name="Название" xfId="52"/>
    <cellStyle name="Нейтральный" xfId="53"/>
    <cellStyle name="Обычный" xfId="0" builtinId="0"/>
    <cellStyle name="Обычный 2" xfId="54"/>
    <cellStyle name="Плохой" xfId="55"/>
    <cellStyle name="Пояснение" xfId="56"/>
    <cellStyle name="Примечание" xfId="57"/>
    <cellStyle name="Связанная ячейка" xfId="58"/>
    <cellStyle name="Стиль 1" xfId="59"/>
    <cellStyle name="Текст предупреждения" xfId="60"/>
    <cellStyle name="Хороший" xfId="6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E1785"/>
  <sheetViews>
    <sheetView showGridLines="0" showZeros="0" view="pageBreakPreview" zoomScale="70" zoomScaleNormal="82" zoomScaleSheetLayoutView="70" workbookViewId="0">
      <selection activeCell="K5" sqref="K5:P5"/>
    </sheetView>
  </sheetViews>
  <sheetFormatPr defaultColWidth="9.140625" defaultRowHeight="13.9" x14ac:dyDescent="0.4"/>
  <cols>
    <col min="1" max="1" width="16.140625" style="2" customWidth="1"/>
    <col min="2" max="2" width="15.35546875" style="3" customWidth="1"/>
    <col min="3" max="3" width="14.640625" style="3" customWidth="1"/>
    <col min="4" max="4" width="62" style="4" customWidth="1"/>
    <col min="5" max="5" width="22.35546875" style="5" customWidth="1"/>
    <col min="6" max="6" width="22.5" style="5" customWidth="1"/>
    <col min="7" max="7" width="22.85546875" style="5" customWidth="1"/>
    <col min="8" max="8" width="22.5" style="5" customWidth="1"/>
    <col min="9" max="9" width="22.140625" style="5" customWidth="1"/>
    <col min="10" max="10" width="22.35546875" style="5" customWidth="1"/>
    <col min="11" max="11" width="21.640625" style="5" customWidth="1"/>
    <col min="12" max="12" width="21.140625" style="5" customWidth="1"/>
    <col min="13" max="13" width="19.5" style="5" customWidth="1"/>
    <col min="14" max="14" width="17.140625" style="5" customWidth="1"/>
    <col min="15" max="15" width="23.640625" style="5" customWidth="1"/>
    <col min="16" max="16" width="27.85546875" style="85" customWidth="1"/>
    <col min="17" max="17" width="6.640625" style="81" customWidth="1"/>
    <col min="18" max="18" width="21" style="7" customWidth="1"/>
    <col min="19" max="16384" width="9.140625" style="7"/>
  </cols>
  <sheetData>
    <row r="1" spans="1:525" ht="26.25" customHeight="1" x14ac:dyDescent="0.85">
      <c r="K1" s="6" t="s">
        <v>726</v>
      </c>
      <c r="P1" s="5"/>
      <c r="Q1" s="167"/>
    </row>
    <row r="2" spans="1:525" ht="26.25" customHeight="1" x14ac:dyDescent="0.4">
      <c r="K2" s="8" t="s">
        <v>672</v>
      </c>
      <c r="L2" s="8"/>
      <c r="M2" s="8"/>
      <c r="N2" s="8"/>
      <c r="O2" s="8"/>
      <c r="P2" s="8"/>
      <c r="Q2" s="167"/>
    </row>
    <row r="3" spans="1:525" ht="26.25" customHeight="1" x14ac:dyDescent="0.4">
      <c r="K3" s="8" t="s">
        <v>673</v>
      </c>
      <c r="L3" s="8"/>
      <c r="M3" s="8"/>
      <c r="N3" s="8"/>
      <c r="O3" s="8"/>
      <c r="P3" s="8"/>
      <c r="Q3" s="167"/>
    </row>
    <row r="4" spans="1:525" ht="26.25" customHeight="1" x14ac:dyDescent="0.85">
      <c r="K4" s="162" t="s">
        <v>756</v>
      </c>
      <c r="L4" s="162"/>
      <c r="M4" s="162"/>
      <c r="N4" s="162"/>
      <c r="O4" s="162"/>
      <c r="P4" s="162"/>
      <c r="Q4" s="167"/>
    </row>
    <row r="5" spans="1:525" ht="26.25" customHeight="1" x14ac:dyDescent="0.85">
      <c r="K5" s="163"/>
      <c r="L5" s="163"/>
      <c r="M5" s="163"/>
      <c r="N5" s="163"/>
      <c r="O5" s="163"/>
      <c r="P5" s="163"/>
      <c r="Q5" s="167"/>
    </row>
    <row r="6" spans="1:525" ht="26.25" customHeight="1" x14ac:dyDescent="0.85">
      <c r="K6" s="9"/>
      <c r="L6" s="9"/>
      <c r="M6" s="9"/>
      <c r="N6" s="9"/>
      <c r="O6" s="9"/>
      <c r="P6" s="9"/>
      <c r="Q6" s="167"/>
    </row>
    <row r="7" spans="1:525" ht="26.25" customHeight="1" x14ac:dyDescent="0.85">
      <c r="K7" s="163"/>
      <c r="L7" s="163"/>
      <c r="M7" s="163"/>
      <c r="N7" s="163"/>
      <c r="O7" s="163"/>
      <c r="P7" s="163"/>
      <c r="Q7" s="167"/>
    </row>
    <row r="8" spans="1:525" ht="60" customHeight="1" x14ac:dyDescent="0.85">
      <c r="K8" s="6"/>
      <c r="L8" s="6"/>
      <c r="M8" s="6"/>
      <c r="N8" s="6"/>
      <c r="O8" s="6"/>
      <c r="P8" s="6"/>
      <c r="Q8" s="167"/>
    </row>
    <row r="9" spans="1:525" s="10" customFormat="1" ht="71.25" customHeight="1" x14ac:dyDescent="0.55000000000000004">
      <c r="A9" s="164" t="s">
        <v>654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7"/>
    </row>
    <row r="10" spans="1:525" s="10" customFormat="1" ht="23.25" customHeight="1" x14ac:dyDescent="0.65">
      <c r="A10" s="160" t="s">
        <v>623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7"/>
    </row>
    <row r="11" spans="1:525" s="10" customFormat="1" ht="19.5" customHeight="1" x14ac:dyDescent="0.55000000000000004">
      <c r="A11" s="169" t="s">
        <v>520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7"/>
    </row>
    <row r="12" spans="1:525" s="15" customFormat="1" ht="22.5" customHeight="1" x14ac:dyDescent="0.55000000000000004">
      <c r="A12" s="11"/>
      <c r="B12" s="12"/>
      <c r="C12" s="12"/>
      <c r="D12" s="4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 t="s">
        <v>345</v>
      </c>
      <c r="Q12" s="167"/>
    </row>
    <row r="13" spans="1:525" s="17" customFormat="1" ht="20.25" customHeight="1" x14ac:dyDescent="0.4">
      <c r="A13" s="165" t="s">
        <v>323</v>
      </c>
      <c r="B13" s="166" t="s">
        <v>324</v>
      </c>
      <c r="C13" s="166" t="s">
        <v>314</v>
      </c>
      <c r="D13" s="166" t="s">
        <v>325</v>
      </c>
      <c r="E13" s="170" t="s">
        <v>216</v>
      </c>
      <c r="F13" s="170"/>
      <c r="G13" s="170"/>
      <c r="H13" s="170"/>
      <c r="I13" s="170"/>
      <c r="J13" s="170" t="s">
        <v>217</v>
      </c>
      <c r="K13" s="170"/>
      <c r="L13" s="170"/>
      <c r="M13" s="170"/>
      <c r="N13" s="170"/>
      <c r="O13" s="170"/>
      <c r="P13" s="170" t="s">
        <v>218</v>
      </c>
      <c r="Q13" s="167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  <c r="IY13" s="16"/>
      <c r="IZ13" s="16"/>
      <c r="JA13" s="16"/>
      <c r="JB13" s="16"/>
      <c r="JC13" s="16"/>
      <c r="JD13" s="16"/>
      <c r="JE13" s="16"/>
      <c r="JF13" s="16"/>
      <c r="JG13" s="16"/>
      <c r="JH13" s="16"/>
      <c r="JI13" s="16"/>
      <c r="JJ13" s="16"/>
      <c r="JK13" s="16"/>
      <c r="JL13" s="16"/>
      <c r="JM13" s="16"/>
      <c r="JN13" s="16"/>
      <c r="JO13" s="16"/>
      <c r="JP13" s="16"/>
      <c r="JQ13" s="16"/>
      <c r="JR13" s="16"/>
      <c r="JS13" s="16"/>
      <c r="JT13" s="16"/>
      <c r="JU13" s="16"/>
      <c r="JV13" s="16"/>
      <c r="JW13" s="16"/>
      <c r="JX13" s="16"/>
      <c r="JY13" s="16"/>
      <c r="JZ13" s="16"/>
      <c r="KA13" s="16"/>
      <c r="KB13" s="16"/>
      <c r="KC13" s="16"/>
      <c r="KD13" s="16"/>
      <c r="KE13" s="16"/>
      <c r="KF13" s="16"/>
      <c r="KG13" s="16"/>
      <c r="KH13" s="16"/>
      <c r="KI13" s="16"/>
      <c r="KJ13" s="16"/>
      <c r="KK13" s="16"/>
      <c r="KL13" s="16"/>
      <c r="KM13" s="16"/>
      <c r="KN13" s="16"/>
      <c r="KO13" s="16"/>
      <c r="KP13" s="16"/>
      <c r="KQ13" s="16"/>
      <c r="KR13" s="16"/>
      <c r="KS13" s="16"/>
      <c r="KT13" s="16"/>
      <c r="KU13" s="16"/>
      <c r="KV13" s="16"/>
      <c r="KW13" s="16"/>
      <c r="KX13" s="16"/>
      <c r="KY13" s="16"/>
      <c r="KZ13" s="16"/>
      <c r="LA13" s="16"/>
      <c r="LB13" s="16"/>
      <c r="LC13" s="16"/>
      <c r="LD13" s="16"/>
      <c r="LE13" s="16"/>
      <c r="LF13" s="16"/>
      <c r="LG13" s="16"/>
      <c r="LH13" s="16"/>
      <c r="LI13" s="16"/>
      <c r="LJ13" s="16"/>
      <c r="LK13" s="16"/>
      <c r="LL13" s="16"/>
      <c r="LM13" s="16"/>
      <c r="LN13" s="16"/>
      <c r="LO13" s="16"/>
      <c r="LP13" s="16"/>
      <c r="LQ13" s="16"/>
      <c r="LR13" s="16"/>
      <c r="LS13" s="16"/>
      <c r="LT13" s="16"/>
      <c r="LU13" s="16"/>
      <c r="LV13" s="16"/>
      <c r="LW13" s="16"/>
      <c r="LX13" s="16"/>
      <c r="LY13" s="16"/>
      <c r="LZ13" s="16"/>
      <c r="MA13" s="16"/>
      <c r="MB13" s="16"/>
      <c r="MC13" s="16"/>
      <c r="MD13" s="16"/>
      <c r="ME13" s="16"/>
      <c r="MF13" s="16"/>
      <c r="MG13" s="16"/>
      <c r="MH13" s="16"/>
      <c r="MI13" s="16"/>
      <c r="MJ13" s="16"/>
      <c r="MK13" s="16"/>
      <c r="ML13" s="16"/>
      <c r="MM13" s="16"/>
      <c r="MN13" s="16"/>
      <c r="MO13" s="16"/>
      <c r="MP13" s="16"/>
      <c r="MQ13" s="16"/>
      <c r="MR13" s="16"/>
      <c r="MS13" s="16"/>
      <c r="MT13" s="16"/>
      <c r="MU13" s="16"/>
      <c r="MV13" s="16"/>
      <c r="MW13" s="16"/>
      <c r="MX13" s="16"/>
      <c r="MY13" s="16"/>
      <c r="MZ13" s="16"/>
      <c r="NA13" s="16"/>
      <c r="NB13" s="16"/>
      <c r="NC13" s="16"/>
      <c r="ND13" s="16"/>
      <c r="NE13" s="16"/>
      <c r="NF13" s="16"/>
      <c r="NG13" s="16"/>
      <c r="NH13" s="16"/>
      <c r="NI13" s="16"/>
      <c r="NJ13" s="16"/>
      <c r="NK13" s="16"/>
      <c r="NL13" s="16"/>
      <c r="NM13" s="16"/>
      <c r="NN13" s="16"/>
      <c r="NO13" s="16"/>
      <c r="NP13" s="16"/>
      <c r="NQ13" s="16"/>
      <c r="NR13" s="16"/>
      <c r="NS13" s="16"/>
      <c r="NT13" s="16"/>
      <c r="NU13" s="16"/>
      <c r="NV13" s="16"/>
      <c r="NW13" s="16"/>
      <c r="NX13" s="16"/>
      <c r="NY13" s="16"/>
      <c r="NZ13" s="16"/>
      <c r="OA13" s="16"/>
      <c r="OB13" s="16"/>
      <c r="OC13" s="16"/>
      <c r="OD13" s="16"/>
      <c r="OE13" s="16"/>
      <c r="OF13" s="16"/>
      <c r="OG13" s="16"/>
      <c r="OH13" s="16"/>
      <c r="OI13" s="16"/>
      <c r="OJ13" s="16"/>
      <c r="OK13" s="16"/>
      <c r="OL13" s="16"/>
      <c r="OM13" s="16"/>
      <c r="ON13" s="16"/>
      <c r="OO13" s="16"/>
      <c r="OP13" s="16"/>
      <c r="OQ13" s="16"/>
      <c r="OR13" s="16"/>
      <c r="OS13" s="16"/>
      <c r="OT13" s="16"/>
      <c r="OU13" s="16"/>
      <c r="OV13" s="16"/>
      <c r="OW13" s="16"/>
      <c r="OX13" s="16"/>
      <c r="OY13" s="16"/>
      <c r="OZ13" s="16"/>
      <c r="PA13" s="16"/>
      <c r="PB13" s="16"/>
      <c r="PC13" s="16"/>
      <c r="PD13" s="16"/>
      <c r="PE13" s="16"/>
      <c r="PF13" s="16"/>
      <c r="PG13" s="16"/>
      <c r="PH13" s="16"/>
      <c r="PI13" s="16"/>
      <c r="PJ13" s="16"/>
      <c r="PK13" s="16"/>
      <c r="PL13" s="16"/>
      <c r="PM13" s="16"/>
      <c r="PN13" s="16"/>
      <c r="PO13" s="16"/>
      <c r="PP13" s="16"/>
      <c r="PQ13" s="16"/>
      <c r="PR13" s="16"/>
      <c r="PS13" s="16"/>
      <c r="PT13" s="16"/>
      <c r="PU13" s="16"/>
      <c r="PV13" s="16"/>
      <c r="PW13" s="16"/>
      <c r="PX13" s="16"/>
      <c r="PY13" s="16"/>
      <c r="PZ13" s="16"/>
      <c r="QA13" s="16"/>
      <c r="QB13" s="16"/>
      <c r="QC13" s="16"/>
      <c r="QD13" s="16"/>
      <c r="QE13" s="16"/>
      <c r="QF13" s="16"/>
      <c r="QG13" s="16"/>
      <c r="QH13" s="16"/>
      <c r="QI13" s="16"/>
      <c r="QJ13" s="16"/>
      <c r="QK13" s="16"/>
      <c r="QL13" s="16"/>
      <c r="QM13" s="16"/>
      <c r="QN13" s="16"/>
      <c r="QO13" s="16"/>
      <c r="QP13" s="16"/>
      <c r="QQ13" s="16"/>
      <c r="QR13" s="16"/>
      <c r="QS13" s="16"/>
      <c r="QT13" s="16"/>
      <c r="QU13" s="16"/>
      <c r="QV13" s="16"/>
      <c r="QW13" s="16"/>
      <c r="QX13" s="16"/>
      <c r="QY13" s="16"/>
      <c r="QZ13" s="16"/>
      <c r="RA13" s="16"/>
      <c r="RB13" s="16"/>
      <c r="RC13" s="16"/>
      <c r="RD13" s="16"/>
      <c r="RE13" s="16"/>
      <c r="RF13" s="16"/>
      <c r="RG13" s="16"/>
      <c r="RH13" s="16"/>
      <c r="RI13" s="16"/>
      <c r="RJ13" s="16"/>
      <c r="RK13" s="16"/>
      <c r="RL13" s="16"/>
      <c r="RM13" s="16"/>
      <c r="RN13" s="16"/>
      <c r="RO13" s="16"/>
      <c r="RP13" s="16"/>
      <c r="RQ13" s="16"/>
      <c r="RR13" s="16"/>
      <c r="RS13" s="16"/>
      <c r="RT13" s="16"/>
      <c r="RU13" s="16"/>
      <c r="RV13" s="16"/>
      <c r="RW13" s="16"/>
      <c r="RX13" s="16"/>
      <c r="RY13" s="16"/>
      <c r="RZ13" s="16"/>
      <c r="SA13" s="16"/>
      <c r="SB13" s="16"/>
      <c r="SC13" s="16"/>
      <c r="SD13" s="16"/>
      <c r="SE13" s="16"/>
      <c r="SF13" s="16"/>
      <c r="SG13" s="16"/>
      <c r="SH13" s="16"/>
      <c r="SI13" s="16"/>
      <c r="SJ13" s="16"/>
      <c r="SK13" s="16"/>
      <c r="SL13" s="16"/>
      <c r="SM13" s="16"/>
      <c r="SN13" s="16"/>
      <c r="SO13" s="16"/>
      <c r="SP13" s="16"/>
      <c r="SQ13" s="16"/>
      <c r="SR13" s="16"/>
      <c r="SS13" s="16"/>
      <c r="ST13" s="16"/>
      <c r="SU13" s="16"/>
      <c r="SV13" s="16"/>
      <c r="SW13" s="16"/>
      <c r="SX13" s="16"/>
      <c r="SY13" s="16"/>
      <c r="SZ13" s="16"/>
      <c r="TA13" s="16"/>
      <c r="TB13" s="16"/>
      <c r="TC13" s="16"/>
      <c r="TD13" s="16"/>
      <c r="TE13" s="16"/>
    </row>
    <row r="14" spans="1:525" s="17" customFormat="1" ht="19.5" customHeight="1" x14ac:dyDescent="0.4">
      <c r="A14" s="165"/>
      <c r="B14" s="166"/>
      <c r="C14" s="166"/>
      <c r="D14" s="166"/>
      <c r="E14" s="158" t="s">
        <v>315</v>
      </c>
      <c r="F14" s="158" t="s">
        <v>219</v>
      </c>
      <c r="G14" s="159" t="s">
        <v>220</v>
      </c>
      <c r="H14" s="159"/>
      <c r="I14" s="158" t="s">
        <v>221</v>
      </c>
      <c r="J14" s="158" t="s">
        <v>315</v>
      </c>
      <c r="K14" s="158" t="s">
        <v>316</v>
      </c>
      <c r="L14" s="158" t="s">
        <v>219</v>
      </c>
      <c r="M14" s="159" t="s">
        <v>220</v>
      </c>
      <c r="N14" s="159"/>
      <c r="O14" s="158" t="s">
        <v>221</v>
      </c>
      <c r="P14" s="170"/>
      <c r="Q14" s="167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  <c r="IW14" s="16"/>
      <c r="IX14" s="16"/>
      <c r="IY14" s="16"/>
      <c r="IZ14" s="16"/>
      <c r="JA14" s="16"/>
      <c r="JB14" s="16"/>
      <c r="JC14" s="16"/>
      <c r="JD14" s="16"/>
      <c r="JE14" s="16"/>
      <c r="JF14" s="16"/>
      <c r="JG14" s="16"/>
      <c r="JH14" s="16"/>
      <c r="JI14" s="16"/>
      <c r="JJ14" s="16"/>
      <c r="JK14" s="16"/>
      <c r="JL14" s="16"/>
      <c r="JM14" s="16"/>
      <c r="JN14" s="16"/>
      <c r="JO14" s="16"/>
      <c r="JP14" s="16"/>
      <c r="JQ14" s="16"/>
      <c r="JR14" s="16"/>
      <c r="JS14" s="16"/>
      <c r="JT14" s="16"/>
      <c r="JU14" s="16"/>
      <c r="JV14" s="16"/>
      <c r="JW14" s="16"/>
      <c r="JX14" s="16"/>
      <c r="JY14" s="16"/>
      <c r="JZ14" s="16"/>
      <c r="KA14" s="16"/>
      <c r="KB14" s="16"/>
      <c r="KC14" s="16"/>
      <c r="KD14" s="16"/>
      <c r="KE14" s="16"/>
      <c r="KF14" s="16"/>
      <c r="KG14" s="16"/>
      <c r="KH14" s="16"/>
      <c r="KI14" s="16"/>
      <c r="KJ14" s="16"/>
      <c r="KK14" s="16"/>
      <c r="KL14" s="16"/>
      <c r="KM14" s="16"/>
      <c r="KN14" s="16"/>
      <c r="KO14" s="16"/>
      <c r="KP14" s="16"/>
      <c r="KQ14" s="16"/>
      <c r="KR14" s="16"/>
      <c r="KS14" s="16"/>
      <c r="KT14" s="16"/>
      <c r="KU14" s="16"/>
      <c r="KV14" s="16"/>
      <c r="KW14" s="16"/>
      <c r="KX14" s="16"/>
      <c r="KY14" s="16"/>
      <c r="KZ14" s="16"/>
      <c r="LA14" s="16"/>
      <c r="LB14" s="16"/>
      <c r="LC14" s="16"/>
      <c r="LD14" s="16"/>
      <c r="LE14" s="16"/>
      <c r="LF14" s="16"/>
      <c r="LG14" s="16"/>
      <c r="LH14" s="16"/>
      <c r="LI14" s="16"/>
      <c r="LJ14" s="16"/>
      <c r="LK14" s="16"/>
      <c r="LL14" s="16"/>
      <c r="LM14" s="16"/>
      <c r="LN14" s="16"/>
      <c r="LO14" s="16"/>
      <c r="LP14" s="16"/>
      <c r="LQ14" s="16"/>
      <c r="LR14" s="16"/>
      <c r="LS14" s="16"/>
      <c r="LT14" s="16"/>
      <c r="LU14" s="16"/>
      <c r="LV14" s="16"/>
      <c r="LW14" s="16"/>
      <c r="LX14" s="16"/>
      <c r="LY14" s="16"/>
      <c r="LZ14" s="16"/>
      <c r="MA14" s="16"/>
      <c r="MB14" s="16"/>
      <c r="MC14" s="16"/>
      <c r="MD14" s="16"/>
      <c r="ME14" s="16"/>
      <c r="MF14" s="16"/>
      <c r="MG14" s="16"/>
      <c r="MH14" s="16"/>
      <c r="MI14" s="16"/>
      <c r="MJ14" s="16"/>
      <c r="MK14" s="16"/>
      <c r="ML14" s="16"/>
      <c r="MM14" s="16"/>
      <c r="MN14" s="16"/>
      <c r="MO14" s="16"/>
      <c r="MP14" s="16"/>
      <c r="MQ14" s="16"/>
      <c r="MR14" s="16"/>
      <c r="MS14" s="16"/>
      <c r="MT14" s="16"/>
      <c r="MU14" s="16"/>
      <c r="MV14" s="16"/>
      <c r="MW14" s="16"/>
      <c r="MX14" s="16"/>
      <c r="MY14" s="16"/>
      <c r="MZ14" s="16"/>
      <c r="NA14" s="16"/>
      <c r="NB14" s="16"/>
      <c r="NC14" s="16"/>
      <c r="ND14" s="16"/>
      <c r="NE14" s="16"/>
      <c r="NF14" s="16"/>
      <c r="NG14" s="16"/>
      <c r="NH14" s="16"/>
      <c r="NI14" s="16"/>
      <c r="NJ14" s="16"/>
      <c r="NK14" s="16"/>
      <c r="NL14" s="16"/>
      <c r="NM14" s="16"/>
      <c r="NN14" s="16"/>
      <c r="NO14" s="16"/>
      <c r="NP14" s="16"/>
      <c r="NQ14" s="16"/>
      <c r="NR14" s="16"/>
      <c r="NS14" s="16"/>
      <c r="NT14" s="16"/>
      <c r="NU14" s="16"/>
      <c r="NV14" s="16"/>
      <c r="NW14" s="16"/>
      <c r="NX14" s="16"/>
      <c r="NY14" s="16"/>
      <c r="NZ14" s="16"/>
      <c r="OA14" s="16"/>
      <c r="OB14" s="16"/>
      <c r="OC14" s="16"/>
      <c r="OD14" s="16"/>
      <c r="OE14" s="16"/>
      <c r="OF14" s="16"/>
      <c r="OG14" s="16"/>
      <c r="OH14" s="16"/>
      <c r="OI14" s="16"/>
      <c r="OJ14" s="16"/>
      <c r="OK14" s="16"/>
      <c r="OL14" s="16"/>
      <c r="OM14" s="16"/>
      <c r="ON14" s="16"/>
      <c r="OO14" s="16"/>
      <c r="OP14" s="16"/>
      <c r="OQ14" s="16"/>
      <c r="OR14" s="16"/>
      <c r="OS14" s="16"/>
      <c r="OT14" s="16"/>
      <c r="OU14" s="16"/>
      <c r="OV14" s="16"/>
      <c r="OW14" s="16"/>
      <c r="OX14" s="16"/>
      <c r="OY14" s="16"/>
      <c r="OZ14" s="16"/>
      <c r="PA14" s="16"/>
      <c r="PB14" s="16"/>
      <c r="PC14" s="16"/>
      <c r="PD14" s="16"/>
      <c r="PE14" s="16"/>
      <c r="PF14" s="16"/>
      <c r="PG14" s="16"/>
      <c r="PH14" s="16"/>
      <c r="PI14" s="16"/>
      <c r="PJ14" s="16"/>
      <c r="PK14" s="16"/>
      <c r="PL14" s="16"/>
      <c r="PM14" s="16"/>
      <c r="PN14" s="16"/>
      <c r="PO14" s="16"/>
      <c r="PP14" s="16"/>
      <c r="PQ14" s="16"/>
      <c r="PR14" s="16"/>
      <c r="PS14" s="16"/>
      <c r="PT14" s="16"/>
      <c r="PU14" s="16"/>
      <c r="PV14" s="16"/>
      <c r="PW14" s="16"/>
      <c r="PX14" s="16"/>
      <c r="PY14" s="16"/>
      <c r="PZ14" s="16"/>
      <c r="QA14" s="16"/>
      <c r="QB14" s="16"/>
      <c r="QC14" s="16"/>
      <c r="QD14" s="16"/>
      <c r="QE14" s="16"/>
      <c r="QF14" s="16"/>
      <c r="QG14" s="16"/>
      <c r="QH14" s="16"/>
      <c r="QI14" s="16"/>
      <c r="QJ14" s="16"/>
      <c r="QK14" s="16"/>
      <c r="QL14" s="16"/>
      <c r="QM14" s="16"/>
      <c r="QN14" s="16"/>
      <c r="QO14" s="16"/>
      <c r="QP14" s="16"/>
      <c r="QQ14" s="16"/>
      <c r="QR14" s="16"/>
      <c r="QS14" s="16"/>
      <c r="QT14" s="16"/>
      <c r="QU14" s="16"/>
      <c r="QV14" s="16"/>
      <c r="QW14" s="16"/>
      <c r="QX14" s="16"/>
      <c r="QY14" s="16"/>
      <c r="QZ14" s="16"/>
      <c r="RA14" s="16"/>
      <c r="RB14" s="16"/>
      <c r="RC14" s="16"/>
      <c r="RD14" s="16"/>
      <c r="RE14" s="16"/>
      <c r="RF14" s="16"/>
      <c r="RG14" s="16"/>
      <c r="RH14" s="16"/>
      <c r="RI14" s="16"/>
      <c r="RJ14" s="16"/>
      <c r="RK14" s="16"/>
      <c r="RL14" s="16"/>
      <c r="RM14" s="16"/>
      <c r="RN14" s="16"/>
      <c r="RO14" s="16"/>
      <c r="RP14" s="16"/>
      <c r="RQ14" s="16"/>
      <c r="RR14" s="16"/>
      <c r="RS14" s="16"/>
      <c r="RT14" s="16"/>
      <c r="RU14" s="16"/>
      <c r="RV14" s="16"/>
      <c r="RW14" s="16"/>
      <c r="RX14" s="16"/>
      <c r="RY14" s="16"/>
      <c r="RZ14" s="16"/>
      <c r="SA14" s="16"/>
      <c r="SB14" s="16"/>
      <c r="SC14" s="16"/>
      <c r="SD14" s="16"/>
      <c r="SE14" s="16"/>
      <c r="SF14" s="16"/>
      <c r="SG14" s="16"/>
      <c r="SH14" s="16"/>
      <c r="SI14" s="16"/>
      <c r="SJ14" s="16"/>
      <c r="SK14" s="16"/>
      <c r="SL14" s="16"/>
      <c r="SM14" s="16"/>
      <c r="SN14" s="16"/>
      <c r="SO14" s="16"/>
      <c r="SP14" s="16"/>
      <c r="SQ14" s="16"/>
      <c r="SR14" s="16"/>
      <c r="SS14" s="16"/>
      <c r="ST14" s="16"/>
      <c r="SU14" s="16"/>
      <c r="SV14" s="16"/>
      <c r="SW14" s="16"/>
      <c r="SX14" s="16"/>
      <c r="SY14" s="16"/>
      <c r="SZ14" s="16"/>
      <c r="TA14" s="16"/>
      <c r="TB14" s="16"/>
      <c r="TC14" s="16"/>
      <c r="TD14" s="16"/>
      <c r="TE14" s="16"/>
    </row>
    <row r="15" spans="1:525" s="17" customFormat="1" ht="87.75" customHeight="1" x14ac:dyDescent="0.4">
      <c r="A15" s="165"/>
      <c r="B15" s="166"/>
      <c r="C15" s="166"/>
      <c r="D15" s="166"/>
      <c r="E15" s="158"/>
      <c r="F15" s="158"/>
      <c r="G15" s="155" t="s">
        <v>222</v>
      </c>
      <c r="H15" s="155" t="s">
        <v>223</v>
      </c>
      <c r="I15" s="158"/>
      <c r="J15" s="158"/>
      <c r="K15" s="158"/>
      <c r="L15" s="158"/>
      <c r="M15" s="155" t="s">
        <v>222</v>
      </c>
      <c r="N15" s="155" t="s">
        <v>223</v>
      </c>
      <c r="O15" s="158"/>
      <c r="P15" s="170"/>
      <c r="Q15" s="167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</row>
    <row r="16" spans="1:525" s="22" customFormat="1" ht="24" customHeight="1" x14ac:dyDescent="0.4">
      <c r="A16" s="18" t="s">
        <v>141</v>
      </c>
      <c r="B16" s="19"/>
      <c r="C16" s="19"/>
      <c r="D16" s="20" t="s">
        <v>34</v>
      </c>
      <c r="E16" s="21">
        <f>E17</f>
        <v>357444169.44</v>
      </c>
      <c r="F16" s="21">
        <f>F17</f>
        <v>290945601.44</v>
      </c>
      <c r="G16" s="21">
        <f t="shared" ref="G16:J16" si="0">G17</f>
        <v>141520199</v>
      </c>
      <c r="H16" s="21">
        <f t="shared" si="0"/>
        <v>16971500</v>
      </c>
      <c r="I16" s="21">
        <f t="shared" si="0"/>
        <v>66498568</v>
      </c>
      <c r="J16" s="21">
        <f t="shared" si="0"/>
        <v>78351879</v>
      </c>
      <c r="K16" s="21">
        <f t="shared" ref="K16" si="1">K17</f>
        <v>77589274</v>
      </c>
      <c r="L16" s="21">
        <f t="shared" ref="L16" si="2">L17</f>
        <v>762605</v>
      </c>
      <c r="M16" s="21">
        <f t="shared" ref="M16" si="3">M17</f>
        <v>345344</v>
      </c>
      <c r="N16" s="21">
        <f t="shared" ref="N16" si="4">N17</f>
        <v>103112</v>
      </c>
      <c r="O16" s="21">
        <f t="shared" ref="O16:P16" si="5">O17</f>
        <v>77589274</v>
      </c>
      <c r="P16" s="21">
        <f t="shared" si="5"/>
        <v>435796048.44</v>
      </c>
      <c r="Q16" s="167"/>
    </row>
    <row r="17" spans="1:17" s="27" customFormat="1" ht="31.5" customHeight="1" x14ac:dyDescent="0.4">
      <c r="A17" s="23" t="s">
        <v>142</v>
      </c>
      <c r="B17" s="24"/>
      <c r="C17" s="24"/>
      <c r="D17" s="25" t="s">
        <v>663</v>
      </c>
      <c r="E17" s="26">
        <f>E22+E23+E24+E26+E28+E29+E30+E33+E35+E36+E37+E38+E39+E40+E41+E42+E43+E45+E46+E47+E49+E50+E51+E53+E55+E56+E57+E59+E60+E61+E62+E65+E67+E69+E71+E72+E52+E54+E74+E73+E48+E34+E70+E58+E63+E31</f>
        <v>357444169.44</v>
      </c>
      <c r="F17" s="26">
        <f t="shared" ref="F17:P17" si="6">F22+F23+F24+F26+F28+F29+F30+F33+F35+F36+F37+F38+F39+F40+F41+F42+F43+F45+F46+F47+F49+F50+F51+F53+F55+F56+F57+F59+F60+F61+F62+F65+F67+F69+F71+F72+F52+F54+F74+F73+F48+F34+F70+F58+F63+F31</f>
        <v>290945601.44</v>
      </c>
      <c r="G17" s="26">
        <f t="shared" si="6"/>
        <v>141520199</v>
      </c>
      <c r="H17" s="26">
        <f t="shared" si="6"/>
        <v>16971500</v>
      </c>
      <c r="I17" s="26">
        <f t="shared" si="6"/>
        <v>66498568</v>
      </c>
      <c r="J17" s="26">
        <f t="shared" si="6"/>
        <v>78351879</v>
      </c>
      <c r="K17" s="26">
        <f t="shared" si="6"/>
        <v>77589274</v>
      </c>
      <c r="L17" s="26">
        <f t="shared" si="6"/>
        <v>762605</v>
      </c>
      <c r="M17" s="26">
        <f t="shared" si="6"/>
        <v>345344</v>
      </c>
      <c r="N17" s="26">
        <f t="shared" si="6"/>
        <v>103112</v>
      </c>
      <c r="O17" s="26">
        <f t="shared" si="6"/>
        <v>77589274</v>
      </c>
      <c r="P17" s="26">
        <f t="shared" si="6"/>
        <v>435796048.44</v>
      </c>
      <c r="Q17" s="167"/>
    </row>
    <row r="18" spans="1:17" s="27" customFormat="1" ht="50.25" customHeight="1" x14ac:dyDescent="0.4">
      <c r="A18" s="23"/>
      <c r="B18" s="24"/>
      <c r="C18" s="24"/>
      <c r="D18" s="25" t="s">
        <v>369</v>
      </c>
      <c r="E18" s="26">
        <f>E68</f>
        <v>410600</v>
      </c>
      <c r="F18" s="26">
        <f t="shared" ref="F18:P18" si="7">F68</f>
        <v>410600</v>
      </c>
      <c r="G18" s="26">
        <f t="shared" si="7"/>
        <v>336800</v>
      </c>
      <c r="H18" s="26">
        <f t="shared" si="7"/>
        <v>0</v>
      </c>
      <c r="I18" s="26">
        <f t="shared" si="7"/>
        <v>0</v>
      </c>
      <c r="J18" s="26">
        <f t="shared" si="7"/>
        <v>0</v>
      </c>
      <c r="K18" s="26">
        <f t="shared" si="7"/>
        <v>0</v>
      </c>
      <c r="L18" s="26">
        <f t="shared" si="7"/>
        <v>0</v>
      </c>
      <c r="M18" s="26">
        <f t="shared" si="7"/>
        <v>0</v>
      </c>
      <c r="N18" s="26">
        <f t="shared" si="7"/>
        <v>0</v>
      </c>
      <c r="O18" s="26">
        <f t="shared" si="7"/>
        <v>0</v>
      </c>
      <c r="P18" s="26">
        <f t="shared" si="7"/>
        <v>410600</v>
      </c>
      <c r="Q18" s="167"/>
    </row>
    <row r="19" spans="1:17" s="27" customFormat="1" ht="98.25" customHeight="1" x14ac:dyDescent="0.4">
      <c r="A19" s="23"/>
      <c r="B19" s="24"/>
      <c r="C19" s="24"/>
      <c r="D19" s="25" t="str">
        <f>D66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19" s="26">
        <f>E66+E25+E44</f>
        <v>464000</v>
      </c>
      <c r="F19" s="26">
        <f t="shared" ref="F19:P19" si="8">F66+F25+F44</f>
        <v>464000</v>
      </c>
      <c r="G19" s="26">
        <f t="shared" si="8"/>
        <v>0</v>
      </c>
      <c r="H19" s="26">
        <f t="shared" si="8"/>
        <v>0</v>
      </c>
      <c r="I19" s="26">
        <f t="shared" si="8"/>
        <v>0</v>
      </c>
      <c r="J19" s="26">
        <f t="shared" si="8"/>
        <v>20350</v>
      </c>
      <c r="K19" s="26">
        <f t="shared" si="8"/>
        <v>20350</v>
      </c>
      <c r="L19" s="26">
        <f t="shared" si="8"/>
        <v>0</v>
      </c>
      <c r="M19" s="26">
        <f t="shared" si="8"/>
        <v>0</v>
      </c>
      <c r="N19" s="26">
        <f t="shared" si="8"/>
        <v>0</v>
      </c>
      <c r="O19" s="26">
        <f t="shared" si="8"/>
        <v>20350</v>
      </c>
      <c r="P19" s="26">
        <f t="shared" si="8"/>
        <v>484350</v>
      </c>
      <c r="Q19" s="167"/>
    </row>
    <row r="20" spans="1:17" s="142" customFormat="1" ht="58.5" hidden="1" customHeight="1" x14ac:dyDescent="0.4">
      <c r="A20" s="23"/>
      <c r="B20" s="24"/>
      <c r="C20" s="24"/>
      <c r="D20" s="25" t="s">
        <v>746</v>
      </c>
      <c r="E20" s="26">
        <f>E32</f>
        <v>0</v>
      </c>
      <c r="F20" s="26">
        <f t="shared" ref="F20:P20" si="9">F32</f>
        <v>0</v>
      </c>
      <c r="G20" s="26">
        <f t="shared" si="9"/>
        <v>0</v>
      </c>
      <c r="H20" s="26">
        <f t="shared" si="9"/>
        <v>0</v>
      </c>
      <c r="I20" s="26">
        <f t="shared" si="9"/>
        <v>0</v>
      </c>
      <c r="J20" s="26">
        <f t="shared" si="9"/>
        <v>0</v>
      </c>
      <c r="K20" s="26">
        <f t="shared" si="9"/>
        <v>0</v>
      </c>
      <c r="L20" s="26">
        <f t="shared" si="9"/>
        <v>0</v>
      </c>
      <c r="M20" s="26">
        <f t="shared" si="9"/>
        <v>0</v>
      </c>
      <c r="N20" s="26">
        <f t="shared" si="9"/>
        <v>0</v>
      </c>
      <c r="O20" s="26">
        <f t="shared" si="9"/>
        <v>0</v>
      </c>
      <c r="P20" s="26">
        <f t="shared" si="9"/>
        <v>0</v>
      </c>
      <c r="Q20" s="167"/>
    </row>
    <row r="21" spans="1:17" s="27" customFormat="1" ht="15" x14ac:dyDescent="0.4">
      <c r="A21" s="23"/>
      <c r="B21" s="24"/>
      <c r="C21" s="24"/>
      <c r="D21" s="25" t="str">
        <f>D64</f>
        <v>грантів (дарунків)</v>
      </c>
      <c r="E21" s="26">
        <f>E64</f>
        <v>0</v>
      </c>
      <c r="F21" s="26">
        <f t="shared" ref="F21:P21" si="10">F64</f>
        <v>0</v>
      </c>
      <c r="G21" s="26">
        <f t="shared" si="10"/>
        <v>0</v>
      </c>
      <c r="H21" s="26">
        <f t="shared" si="10"/>
        <v>0</v>
      </c>
      <c r="I21" s="26">
        <f t="shared" si="10"/>
        <v>0</v>
      </c>
      <c r="J21" s="26">
        <f t="shared" si="10"/>
        <v>85265</v>
      </c>
      <c r="K21" s="26">
        <f t="shared" si="10"/>
        <v>0</v>
      </c>
      <c r="L21" s="26">
        <f t="shared" si="10"/>
        <v>85265</v>
      </c>
      <c r="M21" s="26">
        <f t="shared" si="10"/>
        <v>0</v>
      </c>
      <c r="N21" s="26">
        <f t="shared" si="10"/>
        <v>0</v>
      </c>
      <c r="O21" s="26">
        <f t="shared" si="10"/>
        <v>0</v>
      </c>
      <c r="P21" s="26">
        <f t="shared" si="10"/>
        <v>85265</v>
      </c>
      <c r="Q21" s="167"/>
    </row>
    <row r="22" spans="1:17" s="136" customFormat="1" ht="45.75" customHeight="1" x14ac:dyDescent="0.45">
      <c r="A22" s="28" t="s">
        <v>143</v>
      </c>
      <c r="B22" s="29" t="str">
        <f>'дод 9'!A16</f>
        <v>0160</v>
      </c>
      <c r="C22" s="29" t="str">
        <f>'дод 9'!B16</f>
        <v>0111</v>
      </c>
      <c r="D22" s="30" t="s">
        <v>721</v>
      </c>
      <c r="E22" s="31">
        <f>F22+I22</f>
        <v>140737685.56</v>
      </c>
      <c r="F22" s="31">
        <f>127421600-92800+5000+610000-324900-213300-499580-835600+2387051+782800+9744200+1769000+191575.56+172403-52600+91600-418764</f>
        <v>140737685.56</v>
      </c>
      <c r="G22" s="31">
        <f>92423800-266300-174850-409550-684900+1956648+641800+7993600+1450000-343249+400000</f>
        <v>102986999</v>
      </c>
      <c r="H22" s="31">
        <f>6355400-92800+5000</f>
        <v>6267600</v>
      </c>
      <c r="I22" s="31"/>
      <c r="J22" s="31">
        <f>L22+O22</f>
        <v>14643479</v>
      </c>
      <c r="K22" s="31">
        <f>4000000+10590879+52600</f>
        <v>14643479</v>
      </c>
      <c r="L22" s="31"/>
      <c r="M22" s="31"/>
      <c r="N22" s="31"/>
      <c r="O22" s="31">
        <f>4000000+10590879+52600</f>
        <v>14643479</v>
      </c>
      <c r="P22" s="31">
        <f>E22+J22</f>
        <v>155381164.56</v>
      </c>
      <c r="Q22" s="167"/>
    </row>
    <row r="23" spans="1:17" s="32" customFormat="1" ht="35.25" hidden="1" customHeight="1" x14ac:dyDescent="0.45">
      <c r="A23" s="28" t="s">
        <v>423</v>
      </c>
      <c r="B23" s="28" t="s">
        <v>86</v>
      </c>
      <c r="C23" s="28" t="s">
        <v>433</v>
      </c>
      <c r="D23" s="30" t="s">
        <v>424</v>
      </c>
      <c r="E23" s="31">
        <f t="shared" ref="E23:E73" si="11">F23+I23</f>
        <v>0</v>
      </c>
      <c r="F23" s="31"/>
      <c r="G23" s="31"/>
      <c r="H23" s="31"/>
      <c r="I23" s="31"/>
      <c r="J23" s="31">
        <f>L23+O23</f>
        <v>0</v>
      </c>
      <c r="K23" s="31"/>
      <c r="L23" s="31"/>
      <c r="M23" s="31"/>
      <c r="N23" s="31"/>
      <c r="O23" s="31"/>
      <c r="P23" s="31">
        <f t="shared" ref="P23:P74" si="12">E23+J23</f>
        <v>0</v>
      </c>
      <c r="Q23" s="167"/>
    </row>
    <row r="24" spans="1:17" s="32" customFormat="1" ht="27.75" customHeight="1" x14ac:dyDescent="0.45">
      <c r="A24" s="28" t="s">
        <v>233</v>
      </c>
      <c r="B24" s="29" t="str">
        <f>'дод 9'!A19</f>
        <v>0180</v>
      </c>
      <c r="C24" s="29" t="str">
        <f>'дод 9'!B19</f>
        <v>0133</v>
      </c>
      <c r="D24" s="30" t="str">
        <f>'дод 9'!C19</f>
        <v>Інша діяльність у сфері державного управління, у т.ч.за рахунок:</v>
      </c>
      <c r="E24" s="31">
        <f t="shared" si="11"/>
        <v>2318600</v>
      </c>
      <c r="F24" s="31">
        <f>1000000+3200400+208800-1084000-795000-560200+48600+300000</f>
        <v>2318600</v>
      </c>
      <c r="G24" s="31"/>
      <c r="H24" s="31"/>
      <c r="I24" s="31"/>
      <c r="J24" s="31">
        <f t="shared" ref="J24:J27" si="13">L24+O24</f>
        <v>0</v>
      </c>
      <c r="K24" s="31"/>
      <c r="L24" s="31"/>
      <c r="M24" s="31"/>
      <c r="N24" s="31"/>
      <c r="O24" s="31"/>
      <c r="P24" s="31">
        <f t="shared" si="12"/>
        <v>2318600</v>
      </c>
      <c r="Q24" s="167"/>
    </row>
    <row r="25" spans="1:17" s="37" customFormat="1" ht="102" customHeight="1" x14ac:dyDescent="0.45">
      <c r="A25" s="33"/>
      <c r="B25" s="34"/>
      <c r="C25" s="34"/>
      <c r="D25" s="35" t="str">
        <f>'дод 9'!C20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25" s="36">
        <f t="shared" ref="E25" si="14">F25+I25</f>
        <v>300000</v>
      </c>
      <c r="F25" s="36">
        <v>300000</v>
      </c>
      <c r="G25" s="36"/>
      <c r="H25" s="36"/>
      <c r="I25" s="36"/>
      <c r="J25" s="36">
        <f t="shared" ref="J25" si="15">L25+O25</f>
        <v>0</v>
      </c>
      <c r="K25" s="36"/>
      <c r="L25" s="36"/>
      <c r="M25" s="36"/>
      <c r="N25" s="36"/>
      <c r="O25" s="36"/>
      <c r="P25" s="36">
        <f t="shared" ref="P25" si="16">E25+J25</f>
        <v>300000</v>
      </c>
      <c r="Q25" s="167"/>
    </row>
    <row r="26" spans="1:17" s="32" customFormat="1" ht="15.75" hidden="1" customHeight="1" x14ac:dyDescent="0.45">
      <c r="A26" s="28" t="s">
        <v>411</v>
      </c>
      <c r="B26" s="28" t="s">
        <v>412</v>
      </c>
      <c r="C26" s="28" t="s">
        <v>114</v>
      </c>
      <c r="D26" s="30" t="s">
        <v>413</v>
      </c>
      <c r="E26" s="31">
        <f t="shared" si="11"/>
        <v>0</v>
      </c>
      <c r="F26" s="31"/>
      <c r="G26" s="31"/>
      <c r="H26" s="31"/>
      <c r="I26" s="31"/>
      <c r="J26" s="31">
        <f t="shared" si="13"/>
        <v>0</v>
      </c>
      <c r="K26" s="31"/>
      <c r="L26" s="31"/>
      <c r="M26" s="31"/>
      <c r="N26" s="31"/>
      <c r="O26" s="31"/>
      <c r="P26" s="31">
        <f t="shared" si="12"/>
        <v>0</v>
      </c>
      <c r="Q26" s="167"/>
    </row>
    <row r="27" spans="1:17" s="37" customFormat="1" ht="61.5" hidden="1" customHeight="1" x14ac:dyDescent="0.45">
      <c r="A27" s="33"/>
      <c r="B27" s="38"/>
      <c r="C27" s="38"/>
      <c r="D27" s="35" t="str">
        <f>'дод 9'!C22</f>
        <v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v>
      </c>
      <c r="E27" s="36">
        <f t="shared" si="11"/>
        <v>0</v>
      </c>
      <c r="F27" s="36"/>
      <c r="G27" s="36"/>
      <c r="H27" s="36"/>
      <c r="I27" s="36"/>
      <c r="J27" s="36">
        <f t="shared" si="13"/>
        <v>0</v>
      </c>
      <c r="K27" s="36"/>
      <c r="L27" s="36"/>
      <c r="M27" s="36"/>
      <c r="N27" s="36"/>
      <c r="O27" s="36"/>
      <c r="P27" s="36">
        <f t="shared" si="12"/>
        <v>0</v>
      </c>
      <c r="Q27" s="167"/>
    </row>
    <row r="28" spans="1:17" s="32" customFormat="1" ht="47.25" customHeight="1" x14ac:dyDescent="0.45">
      <c r="A28" s="28" t="s">
        <v>249</v>
      </c>
      <c r="B28" s="29" t="str">
        <f>'дод 9'!A139</f>
        <v>3033</v>
      </c>
      <c r="C28" s="29" t="str">
        <f>'дод 9'!B139</f>
        <v>1070</v>
      </c>
      <c r="D28" s="30" t="s">
        <v>392</v>
      </c>
      <c r="E28" s="31">
        <f t="shared" si="11"/>
        <v>555700</v>
      </c>
      <c r="F28" s="31">
        <v>555700</v>
      </c>
      <c r="G28" s="31"/>
      <c r="H28" s="31"/>
      <c r="I28" s="31"/>
      <c r="J28" s="31">
        <f t="shared" ref="J28:J74" si="17">L28+O28</f>
        <v>0</v>
      </c>
      <c r="K28" s="31"/>
      <c r="L28" s="31"/>
      <c r="M28" s="31"/>
      <c r="N28" s="31"/>
      <c r="O28" s="31"/>
      <c r="P28" s="31">
        <f t="shared" si="12"/>
        <v>555700</v>
      </c>
      <c r="Q28" s="167"/>
    </row>
    <row r="29" spans="1:17" s="32" customFormat="1" ht="31.5" customHeight="1" x14ac:dyDescent="0.45">
      <c r="A29" s="28" t="s">
        <v>144</v>
      </c>
      <c r="B29" s="29" t="str">
        <f>'дод 9'!A142</f>
        <v>3036</v>
      </c>
      <c r="C29" s="29" t="str">
        <f>'дод 9'!B142</f>
        <v>1070</v>
      </c>
      <c r="D29" s="30" t="str">
        <f>'дод 9'!C142</f>
        <v>Компенсаційні виплати на пільговий проїзд електротранспортом окремим категоріям громадян</v>
      </c>
      <c r="E29" s="31">
        <f t="shared" si="11"/>
        <v>966300</v>
      </c>
      <c r="F29" s="31">
        <v>966300</v>
      </c>
      <c r="G29" s="31"/>
      <c r="H29" s="31"/>
      <c r="I29" s="31"/>
      <c r="J29" s="31">
        <f t="shared" si="17"/>
        <v>0</v>
      </c>
      <c r="K29" s="31"/>
      <c r="L29" s="31"/>
      <c r="M29" s="31"/>
      <c r="N29" s="31"/>
      <c r="O29" s="31"/>
      <c r="P29" s="31">
        <f t="shared" si="12"/>
        <v>966300</v>
      </c>
      <c r="Q29" s="167"/>
    </row>
    <row r="30" spans="1:17" s="32" customFormat="1" ht="36" customHeight="1" x14ac:dyDescent="0.45">
      <c r="A30" s="28" t="s">
        <v>145</v>
      </c>
      <c r="B30" s="29" t="str">
        <f>'дод 9'!A150</f>
        <v>3121</v>
      </c>
      <c r="C30" s="29" t="str">
        <f>'дод 9'!B150</f>
        <v>1040</v>
      </c>
      <c r="D30" s="30" t="str">
        <f>'дод 9'!C150</f>
        <v>Утримання та забезпечення діяльності центрів соціальних служб</v>
      </c>
      <c r="E30" s="31">
        <f t="shared" si="11"/>
        <v>4383800</v>
      </c>
      <c r="F30" s="31">
        <v>4383800</v>
      </c>
      <c r="G30" s="31">
        <v>3236100</v>
      </c>
      <c r="H30" s="31">
        <v>106600</v>
      </c>
      <c r="I30" s="31"/>
      <c r="J30" s="31">
        <f t="shared" si="17"/>
        <v>100000</v>
      </c>
      <c r="K30" s="31">
        <v>100000</v>
      </c>
      <c r="L30" s="31"/>
      <c r="M30" s="31"/>
      <c r="N30" s="31"/>
      <c r="O30" s="31">
        <v>100000</v>
      </c>
      <c r="P30" s="31">
        <f t="shared" si="12"/>
        <v>4483800</v>
      </c>
      <c r="Q30" s="167"/>
    </row>
    <row r="31" spans="1:17" s="140" customFormat="1" ht="82.5" hidden="1" customHeight="1" x14ac:dyDescent="0.45">
      <c r="A31" s="28" t="s">
        <v>744</v>
      </c>
      <c r="B31" s="29">
        <f>'дод 9'!A151</f>
        <v>3124</v>
      </c>
      <c r="C31" s="29">
        <f>'дод 9'!B151</f>
        <v>1040</v>
      </c>
      <c r="D31" s="42" t="str">
        <f>'дод 9'!C151</f>
        <v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статі, у т.ч. за рахунок:</v>
      </c>
      <c r="E31" s="31">
        <f t="shared" si="11"/>
        <v>0</v>
      </c>
      <c r="F31" s="31"/>
      <c r="G31" s="31"/>
      <c r="H31" s="31"/>
      <c r="I31" s="31"/>
      <c r="J31" s="31">
        <f t="shared" si="17"/>
        <v>0</v>
      </c>
      <c r="K31" s="31"/>
      <c r="L31" s="31"/>
      <c r="M31" s="31"/>
      <c r="N31" s="31"/>
      <c r="O31" s="31"/>
      <c r="P31" s="31">
        <f t="shared" si="12"/>
        <v>0</v>
      </c>
      <c r="Q31" s="167"/>
    </row>
    <row r="32" spans="1:17" s="141" customFormat="1" ht="80.650000000000006" hidden="1" customHeight="1" x14ac:dyDescent="0.45">
      <c r="A32" s="33"/>
      <c r="B32" s="34">
        <f>'дод 9'!A152</f>
        <v>0</v>
      </c>
      <c r="C32" s="34">
        <f>'дод 9'!B152</f>
        <v>0</v>
      </c>
      <c r="D32" s="50" t="str">
        <f>'дод 9'!C152</f>
        <v>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v>
      </c>
      <c r="E32" s="31">
        <f t="shared" si="11"/>
        <v>0</v>
      </c>
      <c r="F32" s="36"/>
      <c r="G32" s="36"/>
      <c r="H32" s="36"/>
      <c r="I32" s="36"/>
      <c r="J32" s="31">
        <f t="shared" si="17"/>
        <v>0</v>
      </c>
      <c r="K32" s="36"/>
      <c r="L32" s="36"/>
      <c r="M32" s="36"/>
      <c r="N32" s="36"/>
      <c r="O32" s="36"/>
      <c r="P32" s="31">
        <f t="shared" si="12"/>
        <v>0</v>
      </c>
      <c r="Q32" s="167"/>
    </row>
    <row r="33" spans="1:17" s="32" customFormat="1" ht="42" customHeight="1" x14ac:dyDescent="0.45">
      <c r="A33" s="28" t="s">
        <v>146</v>
      </c>
      <c r="B33" s="29" t="str">
        <f>'дод 9'!A153</f>
        <v>3131</v>
      </c>
      <c r="C33" s="29" t="str">
        <f>'дод 9'!B153</f>
        <v>1040</v>
      </c>
      <c r="D33" s="30" t="str">
        <f>'дод 9'!C153</f>
        <v>Здійснення заходів та реалізація проектів на виконання Державної цільової соціальної програми "Молодь України"</v>
      </c>
      <c r="E33" s="31">
        <f t="shared" si="11"/>
        <v>500000</v>
      </c>
      <c r="F33" s="31">
        <f>1000000-500000</f>
        <v>500000</v>
      </c>
      <c r="G33" s="31"/>
      <c r="H33" s="31"/>
      <c r="I33" s="31"/>
      <c r="J33" s="31">
        <f t="shared" si="17"/>
        <v>0</v>
      </c>
      <c r="K33" s="31"/>
      <c r="L33" s="31"/>
      <c r="M33" s="31"/>
      <c r="N33" s="31"/>
      <c r="O33" s="31"/>
      <c r="P33" s="31">
        <f t="shared" si="12"/>
        <v>500000</v>
      </c>
      <c r="Q33" s="167"/>
    </row>
    <row r="34" spans="1:17" s="32" customFormat="1" ht="21.75" customHeight="1" x14ac:dyDescent="0.45">
      <c r="A34" s="28" t="s">
        <v>536</v>
      </c>
      <c r="B34" s="29">
        <v>3133</v>
      </c>
      <c r="C34" s="29">
        <v>1040</v>
      </c>
      <c r="D34" s="30" t="str">
        <f>'дод 9'!C154</f>
        <v>Інші заходи та заклади молодіжної політики</v>
      </c>
      <c r="E34" s="31">
        <f t="shared" si="11"/>
        <v>6297600</v>
      </c>
      <c r="F34" s="31">
        <f>6227600+70000</f>
        <v>6297600</v>
      </c>
      <c r="G34" s="31">
        <v>3587200</v>
      </c>
      <c r="H34" s="31">
        <v>1085700</v>
      </c>
      <c r="I34" s="31"/>
      <c r="J34" s="31">
        <f t="shared" si="17"/>
        <v>10000</v>
      </c>
      <c r="K34" s="31"/>
      <c r="L34" s="31">
        <v>10000</v>
      </c>
      <c r="M34" s="31"/>
      <c r="N34" s="31">
        <v>3500</v>
      </c>
      <c r="O34" s="31"/>
      <c r="P34" s="31">
        <f t="shared" si="12"/>
        <v>6307600</v>
      </c>
      <c r="Q34" s="167"/>
    </row>
    <row r="35" spans="1:17" s="32" customFormat="1" ht="78.75" hidden="1" customHeight="1" x14ac:dyDescent="0.45">
      <c r="A35" s="28" t="s">
        <v>147</v>
      </c>
      <c r="B35" s="29" t="str">
        <f>'дод 9'!A155</f>
        <v>3140</v>
      </c>
      <c r="C35" s="29" t="str">
        <f>'дод 9'!B155</f>
        <v>1040</v>
      </c>
      <c r="D35" s="30" t="str">
        <f>'дод 9'!C155</f>
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</c>
      <c r="E35" s="31">
        <f t="shared" si="11"/>
        <v>0</v>
      </c>
      <c r="F35" s="31"/>
      <c r="G35" s="31"/>
      <c r="H35" s="31"/>
      <c r="I35" s="31"/>
      <c r="J35" s="31">
        <f t="shared" si="17"/>
        <v>0</v>
      </c>
      <c r="K35" s="31"/>
      <c r="L35" s="31"/>
      <c r="M35" s="31"/>
      <c r="N35" s="31"/>
      <c r="O35" s="31"/>
      <c r="P35" s="31">
        <f t="shared" si="12"/>
        <v>0</v>
      </c>
      <c r="Q35" s="167"/>
    </row>
    <row r="36" spans="1:17" s="32" customFormat="1" ht="32.25" customHeight="1" x14ac:dyDescent="0.45">
      <c r="A36" s="28" t="s">
        <v>293</v>
      </c>
      <c r="B36" s="29" t="str">
        <f>'дод 9'!A174</f>
        <v>3241</v>
      </c>
      <c r="C36" s="29" t="str">
        <f>'дод 9'!B174</f>
        <v>1090</v>
      </c>
      <c r="D36" s="39" t="str">
        <f>'дод 9'!C174</f>
        <v>Забезпечення діяльності інших закладів у сфері соціального захисту і соціального забезпечення</v>
      </c>
      <c r="E36" s="31">
        <f t="shared" si="11"/>
        <v>1931700</v>
      </c>
      <c r="F36" s="31">
        <v>1931700</v>
      </c>
      <c r="G36" s="31">
        <v>1270900</v>
      </c>
      <c r="H36" s="31">
        <v>258800</v>
      </c>
      <c r="I36" s="31"/>
      <c r="J36" s="31">
        <f t="shared" si="17"/>
        <v>0</v>
      </c>
      <c r="K36" s="31"/>
      <c r="L36" s="31"/>
      <c r="M36" s="31"/>
      <c r="N36" s="31"/>
      <c r="O36" s="31"/>
      <c r="P36" s="31">
        <f t="shared" si="12"/>
        <v>1931700</v>
      </c>
      <c r="Q36" s="167"/>
    </row>
    <row r="37" spans="1:17" s="32" customFormat="1" ht="33.75" customHeight="1" x14ac:dyDescent="0.45">
      <c r="A37" s="28" t="s">
        <v>294</v>
      </c>
      <c r="B37" s="29" t="str">
        <f>'дод 9'!A175</f>
        <v>3242</v>
      </c>
      <c r="C37" s="29" t="str">
        <f>'дод 9'!B175</f>
        <v>1090</v>
      </c>
      <c r="D37" s="30" t="s">
        <v>393</v>
      </c>
      <c r="E37" s="31">
        <f t="shared" si="11"/>
        <v>157100</v>
      </c>
      <c r="F37" s="31">
        <v>157100</v>
      </c>
      <c r="G37" s="31"/>
      <c r="H37" s="31"/>
      <c r="I37" s="31"/>
      <c r="J37" s="31">
        <f t="shared" si="17"/>
        <v>0</v>
      </c>
      <c r="K37" s="31"/>
      <c r="L37" s="31"/>
      <c r="M37" s="31"/>
      <c r="N37" s="31"/>
      <c r="O37" s="31"/>
      <c r="P37" s="31">
        <f t="shared" si="12"/>
        <v>157100</v>
      </c>
      <c r="Q37" s="167"/>
    </row>
    <row r="38" spans="1:17" s="32" customFormat="1" ht="50.25" hidden="1" customHeight="1" x14ac:dyDescent="0.45">
      <c r="A38" s="28" t="s">
        <v>306</v>
      </c>
      <c r="B38" s="29" t="str">
        <f>'дод 9'!A181</f>
        <v>4060</v>
      </c>
      <c r="C38" s="29" t="str">
        <f>'дод 9'!B181</f>
        <v>0828</v>
      </c>
      <c r="D38" s="30" t="str">
        <f>'дод 9'!C181</f>
        <v>Забезпечення діяльності палаців i будинків культури, клубів, центрів дозвілля та iнших клубних закладів, у т.ч. за рахунок:</v>
      </c>
      <c r="E38" s="31">
        <f t="shared" si="11"/>
        <v>0</v>
      </c>
      <c r="F38" s="1"/>
      <c r="G38" s="31"/>
      <c r="H38" s="31"/>
      <c r="I38" s="31"/>
      <c r="J38" s="31">
        <f t="shared" si="17"/>
        <v>0</v>
      </c>
      <c r="K38" s="31"/>
      <c r="L38" s="31"/>
      <c r="M38" s="31"/>
      <c r="N38" s="31"/>
      <c r="O38" s="31"/>
      <c r="P38" s="31">
        <f t="shared" si="12"/>
        <v>0</v>
      </c>
      <c r="Q38" s="167"/>
    </row>
    <row r="39" spans="1:17" s="32" customFormat="1" ht="30.75" customHeight="1" x14ac:dyDescent="0.45">
      <c r="A39" s="28" t="s">
        <v>291</v>
      </c>
      <c r="B39" s="29" t="str">
        <f>'дод 9'!A183</f>
        <v>4081</v>
      </c>
      <c r="C39" s="29" t="str">
        <f>'дод 9'!B183</f>
        <v>0829</v>
      </c>
      <c r="D39" s="30" t="str">
        <f>'дод 9'!C183</f>
        <v>Забезпечення діяльності інших закладів в галузі культури і мистецтва</v>
      </c>
      <c r="E39" s="31">
        <f t="shared" si="11"/>
        <v>3157300</v>
      </c>
      <c r="F39" s="31">
        <v>3157300</v>
      </c>
      <c r="G39" s="31">
        <v>2128600</v>
      </c>
      <c r="H39" s="31">
        <v>211100</v>
      </c>
      <c r="I39" s="31"/>
      <c r="J39" s="31">
        <f t="shared" si="17"/>
        <v>0</v>
      </c>
      <c r="K39" s="31"/>
      <c r="L39" s="31"/>
      <c r="M39" s="31"/>
      <c r="N39" s="31"/>
      <c r="O39" s="31"/>
      <c r="P39" s="31">
        <f t="shared" si="12"/>
        <v>3157300</v>
      </c>
      <c r="Q39" s="167"/>
    </row>
    <row r="40" spans="1:17" s="32" customFormat="1" ht="25.5" hidden="1" customHeight="1" x14ac:dyDescent="0.45">
      <c r="A40" s="28" t="s">
        <v>292</v>
      </c>
      <c r="B40" s="29">
        <v>4082</v>
      </c>
      <c r="C40" s="29" t="str">
        <f>'дод 9'!B184</f>
        <v>0829</v>
      </c>
      <c r="D40" s="30" t="str">
        <f>'дод 9'!C184</f>
        <v>Інші заходи в галузі культури і мистецтва</v>
      </c>
      <c r="E40" s="31">
        <f t="shared" si="11"/>
        <v>0</v>
      </c>
      <c r="F40" s="31"/>
      <c r="G40" s="31"/>
      <c r="H40" s="31"/>
      <c r="I40" s="31"/>
      <c r="J40" s="31">
        <f t="shared" si="17"/>
        <v>0</v>
      </c>
      <c r="K40" s="31"/>
      <c r="L40" s="31"/>
      <c r="M40" s="31"/>
      <c r="N40" s="31"/>
      <c r="O40" s="31"/>
      <c r="P40" s="31">
        <f t="shared" si="12"/>
        <v>0</v>
      </c>
      <c r="Q40" s="167"/>
    </row>
    <row r="41" spans="1:17" s="32" customFormat="1" ht="36.75" customHeight="1" x14ac:dyDescent="0.45">
      <c r="A41" s="28" t="s">
        <v>148</v>
      </c>
      <c r="B41" s="29" t="str">
        <f>'дод 9'!A188</f>
        <v>5011</v>
      </c>
      <c r="C41" s="29" t="str">
        <f>'дод 9'!B188</f>
        <v>0810</v>
      </c>
      <c r="D41" s="30" t="str">
        <f>'дод 9'!C188</f>
        <v>Проведення навчально-тренувальних зборів і змагань з олімпійських видів спорту</v>
      </c>
      <c r="E41" s="31">
        <f t="shared" si="11"/>
        <v>1237920</v>
      </c>
      <c r="F41" s="31">
        <f>500000-100000+1387920-150000-400000</f>
        <v>1237920</v>
      </c>
      <c r="G41" s="31"/>
      <c r="H41" s="31"/>
      <c r="I41" s="31"/>
      <c r="J41" s="31">
        <f t="shared" si="17"/>
        <v>0</v>
      </c>
      <c r="K41" s="31"/>
      <c r="L41" s="31"/>
      <c r="M41" s="31"/>
      <c r="N41" s="31"/>
      <c r="O41" s="31"/>
      <c r="P41" s="31">
        <f t="shared" si="12"/>
        <v>1237920</v>
      </c>
      <c r="Q41" s="167"/>
    </row>
    <row r="42" spans="1:17" s="32" customFormat="1" ht="34.5" customHeight="1" x14ac:dyDescent="0.45">
      <c r="A42" s="28" t="s">
        <v>149</v>
      </c>
      <c r="B42" s="29" t="str">
        <f>'дод 9'!A189</f>
        <v>5012</v>
      </c>
      <c r="C42" s="29" t="str">
        <f>'дод 9'!B189</f>
        <v>0810</v>
      </c>
      <c r="D42" s="30" t="str">
        <f>'дод 9'!C189</f>
        <v>Проведення навчально-тренувальних зборів і змагань з неолімпійських видів спорту</v>
      </c>
      <c r="E42" s="31">
        <f t="shared" si="11"/>
        <v>1540000</v>
      </c>
      <c r="F42" s="31">
        <f>500000-100000+740000+400000</f>
        <v>1540000</v>
      </c>
      <c r="G42" s="31"/>
      <c r="H42" s="31"/>
      <c r="I42" s="31"/>
      <c r="J42" s="31">
        <f t="shared" si="17"/>
        <v>0</v>
      </c>
      <c r="K42" s="31"/>
      <c r="L42" s="31"/>
      <c r="M42" s="31"/>
      <c r="N42" s="31"/>
      <c r="O42" s="31"/>
      <c r="P42" s="31">
        <f t="shared" si="12"/>
        <v>1540000</v>
      </c>
      <c r="Q42" s="167"/>
    </row>
    <row r="43" spans="1:17" s="136" customFormat="1" ht="39.75" customHeight="1" x14ac:dyDescent="0.45">
      <c r="A43" s="28" t="s">
        <v>150</v>
      </c>
      <c r="B43" s="29" t="str">
        <f>'дод 9'!A190</f>
        <v>5031</v>
      </c>
      <c r="C43" s="29" t="str">
        <f>'дод 9'!B190</f>
        <v>0810</v>
      </c>
      <c r="D43" s="30" t="str">
        <f>'дод 9'!C190</f>
        <v>Утримання та навчально-тренувальна робота комунальних дитячо-юнацьких спортивних шкіл, у т.ч. за рахунок:</v>
      </c>
      <c r="E43" s="31">
        <f t="shared" si="11"/>
        <v>29923370</v>
      </c>
      <c r="F43" s="31">
        <f>28174800-20000+942070+500000+190000+136500</f>
        <v>29923370</v>
      </c>
      <c r="G43" s="31">
        <v>21075000</v>
      </c>
      <c r="H43" s="31">
        <v>1904100</v>
      </c>
      <c r="I43" s="31"/>
      <c r="J43" s="31">
        <f t="shared" si="17"/>
        <v>150350</v>
      </c>
      <c r="K43" s="31">
        <f>130000+20350</f>
        <v>150350</v>
      </c>
      <c r="L43" s="31"/>
      <c r="M43" s="31"/>
      <c r="N43" s="31"/>
      <c r="O43" s="31">
        <f>130000+20350</f>
        <v>150350</v>
      </c>
      <c r="P43" s="31">
        <f t="shared" si="12"/>
        <v>30073720</v>
      </c>
      <c r="Q43" s="167"/>
    </row>
    <row r="44" spans="1:17" s="135" customFormat="1" ht="96" customHeight="1" x14ac:dyDescent="0.45">
      <c r="A44" s="33"/>
      <c r="B44" s="34"/>
      <c r="C44" s="34"/>
      <c r="D44" s="55" t="s">
        <v>624</v>
      </c>
      <c r="E44" s="36">
        <f t="shared" si="11"/>
        <v>0</v>
      </c>
      <c r="F44" s="36"/>
      <c r="G44" s="36"/>
      <c r="H44" s="36"/>
      <c r="I44" s="36"/>
      <c r="J44" s="36">
        <f t="shared" si="17"/>
        <v>20350</v>
      </c>
      <c r="K44" s="36">
        <v>20350</v>
      </c>
      <c r="L44" s="36"/>
      <c r="M44" s="36"/>
      <c r="N44" s="36"/>
      <c r="O44" s="36">
        <v>20350</v>
      </c>
      <c r="P44" s="36">
        <f t="shared" si="12"/>
        <v>20350</v>
      </c>
      <c r="Q44" s="71"/>
    </row>
    <row r="45" spans="1:17" s="32" customFormat="1" ht="49.5" customHeight="1" x14ac:dyDescent="0.45">
      <c r="A45" s="28" t="s">
        <v>344</v>
      </c>
      <c r="B45" s="29" t="str">
        <f>'дод 9'!A193</f>
        <v>5032</v>
      </c>
      <c r="C45" s="29" t="str">
        <f>'дод 9'!B193</f>
        <v>0810</v>
      </c>
      <c r="D45" s="30" t="str">
        <f>'дод 9'!C193</f>
        <v>Фінансова підтримка дитячо-юнацьких спортивних шкіл фізкультурно-спортивних товариств</v>
      </c>
      <c r="E45" s="31">
        <f t="shared" si="11"/>
        <v>22762610</v>
      </c>
      <c r="F45" s="31">
        <f>21982100-7000+630010+157500</f>
        <v>22762610</v>
      </c>
      <c r="G45" s="31"/>
      <c r="H45" s="31"/>
      <c r="I45" s="31"/>
      <c r="J45" s="31">
        <f t="shared" si="17"/>
        <v>0</v>
      </c>
      <c r="K45" s="31"/>
      <c r="L45" s="31"/>
      <c r="M45" s="31"/>
      <c r="N45" s="31"/>
      <c r="O45" s="31"/>
      <c r="P45" s="31">
        <f t="shared" si="12"/>
        <v>22762610</v>
      </c>
      <c r="Q45" s="168"/>
    </row>
    <row r="46" spans="1:17" s="32" customFormat="1" ht="64.5" customHeight="1" x14ac:dyDescent="0.45">
      <c r="A46" s="28" t="s">
        <v>151</v>
      </c>
      <c r="B46" s="29" t="str">
        <f>'дод 9'!A194</f>
        <v>5061</v>
      </c>
      <c r="C46" s="29" t="str">
        <f>'дод 9'!B194</f>
        <v>0810</v>
      </c>
      <c r="D46" s="30" t="str">
        <f>'дод 9'!C194</f>
        <v xml:space="preserve">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</c>
      <c r="E46" s="31">
        <f t="shared" si="11"/>
        <v>6952500</v>
      </c>
      <c r="F46" s="31">
        <v>6952500</v>
      </c>
      <c r="G46" s="31">
        <v>4148000</v>
      </c>
      <c r="H46" s="31">
        <v>839400</v>
      </c>
      <c r="I46" s="31"/>
      <c r="J46" s="31">
        <f t="shared" si="17"/>
        <v>990440</v>
      </c>
      <c r="K46" s="31">
        <v>450000</v>
      </c>
      <c r="L46" s="31">
        <v>540440</v>
      </c>
      <c r="M46" s="31">
        <v>345344</v>
      </c>
      <c r="N46" s="31">
        <v>98012</v>
      </c>
      <c r="O46" s="31">
        <v>450000</v>
      </c>
      <c r="P46" s="31">
        <f t="shared" si="12"/>
        <v>7942940</v>
      </c>
      <c r="Q46" s="168"/>
    </row>
    <row r="47" spans="1:17" s="32" customFormat="1" ht="30.75" x14ac:dyDescent="0.45">
      <c r="A47" s="28" t="s">
        <v>336</v>
      </c>
      <c r="B47" s="29" t="str">
        <f>'дод 9'!A195</f>
        <v>5062</v>
      </c>
      <c r="C47" s="29" t="str">
        <f>'дод 9'!B195</f>
        <v>0810</v>
      </c>
      <c r="D47" s="30" t="str">
        <f>'дод 9'!C195</f>
        <v>Підтримка спорту вищих досягнень та організацій, які здійснюють фізкультурно-спортивну діяльність в регіоні</v>
      </c>
      <c r="E47" s="31">
        <f t="shared" si="11"/>
        <v>15947804</v>
      </c>
      <c r="F47" s="31">
        <f>14430400-500000-800000+500000+264867+517349+1158008+227180+150000</f>
        <v>15947804</v>
      </c>
      <c r="G47" s="31"/>
      <c r="H47" s="31"/>
      <c r="I47" s="31"/>
      <c r="J47" s="31">
        <f t="shared" si="17"/>
        <v>0</v>
      </c>
      <c r="K47" s="31"/>
      <c r="L47" s="31"/>
      <c r="M47" s="31"/>
      <c r="N47" s="31"/>
      <c r="O47" s="31"/>
      <c r="P47" s="31">
        <f t="shared" si="12"/>
        <v>15947804</v>
      </c>
      <c r="Q47" s="168"/>
    </row>
    <row r="48" spans="1:17" s="32" customFormat="1" ht="37.5" hidden="1" customHeight="1" x14ac:dyDescent="0.45">
      <c r="A48" s="28" t="s">
        <v>535</v>
      </c>
      <c r="B48" s="29">
        <v>7323</v>
      </c>
      <c r="C48" s="28" t="s">
        <v>107</v>
      </c>
      <c r="D48" s="30" t="str">
        <f>'дод 9'!C236</f>
        <v>Будівництво1 установ та закладів соціальної сфери</v>
      </c>
      <c r="E48" s="31">
        <f t="shared" si="11"/>
        <v>0</v>
      </c>
      <c r="F48" s="31"/>
      <c r="G48" s="31"/>
      <c r="H48" s="31"/>
      <c r="I48" s="31"/>
      <c r="J48" s="31">
        <f t="shared" si="17"/>
        <v>0</v>
      </c>
      <c r="K48" s="31"/>
      <c r="L48" s="31"/>
      <c r="M48" s="31"/>
      <c r="N48" s="31"/>
      <c r="O48" s="31"/>
      <c r="P48" s="31">
        <f t="shared" si="12"/>
        <v>0</v>
      </c>
      <c r="Q48" s="168"/>
    </row>
    <row r="49" spans="1:17" s="32" customFormat="1" ht="31.5" hidden="1" customHeight="1" x14ac:dyDescent="0.45">
      <c r="A49" s="28" t="s">
        <v>395</v>
      </c>
      <c r="B49" s="29">
        <v>7325</v>
      </c>
      <c r="C49" s="40" t="s">
        <v>107</v>
      </c>
      <c r="D49" s="41" t="str">
        <f>'дод 9'!C238</f>
        <v>Будівництво1 споруд, установ та закладів фізичної культури і спорту</v>
      </c>
      <c r="E49" s="31">
        <f t="shared" si="11"/>
        <v>0</v>
      </c>
      <c r="F49" s="31"/>
      <c r="G49" s="31"/>
      <c r="H49" s="31"/>
      <c r="I49" s="31"/>
      <c r="J49" s="31">
        <f t="shared" si="17"/>
        <v>0</v>
      </c>
      <c r="K49" s="31"/>
      <c r="L49" s="31"/>
      <c r="M49" s="31"/>
      <c r="N49" s="31"/>
      <c r="O49" s="31"/>
      <c r="P49" s="31">
        <f t="shared" si="12"/>
        <v>0</v>
      </c>
      <c r="Q49" s="168"/>
    </row>
    <row r="50" spans="1:17" s="32" customFormat="1" ht="15.75" hidden="1" customHeight="1" x14ac:dyDescent="0.45">
      <c r="A50" s="28" t="s">
        <v>396</v>
      </c>
      <c r="B50" s="29">
        <v>7330</v>
      </c>
      <c r="C50" s="40" t="s">
        <v>107</v>
      </c>
      <c r="D50" s="41" t="str">
        <f>'дод 9'!C239</f>
        <v>Будівництво1 інших об'єктів комунальної власності, у т.ч. за рахунок:</v>
      </c>
      <c r="E50" s="31">
        <f t="shared" si="11"/>
        <v>0</v>
      </c>
      <c r="F50" s="31"/>
      <c r="G50" s="31"/>
      <c r="H50" s="31"/>
      <c r="I50" s="31"/>
      <c r="J50" s="31">
        <f t="shared" si="17"/>
        <v>0</v>
      </c>
      <c r="K50" s="31"/>
      <c r="L50" s="31"/>
      <c r="M50" s="31"/>
      <c r="N50" s="31"/>
      <c r="O50" s="31"/>
      <c r="P50" s="31">
        <f t="shared" si="12"/>
        <v>0</v>
      </c>
      <c r="Q50" s="168"/>
    </row>
    <row r="51" spans="1:17" s="32" customFormat="1" ht="33" customHeight="1" x14ac:dyDescent="0.45">
      <c r="A51" s="28" t="s">
        <v>152</v>
      </c>
      <c r="B51" s="29" t="str">
        <f>'дод 9'!A259</f>
        <v>7412</v>
      </c>
      <c r="C51" s="29" t="str">
        <f>'дод 9'!B259</f>
        <v>0451</v>
      </c>
      <c r="D51" s="30" t="str">
        <f>'дод 9'!C259</f>
        <v>Регулювання цін на послуги місцевого автотранспорту</v>
      </c>
      <c r="E51" s="31">
        <f t="shared" si="11"/>
        <v>19615344</v>
      </c>
      <c r="G51" s="31"/>
      <c r="H51" s="31"/>
      <c r="I51" s="31">
        <f>27600000-1500000-6484656</f>
        <v>19615344</v>
      </c>
      <c r="J51" s="31">
        <f t="shared" si="17"/>
        <v>0</v>
      </c>
      <c r="K51" s="31"/>
      <c r="L51" s="31"/>
      <c r="M51" s="31"/>
      <c r="N51" s="31"/>
      <c r="O51" s="31"/>
      <c r="P51" s="31">
        <f t="shared" si="12"/>
        <v>19615344</v>
      </c>
      <c r="Q51" s="168"/>
    </row>
    <row r="52" spans="1:17" s="32" customFormat="1" ht="24" hidden="1" customHeight="1" x14ac:dyDescent="0.45">
      <c r="A52" s="28" t="s">
        <v>364</v>
      </c>
      <c r="B52" s="29">
        <f>'дод 9'!A260</f>
        <v>7413</v>
      </c>
      <c r="C52" s="29" t="str">
        <f>'дод 9'!B260</f>
        <v>0451</v>
      </c>
      <c r="D52" s="42" t="str">
        <f>'дод 9'!C260</f>
        <v>Інші заходи у сфері автотранспорту</v>
      </c>
      <c r="E52" s="31">
        <f t="shared" si="11"/>
        <v>0</v>
      </c>
      <c r="F52" s="31"/>
      <c r="G52" s="31"/>
      <c r="H52" s="31"/>
      <c r="I52" s="31"/>
      <c r="J52" s="31">
        <f t="shared" si="17"/>
        <v>0</v>
      </c>
      <c r="K52" s="31"/>
      <c r="L52" s="31"/>
      <c r="M52" s="31"/>
      <c r="N52" s="31"/>
      <c r="O52" s="31"/>
      <c r="P52" s="31">
        <f t="shared" si="12"/>
        <v>0</v>
      </c>
      <c r="Q52" s="168"/>
    </row>
    <row r="53" spans="1:17" s="32" customFormat="1" ht="33" customHeight="1" x14ac:dyDescent="0.45">
      <c r="A53" s="28" t="s">
        <v>511</v>
      </c>
      <c r="B53" s="29">
        <v>7422</v>
      </c>
      <c r="C53" s="28" t="s">
        <v>394</v>
      </c>
      <c r="D53" s="42" t="str">
        <f>'дод 9'!C261</f>
        <v>Регулювання цін на послуги місцевого наземного електротранспорту</v>
      </c>
      <c r="E53" s="31">
        <f t="shared" si="11"/>
        <v>46883224</v>
      </c>
      <c r="F53" s="31"/>
      <c r="G53" s="31"/>
      <c r="H53" s="31"/>
      <c r="I53" s="31">
        <f>69010000-4050000-18076776</f>
        <v>46883224</v>
      </c>
      <c r="J53" s="31">
        <f t="shared" si="17"/>
        <v>0</v>
      </c>
      <c r="K53" s="31"/>
      <c r="L53" s="31"/>
      <c r="M53" s="31"/>
      <c r="N53" s="31"/>
      <c r="O53" s="31"/>
      <c r="P53" s="31">
        <f t="shared" si="12"/>
        <v>46883224</v>
      </c>
      <c r="Q53" s="168"/>
    </row>
    <row r="54" spans="1:17" s="32" customFormat="1" ht="24" hidden="1" customHeight="1" x14ac:dyDescent="0.45">
      <c r="A54" s="28" t="s">
        <v>365</v>
      </c>
      <c r="B54" s="29">
        <f>'дод 9'!A262</f>
        <v>7426</v>
      </c>
      <c r="C54" s="28" t="s">
        <v>394</v>
      </c>
      <c r="D54" s="42" t="str">
        <f>'дод 9'!C262</f>
        <v>Інші заходи у сфері електротранспорту</v>
      </c>
      <c r="E54" s="31">
        <f t="shared" si="11"/>
        <v>0</v>
      </c>
      <c r="F54" s="31"/>
      <c r="G54" s="31"/>
      <c r="H54" s="31"/>
      <c r="I54" s="31"/>
      <c r="J54" s="31">
        <f t="shared" si="17"/>
        <v>0</v>
      </c>
      <c r="K54" s="31"/>
      <c r="L54" s="31"/>
      <c r="M54" s="31"/>
      <c r="N54" s="31"/>
      <c r="O54" s="31"/>
      <c r="P54" s="31">
        <f t="shared" si="12"/>
        <v>0</v>
      </c>
      <c r="Q54" s="168"/>
    </row>
    <row r="55" spans="1:17" s="32" customFormat="1" ht="21.75" hidden="1" customHeight="1" x14ac:dyDescent="0.45">
      <c r="A55" s="28" t="s">
        <v>425</v>
      </c>
      <c r="B55" s="28" t="s">
        <v>426</v>
      </c>
      <c r="C55" s="28" t="s">
        <v>385</v>
      </c>
      <c r="D55" s="42" t="str">
        <f>'дод 9'!C264</f>
        <v>Інша діяльність у сфері транспорту</v>
      </c>
      <c r="E55" s="31">
        <f t="shared" si="11"/>
        <v>0</v>
      </c>
      <c r="F55" s="31">
        <f>1500000+321000-1500000-321000</f>
        <v>0</v>
      </c>
      <c r="G55" s="31"/>
      <c r="H55" s="31"/>
      <c r="I55" s="31"/>
      <c r="J55" s="31">
        <f t="shared" si="17"/>
        <v>0</v>
      </c>
      <c r="K55" s="31"/>
      <c r="L55" s="31"/>
      <c r="M55" s="31"/>
      <c r="N55" s="31"/>
      <c r="O55" s="31"/>
      <c r="P55" s="31">
        <f t="shared" si="12"/>
        <v>0</v>
      </c>
      <c r="Q55" s="168"/>
    </row>
    <row r="56" spans="1:17" s="32" customFormat="1" ht="30.75" customHeight="1" x14ac:dyDescent="0.45">
      <c r="A56" s="28" t="s">
        <v>225</v>
      </c>
      <c r="B56" s="29" t="str">
        <f>'дод 9'!A269</f>
        <v>7530</v>
      </c>
      <c r="C56" s="29" t="str">
        <f>'дод 9'!B269</f>
        <v>0460</v>
      </c>
      <c r="D56" s="30" t="str">
        <f>'дод 9'!C269</f>
        <v>Інші заходи у сфері зв'язку, телекомунікації та інформатики</v>
      </c>
      <c r="E56" s="31">
        <f t="shared" si="11"/>
        <v>5731600</v>
      </c>
      <c r="F56" s="31">
        <f>5323200+180000+193200+75200-40000</f>
        <v>5731600</v>
      </c>
      <c r="G56" s="31"/>
      <c r="H56" s="31"/>
      <c r="I56" s="31"/>
      <c r="J56" s="31">
        <f>L56+O56</f>
        <v>1000000</v>
      </c>
      <c r="K56" s="31">
        <f>19036280-18036280</f>
        <v>1000000</v>
      </c>
      <c r="L56" s="31"/>
      <c r="M56" s="31"/>
      <c r="N56" s="31"/>
      <c r="O56" s="31">
        <f>19036280-18036280</f>
        <v>1000000</v>
      </c>
      <c r="P56" s="31">
        <f t="shared" si="12"/>
        <v>6731600</v>
      </c>
      <c r="Q56" s="168"/>
    </row>
    <row r="57" spans="1:17" s="32" customFormat="1" ht="31.5" hidden="1" customHeight="1" x14ac:dyDescent="0.45">
      <c r="A57" s="28" t="s">
        <v>153</v>
      </c>
      <c r="B57" s="29" t="str">
        <f>'дод 9'!A275</f>
        <v>7610</v>
      </c>
      <c r="C57" s="29" t="str">
        <f>'дод 9'!B275</f>
        <v>0411</v>
      </c>
      <c r="D57" s="30" t="str">
        <f>'дод 9'!C275</f>
        <v>Сприяння розвитку малого та середнього підприємництва</v>
      </c>
      <c r="E57" s="31">
        <f t="shared" si="11"/>
        <v>0</v>
      </c>
      <c r="F57" s="31"/>
      <c r="G57" s="31"/>
      <c r="H57" s="31"/>
      <c r="I57" s="31"/>
      <c r="J57" s="31">
        <f t="shared" si="17"/>
        <v>0</v>
      </c>
      <c r="K57" s="31"/>
      <c r="L57" s="31"/>
      <c r="M57" s="31"/>
      <c r="N57" s="31"/>
      <c r="O57" s="31"/>
      <c r="P57" s="31">
        <f t="shared" si="12"/>
        <v>0</v>
      </c>
      <c r="Q57" s="168"/>
    </row>
    <row r="58" spans="1:17" s="32" customFormat="1" ht="31.5" customHeight="1" x14ac:dyDescent="0.45">
      <c r="A58" s="28" t="s">
        <v>598</v>
      </c>
      <c r="B58" s="29" t="str">
        <f>'дод 9'!A276</f>
        <v>7640</v>
      </c>
      <c r="C58" s="29" t="str">
        <f>'дод 9'!B276</f>
        <v>0470</v>
      </c>
      <c r="D58" s="42" t="s">
        <v>403</v>
      </c>
      <c r="E58" s="31">
        <f t="shared" ref="E58" si="18">F58+I58</f>
        <v>0</v>
      </c>
      <c r="F58" s="31"/>
      <c r="G58" s="31"/>
      <c r="H58" s="31"/>
      <c r="I58" s="31"/>
      <c r="J58" s="31">
        <f t="shared" ref="J58" si="19">L58+O58</f>
        <v>10000000</v>
      </c>
      <c r="K58" s="31">
        <v>10000000</v>
      </c>
      <c r="L58" s="31"/>
      <c r="M58" s="31"/>
      <c r="N58" s="31"/>
      <c r="O58" s="31">
        <v>10000000</v>
      </c>
      <c r="P58" s="31">
        <f t="shared" ref="P58" si="20">E58+J58</f>
        <v>10000000</v>
      </c>
      <c r="Q58" s="168"/>
    </row>
    <row r="59" spans="1:17" s="32" customFormat="1" ht="33.75" hidden="1" customHeight="1" x14ac:dyDescent="0.45">
      <c r="A59" s="28" t="s">
        <v>154</v>
      </c>
      <c r="B59" s="29" t="str">
        <f>'дод 9'!A282</f>
        <v>7670</v>
      </c>
      <c r="C59" s="29" t="str">
        <f>'дод 9'!B282</f>
        <v>0490</v>
      </c>
      <c r="D59" s="30" t="str">
        <f>'дод 9'!C282</f>
        <v>Внески до статутного капіталу суб'єктів господарювання,  у т.ч. за рахунок:</v>
      </c>
      <c r="E59" s="31">
        <f t="shared" si="11"/>
        <v>0</v>
      </c>
      <c r="F59" s="31"/>
      <c r="G59" s="31"/>
      <c r="H59" s="31"/>
      <c r="I59" s="31"/>
      <c r="J59" s="31">
        <f t="shared" si="17"/>
        <v>0</v>
      </c>
      <c r="K59" s="31">
        <f>1580400-1580400</f>
        <v>0</v>
      </c>
      <c r="L59" s="31"/>
      <c r="M59" s="31"/>
      <c r="N59" s="31"/>
      <c r="O59" s="31">
        <v>0</v>
      </c>
      <c r="P59" s="31">
        <f t="shared" si="12"/>
        <v>0</v>
      </c>
      <c r="Q59" s="168"/>
    </row>
    <row r="60" spans="1:17" s="32" customFormat="1" ht="34.5" customHeight="1" x14ac:dyDescent="0.45">
      <c r="A60" s="28" t="s">
        <v>239</v>
      </c>
      <c r="B60" s="29" t="str">
        <f>'дод 9'!A285</f>
        <v>7680</v>
      </c>
      <c r="C60" s="29" t="str">
        <f>'дод 9'!B285</f>
        <v>0490</v>
      </c>
      <c r="D60" s="30" t="str">
        <f>'дод 9'!C285</f>
        <v>Членські внески до асоціацій органів місцевого самоврядування</v>
      </c>
      <c r="E60" s="31">
        <f t="shared" si="11"/>
        <v>441318</v>
      </c>
      <c r="F60" s="31">
        <f>279854+167500-6036</f>
        <v>441318</v>
      </c>
      <c r="G60" s="31"/>
      <c r="H60" s="31"/>
      <c r="I60" s="31"/>
      <c r="J60" s="31">
        <f t="shared" si="17"/>
        <v>0</v>
      </c>
      <c r="K60" s="31"/>
      <c r="L60" s="31"/>
      <c r="M60" s="31"/>
      <c r="N60" s="31"/>
      <c r="O60" s="31"/>
      <c r="P60" s="31">
        <f t="shared" si="12"/>
        <v>441318</v>
      </c>
      <c r="Q60" s="168"/>
    </row>
    <row r="61" spans="1:17" s="32" customFormat="1" ht="111" customHeight="1" x14ac:dyDescent="0.45">
      <c r="A61" s="28" t="s">
        <v>289</v>
      </c>
      <c r="B61" s="29" t="str">
        <f>'дод 9'!A286</f>
        <v>7691</v>
      </c>
      <c r="C61" s="29" t="str">
        <f>'дод 9'!B286</f>
        <v>0490</v>
      </c>
      <c r="D61" s="30" t="str">
        <f>'дод 9'!C286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61" s="31">
        <f t="shared" si="11"/>
        <v>0</v>
      </c>
      <c r="F61" s="31"/>
      <c r="G61" s="31"/>
      <c r="H61" s="31"/>
      <c r="I61" s="31"/>
      <c r="J61" s="31">
        <f t="shared" si="17"/>
        <v>50000</v>
      </c>
      <c r="K61" s="31"/>
      <c r="L61" s="31">
        <v>50000</v>
      </c>
      <c r="M61" s="31"/>
      <c r="N61" s="31"/>
      <c r="O61" s="31"/>
      <c r="P61" s="31">
        <f t="shared" si="12"/>
        <v>50000</v>
      </c>
      <c r="Q61" s="168"/>
    </row>
    <row r="62" spans="1:17" s="32" customFormat="1" ht="23.25" customHeight="1" x14ac:dyDescent="0.45">
      <c r="A62" s="28" t="s">
        <v>232</v>
      </c>
      <c r="B62" s="29" t="str">
        <f>'дод 9'!A287</f>
        <v>7693</v>
      </c>
      <c r="C62" s="29" t="str">
        <f>'дод 9'!B287</f>
        <v>0490</v>
      </c>
      <c r="D62" s="30" t="str">
        <f>'дод 9'!C287</f>
        <v>Інші заходи, пов'язані з економічною діяльністю, у т.ч. за рахунок:</v>
      </c>
      <c r="E62" s="31">
        <f t="shared" si="11"/>
        <v>900000</v>
      </c>
      <c r="F62" s="31">
        <f>1944700-1044700</f>
        <v>900000</v>
      </c>
      <c r="G62" s="31"/>
      <c r="H62" s="31"/>
      <c r="I62" s="31"/>
      <c r="J62" s="31">
        <f t="shared" si="17"/>
        <v>0</v>
      </c>
      <c r="K62" s="31"/>
      <c r="L62" s="31"/>
      <c r="M62" s="31"/>
      <c r="N62" s="31"/>
      <c r="O62" s="31"/>
      <c r="P62" s="31">
        <f t="shared" si="12"/>
        <v>900000</v>
      </c>
      <c r="Q62" s="168"/>
    </row>
    <row r="63" spans="1:17" s="32" customFormat="1" ht="46.15" x14ac:dyDescent="0.45">
      <c r="A63" s="28" t="s">
        <v>724</v>
      </c>
      <c r="B63" s="29">
        <f>'дод 9'!A289</f>
        <v>7700</v>
      </c>
      <c r="C63" s="29" t="str">
        <f>'дод 9'!B289</f>
        <v>0133</v>
      </c>
      <c r="D63" s="42" t="str">
        <f>'дод 9'!C289</f>
        <v>Реалізація програм допомоги і грантів Європейського Союзу, урядів іноземних держав, міжнародних організацій, донорських установ, у т.ч. за рахунок:</v>
      </c>
      <c r="E63" s="31">
        <f t="shared" ref="E63:E64" si="21">F63+I63</f>
        <v>0</v>
      </c>
      <c r="F63" s="31"/>
      <c r="G63" s="31"/>
      <c r="H63" s="31"/>
      <c r="I63" s="31"/>
      <c r="J63" s="31">
        <f t="shared" ref="J63:J64" si="22">L63+O63</f>
        <v>85265</v>
      </c>
      <c r="K63" s="31"/>
      <c r="L63" s="31">
        <v>85265</v>
      </c>
      <c r="M63" s="31"/>
      <c r="N63" s="31"/>
      <c r="O63" s="31"/>
      <c r="P63" s="31">
        <f t="shared" ref="P63:P64" si="23">E63+J63</f>
        <v>85265</v>
      </c>
      <c r="Q63" s="168"/>
    </row>
    <row r="64" spans="1:17" s="37" customFormat="1" ht="23.25" customHeight="1" x14ac:dyDescent="0.45">
      <c r="A64" s="33"/>
      <c r="B64" s="34"/>
      <c r="C64" s="34"/>
      <c r="D64" s="35" t="str">
        <f>'дод 9'!C290</f>
        <v>грантів (дарунків)</v>
      </c>
      <c r="E64" s="36">
        <f t="shared" si="21"/>
        <v>0</v>
      </c>
      <c r="F64" s="36"/>
      <c r="G64" s="36"/>
      <c r="H64" s="36"/>
      <c r="I64" s="36"/>
      <c r="J64" s="36">
        <f t="shared" si="22"/>
        <v>85265</v>
      </c>
      <c r="K64" s="36"/>
      <c r="L64" s="36">
        <v>85265</v>
      </c>
      <c r="M64" s="36"/>
      <c r="N64" s="36"/>
      <c r="O64" s="36"/>
      <c r="P64" s="36">
        <f t="shared" si="23"/>
        <v>85265</v>
      </c>
      <c r="Q64" s="168"/>
    </row>
    <row r="65" spans="1:17" s="32" customFormat="1" ht="34.5" customHeight="1" x14ac:dyDescent="0.45">
      <c r="A65" s="28" t="s">
        <v>155</v>
      </c>
      <c r="B65" s="29" t="str">
        <f>'дод 9'!A299</f>
        <v>8110</v>
      </c>
      <c r="C65" s="29" t="str">
        <f>'дод 9'!B299</f>
        <v>0320</v>
      </c>
      <c r="D65" s="30" t="str">
        <f>'дод 9'!C299</f>
        <v>Заходи із запобігання та ліквідації надзвичайних ситуацій та наслідків стихійного лиха, у т.ч. за рахунок:</v>
      </c>
      <c r="E65" s="31">
        <f t="shared" si="11"/>
        <v>5195800</v>
      </c>
      <c r="F65" s="31">
        <f>3718400+36000+825000+20000-130000+62400+130000+370000+164000</f>
        <v>5195800</v>
      </c>
      <c r="G65" s="31"/>
      <c r="H65" s="31">
        <f>28500+20000+24000</f>
        <v>72500</v>
      </c>
      <c r="I65" s="31"/>
      <c r="J65" s="31">
        <f t="shared" si="17"/>
        <v>3525500</v>
      </c>
      <c r="K65" s="31">
        <f>795000+2730500+130000-130000</f>
        <v>3525500</v>
      </c>
      <c r="L65" s="31"/>
      <c r="M65" s="31"/>
      <c r="N65" s="31"/>
      <c r="O65" s="31">
        <f>795000+2730500+130000-130000</f>
        <v>3525500</v>
      </c>
      <c r="P65" s="31">
        <f t="shared" si="12"/>
        <v>8721300</v>
      </c>
      <c r="Q65" s="168"/>
    </row>
    <row r="66" spans="1:17" s="37" customFormat="1" ht="93" customHeight="1" x14ac:dyDescent="0.45">
      <c r="A66" s="33"/>
      <c r="B66" s="34"/>
      <c r="C66" s="34"/>
      <c r="D66" s="35" t="str">
        <f>'дод 9'!C301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66" s="36">
        <f t="shared" ref="E66" si="24">F66+I66</f>
        <v>164000</v>
      </c>
      <c r="F66" s="36">
        <v>164000</v>
      </c>
      <c r="G66" s="36"/>
      <c r="H66" s="36"/>
      <c r="I66" s="36"/>
      <c r="J66" s="36">
        <f t="shared" ref="J66" si="25">L66+O66</f>
        <v>0</v>
      </c>
      <c r="K66" s="36"/>
      <c r="L66" s="36"/>
      <c r="M66" s="36"/>
      <c r="N66" s="36"/>
      <c r="O66" s="36"/>
      <c r="P66" s="36">
        <f t="shared" ref="P66" si="26">E66+J66</f>
        <v>164000</v>
      </c>
      <c r="Q66" s="168"/>
    </row>
    <row r="67" spans="1:17" s="32" customFormat="1" ht="30" customHeight="1" x14ac:dyDescent="0.45">
      <c r="A67" s="28" t="s">
        <v>215</v>
      </c>
      <c r="B67" s="29" t="str">
        <f>'дод 9'!A302</f>
        <v>8120</v>
      </c>
      <c r="C67" s="29" t="str">
        <f>'дод 9'!B302</f>
        <v>0320</v>
      </c>
      <c r="D67" s="30" t="str">
        <f>'дод 9'!C302</f>
        <v>Заходи з організації рятування на водах, у т. ч. за рахунок:</v>
      </c>
      <c r="E67" s="31">
        <f t="shared" si="11"/>
        <v>4386700</v>
      </c>
      <c r="F67" s="31">
        <f>3131100+2000+1302200-48600</f>
        <v>4386700</v>
      </c>
      <c r="G67" s="31">
        <f>2400000+687400</f>
        <v>3087400</v>
      </c>
      <c r="H67" s="31">
        <v>109000</v>
      </c>
      <c r="I67" s="31"/>
      <c r="J67" s="31">
        <f t="shared" si="17"/>
        <v>134000</v>
      </c>
      <c r="K67" s="31">
        <f>80500-2000+48600</f>
        <v>127100</v>
      </c>
      <c r="L67" s="31">
        <v>6900</v>
      </c>
      <c r="M67" s="31"/>
      <c r="N67" s="31">
        <v>1600</v>
      </c>
      <c r="O67" s="31">
        <f>80500-2000+48600</f>
        <v>127100</v>
      </c>
      <c r="P67" s="31">
        <f t="shared" si="12"/>
        <v>4520700</v>
      </c>
      <c r="Q67" s="168"/>
    </row>
    <row r="68" spans="1:17" s="37" customFormat="1" ht="47.25" customHeight="1" x14ac:dyDescent="0.45">
      <c r="A68" s="33"/>
      <c r="B68" s="34"/>
      <c r="C68" s="34"/>
      <c r="D68" s="35" t="str">
        <f>'дод 9'!C303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E68" s="36">
        <f t="shared" si="11"/>
        <v>410600</v>
      </c>
      <c r="F68" s="36">
        <v>410600</v>
      </c>
      <c r="G68" s="36">
        <v>336800</v>
      </c>
      <c r="H68" s="36"/>
      <c r="I68" s="36"/>
      <c r="J68" s="36">
        <f t="shared" si="17"/>
        <v>0</v>
      </c>
      <c r="K68" s="36"/>
      <c r="L68" s="36"/>
      <c r="M68" s="36"/>
      <c r="N68" s="36"/>
      <c r="O68" s="36"/>
      <c r="P68" s="36">
        <f t="shared" si="12"/>
        <v>410600</v>
      </c>
      <c r="Q68" s="168"/>
    </row>
    <row r="69" spans="1:17" s="32" customFormat="1" ht="27" customHeight="1" x14ac:dyDescent="0.45">
      <c r="A69" s="28" t="s">
        <v>235</v>
      </c>
      <c r="B69" s="29" t="str">
        <f>'дод 9'!A305</f>
        <v>8230</v>
      </c>
      <c r="C69" s="29" t="str">
        <f>'дод 9'!B305</f>
        <v>0380</v>
      </c>
      <c r="D69" s="30" t="str">
        <f>'дод 9'!C305</f>
        <v>Інші заходи громадського порядку та безпеки</v>
      </c>
      <c r="E69" s="31">
        <f t="shared" si="11"/>
        <v>1158892</v>
      </c>
      <c r="F69" s="31">
        <f>743000+25892+150000+40000+200000</f>
        <v>1158892</v>
      </c>
      <c r="G69" s="31"/>
      <c r="H69" s="31">
        <f>546600+40000</f>
        <v>586600</v>
      </c>
      <c r="I69" s="31"/>
      <c r="J69" s="31">
        <f t="shared" si="17"/>
        <v>0</v>
      </c>
      <c r="K69" s="31"/>
      <c r="L69" s="31"/>
      <c r="M69" s="31"/>
      <c r="N69" s="31"/>
      <c r="O69" s="31"/>
      <c r="P69" s="31">
        <f t="shared" si="12"/>
        <v>1158892</v>
      </c>
      <c r="Q69" s="168"/>
    </row>
    <row r="70" spans="1:17" s="136" customFormat="1" ht="17.25" customHeight="1" x14ac:dyDescent="0.45">
      <c r="A70" s="28" t="s">
        <v>570</v>
      </c>
      <c r="B70" s="29">
        <f>'дод 9'!A306</f>
        <v>8240</v>
      </c>
      <c r="C70" s="29" t="str">
        <f>'дод 9'!B306</f>
        <v>0380</v>
      </c>
      <c r="D70" s="42" t="str">
        <f>'дод 9'!C306</f>
        <v>Заходи та роботи з територіальної оборони</v>
      </c>
      <c r="E70" s="31">
        <f t="shared" ref="E70" si="27">F70+I70</f>
        <v>22596402.879999999</v>
      </c>
      <c r="F70" s="31">
        <f>22706200-39999-97332+27533.88</f>
        <v>22596402.879999999</v>
      </c>
      <c r="G70" s="31"/>
      <c r="H70" s="31">
        <f>5530100</f>
        <v>5530100</v>
      </c>
      <c r="I70" s="31"/>
      <c r="J70" s="31">
        <f t="shared" ref="J70" si="28">L70+O70</f>
        <v>887331</v>
      </c>
      <c r="K70" s="31">
        <f>750000+39999+97332</f>
        <v>887331</v>
      </c>
      <c r="L70" s="31"/>
      <c r="M70" s="31"/>
      <c r="N70" s="31"/>
      <c r="O70" s="31">
        <f>750000+39999+97332</f>
        <v>887331</v>
      </c>
      <c r="P70" s="31">
        <f t="shared" ref="P70" si="29">E70+J70</f>
        <v>23483733.879999999</v>
      </c>
      <c r="Q70" s="168"/>
    </row>
    <row r="71" spans="1:17" s="32" customFormat="1" ht="15.4" x14ac:dyDescent="0.45">
      <c r="A71" s="28" t="s">
        <v>156</v>
      </c>
      <c r="B71" s="29" t="str">
        <f>'дод 9'!A310</f>
        <v>8340</v>
      </c>
      <c r="C71" s="29" t="str">
        <f>'дод 9'!B310</f>
        <v>0540</v>
      </c>
      <c r="D71" s="30" t="str">
        <f>'дод 9'!C310</f>
        <v>Природоохоронні заходи за рахунок цільових фондів</v>
      </c>
      <c r="E71" s="31">
        <f t="shared" si="11"/>
        <v>0</v>
      </c>
      <c r="F71" s="31"/>
      <c r="G71" s="31"/>
      <c r="H71" s="31"/>
      <c r="I71" s="31"/>
      <c r="J71" s="31">
        <f t="shared" si="17"/>
        <v>70000</v>
      </c>
      <c r="K71" s="31"/>
      <c r="L71" s="31">
        <v>70000</v>
      </c>
      <c r="M71" s="31"/>
      <c r="N71" s="31"/>
      <c r="O71" s="31"/>
      <c r="P71" s="31">
        <f t="shared" si="12"/>
        <v>70000</v>
      </c>
      <c r="Q71" s="168"/>
    </row>
    <row r="72" spans="1:17" s="32" customFormat="1" ht="15.75" hidden="1" customHeight="1" x14ac:dyDescent="0.45">
      <c r="A72" s="28" t="s">
        <v>246</v>
      </c>
      <c r="B72" s="29" t="str">
        <f>'дод 9'!A312</f>
        <v>8420</v>
      </c>
      <c r="C72" s="29" t="str">
        <f>'дод 9'!B312</f>
        <v>0830</v>
      </c>
      <c r="D72" s="30" t="str">
        <f>'дод 9'!C312</f>
        <v>Інші заходи у сфері засобів масової інформації</v>
      </c>
      <c r="E72" s="31">
        <f t="shared" si="11"/>
        <v>0</v>
      </c>
      <c r="F72" s="31"/>
      <c r="G72" s="31"/>
      <c r="H72" s="31"/>
      <c r="I72" s="31"/>
      <c r="J72" s="31">
        <f t="shared" si="17"/>
        <v>0</v>
      </c>
      <c r="K72" s="31"/>
      <c r="L72" s="31"/>
      <c r="M72" s="31"/>
      <c r="N72" s="31"/>
      <c r="O72" s="31"/>
      <c r="P72" s="31">
        <f t="shared" si="12"/>
        <v>0</v>
      </c>
      <c r="Q72" s="168"/>
    </row>
    <row r="73" spans="1:17" s="136" customFormat="1" ht="25.5" customHeight="1" x14ac:dyDescent="0.45">
      <c r="A73" s="28" t="s">
        <v>531</v>
      </c>
      <c r="B73" s="29">
        <v>9770</v>
      </c>
      <c r="C73" s="28" t="s">
        <v>43</v>
      </c>
      <c r="D73" s="30" t="s">
        <v>343</v>
      </c>
      <c r="E73" s="31">
        <f t="shared" si="11"/>
        <v>1100000</v>
      </c>
      <c r="F73" s="31">
        <f>800000+300000</f>
        <v>1100000</v>
      </c>
      <c r="G73" s="31"/>
      <c r="H73" s="31"/>
      <c r="I73" s="31"/>
      <c r="J73" s="31">
        <f t="shared" si="17"/>
        <v>3255664</v>
      </c>
      <c r="K73" s="31">
        <f>2900000+355664</f>
        <v>3255664</v>
      </c>
      <c r="L73" s="31"/>
      <c r="M73" s="31"/>
      <c r="N73" s="31"/>
      <c r="O73" s="31">
        <f>2900000+355664</f>
        <v>3255664</v>
      </c>
      <c r="P73" s="31">
        <f t="shared" si="12"/>
        <v>4355664</v>
      </c>
      <c r="Q73" s="168"/>
    </row>
    <row r="74" spans="1:17" s="136" customFormat="1" ht="47.25" customHeight="1" x14ac:dyDescent="0.45">
      <c r="A74" s="28" t="s">
        <v>368</v>
      </c>
      <c r="B74" s="29">
        <v>9800</v>
      </c>
      <c r="C74" s="28" t="s">
        <v>43</v>
      </c>
      <c r="D74" s="30" t="s">
        <v>354</v>
      </c>
      <c r="E74" s="31">
        <f>F74+I74</f>
        <v>10064899</v>
      </c>
      <c r="F74" s="31">
        <f>540000+340000+2270000+150000+2500000+626900+70000+300000+100000+20000+300000+450000+350000+50000+250000+200000-300000+1414599-116600+300000+250000</f>
        <v>10064899</v>
      </c>
      <c r="G74" s="31"/>
      <c r="H74" s="31"/>
      <c r="I74" s="31"/>
      <c r="J74" s="31">
        <f t="shared" si="17"/>
        <v>43449850</v>
      </c>
      <c r="K74" s="31">
        <f>19170000+600000+300000+1500000+950000+3420500+2000000+5000000+222000+1027350+2000000+140000+2000000+420000+930000+1300000+200000-300000+1550000+195000+350000+475000</f>
        <v>43449850</v>
      </c>
      <c r="L74" s="31"/>
      <c r="M74" s="31"/>
      <c r="N74" s="31"/>
      <c r="O74" s="31">
        <f>19170000+600000+300000+1500000+950000+3420500+2000000+5000000+222000+1027350+2000000+140000+2000000+420000+930000+1300000+200000-300000+1550000+195000+350000+475000</f>
        <v>43449850</v>
      </c>
      <c r="P74" s="31">
        <f t="shared" si="12"/>
        <v>53514749</v>
      </c>
      <c r="Q74" s="168"/>
    </row>
    <row r="75" spans="1:17" s="22" customFormat="1" ht="29.25" customHeight="1" x14ac:dyDescent="0.4">
      <c r="A75" s="43" t="s">
        <v>157</v>
      </c>
      <c r="B75" s="44"/>
      <c r="C75" s="44"/>
      <c r="D75" s="45" t="s">
        <v>24</v>
      </c>
      <c r="E75" s="21">
        <f>E76</f>
        <v>1530253223.1300001</v>
      </c>
      <c r="F75" s="21">
        <f t="shared" ref="F75:I75" si="30">F76</f>
        <v>1530253223.1300001</v>
      </c>
      <c r="G75" s="21">
        <f t="shared" si="30"/>
        <v>1025225108</v>
      </c>
      <c r="H75" s="21">
        <f t="shared" si="30"/>
        <v>145311765</v>
      </c>
      <c r="I75" s="21">
        <f t="shared" si="30"/>
        <v>0</v>
      </c>
      <c r="J75" s="21">
        <f>J76</f>
        <v>544830913.65999997</v>
      </c>
      <c r="K75" s="21">
        <f t="shared" ref="K75" si="31">K76</f>
        <v>369504689</v>
      </c>
      <c r="L75" s="21">
        <f t="shared" ref="L75" si="32">L76</f>
        <v>111801184</v>
      </c>
      <c r="M75" s="21">
        <f t="shared" ref="M75" si="33">M76</f>
        <v>6739662</v>
      </c>
      <c r="N75" s="21">
        <f t="shared" ref="N75" si="34">N76</f>
        <v>5594400</v>
      </c>
      <c r="O75" s="21">
        <f t="shared" ref="O75:P75" si="35">O76</f>
        <v>433029729.65999997</v>
      </c>
      <c r="P75" s="21">
        <f t="shared" si="35"/>
        <v>2075084136.7900002</v>
      </c>
      <c r="Q75" s="168"/>
    </row>
    <row r="76" spans="1:17" s="27" customFormat="1" ht="33" customHeight="1" x14ac:dyDescent="0.4">
      <c r="A76" s="23" t="s">
        <v>158</v>
      </c>
      <c r="B76" s="46"/>
      <c r="C76" s="46"/>
      <c r="D76" s="25" t="s">
        <v>606</v>
      </c>
      <c r="E76" s="26">
        <f>E91+E92+E93+E96+E98+E99+E102+E104+E106+E109+E111+E118+E119+E120+E121+E123+E124+E125+E127+E129+E131+E133+E135+E152+E153+E155+E157+E162+E163+E168+E169+E171+E172+E112+E114+E161+E164+E167+E165+E142+E143+E149+E159+E147+E145+E137+E136+E139+E116+E140+E150</f>
        <v>1530253223.1300001</v>
      </c>
      <c r="F76" s="26">
        <f t="shared" ref="F76:P76" si="36">F91+F92+F93+F96+F98+F99+F102+F104+F106+F109+F111+F118+F119+F120+F121+F123+F124+F125+F127+F129+F131+F133+F135+F152+F153+F155+F157+F162+F163+F168+F169+F171+F172+F112+F114+F161+F164+F167+F165+F142+F143+F149+F159+F147+F145+F137+F136+F139+F116+F140+F150</f>
        <v>1530253223.1300001</v>
      </c>
      <c r="G76" s="26">
        <f t="shared" si="36"/>
        <v>1025225108</v>
      </c>
      <c r="H76" s="26">
        <f t="shared" si="36"/>
        <v>145311765</v>
      </c>
      <c r="I76" s="26">
        <f t="shared" si="36"/>
        <v>0</v>
      </c>
      <c r="J76" s="26">
        <f t="shared" si="36"/>
        <v>544830913.65999997</v>
      </c>
      <c r="K76" s="26">
        <f t="shared" si="36"/>
        <v>369504689</v>
      </c>
      <c r="L76" s="26">
        <f t="shared" si="36"/>
        <v>111801184</v>
      </c>
      <c r="M76" s="26">
        <f t="shared" si="36"/>
        <v>6739662</v>
      </c>
      <c r="N76" s="26">
        <f t="shared" si="36"/>
        <v>5594400</v>
      </c>
      <c r="O76" s="26">
        <f t="shared" si="36"/>
        <v>433029729.65999997</v>
      </c>
      <c r="P76" s="26">
        <f t="shared" si="36"/>
        <v>2075084136.7900002</v>
      </c>
      <c r="Q76" s="168"/>
    </row>
    <row r="77" spans="1:17" s="27" customFormat="1" ht="31.5" customHeight="1" x14ac:dyDescent="0.4">
      <c r="A77" s="23"/>
      <c r="B77" s="46"/>
      <c r="C77" s="46"/>
      <c r="D77" s="25" t="s">
        <v>376</v>
      </c>
      <c r="E77" s="26">
        <f>E100+E103+E105+E115</f>
        <v>551078300</v>
      </c>
      <c r="F77" s="26">
        <f t="shared" ref="F77:P77" si="37">F100+F103+F105+F115</f>
        <v>551078300</v>
      </c>
      <c r="G77" s="26">
        <f t="shared" si="37"/>
        <v>452384600</v>
      </c>
      <c r="H77" s="26">
        <f t="shared" si="37"/>
        <v>0</v>
      </c>
      <c r="I77" s="26">
        <f t="shared" si="37"/>
        <v>0</v>
      </c>
      <c r="J77" s="26">
        <f t="shared" si="37"/>
        <v>0</v>
      </c>
      <c r="K77" s="26">
        <f t="shared" si="37"/>
        <v>0</v>
      </c>
      <c r="L77" s="26">
        <f t="shared" si="37"/>
        <v>0</v>
      </c>
      <c r="M77" s="26">
        <f t="shared" si="37"/>
        <v>0</v>
      </c>
      <c r="N77" s="26">
        <f t="shared" si="37"/>
        <v>0</v>
      </c>
      <c r="O77" s="26">
        <f t="shared" si="37"/>
        <v>0</v>
      </c>
      <c r="P77" s="26">
        <f t="shared" si="37"/>
        <v>551078300</v>
      </c>
      <c r="Q77" s="168"/>
    </row>
    <row r="78" spans="1:17" s="27" customFormat="1" ht="31.5" customHeight="1" x14ac:dyDescent="0.4">
      <c r="A78" s="23"/>
      <c r="B78" s="46"/>
      <c r="C78" s="46"/>
      <c r="D78" s="25" t="s">
        <v>580</v>
      </c>
      <c r="E78" s="26">
        <f>E108</f>
        <v>351767.89</v>
      </c>
      <c r="F78" s="26">
        <f t="shared" ref="F78:P78" si="38">F108</f>
        <v>351767.89</v>
      </c>
      <c r="G78" s="26">
        <f t="shared" si="38"/>
        <v>290000</v>
      </c>
      <c r="H78" s="26">
        <f t="shared" si="38"/>
        <v>0</v>
      </c>
      <c r="I78" s="26">
        <f t="shared" si="38"/>
        <v>0</v>
      </c>
      <c r="J78" s="26">
        <f t="shared" si="38"/>
        <v>0</v>
      </c>
      <c r="K78" s="26">
        <f t="shared" si="38"/>
        <v>0</v>
      </c>
      <c r="L78" s="26">
        <f t="shared" si="38"/>
        <v>0</v>
      </c>
      <c r="M78" s="26">
        <f t="shared" si="38"/>
        <v>0</v>
      </c>
      <c r="N78" s="26">
        <f t="shared" si="38"/>
        <v>0</v>
      </c>
      <c r="O78" s="26">
        <f t="shared" si="38"/>
        <v>0</v>
      </c>
      <c r="P78" s="26">
        <f t="shared" si="38"/>
        <v>351767.89</v>
      </c>
      <c r="Q78" s="168"/>
    </row>
    <row r="79" spans="1:17" s="27" customFormat="1" ht="45" x14ac:dyDescent="0.4">
      <c r="A79" s="23"/>
      <c r="B79" s="46"/>
      <c r="C79" s="46"/>
      <c r="D79" s="25" t="str">
        <f>D138</f>
        <v>субвенції з державного бюджету місцевим бюджетам на створення навчально-практичних центрів сучасної професійної (професійно-технічної) освіти</v>
      </c>
      <c r="E79" s="26">
        <f t="shared" ref="E79:P79" si="39">E138</f>
        <v>2843700</v>
      </c>
      <c r="F79" s="26">
        <f t="shared" si="39"/>
        <v>2843700</v>
      </c>
      <c r="G79" s="26">
        <f t="shared" si="39"/>
        <v>0</v>
      </c>
      <c r="H79" s="26">
        <f t="shared" si="39"/>
        <v>0</v>
      </c>
      <c r="I79" s="26">
        <f t="shared" si="39"/>
        <v>0</v>
      </c>
      <c r="J79" s="26">
        <f t="shared" si="39"/>
        <v>5556300</v>
      </c>
      <c r="K79" s="26">
        <f t="shared" si="39"/>
        <v>5556300</v>
      </c>
      <c r="L79" s="26">
        <f t="shared" si="39"/>
        <v>0</v>
      </c>
      <c r="M79" s="26">
        <f t="shared" si="39"/>
        <v>0</v>
      </c>
      <c r="N79" s="26">
        <f t="shared" si="39"/>
        <v>0</v>
      </c>
      <c r="O79" s="26">
        <f t="shared" si="39"/>
        <v>5556300</v>
      </c>
      <c r="P79" s="26">
        <f t="shared" si="39"/>
        <v>8400000</v>
      </c>
      <c r="Q79" s="168"/>
    </row>
    <row r="80" spans="1:17" s="27" customFormat="1" ht="67.5" customHeight="1" x14ac:dyDescent="0.4">
      <c r="A80" s="23"/>
      <c r="B80" s="46"/>
      <c r="C80" s="46"/>
      <c r="D80" s="25" t="str">
        <f>D141</f>
        <v>субвенції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v>
      </c>
      <c r="E80" s="26">
        <f>E141</f>
        <v>0</v>
      </c>
      <c r="F80" s="26">
        <f t="shared" ref="F80:P80" si="40">F141</f>
        <v>0</v>
      </c>
      <c r="G80" s="26">
        <f t="shared" si="40"/>
        <v>0</v>
      </c>
      <c r="H80" s="26">
        <f t="shared" si="40"/>
        <v>0</v>
      </c>
      <c r="I80" s="26">
        <f t="shared" si="40"/>
        <v>0</v>
      </c>
      <c r="J80" s="26">
        <f t="shared" si="40"/>
        <v>82600800</v>
      </c>
      <c r="K80" s="26">
        <f t="shared" si="40"/>
        <v>82600800</v>
      </c>
      <c r="L80" s="26">
        <f t="shared" si="40"/>
        <v>0</v>
      </c>
      <c r="M80" s="26">
        <f t="shared" si="40"/>
        <v>0</v>
      </c>
      <c r="N80" s="26">
        <f t="shared" si="40"/>
        <v>0</v>
      </c>
      <c r="O80" s="26">
        <f t="shared" si="40"/>
        <v>82600800</v>
      </c>
      <c r="P80" s="26">
        <f t="shared" si="40"/>
        <v>82600800</v>
      </c>
      <c r="Q80" s="168"/>
    </row>
    <row r="81" spans="1:17" s="27" customFormat="1" ht="67.5" customHeight="1" x14ac:dyDescent="0.4">
      <c r="A81" s="23"/>
      <c r="B81" s="46"/>
      <c r="C81" s="46"/>
      <c r="D81" s="25" t="str">
        <f>D151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E81" s="26">
        <f>E151</f>
        <v>19506700</v>
      </c>
      <c r="F81" s="26">
        <f t="shared" ref="F81:P81" si="41">F151</f>
        <v>19506700</v>
      </c>
      <c r="G81" s="26">
        <f t="shared" si="41"/>
        <v>0</v>
      </c>
      <c r="H81" s="26">
        <f t="shared" si="41"/>
        <v>0</v>
      </c>
      <c r="I81" s="26">
        <f t="shared" si="41"/>
        <v>0</v>
      </c>
      <c r="J81" s="26">
        <f t="shared" si="41"/>
        <v>0</v>
      </c>
      <c r="K81" s="26">
        <f t="shared" si="41"/>
        <v>0</v>
      </c>
      <c r="L81" s="26">
        <f t="shared" si="41"/>
        <v>0</v>
      </c>
      <c r="M81" s="26">
        <f t="shared" si="41"/>
        <v>0</v>
      </c>
      <c r="N81" s="26">
        <f t="shared" si="41"/>
        <v>0</v>
      </c>
      <c r="O81" s="26">
        <f t="shared" si="41"/>
        <v>0</v>
      </c>
      <c r="P81" s="26">
        <f t="shared" si="41"/>
        <v>19506700</v>
      </c>
      <c r="Q81" s="168"/>
    </row>
    <row r="82" spans="1:17" s="27" customFormat="1" ht="99.75" customHeight="1" x14ac:dyDescent="0.4">
      <c r="A82" s="23"/>
      <c r="B82" s="46"/>
      <c r="C82" s="46"/>
      <c r="D82" s="25" t="str">
        <f>D113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82" s="26">
        <f>E113+E146+E95+E97</f>
        <v>1686473</v>
      </c>
      <c r="F82" s="26">
        <f t="shared" ref="F82:P82" si="42">F113+F146+F95+F97</f>
        <v>1686473</v>
      </c>
      <c r="G82" s="26">
        <f t="shared" si="42"/>
        <v>0</v>
      </c>
      <c r="H82" s="26">
        <f t="shared" si="42"/>
        <v>0</v>
      </c>
      <c r="I82" s="26">
        <f t="shared" si="42"/>
        <v>0</v>
      </c>
      <c r="J82" s="26">
        <f t="shared" si="42"/>
        <v>39145989</v>
      </c>
      <c r="K82" s="26">
        <f t="shared" si="42"/>
        <v>39145989</v>
      </c>
      <c r="L82" s="26">
        <f t="shared" si="42"/>
        <v>0</v>
      </c>
      <c r="M82" s="26">
        <f t="shared" si="42"/>
        <v>0</v>
      </c>
      <c r="N82" s="26">
        <f t="shared" si="42"/>
        <v>0</v>
      </c>
      <c r="O82" s="26">
        <f t="shared" si="42"/>
        <v>39145989</v>
      </c>
      <c r="P82" s="26">
        <f t="shared" si="42"/>
        <v>40832462</v>
      </c>
      <c r="Q82" s="168"/>
    </row>
    <row r="83" spans="1:17" s="27" customFormat="1" ht="47.25" customHeight="1" x14ac:dyDescent="0.4">
      <c r="A83" s="23"/>
      <c r="B83" s="46"/>
      <c r="C83" s="46"/>
      <c r="D83" s="25" t="s">
        <v>371</v>
      </c>
      <c r="E83" s="26">
        <f>E101+E122</f>
        <v>4320175</v>
      </c>
      <c r="F83" s="26">
        <f t="shared" ref="F83:P83" si="43">F101+F122</f>
        <v>4320175</v>
      </c>
      <c r="G83" s="26">
        <f t="shared" si="43"/>
        <v>1714570</v>
      </c>
      <c r="H83" s="26">
        <f t="shared" si="43"/>
        <v>0</v>
      </c>
      <c r="I83" s="26">
        <f t="shared" si="43"/>
        <v>0</v>
      </c>
      <c r="J83" s="26">
        <f t="shared" si="43"/>
        <v>0</v>
      </c>
      <c r="K83" s="26">
        <f t="shared" si="43"/>
        <v>0</v>
      </c>
      <c r="L83" s="26">
        <f t="shared" si="43"/>
        <v>0</v>
      </c>
      <c r="M83" s="26">
        <f t="shared" si="43"/>
        <v>0</v>
      </c>
      <c r="N83" s="26">
        <f t="shared" si="43"/>
        <v>0</v>
      </c>
      <c r="O83" s="26">
        <f t="shared" si="43"/>
        <v>0</v>
      </c>
      <c r="P83" s="26">
        <f t="shared" si="43"/>
        <v>4320175</v>
      </c>
      <c r="Q83" s="168"/>
    </row>
    <row r="84" spans="1:17" s="27" customFormat="1" ht="45" customHeight="1" x14ac:dyDescent="0.4">
      <c r="A84" s="23"/>
      <c r="B84" s="46"/>
      <c r="C84" s="46"/>
      <c r="D84" s="25" t="s">
        <v>373</v>
      </c>
      <c r="E84" s="26">
        <f>E107+E148+E117</f>
        <v>0</v>
      </c>
      <c r="F84" s="26">
        <f t="shared" ref="F84:P84" si="44">F107+F148+F117</f>
        <v>0</v>
      </c>
      <c r="G84" s="26">
        <f t="shared" si="44"/>
        <v>0</v>
      </c>
      <c r="H84" s="26">
        <f t="shared" si="44"/>
        <v>0</v>
      </c>
      <c r="I84" s="26">
        <f t="shared" si="44"/>
        <v>0</v>
      </c>
      <c r="J84" s="26">
        <f t="shared" si="44"/>
        <v>23087751</v>
      </c>
      <c r="K84" s="26">
        <f>K107+K148+K117</f>
        <v>7819500</v>
      </c>
      <c r="L84" s="26">
        <f t="shared" si="44"/>
        <v>3562863</v>
      </c>
      <c r="M84" s="26">
        <f t="shared" si="44"/>
        <v>0</v>
      </c>
      <c r="N84" s="26">
        <f t="shared" si="44"/>
        <v>0</v>
      </c>
      <c r="O84" s="26">
        <f t="shared" si="44"/>
        <v>19524888</v>
      </c>
      <c r="P84" s="26">
        <f t="shared" si="44"/>
        <v>23087751</v>
      </c>
      <c r="Q84" s="47"/>
    </row>
    <row r="85" spans="1:17" s="27" customFormat="1" ht="63" customHeight="1" x14ac:dyDescent="0.4">
      <c r="A85" s="23"/>
      <c r="B85" s="46"/>
      <c r="C85" s="46"/>
      <c r="D85" s="25" t="s">
        <v>681</v>
      </c>
      <c r="E85" s="26">
        <f>E132</f>
        <v>1331125</v>
      </c>
      <c r="F85" s="26">
        <f t="shared" ref="F85:P85" si="45">F132</f>
        <v>1331125</v>
      </c>
      <c r="G85" s="26">
        <f t="shared" si="45"/>
        <v>1091086</v>
      </c>
      <c r="H85" s="26">
        <f t="shared" si="45"/>
        <v>0</v>
      </c>
      <c r="I85" s="26">
        <f t="shared" si="45"/>
        <v>0</v>
      </c>
      <c r="J85" s="26">
        <f t="shared" si="45"/>
        <v>0</v>
      </c>
      <c r="K85" s="26">
        <f t="shared" si="45"/>
        <v>0</v>
      </c>
      <c r="L85" s="26">
        <f t="shared" si="45"/>
        <v>0</v>
      </c>
      <c r="M85" s="26">
        <f t="shared" si="45"/>
        <v>0</v>
      </c>
      <c r="N85" s="26">
        <f t="shared" si="45"/>
        <v>0</v>
      </c>
      <c r="O85" s="26">
        <f t="shared" si="45"/>
        <v>0</v>
      </c>
      <c r="P85" s="26">
        <f t="shared" si="45"/>
        <v>1331125</v>
      </c>
      <c r="Q85" s="47"/>
    </row>
    <row r="86" spans="1:17" s="27" customFormat="1" ht="70.900000000000006" customHeight="1" x14ac:dyDescent="0.4">
      <c r="A86" s="23"/>
      <c r="B86" s="48"/>
      <c r="C86" s="46"/>
      <c r="D86" s="25" t="s">
        <v>682</v>
      </c>
      <c r="E86" s="26">
        <f>E134</f>
        <v>714100.24</v>
      </c>
      <c r="F86" s="26">
        <f t="shared" ref="F86:P86" si="46">F134</f>
        <v>714100.24</v>
      </c>
      <c r="G86" s="26">
        <f t="shared" si="46"/>
        <v>585328</v>
      </c>
      <c r="H86" s="26">
        <f t="shared" si="46"/>
        <v>0</v>
      </c>
      <c r="I86" s="26">
        <f t="shared" si="46"/>
        <v>0</v>
      </c>
      <c r="J86" s="26">
        <f t="shared" si="46"/>
        <v>0</v>
      </c>
      <c r="K86" s="26">
        <f t="shared" si="46"/>
        <v>0</v>
      </c>
      <c r="L86" s="26">
        <f t="shared" si="46"/>
        <v>0</v>
      </c>
      <c r="M86" s="26">
        <f t="shared" si="46"/>
        <v>0</v>
      </c>
      <c r="N86" s="26">
        <f t="shared" si="46"/>
        <v>0</v>
      </c>
      <c r="O86" s="26">
        <f t="shared" si="46"/>
        <v>0</v>
      </c>
      <c r="P86" s="26">
        <f t="shared" si="46"/>
        <v>714100.24</v>
      </c>
      <c r="Q86" s="47"/>
    </row>
    <row r="87" spans="1:17" s="27" customFormat="1" ht="78.75" customHeight="1" x14ac:dyDescent="0.4">
      <c r="A87" s="23"/>
      <c r="B87" s="46"/>
      <c r="C87" s="46"/>
      <c r="D87" s="25" t="str">
        <f>D130</f>
        <v>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v>
      </c>
      <c r="E87" s="26">
        <f>E130</f>
        <v>473167</v>
      </c>
      <c r="F87" s="26">
        <f t="shared" ref="F87:P87" si="47">F130</f>
        <v>473167</v>
      </c>
      <c r="G87" s="26">
        <f t="shared" si="47"/>
        <v>0</v>
      </c>
      <c r="H87" s="26">
        <f t="shared" si="47"/>
        <v>0</v>
      </c>
      <c r="I87" s="26">
        <f t="shared" si="47"/>
        <v>0</v>
      </c>
      <c r="J87" s="26">
        <f t="shared" si="47"/>
        <v>10261489</v>
      </c>
      <c r="K87" s="26">
        <f t="shared" si="47"/>
        <v>10261489</v>
      </c>
      <c r="L87" s="26">
        <f t="shared" si="47"/>
        <v>0</v>
      </c>
      <c r="M87" s="26">
        <f t="shared" si="47"/>
        <v>0</v>
      </c>
      <c r="N87" s="26">
        <f t="shared" si="47"/>
        <v>0</v>
      </c>
      <c r="O87" s="26">
        <f t="shared" si="47"/>
        <v>10261489</v>
      </c>
      <c r="P87" s="26">
        <f t="shared" si="47"/>
        <v>10734656</v>
      </c>
      <c r="Q87" s="47"/>
    </row>
    <row r="88" spans="1:17" s="27" customFormat="1" ht="26.25" hidden="1" customHeight="1" x14ac:dyDescent="0.4">
      <c r="A88" s="23"/>
      <c r="B88" s="46"/>
      <c r="C88" s="43"/>
      <c r="D88" s="25" t="s">
        <v>527</v>
      </c>
      <c r="E88" s="26">
        <f>E126</f>
        <v>0</v>
      </c>
      <c r="F88" s="26">
        <f t="shared" ref="F88:P88" si="48">F126</f>
        <v>0</v>
      </c>
      <c r="G88" s="26">
        <f t="shared" si="48"/>
        <v>0</v>
      </c>
      <c r="H88" s="26">
        <f t="shared" si="48"/>
        <v>0</v>
      </c>
      <c r="I88" s="26">
        <f t="shared" si="48"/>
        <v>0</v>
      </c>
      <c r="J88" s="26">
        <f t="shared" si="48"/>
        <v>0</v>
      </c>
      <c r="K88" s="26">
        <f t="shared" si="48"/>
        <v>0</v>
      </c>
      <c r="L88" s="26">
        <f t="shared" si="48"/>
        <v>0</v>
      </c>
      <c r="M88" s="26">
        <f t="shared" si="48"/>
        <v>0</v>
      </c>
      <c r="N88" s="26">
        <f t="shared" si="48"/>
        <v>0</v>
      </c>
      <c r="O88" s="26">
        <f t="shared" si="48"/>
        <v>0</v>
      </c>
      <c r="P88" s="26">
        <f t="shared" si="48"/>
        <v>0</v>
      </c>
      <c r="Q88" s="47"/>
    </row>
    <row r="89" spans="1:17" s="27" customFormat="1" ht="28.5" customHeight="1" x14ac:dyDescent="0.4">
      <c r="A89" s="23"/>
      <c r="B89" s="46"/>
      <c r="C89" s="46"/>
      <c r="D89" s="25" t="s">
        <v>381</v>
      </c>
      <c r="E89" s="26">
        <f>E94+E158</f>
        <v>0</v>
      </c>
      <c r="F89" s="26">
        <f t="shared" ref="F89:P89" si="49">F94+F158</f>
        <v>0</v>
      </c>
      <c r="G89" s="26">
        <f t="shared" si="49"/>
        <v>0</v>
      </c>
      <c r="H89" s="26">
        <f t="shared" si="49"/>
        <v>0</v>
      </c>
      <c r="I89" s="26">
        <f t="shared" si="49"/>
        <v>0</v>
      </c>
      <c r="J89" s="26">
        <f t="shared" si="49"/>
        <v>6564196</v>
      </c>
      <c r="K89" s="26">
        <f t="shared" si="49"/>
        <v>0</v>
      </c>
      <c r="L89" s="26">
        <f t="shared" si="49"/>
        <v>6564196</v>
      </c>
      <c r="M89" s="26">
        <f t="shared" si="49"/>
        <v>0</v>
      </c>
      <c r="N89" s="26">
        <f t="shared" si="49"/>
        <v>0</v>
      </c>
      <c r="O89" s="26">
        <f t="shared" si="49"/>
        <v>0</v>
      </c>
      <c r="P89" s="26">
        <f t="shared" si="49"/>
        <v>6564196</v>
      </c>
      <c r="Q89" s="47"/>
    </row>
    <row r="90" spans="1:17" s="27" customFormat="1" ht="110.65" customHeight="1" x14ac:dyDescent="0.4">
      <c r="A90" s="23"/>
      <c r="B90" s="46"/>
      <c r="C90" s="46"/>
      <c r="D90" s="25" t="s">
        <v>671</v>
      </c>
      <c r="E90" s="26">
        <f>E160</f>
        <v>0</v>
      </c>
      <c r="F90" s="26">
        <f t="shared" ref="F90:P90" si="50">F160</f>
        <v>0</v>
      </c>
      <c r="G90" s="26">
        <f t="shared" si="50"/>
        <v>0</v>
      </c>
      <c r="H90" s="26">
        <f t="shared" si="50"/>
        <v>0</v>
      </c>
      <c r="I90" s="26">
        <f t="shared" si="50"/>
        <v>0</v>
      </c>
      <c r="J90" s="26">
        <f t="shared" si="50"/>
        <v>51527652.659999996</v>
      </c>
      <c r="K90" s="26">
        <f t="shared" si="50"/>
        <v>0</v>
      </c>
      <c r="L90" s="26">
        <f t="shared" si="50"/>
        <v>0</v>
      </c>
      <c r="M90" s="26">
        <f t="shared" si="50"/>
        <v>0</v>
      </c>
      <c r="N90" s="26">
        <f t="shared" si="50"/>
        <v>0</v>
      </c>
      <c r="O90" s="26">
        <f t="shared" si="50"/>
        <v>51527652.659999996</v>
      </c>
      <c r="P90" s="26">
        <f t="shared" si="50"/>
        <v>51527652.659999996</v>
      </c>
      <c r="Q90" s="47"/>
    </row>
    <row r="91" spans="1:17" s="32" customFormat="1" ht="45.75" customHeight="1" x14ac:dyDescent="0.45">
      <c r="A91" s="28" t="s">
        <v>159</v>
      </c>
      <c r="B91" s="29" t="str">
        <f>'дод 9'!A16</f>
        <v>0160</v>
      </c>
      <c r="C91" s="29" t="str">
        <f>'дод 9'!B16</f>
        <v>0111</v>
      </c>
      <c r="D91" s="30" t="s">
        <v>721</v>
      </c>
      <c r="E91" s="31">
        <f t="shared" ref="E91:E168" si="51">F91+I91</f>
        <v>5152200</v>
      </c>
      <c r="F91" s="31">
        <f>4452800+324900+374500</f>
        <v>5152200</v>
      </c>
      <c r="G91" s="31">
        <f>3309400+266300+307200</f>
        <v>3882900</v>
      </c>
      <c r="H91" s="31">
        <v>111200</v>
      </c>
      <c r="I91" s="31"/>
      <c r="J91" s="31">
        <f>L91+O91</f>
        <v>0</v>
      </c>
      <c r="K91" s="31">
        <v>0</v>
      </c>
      <c r="L91" s="31"/>
      <c r="M91" s="31"/>
      <c r="N91" s="31"/>
      <c r="O91" s="31">
        <v>0</v>
      </c>
      <c r="P91" s="31">
        <f t="shared" ref="P91:P172" si="52">E91+J91</f>
        <v>5152200</v>
      </c>
      <c r="Q91" s="168"/>
    </row>
    <row r="92" spans="1:17" s="32" customFormat="1" ht="21.75" customHeight="1" x14ac:dyDescent="0.45">
      <c r="A92" s="28" t="s">
        <v>160</v>
      </c>
      <c r="B92" s="29" t="str">
        <f>'дод 9'!A39</f>
        <v>1010</v>
      </c>
      <c r="C92" s="29" t="str">
        <f>'дод 9'!B39</f>
        <v>0910</v>
      </c>
      <c r="D92" s="30" t="str">
        <f>'дод 9'!C39</f>
        <v>Надання дошкільної освіти</v>
      </c>
      <c r="E92" s="31">
        <f t="shared" si="51"/>
        <v>379530776</v>
      </c>
      <c r="F92" s="31">
        <f>387213800-11201080-750000+3500000+343793+3500000-375957-99500-2300280-300000</f>
        <v>379530776</v>
      </c>
      <c r="G92" s="31">
        <f>260000000-315000-100220-441000-1905000-250000</f>
        <v>256988780</v>
      </c>
      <c r="H92" s="31">
        <f>46345800-250000</f>
        <v>46095800</v>
      </c>
      <c r="I92" s="31"/>
      <c r="J92" s="31">
        <f>L92+O92</f>
        <v>85383577</v>
      </c>
      <c r="K92" s="31">
        <f>20000000+390000+193770+31455908+1954092+995200+375957+99500</f>
        <v>55464427</v>
      </c>
      <c r="L92" s="31">
        <v>29919150</v>
      </c>
      <c r="M92" s="31"/>
      <c r="N92" s="31"/>
      <c r="O92" s="31">
        <f>20000000+390000+193770+31455908+1954092+995200+375957+99500</f>
        <v>55464427</v>
      </c>
      <c r="P92" s="31">
        <f t="shared" si="52"/>
        <v>464914353</v>
      </c>
      <c r="Q92" s="168"/>
    </row>
    <row r="93" spans="1:17" s="136" customFormat="1" ht="54" customHeight="1" x14ac:dyDescent="0.45">
      <c r="A93" s="28" t="s">
        <v>438</v>
      </c>
      <c r="B93" s="28">
        <f>'дод 9'!A41</f>
        <v>1021</v>
      </c>
      <c r="C93" s="29" t="str">
        <f>'дод 9'!B41</f>
        <v>0921</v>
      </c>
      <c r="D93" s="30" t="str">
        <f>'дод 9'!C41</f>
        <v>Надання загальної середньої освіти закладами загальної середньої освіти за рахунок коштів місцевого бюджету, у т.ч. за рахунок:</v>
      </c>
      <c r="E93" s="31">
        <f t="shared" si="51"/>
        <v>265532822</v>
      </c>
      <c r="F93" s="31">
        <f>276972600-11595000-750000+3638040+1200000+34100+114370+1500000+115600-69500+241942+29495+75672-1183703-45000-21541-2300282-1200034-100000-1123937</f>
        <v>265532822</v>
      </c>
      <c r="G93" s="31">
        <f>146950000-985000-182850-516900-1905000-1000000-335000-950000</f>
        <v>141075250</v>
      </c>
      <c r="H93" s="31">
        <f>64072800-250000-69500</f>
        <v>63753300</v>
      </c>
      <c r="I93" s="31"/>
      <c r="J93" s="31">
        <f t="shared" ref="J93:J172" si="53">L93+O93</f>
        <v>84505320</v>
      </c>
      <c r="K93" s="31">
        <f>10653058-3498324+2000000+2000000+320460+1913540+5285000+30000+1183703+45000+100000+1123937</f>
        <v>21156374</v>
      </c>
      <c r="L93" s="31">
        <f>56784750+6564196</f>
        <v>63348946</v>
      </c>
      <c r="M93" s="31">
        <v>2197510</v>
      </c>
      <c r="N93" s="31">
        <v>276700</v>
      </c>
      <c r="O93" s="157">
        <f>10653058-3498324+2000000+2000000+320460+1913540+5285000+30000+1183703+45000+100000+1123937</f>
        <v>21156374</v>
      </c>
      <c r="P93" s="31">
        <f t="shared" si="52"/>
        <v>350038142</v>
      </c>
      <c r="Q93" s="168"/>
    </row>
    <row r="94" spans="1:17" s="37" customFormat="1" ht="22.15" customHeight="1" x14ac:dyDescent="0.45">
      <c r="A94" s="33"/>
      <c r="B94" s="33"/>
      <c r="C94" s="34"/>
      <c r="D94" s="35" t="str">
        <f>'дод 9'!C43</f>
        <v>іншої субвенції з місцевого бюджету</v>
      </c>
      <c r="E94" s="36">
        <f t="shared" si="51"/>
        <v>0</v>
      </c>
      <c r="F94" s="36"/>
      <c r="G94" s="36"/>
      <c r="H94" s="36"/>
      <c r="I94" s="36"/>
      <c r="J94" s="36">
        <f t="shared" si="53"/>
        <v>6564196</v>
      </c>
      <c r="K94" s="36"/>
      <c r="L94" s="36">
        <v>6564196</v>
      </c>
      <c r="M94" s="36"/>
      <c r="N94" s="36"/>
      <c r="O94" s="36"/>
      <c r="P94" s="36">
        <f t="shared" si="52"/>
        <v>6564196</v>
      </c>
      <c r="Q94" s="168"/>
    </row>
    <row r="95" spans="1:17" s="37" customFormat="1" ht="92.25" x14ac:dyDescent="0.45">
      <c r="A95" s="33"/>
      <c r="B95" s="33"/>
      <c r="C95" s="34"/>
      <c r="D95" s="35" t="str">
        <f>'дод 9'!C42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95" s="36">
        <f t="shared" si="51"/>
        <v>325568</v>
      </c>
      <c r="F95" s="36">
        <f>241942+29495+75672-21541</f>
        <v>325568</v>
      </c>
      <c r="G95" s="36"/>
      <c r="H95" s="36"/>
      <c r="I95" s="36"/>
      <c r="J95" s="36">
        <f t="shared" si="53"/>
        <v>30000</v>
      </c>
      <c r="K95" s="36">
        <v>30000</v>
      </c>
      <c r="L95" s="36"/>
      <c r="M95" s="36"/>
      <c r="N95" s="36"/>
      <c r="O95" s="36">
        <v>30000</v>
      </c>
      <c r="P95" s="36">
        <f t="shared" si="52"/>
        <v>355568</v>
      </c>
      <c r="Q95" s="168"/>
    </row>
    <row r="96" spans="1:17" s="32" customFormat="1" ht="80.25" customHeight="1" x14ac:dyDescent="0.45">
      <c r="A96" s="28" t="s">
        <v>440</v>
      </c>
      <c r="B96" s="29">
        <v>1022</v>
      </c>
      <c r="C96" s="28" t="s">
        <v>53</v>
      </c>
      <c r="D96" s="30" t="str">
        <f>'дод 9'!C50</f>
        <v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v>
      </c>
      <c r="E96" s="31">
        <f t="shared" si="51"/>
        <v>19731241</v>
      </c>
      <c r="F96" s="31">
        <f>19640200+69500+21541</f>
        <v>19731241</v>
      </c>
      <c r="G96" s="31">
        <f>11259000-8200</f>
        <v>11250800</v>
      </c>
      <c r="H96" s="31">
        <f>2667000+69500</f>
        <v>2736500</v>
      </c>
      <c r="I96" s="31"/>
      <c r="J96" s="31">
        <f t="shared" si="53"/>
        <v>0</v>
      </c>
      <c r="K96" s="31"/>
      <c r="L96" s="31"/>
      <c r="M96" s="31"/>
      <c r="N96" s="31"/>
      <c r="O96" s="31"/>
      <c r="P96" s="31">
        <f t="shared" si="52"/>
        <v>19731241</v>
      </c>
      <c r="Q96" s="168"/>
    </row>
    <row r="97" spans="1:17" s="32" customFormat="1" ht="92.25" x14ac:dyDescent="0.45">
      <c r="A97" s="28"/>
      <c r="B97" s="29"/>
      <c r="C97" s="28"/>
      <c r="D97" s="55" t="s">
        <v>624</v>
      </c>
      <c r="E97" s="36">
        <f t="shared" ref="E97" si="54">F97+I97</f>
        <v>21541</v>
      </c>
      <c r="F97" s="36">
        <v>21541</v>
      </c>
      <c r="G97" s="36"/>
      <c r="H97" s="36"/>
      <c r="I97" s="36"/>
      <c r="J97" s="36">
        <f t="shared" ref="J97" si="55">L97+O97</f>
        <v>0</v>
      </c>
      <c r="K97" s="36"/>
      <c r="L97" s="36"/>
      <c r="M97" s="36"/>
      <c r="N97" s="36"/>
      <c r="O97" s="36"/>
      <c r="P97" s="36">
        <f t="shared" ref="P97" si="56">E97+J97</f>
        <v>21541</v>
      </c>
      <c r="Q97" s="168"/>
    </row>
    <row r="98" spans="1:17" s="32" customFormat="1" ht="83.25" customHeight="1" x14ac:dyDescent="0.45">
      <c r="A98" s="28" t="s">
        <v>525</v>
      </c>
      <c r="B98" s="29">
        <v>1025</v>
      </c>
      <c r="C98" s="28" t="s">
        <v>53</v>
      </c>
      <c r="D98" s="30" t="str">
        <f>'дод 9'!C53</f>
        <v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v>
      </c>
      <c r="E98" s="31">
        <f t="shared" si="51"/>
        <v>14028100</v>
      </c>
      <c r="F98" s="31">
        <v>14028100</v>
      </c>
      <c r="G98" s="31">
        <v>9815000</v>
      </c>
      <c r="H98" s="31">
        <v>1219000</v>
      </c>
      <c r="I98" s="31"/>
      <c r="J98" s="31">
        <f t="shared" si="53"/>
        <v>0</v>
      </c>
      <c r="K98" s="31"/>
      <c r="L98" s="31"/>
      <c r="M98" s="31"/>
      <c r="N98" s="31"/>
      <c r="O98" s="31"/>
      <c r="P98" s="31">
        <f t="shared" si="52"/>
        <v>14028100</v>
      </c>
      <c r="Q98" s="168"/>
    </row>
    <row r="99" spans="1:17" s="32" customFormat="1" ht="54" customHeight="1" x14ac:dyDescent="0.45">
      <c r="A99" s="28" t="s">
        <v>442</v>
      </c>
      <c r="B99" s="29">
        <v>1031</v>
      </c>
      <c r="C99" s="28" t="s">
        <v>49</v>
      </c>
      <c r="D99" s="30" t="str">
        <f>'дод 9'!C54</f>
        <v xml:space="preserve">Надання загальної середньої освіти закладами загальної середньої освіти за рахунок освітньої субвенції, у т.ч. за рахунок: </v>
      </c>
      <c r="E99" s="31">
        <f t="shared" si="51"/>
        <v>508400300</v>
      </c>
      <c r="F99" s="31">
        <v>508400300</v>
      </c>
      <c r="G99" s="31">
        <v>415576000</v>
      </c>
      <c r="H99" s="31"/>
      <c r="I99" s="31"/>
      <c r="J99" s="31">
        <f t="shared" si="53"/>
        <v>0</v>
      </c>
      <c r="K99" s="31"/>
      <c r="L99" s="31"/>
      <c r="M99" s="31"/>
      <c r="N99" s="31"/>
      <c r="O99" s="31"/>
      <c r="P99" s="31">
        <f t="shared" si="52"/>
        <v>508400300</v>
      </c>
      <c r="Q99" s="168"/>
    </row>
    <row r="100" spans="1:17" s="37" customFormat="1" ht="31.5" customHeight="1" x14ac:dyDescent="0.45">
      <c r="A100" s="33"/>
      <c r="B100" s="34"/>
      <c r="C100" s="34"/>
      <c r="D100" s="35" t="s">
        <v>376</v>
      </c>
      <c r="E100" s="36">
        <f t="shared" si="51"/>
        <v>506171900</v>
      </c>
      <c r="F100" s="36">
        <v>506171900</v>
      </c>
      <c r="G100" s="36">
        <v>415576000</v>
      </c>
      <c r="H100" s="36"/>
      <c r="I100" s="36"/>
      <c r="J100" s="36">
        <f t="shared" si="53"/>
        <v>0</v>
      </c>
      <c r="K100" s="36"/>
      <c r="L100" s="36"/>
      <c r="M100" s="36"/>
      <c r="N100" s="36"/>
      <c r="O100" s="36"/>
      <c r="P100" s="36">
        <f t="shared" si="52"/>
        <v>506171900</v>
      </c>
      <c r="Q100" s="168"/>
    </row>
    <row r="101" spans="1:17" s="37" customFormat="1" ht="46.15" x14ac:dyDescent="0.45">
      <c r="A101" s="33"/>
      <c r="B101" s="34"/>
      <c r="C101" s="34"/>
      <c r="D101" s="35" t="s">
        <v>371</v>
      </c>
      <c r="E101" s="36">
        <f t="shared" si="51"/>
        <v>2228400</v>
      </c>
      <c r="F101" s="36">
        <v>2228400</v>
      </c>
      <c r="G101" s="36"/>
      <c r="H101" s="36"/>
      <c r="I101" s="36"/>
      <c r="J101" s="36">
        <f t="shared" si="53"/>
        <v>0</v>
      </c>
      <c r="K101" s="36"/>
      <c r="L101" s="36"/>
      <c r="M101" s="36"/>
      <c r="N101" s="36"/>
      <c r="O101" s="36"/>
      <c r="P101" s="36">
        <f t="shared" si="52"/>
        <v>2228400</v>
      </c>
      <c r="Q101" s="168"/>
    </row>
    <row r="102" spans="1:17" s="32" customFormat="1" ht="84" customHeight="1" x14ac:dyDescent="0.45">
      <c r="A102" s="28" t="s">
        <v>443</v>
      </c>
      <c r="B102" s="28" t="s">
        <v>444</v>
      </c>
      <c r="C102" s="28" t="s">
        <v>53</v>
      </c>
      <c r="D102" s="30" t="str">
        <f>'дод 9'!C57</f>
        <v xml:space="preserve"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субвенції,  у т.ч. за рахунок: </v>
      </c>
      <c r="E102" s="31">
        <f t="shared" si="51"/>
        <v>20154300</v>
      </c>
      <c r="F102" s="31">
        <v>20154300</v>
      </c>
      <c r="G102" s="31">
        <v>16520000</v>
      </c>
      <c r="H102" s="31"/>
      <c r="I102" s="31"/>
      <c r="J102" s="31">
        <f t="shared" si="53"/>
        <v>0</v>
      </c>
      <c r="K102" s="31"/>
      <c r="L102" s="31"/>
      <c r="M102" s="31"/>
      <c r="N102" s="31"/>
      <c r="O102" s="31"/>
      <c r="P102" s="31">
        <f t="shared" si="52"/>
        <v>20154300</v>
      </c>
      <c r="Q102" s="168"/>
    </row>
    <row r="103" spans="1:17" s="37" customFormat="1" ht="33" customHeight="1" x14ac:dyDescent="0.45">
      <c r="A103" s="33"/>
      <c r="B103" s="34"/>
      <c r="C103" s="34"/>
      <c r="D103" s="35" t="s">
        <v>376</v>
      </c>
      <c r="E103" s="36">
        <f t="shared" si="51"/>
        <v>20154300</v>
      </c>
      <c r="F103" s="36">
        <v>20154300</v>
      </c>
      <c r="G103" s="36">
        <v>16520000</v>
      </c>
      <c r="H103" s="36"/>
      <c r="I103" s="36"/>
      <c r="J103" s="36">
        <f t="shared" ref="J103:J105" si="57">L103+O103</f>
        <v>0</v>
      </c>
      <c r="K103" s="36"/>
      <c r="L103" s="36"/>
      <c r="M103" s="36"/>
      <c r="N103" s="36"/>
      <c r="O103" s="36"/>
      <c r="P103" s="36">
        <f t="shared" ref="P103:P105" si="58">E103+J103</f>
        <v>20154300</v>
      </c>
      <c r="Q103" s="168"/>
    </row>
    <row r="104" spans="1:17" s="32" customFormat="1" ht="61.5" x14ac:dyDescent="0.45">
      <c r="A104" s="28" t="s">
        <v>526</v>
      </c>
      <c r="B104" s="29">
        <v>1035</v>
      </c>
      <c r="C104" s="28" t="s">
        <v>53</v>
      </c>
      <c r="D104" s="30" t="str">
        <f>'дод 9'!C59</f>
        <v xml:space="preserve"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освітньої субвенції,  у т.ч. за рахунок: </v>
      </c>
      <c r="E104" s="31">
        <f t="shared" si="51"/>
        <v>1773800</v>
      </c>
      <c r="F104" s="31">
        <v>1773800</v>
      </c>
      <c r="G104" s="31">
        <v>1454000</v>
      </c>
      <c r="H104" s="31"/>
      <c r="I104" s="31"/>
      <c r="J104" s="31">
        <f t="shared" si="53"/>
        <v>0</v>
      </c>
      <c r="K104" s="31"/>
      <c r="L104" s="31"/>
      <c r="M104" s="31"/>
      <c r="N104" s="31"/>
      <c r="O104" s="31"/>
      <c r="P104" s="31">
        <f t="shared" si="52"/>
        <v>1773800</v>
      </c>
      <c r="Q104" s="168"/>
    </row>
    <row r="105" spans="1:17" s="37" customFormat="1" ht="31.5" customHeight="1" x14ac:dyDescent="0.45">
      <c r="A105" s="33"/>
      <c r="B105" s="34"/>
      <c r="C105" s="33"/>
      <c r="D105" s="35" t="s">
        <v>376</v>
      </c>
      <c r="E105" s="36">
        <f t="shared" si="51"/>
        <v>1773800</v>
      </c>
      <c r="F105" s="36">
        <v>1773800</v>
      </c>
      <c r="G105" s="36">
        <v>1454000</v>
      </c>
      <c r="H105" s="36"/>
      <c r="I105" s="36"/>
      <c r="J105" s="36">
        <f t="shared" si="57"/>
        <v>0</v>
      </c>
      <c r="K105" s="36"/>
      <c r="L105" s="36"/>
      <c r="M105" s="36"/>
      <c r="N105" s="36"/>
      <c r="O105" s="36"/>
      <c r="P105" s="36">
        <f t="shared" si="58"/>
        <v>1773800</v>
      </c>
      <c r="Q105" s="168"/>
    </row>
    <row r="106" spans="1:17" s="37" customFormat="1" ht="31.5" customHeight="1" x14ac:dyDescent="0.45">
      <c r="A106" s="28" t="s">
        <v>484</v>
      </c>
      <c r="B106" s="29">
        <v>1061</v>
      </c>
      <c r="C106" s="28" t="s">
        <v>49</v>
      </c>
      <c r="D106" s="30" t="s">
        <v>439</v>
      </c>
      <c r="E106" s="31">
        <f t="shared" si="51"/>
        <v>351767.89</v>
      </c>
      <c r="F106" s="31">
        <v>351767.89</v>
      </c>
      <c r="G106" s="36">
        <v>290000</v>
      </c>
      <c r="H106" s="36"/>
      <c r="I106" s="36"/>
      <c r="J106" s="31">
        <f t="shared" si="53"/>
        <v>0</v>
      </c>
      <c r="K106" s="31"/>
      <c r="L106" s="31">
        <f>262064-262064</f>
        <v>0</v>
      </c>
      <c r="M106" s="31"/>
      <c r="N106" s="31"/>
      <c r="O106" s="31"/>
      <c r="P106" s="31">
        <f t="shared" si="52"/>
        <v>351767.89</v>
      </c>
      <c r="Q106" s="168"/>
    </row>
    <row r="107" spans="1:17" s="37" customFormat="1" ht="55.15" hidden="1" customHeight="1" x14ac:dyDescent="0.45">
      <c r="A107" s="33"/>
      <c r="B107" s="34"/>
      <c r="C107" s="33"/>
      <c r="D107" s="35" t="s">
        <v>496</v>
      </c>
      <c r="E107" s="31">
        <f t="shared" si="51"/>
        <v>0</v>
      </c>
      <c r="F107" s="36"/>
      <c r="G107" s="36"/>
      <c r="H107" s="36"/>
      <c r="I107" s="36"/>
      <c r="J107" s="36">
        <f>L107+O107</f>
        <v>0</v>
      </c>
      <c r="K107" s="36"/>
      <c r="L107" s="36">
        <f>262064-262064</f>
        <v>0</v>
      </c>
      <c r="M107" s="36"/>
      <c r="N107" s="36"/>
      <c r="O107" s="36"/>
      <c r="P107" s="36">
        <f t="shared" si="52"/>
        <v>0</v>
      </c>
      <c r="Q107" s="168"/>
    </row>
    <row r="108" spans="1:17" s="37" customFormat="1" ht="31.5" customHeight="1" x14ac:dyDescent="0.45">
      <c r="A108" s="33"/>
      <c r="B108" s="34"/>
      <c r="C108" s="33"/>
      <c r="D108" s="35" t="s">
        <v>493</v>
      </c>
      <c r="E108" s="36">
        <f t="shared" si="51"/>
        <v>351767.89</v>
      </c>
      <c r="F108" s="36">
        <v>351767.89</v>
      </c>
      <c r="G108" s="36">
        <v>290000</v>
      </c>
      <c r="H108" s="36"/>
      <c r="I108" s="36"/>
      <c r="J108" s="36">
        <f t="shared" ref="J108" si="59">L108+O108</f>
        <v>0</v>
      </c>
      <c r="K108" s="36"/>
      <c r="L108" s="36"/>
      <c r="M108" s="36"/>
      <c r="N108" s="36"/>
      <c r="O108" s="36"/>
      <c r="P108" s="36">
        <f t="shared" si="52"/>
        <v>351767.89</v>
      </c>
      <c r="Q108" s="168"/>
    </row>
    <row r="109" spans="1:17" s="37" customFormat="1" ht="63" hidden="1" customHeight="1" x14ac:dyDescent="0.45">
      <c r="A109" s="28" t="s">
        <v>488</v>
      </c>
      <c r="B109" s="29">
        <v>1062</v>
      </c>
      <c r="C109" s="28" t="s">
        <v>53</v>
      </c>
      <c r="D109" s="30" t="s">
        <v>470</v>
      </c>
      <c r="E109" s="31">
        <f t="shared" si="51"/>
        <v>0</v>
      </c>
      <c r="F109" s="31"/>
      <c r="G109" s="36"/>
      <c r="H109" s="36"/>
      <c r="I109" s="36"/>
      <c r="J109" s="31">
        <f>L109+O109</f>
        <v>0</v>
      </c>
      <c r="K109" s="36"/>
      <c r="L109" s="36"/>
      <c r="M109" s="36"/>
      <c r="N109" s="36"/>
      <c r="O109" s="36"/>
      <c r="P109" s="31">
        <f t="shared" si="52"/>
        <v>0</v>
      </c>
      <c r="Q109" s="168"/>
    </row>
    <row r="110" spans="1:17" s="37" customFormat="1" ht="31.5" hidden="1" customHeight="1" x14ac:dyDescent="0.45">
      <c r="A110" s="33"/>
      <c r="B110" s="34"/>
      <c r="C110" s="33"/>
      <c r="D110" s="35" t="s">
        <v>493</v>
      </c>
      <c r="E110" s="31">
        <f t="shared" si="51"/>
        <v>0</v>
      </c>
      <c r="F110" s="36"/>
      <c r="G110" s="36"/>
      <c r="H110" s="36"/>
      <c r="I110" s="36"/>
      <c r="J110" s="36">
        <f>L110+O110</f>
        <v>0</v>
      </c>
      <c r="K110" s="31"/>
      <c r="L110" s="36"/>
      <c r="M110" s="36"/>
      <c r="N110" s="36"/>
      <c r="O110" s="31"/>
      <c r="P110" s="36">
        <f t="shared" si="52"/>
        <v>0</v>
      </c>
      <c r="Q110" s="168"/>
    </row>
    <row r="111" spans="1:17" s="32" customFormat="1" ht="42" customHeight="1" x14ac:dyDescent="0.45">
      <c r="A111" s="28" t="s">
        <v>445</v>
      </c>
      <c r="B111" s="28" t="s">
        <v>52</v>
      </c>
      <c r="C111" s="28" t="s">
        <v>55</v>
      </c>
      <c r="D111" s="30" t="str">
        <f>'дод 9'!C66</f>
        <v>Надання позашкільної освіти закладами позашкільної освіти, заходи із позашкільної роботи з дітьми</v>
      </c>
      <c r="E111" s="31">
        <f t="shared" si="51"/>
        <v>49233900</v>
      </c>
      <c r="F111" s="31">
        <v>49233900</v>
      </c>
      <c r="G111" s="31">
        <f>34500000-69800</f>
        <v>34430200</v>
      </c>
      <c r="H111" s="31">
        <v>6479900</v>
      </c>
      <c r="I111" s="31"/>
      <c r="J111" s="31">
        <f t="shared" si="53"/>
        <v>4231500</v>
      </c>
      <c r="K111" s="31">
        <f>1000000+2255000+976500</f>
        <v>4231500</v>
      </c>
      <c r="L111" s="31"/>
      <c r="M111" s="31"/>
      <c r="N111" s="31"/>
      <c r="O111" s="31">
        <f>1000000+2255000+976500</f>
        <v>4231500</v>
      </c>
      <c r="P111" s="31">
        <f t="shared" si="52"/>
        <v>53465400</v>
      </c>
      <c r="Q111" s="168"/>
    </row>
    <row r="112" spans="1:17" s="136" customFormat="1" ht="66.75" customHeight="1" x14ac:dyDescent="0.45">
      <c r="A112" s="28" t="s">
        <v>552</v>
      </c>
      <c r="B112" s="29">
        <v>1091</v>
      </c>
      <c r="C112" s="28" t="s">
        <v>553</v>
      </c>
      <c r="D112" s="30" t="str">
        <f>'дод 9'!C68</f>
        <v>Підготовка кадрів закладами професійної (професійно-технічної) освіти та іншими закладами освіти за рахунок коштів місцевого бюджету, у т.ч. за рахунок:</v>
      </c>
      <c r="E112" s="31">
        <f t="shared" si="51"/>
        <v>164761300</v>
      </c>
      <c r="F112" s="31">
        <f>166005300-500000-744000</f>
        <v>164761300</v>
      </c>
      <c r="G112" s="31">
        <f>91215400-609000-1720606</f>
        <v>88885794</v>
      </c>
      <c r="H112" s="31">
        <f>18732100+2139565</f>
        <v>20871665</v>
      </c>
      <c r="I112" s="31"/>
      <c r="J112" s="31">
        <f>L112+O112</f>
        <v>51702725</v>
      </c>
      <c r="K112" s="31">
        <v>37122000</v>
      </c>
      <c r="L112" s="31">
        <v>14430725</v>
      </c>
      <c r="M112" s="31">
        <v>4542152</v>
      </c>
      <c r="N112" s="31">
        <v>5317700</v>
      </c>
      <c r="O112" s="31">
        <f>150000+37122000</f>
        <v>37272000</v>
      </c>
      <c r="P112" s="31">
        <f t="shared" si="52"/>
        <v>216464025</v>
      </c>
      <c r="Q112" s="168"/>
    </row>
    <row r="113" spans="1:17" s="37" customFormat="1" ht="92.25" x14ac:dyDescent="0.45">
      <c r="A113" s="33"/>
      <c r="B113" s="34"/>
      <c r="C113" s="33"/>
      <c r="D113" s="35" t="str">
        <f>'дод 9'!C69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113" s="36"/>
      <c r="F113" s="36"/>
      <c r="G113" s="36"/>
      <c r="H113" s="36"/>
      <c r="I113" s="36"/>
      <c r="J113" s="36">
        <f>L113+O113</f>
        <v>37122000</v>
      </c>
      <c r="K113" s="36">
        <v>37122000</v>
      </c>
      <c r="L113" s="36"/>
      <c r="M113" s="36"/>
      <c r="N113" s="36"/>
      <c r="O113" s="36">
        <v>37122000</v>
      </c>
      <c r="P113" s="36">
        <f t="shared" si="52"/>
        <v>37122000</v>
      </c>
      <c r="Q113" s="168"/>
    </row>
    <row r="114" spans="1:17" s="32" customFormat="1" ht="63" customHeight="1" x14ac:dyDescent="0.45">
      <c r="A114" s="28" t="s">
        <v>554</v>
      </c>
      <c r="B114" s="29">
        <v>1092</v>
      </c>
      <c r="C114" s="28" t="s">
        <v>553</v>
      </c>
      <c r="D114" s="30" t="str">
        <f>'дод 9'!C70</f>
        <v xml:space="preserve">Підготовка кадрів закладами професійної (професійно-технічної) освіти та іншими закладами освіти за рахунок освітньої субвенції, у т.ч. за рахунок: </v>
      </c>
      <c r="E114" s="31">
        <f t="shared" si="51"/>
        <v>22978300</v>
      </c>
      <c r="F114" s="31">
        <v>22978300</v>
      </c>
      <c r="G114" s="31">
        <v>18834600</v>
      </c>
      <c r="H114" s="31"/>
      <c r="I114" s="31"/>
      <c r="J114" s="31">
        <f t="shared" si="53"/>
        <v>0</v>
      </c>
      <c r="K114" s="31"/>
      <c r="L114" s="31"/>
      <c r="M114" s="31"/>
      <c r="N114" s="31"/>
      <c r="O114" s="31"/>
      <c r="P114" s="31">
        <f t="shared" si="52"/>
        <v>22978300</v>
      </c>
      <c r="Q114" s="168"/>
    </row>
    <row r="115" spans="1:17" s="37" customFormat="1" ht="31.5" customHeight="1" x14ac:dyDescent="0.45">
      <c r="A115" s="33"/>
      <c r="B115" s="34"/>
      <c r="C115" s="33"/>
      <c r="D115" s="35" t="s">
        <v>376</v>
      </c>
      <c r="E115" s="36">
        <f t="shared" si="51"/>
        <v>22978300</v>
      </c>
      <c r="F115" s="36">
        <v>22978300</v>
      </c>
      <c r="G115" s="36">
        <v>18834600</v>
      </c>
      <c r="H115" s="36"/>
      <c r="I115" s="36"/>
      <c r="J115" s="36">
        <f t="shared" si="53"/>
        <v>0</v>
      </c>
      <c r="K115" s="36"/>
      <c r="L115" s="36"/>
      <c r="M115" s="36"/>
      <c r="N115" s="36"/>
      <c r="O115" s="36"/>
      <c r="P115" s="36">
        <f t="shared" si="52"/>
        <v>22978300</v>
      </c>
      <c r="Q115" s="168"/>
    </row>
    <row r="116" spans="1:17" s="32" customFormat="1" ht="107.65" x14ac:dyDescent="0.45">
      <c r="A116" s="28" t="s">
        <v>699</v>
      </c>
      <c r="B116" s="29">
        <v>1094</v>
      </c>
      <c r="C116" s="28" t="s">
        <v>553</v>
      </c>
      <c r="D116" s="30" t="s">
        <v>700</v>
      </c>
      <c r="E116" s="31">
        <f t="shared" ref="E116" si="60">F116+I116</f>
        <v>0</v>
      </c>
      <c r="F116" s="31"/>
      <c r="G116" s="31"/>
      <c r="H116" s="31"/>
      <c r="I116" s="31"/>
      <c r="J116" s="31">
        <f t="shared" ref="J116" si="61">L116+O116</f>
        <v>7819500</v>
      </c>
      <c r="K116" s="31">
        <v>7819500</v>
      </c>
      <c r="L116" s="31"/>
      <c r="M116" s="31"/>
      <c r="N116" s="31"/>
      <c r="O116" s="31">
        <v>7819500</v>
      </c>
      <c r="P116" s="31">
        <f t="shared" ref="P116" si="62">E116+J116</f>
        <v>7819500</v>
      </c>
      <c r="Q116" s="168"/>
    </row>
    <row r="117" spans="1:17" s="37" customFormat="1" ht="46.15" x14ac:dyDescent="0.45">
      <c r="A117" s="33"/>
      <c r="B117" s="34"/>
      <c r="C117" s="33"/>
      <c r="D117" s="35" t="s">
        <v>496</v>
      </c>
      <c r="E117" s="36">
        <f t="shared" ref="E117" si="63">F117+I117</f>
        <v>0</v>
      </c>
      <c r="F117" s="36"/>
      <c r="G117" s="36"/>
      <c r="H117" s="36"/>
      <c r="I117" s="36"/>
      <c r="J117" s="36">
        <f t="shared" ref="J117" si="64">L117+O117</f>
        <v>7819500</v>
      </c>
      <c r="K117" s="36">
        <v>7819500</v>
      </c>
      <c r="L117" s="36"/>
      <c r="M117" s="36"/>
      <c r="N117" s="36"/>
      <c r="O117" s="36">
        <v>7819500</v>
      </c>
      <c r="P117" s="36">
        <f t="shared" ref="P117" si="65">E117+J117</f>
        <v>7819500</v>
      </c>
      <c r="Q117" s="168"/>
    </row>
    <row r="118" spans="1:17" s="32" customFormat="1" ht="34.5" customHeight="1" x14ac:dyDescent="0.45">
      <c r="A118" s="28" t="s">
        <v>446</v>
      </c>
      <c r="B118" s="28" t="s">
        <v>447</v>
      </c>
      <c r="C118" s="28" t="s">
        <v>56</v>
      </c>
      <c r="D118" s="30" t="str">
        <f>'дод 9'!C74</f>
        <v>Забезпечення діяльності інших закладів у сфері освіти</v>
      </c>
      <c r="E118" s="31">
        <f t="shared" si="51"/>
        <v>13653300</v>
      </c>
      <c r="F118" s="31">
        <v>13653300</v>
      </c>
      <c r="G118" s="31">
        <v>9562000</v>
      </c>
      <c r="H118" s="31">
        <v>1300700</v>
      </c>
      <c r="I118" s="31"/>
      <c r="J118" s="31">
        <f t="shared" si="53"/>
        <v>0</v>
      </c>
      <c r="K118" s="31"/>
      <c r="L118" s="31"/>
      <c r="M118" s="31"/>
      <c r="N118" s="31"/>
      <c r="O118" s="31"/>
      <c r="P118" s="31">
        <f t="shared" si="52"/>
        <v>13653300</v>
      </c>
      <c r="Q118" s="168"/>
    </row>
    <row r="119" spans="1:17" s="32" customFormat="1" ht="27.75" customHeight="1" x14ac:dyDescent="0.45">
      <c r="A119" s="28" t="s">
        <v>448</v>
      </c>
      <c r="B119" s="28" t="s">
        <v>449</v>
      </c>
      <c r="C119" s="28" t="s">
        <v>56</v>
      </c>
      <c r="D119" s="30" t="str">
        <f>'дод 9'!C75</f>
        <v>Інші програми та заходи у сфері освіти</v>
      </c>
      <c r="E119" s="31">
        <f t="shared" si="51"/>
        <v>134000</v>
      </c>
      <c r="F119" s="31">
        <v>134000</v>
      </c>
      <c r="G119" s="31"/>
      <c r="H119" s="31"/>
      <c r="I119" s="31"/>
      <c r="J119" s="31">
        <f t="shared" ref="J119" si="66">L119+O119</f>
        <v>0</v>
      </c>
      <c r="K119" s="31"/>
      <c r="L119" s="31"/>
      <c r="M119" s="31"/>
      <c r="N119" s="31"/>
      <c r="O119" s="31"/>
      <c r="P119" s="31">
        <f t="shared" ref="P119" si="67">E119+J119</f>
        <v>134000</v>
      </c>
      <c r="Q119" s="168"/>
    </row>
    <row r="120" spans="1:17" s="32" customFormat="1" ht="35.25" customHeight="1" x14ac:dyDescent="0.45">
      <c r="A120" s="28" t="s">
        <v>450</v>
      </c>
      <c r="B120" s="28" t="s">
        <v>451</v>
      </c>
      <c r="C120" s="28" t="s">
        <v>56</v>
      </c>
      <c r="D120" s="30" t="str">
        <f>'дод 9'!C76</f>
        <v>Забезпечення діяльності інклюзивно-ресурсних центрів за рахунок коштів місцевого бюджету</v>
      </c>
      <c r="E120" s="31">
        <f t="shared" si="51"/>
        <v>174700</v>
      </c>
      <c r="F120" s="31">
        <v>174700</v>
      </c>
      <c r="G120" s="31"/>
      <c r="H120" s="31">
        <v>122400</v>
      </c>
      <c r="I120" s="31"/>
      <c r="J120" s="31">
        <f t="shared" si="53"/>
        <v>0</v>
      </c>
      <c r="K120" s="31"/>
      <c r="L120" s="31"/>
      <c r="M120" s="31"/>
      <c r="N120" s="31"/>
      <c r="O120" s="31"/>
      <c r="P120" s="31">
        <f t="shared" si="52"/>
        <v>174700</v>
      </c>
      <c r="Q120" s="168"/>
    </row>
    <row r="121" spans="1:17" s="32" customFormat="1" ht="30.75" x14ac:dyDescent="0.45">
      <c r="A121" s="28" t="s">
        <v>453</v>
      </c>
      <c r="B121" s="28" t="s">
        <v>454</v>
      </c>
      <c r="C121" s="28" t="str">
        <f>'дод 9'!B76</f>
        <v>0990</v>
      </c>
      <c r="D121" s="30" t="str">
        <f>'дод 9'!C77</f>
        <v>Забезпечення діяльності інклюзивно-ресурсних центрів за рахунок освітньої субвенції, у т.ч. за рахунок:</v>
      </c>
      <c r="E121" s="31">
        <f t="shared" si="51"/>
        <v>2091775</v>
      </c>
      <c r="F121" s="31">
        <v>2091775</v>
      </c>
      <c r="G121" s="31">
        <v>1714570</v>
      </c>
      <c r="H121" s="31"/>
      <c r="I121" s="31"/>
      <c r="J121" s="31">
        <f t="shared" si="53"/>
        <v>0</v>
      </c>
      <c r="K121" s="31"/>
      <c r="L121" s="31"/>
      <c r="M121" s="31"/>
      <c r="N121" s="31"/>
      <c r="O121" s="31"/>
      <c r="P121" s="31">
        <f t="shared" si="52"/>
        <v>2091775</v>
      </c>
      <c r="Q121" s="168"/>
    </row>
    <row r="122" spans="1:17" s="37" customFormat="1" ht="46.15" x14ac:dyDescent="0.45">
      <c r="A122" s="33"/>
      <c r="B122" s="33"/>
      <c r="C122" s="33"/>
      <c r="D122" s="35" t="s">
        <v>371</v>
      </c>
      <c r="E122" s="36">
        <f t="shared" si="51"/>
        <v>2091775</v>
      </c>
      <c r="F122" s="36">
        <v>2091775</v>
      </c>
      <c r="G122" s="36">
        <v>1714570</v>
      </c>
      <c r="H122" s="36"/>
      <c r="I122" s="36"/>
      <c r="J122" s="36">
        <f t="shared" si="53"/>
        <v>0</v>
      </c>
      <c r="K122" s="36"/>
      <c r="L122" s="36"/>
      <c r="M122" s="36"/>
      <c r="N122" s="36"/>
      <c r="O122" s="36"/>
      <c r="P122" s="36">
        <f t="shared" si="52"/>
        <v>2091775</v>
      </c>
      <c r="Q122" s="168"/>
    </row>
    <row r="123" spans="1:17" s="32" customFormat="1" ht="36" customHeight="1" x14ac:dyDescent="0.45">
      <c r="A123" s="28" t="s">
        <v>455</v>
      </c>
      <c r="B123" s="28" t="s">
        <v>456</v>
      </c>
      <c r="C123" s="28" t="str">
        <f>'дод 9'!B77</f>
        <v>0990</v>
      </c>
      <c r="D123" s="30" t="str">
        <f>'дод 9'!C79</f>
        <v>Забезпечення діяльності центрів професійного розвитку педагогічних працівників</v>
      </c>
      <c r="E123" s="31">
        <f t="shared" si="51"/>
        <v>3905000</v>
      </c>
      <c r="F123" s="31">
        <f>3661000+244000</f>
        <v>3905000</v>
      </c>
      <c r="G123" s="31">
        <f>2625000+200000</f>
        <v>2825000</v>
      </c>
      <c r="H123" s="31">
        <v>303800</v>
      </c>
      <c r="I123" s="31"/>
      <c r="J123" s="31">
        <f t="shared" si="53"/>
        <v>0</v>
      </c>
      <c r="K123" s="31"/>
      <c r="L123" s="31"/>
      <c r="M123" s="31"/>
      <c r="N123" s="31"/>
      <c r="O123" s="31"/>
      <c r="P123" s="31">
        <f t="shared" si="52"/>
        <v>3905000</v>
      </c>
      <c r="Q123" s="168"/>
    </row>
    <row r="124" spans="1:17" s="32" customFormat="1" ht="63" hidden="1" customHeight="1" x14ac:dyDescent="0.45">
      <c r="A124" s="28" t="s">
        <v>513</v>
      </c>
      <c r="B124" s="28" t="s">
        <v>514</v>
      </c>
      <c r="C124" s="28" t="s">
        <v>56</v>
      </c>
      <c r="D124" s="30" t="str">
        <f>'дод 9'!C80</f>
        <v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v>
      </c>
      <c r="E124" s="31">
        <f t="shared" si="51"/>
        <v>0</v>
      </c>
      <c r="F124" s="31"/>
      <c r="G124" s="31"/>
      <c r="H124" s="31"/>
      <c r="I124" s="31"/>
      <c r="J124" s="31">
        <f t="shared" si="53"/>
        <v>0</v>
      </c>
      <c r="K124" s="31"/>
      <c r="L124" s="31"/>
      <c r="M124" s="31"/>
      <c r="N124" s="31"/>
      <c r="O124" s="31"/>
      <c r="P124" s="31">
        <f t="shared" si="52"/>
        <v>0</v>
      </c>
      <c r="Q124" s="168"/>
    </row>
    <row r="125" spans="1:17" s="32" customFormat="1" ht="63" hidden="1" customHeight="1" x14ac:dyDescent="0.45">
      <c r="A125" s="28" t="s">
        <v>504</v>
      </c>
      <c r="B125" s="28" t="s">
        <v>506</v>
      </c>
      <c r="C125" s="28" t="s">
        <v>56</v>
      </c>
      <c r="D125" s="30" t="s">
        <v>532</v>
      </c>
      <c r="E125" s="31">
        <f t="shared" si="51"/>
        <v>0</v>
      </c>
      <c r="F125" s="31"/>
      <c r="G125" s="31"/>
      <c r="H125" s="31"/>
      <c r="I125" s="31"/>
      <c r="J125" s="31">
        <f t="shared" si="53"/>
        <v>0</v>
      </c>
      <c r="K125" s="31"/>
      <c r="L125" s="31"/>
      <c r="M125" s="31"/>
      <c r="N125" s="31"/>
      <c r="O125" s="31"/>
      <c r="P125" s="31">
        <f t="shared" si="52"/>
        <v>0</v>
      </c>
      <c r="Q125" s="168"/>
    </row>
    <row r="126" spans="1:17" s="37" customFormat="1" ht="47.25" hidden="1" customHeight="1" x14ac:dyDescent="0.45">
      <c r="A126" s="33"/>
      <c r="B126" s="33"/>
      <c r="C126" s="33"/>
      <c r="D126" s="35" t="s">
        <v>527</v>
      </c>
      <c r="E126" s="31">
        <f t="shared" si="51"/>
        <v>0</v>
      </c>
      <c r="F126" s="36"/>
      <c r="G126" s="36"/>
      <c r="H126" s="36"/>
      <c r="I126" s="36"/>
      <c r="J126" s="36">
        <f t="shared" si="53"/>
        <v>0</v>
      </c>
      <c r="K126" s="36"/>
      <c r="L126" s="36"/>
      <c r="M126" s="36"/>
      <c r="N126" s="36"/>
      <c r="O126" s="36"/>
      <c r="P126" s="36">
        <f t="shared" si="52"/>
        <v>0</v>
      </c>
      <c r="Q126" s="168"/>
    </row>
    <row r="127" spans="1:17" s="32" customFormat="1" ht="78.75" customHeight="1" x14ac:dyDescent="0.45">
      <c r="A127" s="28" t="s">
        <v>515</v>
      </c>
      <c r="B127" s="28" t="s">
        <v>516</v>
      </c>
      <c r="C127" s="28" t="s">
        <v>56</v>
      </c>
      <c r="D127" s="30" t="str">
        <f>'дод 9'!C83</f>
        <v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v>
      </c>
      <c r="E127" s="31">
        <f t="shared" si="51"/>
        <v>202786</v>
      </c>
      <c r="F127" s="31">
        <v>202786</v>
      </c>
      <c r="G127" s="31"/>
      <c r="H127" s="31"/>
      <c r="I127" s="31"/>
      <c r="J127" s="31">
        <f t="shared" si="53"/>
        <v>4397776</v>
      </c>
      <c r="K127" s="31">
        <v>4397776</v>
      </c>
      <c r="L127" s="31"/>
      <c r="M127" s="31"/>
      <c r="N127" s="31"/>
      <c r="O127" s="31">
        <v>4397776</v>
      </c>
      <c r="P127" s="31">
        <f t="shared" si="52"/>
        <v>4600562</v>
      </c>
      <c r="Q127" s="168"/>
    </row>
    <row r="128" spans="1:17" s="32" customFormat="1" ht="15.75" hidden="1" customHeight="1" x14ac:dyDescent="0.45">
      <c r="A128" s="28"/>
      <c r="B128" s="28"/>
      <c r="C128" s="28"/>
      <c r="D128" s="35" t="s">
        <v>381</v>
      </c>
      <c r="E128" s="31">
        <f t="shared" si="51"/>
        <v>0</v>
      </c>
      <c r="F128" s="36"/>
      <c r="G128" s="31"/>
      <c r="H128" s="31"/>
      <c r="I128" s="31"/>
      <c r="J128" s="36">
        <f t="shared" si="53"/>
        <v>0</v>
      </c>
      <c r="K128" s="31"/>
      <c r="L128" s="31"/>
      <c r="M128" s="31"/>
      <c r="N128" s="31"/>
      <c r="O128" s="31"/>
      <c r="P128" s="36">
        <f t="shared" si="52"/>
        <v>0</v>
      </c>
      <c r="Q128" s="168"/>
    </row>
    <row r="129" spans="1:17" s="32" customFormat="1" ht="78.75" customHeight="1" x14ac:dyDescent="0.45">
      <c r="A129" s="28" t="s">
        <v>505</v>
      </c>
      <c r="B129" s="28" t="s">
        <v>507</v>
      </c>
      <c r="C129" s="28" t="s">
        <v>56</v>
      </c>
      <c r="D129" s="30" t="s">
        <v>528</v>
      </c>
      <c r="E129" s="31">
        <f t="shared" si="51"/>
        <v>473167</v>
      </c>
      <c r="F129" s="31">
        <v>473167</v>
      </c>
      <c r="G129" s="31"/>
      <c r="H129" s="31"/>
      <c r="I129" s="31"/>
      <c r="J129" s="31">
        <f t="shared" si="53"/>
        <v>10261489</v>
      </c>
      <c r="K129" s="31">
        <v>10261489</v>
      </c>
      <c r="L129" s="31"/>
      <c r="M129" s="31"/>
      <c r="N129" s="31"/>
      <c r="O129" s="31">
        <v>10261489</v>
      </c>
      <c r="P129" s="31">
        <f t="shared" si="52"/>
        <v>10734656</v>
      </c>
      <c r="Q129" s="168"/>
    </row>
    <row r="130" spans="1:17" s="37" customFormat="1" ht="63" customHeight="1" x14ac:dyDescent="0.45">
      <c r="A130" s="33"/>
      <c r="B130" s="33"/>
      <c r="C130" s="33"/>
      <c r="D130" s="35" t="s">
        <v>508</v>
      </c>
      <c r="E130" s="36">
        <f t="shared" si="51"/>
        <v>473167</v>
      </c>
      <c r="F130" s="36">
        <v>473167</v>
      </c>
      <c r="G130" s="36"/>
      <c r="H130" s="36"/>
      <c r="I130" s="36"/>
      <c r="J130" s="36">
        <f t="shared" si="53"/>
        <v>10261489</v>
      </c>
      <c r="K130" s="36">
        <v>10261489</v>
      </c>
      <c r="L130" s="36"/>
      <c r="M130" s="36"/>
      <c r="N130" s="36"/>
      <c r="O130" s="36">
        <v>10261489</v>
      </c>
      <c r="P130" s="36">
        <f t="shared" si="52"/>
        <v>10734656</v>
      </c>
      <c r="Q130" s="168"/>
    </row>
    <row r="131" spans="1:17" s="32" customFormat="1" ht="65.25" customHeight="1" x14ac:dyDescent="0.45">
      <c r="A131" s="28" t="s">
        <v>458</v>
      </c>
      <c r="B131" s="28" t="s">
        <v>459</v>
      </c>
      <c r="C131" s="28" t="s">
        <v>56</v>
      </c>
      <c r="D131" s="49" t="s">
        <v>471</v>
      </c>
      <c r="E131" s="31">
        <f t="shared" si="51"/>
        <v>1331125</v>
      </c>
      <c r="F131" s="31">
        <v>1331125</v>
      </c>
      <c r="G131" s="31">
        <v>1091086</v>
      </c>
      <c r="H131" s="31"/>
      <c r="I131" s="31"/>
      <c r="J131" s="31">
        <f t="shared" si="53"/>
        <v>0</v>
      </c>
      <c r="K131" s="31"/>
      <c r="L131" s="31"/>
      <c r="M131" s="31"/>
      <c r="N131" s="31"/>
      <c r="O131" s="31"/>
      <c r="P131" s="31">
        <f t="shared" si="52"/>
        <v>1331125</v>
      </c>
      <c r="Q131" s="168"/>
    </row>
    <row r="132" spans="1:17" s="37" customFormat="1" ht="63" customHeight="1" x14ac:dyDescent="0.45">
      <c r="A132" s="33"/>
      <c r="B132" s="34"/>
      <c r="C132" s="34"/>
      <c r="D132" s="35" t="s">
        <v>681</v>
      </c>
      <c r="E132" s="36">
        <f t="shared" si="51"/>
        <v>1331125</v>
      </c>
      <c r="F132" s="36">
        <v>1331125</v>
      </c>
      <c r="G132" s="36">
        <v>1091086</v>
      </c>
      <c r="H132" s="36"/>
      <c r="I132" s="36"/>
      <c r="J132" s="36">
        <f t="shared" si="53"/>
        <v>0</v>
      </c>
      <c r="K132" s="36"/>
      <c r="L132" s="36"/>
      <c r="M132" s="36"/>
      <c r="N132" s="36"/>
      <c r="O132" s="36"/>
      <c r="P132" s="36">
        <f t="shared" si="52"/>
        <v>1331125</v>
      </c>
      <c r="Q132" s="168"/>
    </row>
    <row r="133" spans="1:17" s="37" customFormat="1" ht="70.5" customHeight="1" x14ac:dyDescent="0.45">
      <c r="A133" s="28" t="s">
        <v>478</v>
      </c>
      <c r="B133" s="29">
        <v>1210</v>
      </c>
      <c r="C133" s="28" t="s">
        <v>56</v>
      </c>
      <c r="D133" s="30" t="s">
        <v>479</v>
      </c>
      <c r="E133" s="31">
        <f t="shared" si="51"/>
        <v>714100.24</v>
      </c>
      <c r="F133" s="31">
        <v>714100.24</v>
      </c>
      <c r="G133" s="31">
        <v>585328</v>
      </c>
      <c r="H133" s="36"/>
      <c r="I133" s="36"/>
      <c r="J133" s="31">
        <f t="shared" si="53"/>
        <v>0</v>
      </c>
      <c r="K133" s="36"/>
      <c r="L133" s="36"/>
      <c r="M133" s="36"/>
      <c r="N133" s="36"/>
      <c r="O133" s="36"/>
      <c r="P133" s="31">
        <f t="shared" si="52"/>
        <v>714100.24</v>
      </c>
      <c r="Q133" s="168"/>
    </row>
    <row r="134" spans="1:17" s="37" customFormat="1" ht="64.5" customHeight="1" x14ac:dyDescent="0.45">
      <c r="A134" s="33"/>
      <c r="B134" s="34"/>
      <c r="C134" s="34"/>
      <c r="D134" s="35" t="s">
        <v>682</v>
      </c>
      <c r="E134" s="36">
        <f t="shared" si="51"/>
        <v>714100.24</v>
      </c>
      <c r="F134" s="36">
        <v>714100.24</v>
      </c>
      <c r="G134" s="36">
        <v>585328</v>
      </c>
      <c r="H134" s="36"/>
      <c r="I134" s="36"/>
      <c r="J134" s="36">
        <f t="shared" si="53"/>
        <v>0</v>
      </c>
      <c r="K134" s="36"/>
      <c r="L134" s="36"/>
      <c r="M134" s="36"/>
      <c r="N134" s="36"/>
      <c r="O134" s="36"/>
      <c r="P134" s="36">
        <f t="shared" si="52"/>
        <v>714100.24</v>
      </c>
      <c r="Q134" s="168"/>
    </row>
    <row r="135" spans="1:17" s="37" customFormat="1" ht="64.5" hidden="1" customHeight="1" x14ac:dyDescent="0.45">
      <c r="A135" s="28" t="s">
        <v>460</v>
      </c>
      <c r="B135" s="29">
        <v>3140</v>
      </c>
      <c r="C135" s="29">
        <v>1040</v>
      </c>
      <c r="D135" s="41" t="str">
        <f>'дод 9'!C155</f>
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</c>
      <c r="E135" s="31">
        <f t="shared" si="51"/>
        <v>0</v>
      </c>
      <c r="F135" s="31"/>
      <c r="G135" s="31"/>
      <c r="H135" s="31"/>
      <c r="I135" s="31"/>
      <c r="J135" s="31">
        <f t="shared" si="53"/>
        <v>0</v>
      </c>
      <c r="K135" s="36"/>
      <c r="L135" s="36"/>
      <c r="M135" s="36"/>
      <c r="N135" s="36"/>
      <c r="O135" s="36"/>
      <c r="P135" s="31">
        <f t="shared" si="52"/>
        <v>0</v>
      </c>
      <c r="Q135" s="168"/>
    </row>
    <row r="136" spans="1:17" s="37" customFormat="1" ht="69" customHeight="1" x14ac:dyDescent="0.45">
      <c r="A136" s="28" t="s">
        <v>689</v>
      </c>
      <c r="B136" s="29" t="str">
        <f>'дод 9'!A91</f>
        <v>1221</v>
      </c>
      <c r="C136" s="29" t="str">
        <f>'дод 9'!B91</f>
        <v>0990</v>
      </c>
      <c r="D136" s="42" t="str">
        <f>'дод 9'!C91</f>
        <v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v>
      </c>
      <c r="E136" s="31">
        <f t="shared" si="51"/>
        <v>2000000</v>
      </c>
      <c r="F136" s="31">
        <v>2000000</v>
      </c>
      <c r="G136" s="31"/>
      <c r="H136" s="36"/>
      <c r="I136" s="36"/>
      <c r="J136" s="31">
        <f t="shared" si="53"/>
        <v>0</v>
      </c>
      <c r="K136" s="31"/>
      <c r="L136" s="31"/>
      <c r="M136" s="31"/>
      <c r="N136" s="31"/>
      <c r="O136" s="31"/>
      <c r="P136" s="31">
        <f t="shared" si="52"/>
        <v>2000000</v>
      </c>
      <c r="Q136" s="168"/>
    </row>
    <row r="137" spans="1:17" s="37" customFormat="1" ht="64.5" customHeight="1" x14ac:dyDescent="0.45">
      <c r="A137" s="28" t="s">
        <v>687</v>
      </c>
      <c r="B137" s="29" t="str">
        <f>'дод 9'!A92</f>
        <v>1222</v>
      </c>
      <c r="C137" s="29" t="str">
        <f>'дод 9'!B92</f>
        <v>0990</v>
      </c>
      <c r="D137" s="42" t="str">
        <f>'дод 9'!C92</f>
        <v xml:space="preserve"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бюджетам, у т.ч. за рахунок: </v>
      </c>
      <c r="E137" s="31">
        <f t="shared" ref="E137:E139" si="68">F137+I137</f>
        <v>2843700</v>
      </c>
      <c r="F137" s="31">
        <f>2843700</f>
        <v>2843700</v>
      </c>
      <c r="G137" s="31"/>
      <c r="H137" s="36"/>
      <c r="I137" s="36"/>
      <c r="J137" s="31">
        <f t="shared" ref="J137:J139" si="69">L137+O137</f>
        <v>5556300</v>
      </c>
      <c r="K137" s="31">
        <v>5556300</v>
      </c>
      <c r="L137" s="31"/>
      <c r="M137" s="31"/>
      <c r="N137" s="31"/>
      <c r="O137" s="31">
        <v>5556300</v>
      </c>
      <c r="P137" s="31">
        <f t="shared" ref="P137:P139" si="70">E137+J137</f>
        <v>8400000</v>
      </c>
      <c r="Q137" s="168"/>
    </row>
    <row r="138" spans="1:17" s="37" customFormat="1" ht="64.5" customHeight="1" x14ac:dyDescent="0.45">
      <c r="A138" s="33"/>
      <c r="B138" s="34">
        <f>'дод 9'!A93</f>
        <v>0</v>
      </c>
      <c r="C138" s="34">
        <f>'дод 9'!B93</f>
        <v>0</v>
      </c>
      <c r="D138" s="50" t="str">
        <f>'дод 9'!C93</f>
        <v>субвенції з державного бюджету місцевим бюджетам на створення навчально-практичних центрів сучасної професійної (професійно-технічної) освіти</v>
      </c>
      <c r="E138" s="36">
        <f t="shared" si="68"/>
        <v>2843700</v>
      </c>
      <c r="F138" s="36">
        <v>2843700</v>
      </c>
      <c r="G138" s="36"/>
      <c r="H138" s="36"/>
      <c r="I138" s="36"/>
      <c r="J138" s="36">
        <f t="shared" si="69"/>
        <v>5556300</v>
      </c>
      <c r="K138" s="36">
        <v>5556300</v>
      </c>
      <c r="L138" s="36"/>
      <c r="M138" s="36"/>
      <c r="N138" s="36"/>
      <c r="O138" s="36">
        <v>5556300</v>
      </c>
      <c r="P138" s="36">
        <f t="shared" si="70"/>
        <v>8400000</v>
      </c>
      <c r="Q138" s="168"/>
    </row>
    <row r="139" spans="1:17" s="32" customFormat="1" ht="93.75" customHeight="1" x14ac:dyDescent="0.45">
      <c r="A139" s="28" t="s">
        <v>696</v>
      </c>
      <c r="B139" s="28" t="s">
        <v>697</v>
      </c>
      <c r="C139" s="28" t="s">
        <v>56</v>
      </c>
      <c r="D139" s="42" t="s">
        <v>698</v>
      </c>
      <c r="E139" s="31">
        <f t="shared" si="68"/>
        <v>0</v>
      </c>
      <c r="F139" s="31"/>
      <c r="G139" s="31"/>
      <c r="H139" s="31"/>
      <c r="I139" s="31"/>
      <c r="J139" s="31">
        <f t="shared" si="69"/>
        <v>37015300</v>
      </c>
      <c r="K139" s="31">
        <v>37015300</v>
      </c>
      <c r="L139" s="31"/>
      <c r="M139" s="31"/>
      <c r="N139" s="31"/>
      <c r="O139" s="31">
        <v>37015300</v>
      </c>
      <c r="P139" s="31">
        <f t="shared" si="70"/>
        <v>37015300</v>
      </c>
      <c r="Q139" s="168"/>
    </row>
    <row r="140" spans="1:17" s="32" customFormat="1" ht="93.75" customHeight="1" x14ac:dyDescent="0.45">
      <c r="A140" s="28" t="s">
        <v>710</v>
      </c>
      <c r="B140" s="28" t="s">
        <v>707</v>
      </c>
      <c r="C140" s="28" t="s">
        <v>56</v>
      </c>
      <c r="D140" s="42" t="s">
        <v>708</v>
      </c>
      <c r="E140" s="31">
        <f t="shared" ref="E140:E141" si="71">F140+I140</f>
        <v>0</v>
      </c>
      <c r="F140" s="31"/>
      <c r="G140" s="31"/>
      <c r="H140" s="36"/>
      <c r="I140" s="36"/>
      <c r="J140" s="31">
        <f t="shared" ref="J140:J141" si="72">L140+O140</f>
        <v>82600800</v>
      </c>
      <c r="K140" s="31">
        <v>82600800</v>
      </c>
      <c r="L140" s="31"/>
      <c r="M140" s="31"/>
      <c r="N140" s="31"/>
      <c r="O140" s="31">
        <v>82600800</v>
      </c>
      <c r="P140" s="31">
        <f t="shared" ref="P140:P141" si="73">E140+J140</f>
        <v>82600800</v>
      </c>
      <c r="Q140" s="168"/>
    </row>
    <row r="141" spans="1:17" s="37" customFormat="1" ht="93.75" customHeight="1" x14ac:dyDescent="0.45">
      <c r="A141" s="33"/>
      <c r="B141" s="33"/>
      <c r="C141" s="33"/>
      <c r="D141" s="50" t="s">
        <v>709</v>
      </c>
      <c r="E141" s="36">
        <f t="shared" si="71"/>
        <v>0</v>
      </c>
      <c r="F141" s="36"/>
      <c r="G141" s="36"/>
      <c r="H141" s="36"/>
      <c r="I141" s="36"/>
      <c r="J141" s="36">
        <f t="shared" si="72"/>
        <v>82600800</v>
      </c>
      <c r="K141" s="36">
        <v>82600800</v>
      </c>
      <c r="L141" s="36"/>
      <c r="M141" s="36"/>
      <c r="N141" s="36"/>
      <c r="O141" s="36">
        <v>82600800</v>
      </c>
      <c r="P141" s="36">
        <f t="shared" si="73"/>
        <v>82600800</v>
      </c>
      <c r="Q141" s="168"/>
    </row>
    <row r="142" spans="1:17" s="37" customFormat="1" ht="64.5" customHeight="1" x14ac:dyDescent="0.45">
      <c r="A142" s="28" t="s">
        <v>631</v>
      </c>
      <c r="B142" s="29">
        <v>1261</v>
      </c>
      <c r="C142" s="28" t="s">
        <v>56</v>
      </c>
      <c r="D142" s="41" t="s">
        <v>630</v>
      </c>
      <c r="E142" s="31">
        <f t="shared" si="51"/>
        <v>0</v>
      </c>
      <c r="F142" s="31"/>
      <c r="G142" s="31"/>
      <c r="H142" s="31"/>
      <c r="I142" s="31"/>
      <c r="J142" s="31">
        <f t="shared" si="53"/>
        <v>2500000</v>
      </c>
      <c r="K142" s="31">
        <f>1200000+1300000</f>
        <v>2500000</v>
      </c>
      <c r="L142" s="31"/>
      <c r="M142" s="31"/>
      <c r="N142" s="31"/>
      <c r="O142" s="31">
        <f>1200000+1300000</f>
        <v>2500000</v>
      </c>
      <c r="P142" s="31">
        <f t="shared" si="52"/>
        <v>2500000</v>
      </c>
      <c r="Q142" s="168"/>
    </row>
    <row r="143" spans="1:17" s="37" customFormat="1" ht="64.5" hidden="1" customHeight="1" x14ac:dyDescent="0.45">
      <c r="A143" s="28" t="s">
        <v>632</v>
      </c>
      <c r="B143" s="29">
        <v>1262</v>
      </c>
      <c r="C143" s="28" t="s">
        <v>56</v>
      </c>
      <c r="D143" s="41" t="s">
        <v>694</v>
      </c>
      <c r="E143" s="31">
        <f t="shared" si="51"/>
        <v>0</v>
      </c>
      <c r="F143" s="31"/>
      <c r="G143" s="31"/>
      <c r="H143" s="31"/>
      <c r="I143" s="31"/>
      <c r="J143" s="31">
        <f t="shared" si="53"/>
        <v>0</v>
      </c>
      <c r="K143" s="31"/>
      <c r="L143" s="31"/>
      <c r="M143" s="31"/>
      <c r="N143" s="31"/>
      <c r="O143" s="31"/>
      <c r="P143" s="31">
        <f t="shared" si="52"/>
        <v>0</v>
      </c>
      <c r="Q143" s="168"/>
    </row>
    <row r="144" spans="1:17" s="37" customFormat="1" ht="64.5" hidden="1" customHeight="1" x14ac:dyDescent="0.45">
      <c r="A144" s="28"/>
      <c r="B144" s="29"/>
      <c r="C144" s="29"/>
      <c r="D144" s="51" t="s">
        <v>633</v>
      </c>
      <c r="E144" s="31">
        <f t="shared" si="51"/>
        <v>0</v>
      </c>
      <c r="F144" s="31"/>
      <c r="G144" s="31"/>
      <c r="H144" s="31"/>
      <c r="I144" s="31"/>
      <c r="J144" s="36">
        <f t="shared" si="53"/>
        <v>0</v>
      </c>
      <c r="K144" s="36"/>
      <c r="L144" s="36"/>
      <c r="M144" s="36"/>
      <c r="N144" s="36"/>
      <c r="O144" s="36"/>
      <c r="P144" s="36">
        <f t="shared" si="52"/>
        <v>0</v>
      </c>
      <c r="Q144" s="168"/>
    </row>
    <row r="145" spans="1:17" s="135" customFormat="1" ht="96.75" customHeight="1" x14ac:dyDescent="0.45">
      <c r="A145" s="28" t="s">
        <v>683</v>
      </c>
      <c r="B145" s="29">
        <v>1291</v>
      </c>
      <c r="C145" s="28" t="s">
        <v>56</v>
      </c>
      <c r="D145" s="41" t="str">
        <f>'дод 9'!C100</f>
        <v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бюджету), у т.ч. за рахунок:</v>
      </c>
      <c r="E145" s="31">
        <f t="shared" si="51"/>
        <v>1841503</v>
      </c>
      <c r="F145" s="31">
        <f>1830302+10238+65027-141859+426874-349079</f>
        <v>1841503</v>
      </c>
      <c r="G145" s="31"/>
      <c r="H145" s="31"/>
      <c r="I145" s="31"/>
      <c r="J145" s="31">
        <f t="shared" si="53"/>
        <v>5789756</v>
      </c>
      <c r="K145" s="31">
        <f>3097872+1503051-10238-65027+141859+773160+349079</f>
        <v>5789756</v>
      </c>
      <c r="L145" s="31"/>
      <c r="M145" s="31"/>
      <c r="N145" s="31"/>
      <c r="O145" s="31">
        <f>3097872+1503051-10238-65027+141859+773160+349079</f>
        <v>5789756</v>
      </c>
      <c r="P145" s="31">
        <f t="shared" si="52"/>
        <v>7631259</v>
      </c>
      <c r="Q145" s="168"/>
    </row>
    <row r="146" spans="1:17" s="135" customFormat="1" ht="92.25" x14ac:dyDescent="0.45">
      <c r="A146" s="33"/>
      <c r="B146" s="34"/>
      <c r="C146" s="33"/>
      <c r="D146" s="51" t="str">
        <f>'дод 9'!C101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146" s="36">
        <f t="shared" ref="E146" si="74">F146+I146</f>
        <v>1339364</v>
      </c>
      <c r="F146" s="36">
        <f>1830302-141859-349079</f>
        <v>1339364</v>
      </c>
      <c r="G146" s="36"/>
      <c r="H146" s="36"/>
      <c r="I146" s="36"/>
      <c r="J146" s="36">
        <f t="shared" ref="J146" si="75">L146+O146</f>
        <v>1993989</v>
      </c>
      <c r="K146" s="36">
        <f>1503051+141859+349079</f>
        <v>1993989</v>
      </c>
      <c r="L146" s="36"/>
      <c r="M146" s="36"/>
      <c r="N146" s="36"/>
      <c r="O146" s="36">
        <f>1503051+141859+349079</f>
        <v>1993989</v>
      </c>
      <c r="P146" s="36">
        <f t="shared" ref="P146" si="76">E146+J146</f>
        <v>3333353</v>
      </c>
      <c r="Q146" s="168"/>
    </row>
    <row r="147" spans="1:17" s="135" customFormat="1" ht="92.25" x14ac:dyDescent="0.45">
      <c r="A147" s="28" t="s">
        <v>678</v>
      </c>
      <c r="B147" s="29" t="str">
        <f>'дод 9'!A102</f>
        <v>1292</v>
      </c>
      <c r="C147" s="29" t="str">
        <f>'дод 9'!B102</f>
        <v>0990</v>
      </c>
      <c r="D147" s="42" t="str">
        <f>'дод 9'!C102</f>
        <v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бюджету), у т.ч. за рахунок:</v>
      </c>
      <c r="E147" s="31">
        <f t="shared" ref="E147:E148" si="77">F147+I147</f>
        <v>0</v>
      </c>
      <c r="F147" s="31"/>
      <c r="G147" s="31"/>
      <c r="H147" s="31"/>
      <c r="I147" s="31"/>
      <c r="J147" s="31">
        <f t="shared" ref="J147:J148" si="78">L147+O147</f>
        <v>15268251</v>
      </c>
      <c r="K147" s="31"/>
      <c r="L147" s="31">
        <f>262064+23890+4270702+151729-331003-814519</f>
        <v>3562863</v>
      </c>
      <c r="M147" s="31"/>
      <c r="N147" s="31"/>
      <c r="O147" s="31">
        <f>7228366-23890+3507119-151729+331003+814519</f>
        <v>11705388</v>
      </c>
      <c r="P147" s="31">
        <f t="shared" ref="P147:P148" si="79">E147+J147</f>
        <v>15268251</v>
      </c>
      <c r="Q147" s="168"/>
    </row>
    <row r="148" spans="1:17" s="135" customFormat="1" ht="64.5" customHeight="1" x14ac:dyDescent="0.45">
      <c r="A148" s="33"/>
      <c r="B148" s="34"/>
      <c r="C148" s="34"/>
      <c r="D148" s="35" t="s">
        <v>496</v>
      </c>
      <c r="E148" s="36">
        <f t="shared" si="77"/>
        <v>0</v>
      </c>
      <c r="F148" s="36"/>
      <c r="G148" s="36"/>
      <c r="H148" s="36"/>
      <c r="I148" s="36"/>
      <c r="J148" s="36">
        <f t="shared" si="78"/>
        <v>15268251</v>
      </c>
      <c r="K148" s="36"/>
      <c r="L148" s="36">
        <f>262064+23890+4270702+151729-331003-814519</f>
        <v>3562863</v>
      </c>
      <c r="M148" s="36"/>
      <c r="N148" s="36"/>
      <c r="O148" s="36">
        <f>7228366-23890+3507119-151729+331003+814519</f>
        <v>11705388</v>
      </c>
      <c r="P148" s="36">
        <f t="shared" si="79"/>
        <v>15268251</v>
      </c>
      <c r="Q148" s="168"/>
    </row>
    <row r="149" spans="1:17" s="37" customFormat="1" ht="64.5" hidden="1" customHeight="1" x14ac:dyDescent="0.45">
      <c r="A149" s="28" t="s">
        <v>460</v>
      </c>
      <c r="B149" s="29">
        <v>3140</v>
      </c>
      <c r="C149" s="29">
        <v>1040</v>
      </c>
      <c r="D149" s="41" t="s">
        <v>20</v>
      </c>
      <c r="E149" s="31">
        <f t="shared" si="51"/>
        <v>0</v>
      </c>
      <c r="F149" s="31">
        <f>2000000-2000000</f>
        <v>0</v>
      </c>
      <c r="G149" s="31"/>
      <c r="H149" s="31"/>
      <c r="I149" s="31"/>
      <c r="J149" s="36">
        <f t="shared" si="53"/>
        <v>0</v>
      </c>
      <c r="K149" s="36"/>
      <c r="L149" s="36"/>
      <c r="M149" s="36"/>
      <c r="N149" s="36"/>
      <c r="O149" s="36"/>
      <c r="P149" s="31">
        <f t="shared" si="52"/>
        <v>0</v>
      </c>
      <c r="Q149" s="168"/>
    </row>
    <row r="150" spans="1:17" s="135" customFormat="1" ht="64.5" customHeight="1" x14ac:dyDescent="0.45">
      <c r="A150" s="28" t="s">
        <v>740</v>
      </c>
      <c r="B150" s="29" t="str">
        <f>'дод 9'!A104</f>
        <v>1403</v>
      </c>
      <c r="C150" s="29" t="str">
        <f>'дод 9'!B104</f>
        <v>0990</v>
      </c>
      <c r="D150" s="42" t="str">
        <f>'дод 9'!C104</f>
        <v>Забезпечення харчуванням учнів початкових класів закладів загальної середньої освіти за рахунок субвенції з державного бюджету місцевим бюджетам, у т.ч. за рахунок:</v>
      </c>
      <c r="E150" s="31">
        <f t="shared" si="51"/>
        <v>19506700</v>
      </c>
      <c r="F150" s="31">
        <v>19506700</v>
      </c>
      <c r="G150" s="31"/>
      <c r="H150" s="31"/>
      <c r="I150" s="31"/>
      <c r="J150" s="31">
        <f t="shared" si="53"/>
        <v>0</v>
      </c>
      <c r="K150" s="31"/>
      <c r="L150" s="31"/>
      <c r="M150" s="31"/>
      <c r="N150" s="31"/>
      <c r="O150" s="31"/>
      <c r="P150" s="31">
        <f t="shared" si="52"/>
        <v>19506700</v>
      </c>
      <c r="Q150" s="168"/>
    </row>
    <row r="151" spans="1:17" s="135" customFormat="1" ht="66" customHeight="1" x14ac:dyDescent="0.45">
      <c r="A151" s="33"/>
      <c r="B151" s="34">
        <f>'дод 9'!A105</f>
        <v>0</v>
      </c>
      <c r="C151" s="34">
        <f>'дод 9'!B105</f>
        <v>0</v>
      </c>
      <c r="D151" s="50" t="str">
        <f>'дод 9'!C105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E151" s="36">
        <f t="shared" si="51"/>
        <v>19506700</v>
      </c>
      <c r="F151" s="36">
        <v>19506700</v>
      </c>
      <c r="G151" s="36"/>
      <c r="H151" s="36"/>
      <c r="I151" s="36"/>
      <c r="J151" s="36">
        <f t="shared" si="53"/>
        <v>0</v>
      </c>
      <c r="K151" s="36"/>
      <c r="L151" s="36"/>
      <c r="M151" s="36"/>
      <c r="N151" s="36"/>
      <c r="O151" s="36"/>
      <c r="P151" s="36">
        <f t="shared" si="52"/>
        <v>19506700</v>
      </c>
      <c r="Q151" s="168"/>
    </row>
    <row r="152" spans="1:17" s="37" customFormat="1" ht="39.75" customHeight="1" x14ac:dyDescent="0.45">
      <c r="A152" s="28" t="s">
        <v>461</v>
      </c>
      <c r="B152" s="29">
        <v>3242</v>
      </c>
      <c r="C152" s="29">
        <v>1090</v>
      </c>
      <c r="D152" s="30" t="s">
        <v>393</v>
      </c>
      <c r="E152" s="31">
        <f t="shared" si="51"/>
        <v>65200</v>
      </c>
      <c r="F152" s="31">
        <v>65200</v>
      </c>
      <c r="G152" s="31"/>
      <c r="H152" s="31"/>
      <c r="I152" s="31"/>
      <c r="J152" s="31">
        <f t="shared" si="53"/>
        <v>0</v>
      </c>
      <c r="K152" s="36"/>
      <c r="L152" s="36"/>
      <c r="M152" s="36"/>
      <c r="N152" s="36"/>
      <c r="O152" s="36"/>
      <c r="P152" s="31">
        <f t="shared" si="52"/>
        <v>65200</v>
      </c>
      <c r="Q152" s="168"/>
    </row>
    <row r="153" spans="1:17" s="37" customFormat="1" ht="34.5" customHeight="1" x14ac:dyDescent="0.45">
      <c r="A153" s="28" t="s">
        <v>462</v>
      </c>
      <c r="B153" s="29">
        <v>5031</v>
      </c>
      <c r="C153" s="28" t="s">
        <v>76</v>
      </c>
      <c r="D153" s="39" t="str">
        <f>'дод 9'!C190</f>
        <v>Утримання та навчально-тренувальна робота комунальних дитячо-юнацьких спортивних шкіл, у т.ч. за рахунок:</v>
      </c>
      <c r="E153" s="31">
        <f t="shared" si="51"/>
        <v>14100800</v>
      </c>
      <c r="F153" s="31">
        <f>14114800-70000+56000</f>
        <v>14100800</v>
      </c>
      <c r="G153" s="31">
        <v>10443800</v>
      </c>
      <c r="H153" s="31">
        <v>457500</v>
      </c>
      <c r="I153" s="31"/>
      <c r="J153" s="31">
        <f t="shared" si="53"/>
        <v>0</v>
      </c>
      <c r="K153" s="31"/>
      <c r="L153" s="36"/>
      <c r="M153" s="36"/>
      <c r="N153" s="36"/>
      <c r="O153" s="31"/>
      <c r="P153" s="31">
        <f t="shared" si="52"/>
        <v>14100800</v>
      </c>
      <c r="Q153" s="168"/>
    </row>
    <row r="154" spans="1:17" s="37" customFormat="1" ht="23.25" hidden="1" customHeight="1" x14ac:dyDescent="0.45">
      <c r="A154" s="33"/>
      <c r="B154" s="34"/>
      <c r="C154" s="33"/>
      <c r="D154" s="35" t="s">
        <v>381</v>
      </c>
      <c r="E154" s="31">
        <f t="shared" si="51"/>
        <v>0</v>
      </c>
      <c r="F154" s="36"/>
      <c r="G154" s="36"/>
      <c r="H154" s="36"/>
      <c r="I154" s="36"/>
      <c r="J154" s="36">
        <f t="shared" si="53"/>
        <v>0</v>
      </c>
      <c r="K154" s="36"/>
      <c r="L154" s="36"/>
      <c r="M154" s="36"/>
      <c r="N154" s="36"/>
      <c r="O154" s="36"/>
      <c r="P154" s="36">
        <f t="shared" si="52"/>
        <v>0</v>
      </c>
      <c r="Q154" s="168"/>
    </row>
    <row r="155" spans="1:17" s="37" customFormat="1" ht="42" hidden="1" customHeight="1" x14ac:dyDescent="0.45">
      <c r="A155" s="28" t="s">
        <v>463</v>
      </c>
      <c r="B155" s="29">
        <v>7321</v>
      </c>
      <c r="C155" s="28" t="s">
        <v>107</v>
      </c>
      <c r="D155" s="41" t="str">
        <f>'дод 9'!C232</f>
        <v>Будівництво1 освітніх установ та закладів, у т.ч. за рахунок:</v>
      </c>
      <c r="E155" s="31">
        <f t="shared" si="51"/>
        <v>0</v>
      </c>
      <c r="F155" s="31"/>
      <c r="G155" s="31"/>
      <c r="H155" s="31"/>
      <c r="I155" s="31"/>
      <c r="J155" s="31">
        <f t="shared" si="53"/>
        <v>0</v>
      </c>
      <c r="K155" s="31"/>
      <c r="L155" s="31"/>
      <c r="M155" s="31"/>
      <c r="N155" s="31"/>
      <c r="O155" s="31"/>
      <c r="P155" s="31">
        <f t="shared" si="52"/>
        <v>0</v>
      </c>
      <c r="Q155" s="168"/>
    </row>
    <row r="156" spans="1:17" s="37" customFormat="1" ht="21" hidden="1" customHeight="1" x14ac:dyDescent="0.45">
      <c r="A156" s="28"/>
      <c r="B156" s="29"/>
      <c r="C156" s="28"/>
      <c r="D156" s="35" t="s">
        <v>381</v>
      </c>
      <c r="E156" s="31">
        <f t="shared" si="51"/>
        <v>0</v>
      </c>
      <c r="F156" s="31"/>
      <c r="G156" s="31"/>
      <c r="H156" s="31"/>
      <c r="I156" s="31"/>
      <c r="J156" s="36">
        <f t="shared" si="53"/>
        <v>0</v>
      </c>
      <c r="K156" s="36"/>
      <c r="L156" s="31"/>
      <c r="M156" s="31"/>
      <c r="N156" s="31"/>
      <c r="O156" s="36"/>
      <c r="P156" s="36">
        <f t="shared" si="52"/>
        <v>0</v>
      </c>
      <c r="Q156" s="168"/>
    </row>
    <row r="157" spans="1:17" s="37" customFormat="1" ht="47.25" hidden="1" customHeight="1" x14ac:dyDescent="0.45">
      <c r="A157" s="28" t="s">
        <v>501</v>
      </c>
      <c r="B157" s="29">
        <v>7363</v>
      </c>
      <c r="C157" s="28" t="s">
        <v>78</v>
      </c>
      <c r="D157" s="41" t="s">
        <v>556</v>
      </c>
      <c r="E157" s="31">
        <f t="shared" si="51"/>
        <v>0</v>
      </c>
      <c r="F157" s="31"/>
      <c r="G157" s="31"/>
      <c r="H157" s="31"/>
      <c r="I157" s="31"/>
      <c r="J157" s="31">
        <f t="shared" si="53"/>
        <v>0</v>
      </c>
      <c r="K157" s="31"/>
      <c r="L157" s="31"/>
      <c r="M157" s="31"/>
      <c r="N157" s="31"/>
      <c r="O157" s="31"/>
      <c r="P157" s="31">
        <f t="shared" si="52"/>
        <v>0</v>
      </c>
      <c r="Q157" s="168"/>
    </row>
    <row r="158" spans="1:17" s="37" customFormat="1" ht="36.75" hidden="1" customHeight="1" x14ac:dyDescent="0.45">
      <c r="A158" s="33"/>
      <c r="B158" s="34"/>
      <c r="C158" s="33"/>
      <c r="D158" s="51" t="s">
        <v>581</v>
      </c>
      <c r="E158" s="31">
        <f t="shared" si="51"/>
        <v>0</v>
      </c>
      <c r="F158" s="36"/>
      <c r="G158" s="36"/>
      <c r="H158" s="36"/>
      <c r="I158" s="36"/>
      <c r="J158" s="36">
        <f t="shared" si="53"/>
        <v>0</v>
      </c>
      <c r="K158" s="36"/>
      <c r="L158" s="36"/>
      <c r="M158" s="36"/>
      <c r="N158" s="36"/>
      <c r="O158" s="36"/>
      <c r="P158" s="36">
        <f t="shared" si="52"/>
        <v>0</v>
      </c>
      <c r="Q158" s="168"/>
    </row>
    <row r="159" spans="1:17" s="37" customFormat="1" ht="76.900000000000006" x14ac:dyDescent="0.45">
      <c r="A159" s="28" t="s">
        <v>666</v>
      </c>
      <c r="B159" s="29">
        <v>7384</v>
      </c>
      <c r="C159" s="28" t="s">
        <v>78</v>
      </c>
      <c r="D159" s="39" t="s">
        <v>667</v>
      </c>
      <c r="E159" s="31">
        <f t="shared" ref="E159" si="80">F159+I159</f>
        <v>0</v>
      </c>
      <c r="F159" s="31">
        <v>0</v>
      </c>
      <c r="G159" s="31">
        <v>0</v>
      </c>
      <c r="H159" s="31">
        <v>0</v>
      </c>
      <c r="I159" s="31"/>
      <c r="J159" s="31">
        <f t="shared" ref="J159" si="81">L159+O159</f>
        <v>51527652.659999996</v>
      </c>
      <c r="K159" s="31"/>
      <c r="L159" s="36"/>
      <c r="M159" s="36"/>
      <c r="N159" s="36"/>
      <c r="O159" s="31">
        <v>51527652.659999996</v>
      </c>
      <c r="P159" s="31">
        <f t="shared" ref="P159" si="82">E159+J159</f>
        <v>51527652.659999996</v>
      </c>
      <c r="Q159" s="168"/>
    </row>
    <row r="160" spans="1:17" s="37" customFormat="1" ht="118.9" customHeight="1" x14ac:dyDescent="0.45">
      <c r="A160" s="33"/>
      <c r="B160" s="34"/>
      <c r="C160" s="33"/>
      <c r="D160" s="51" t="s">
        <v>671</v>
      </c>
      <c r="E160" s="36">
        <f t="shared" ref="E160" si="83">F160+I160</f>
        <v>0</v>
      </c>
      <c r="F160" s="36">
        <v>0</v>
      </c>
      <c r="G160" s="36">
        <v>0</v>
      </c>
      <c r="H160" s="36">
        <v>0</v>
      </c>
      <c r="I160" s="36"/>
      <c r="J160" s="36">
        <f t="shared" ref="J160" si="84">L160+O160</f>
        <v>51527652.659999996</v>
      </c>
      <c r="K160" s="36"/>
      <c r="L160" s="36"/>
      <c r="M160" s="36"/>
      <c r="N160" s="36"/>
      <c r="O160" s="36">
        <v>51527652.659999996</v>
      </c>
      <c r="P160" s="36">
        <f t="shared" ref="P160" si="85">E160+J160</f>
        <v>51527652.659999996</v>
      </c>
      <c r="Q160" s="168"/>
    </row>
    <row r="161" spans="1:17" s="32" customFormat="1" ht="27.75" hidden="1" customHeight="1" x14ac:dyDescent="0.45">
      <c r="A161" s="28" t="s">
        <v>578</v>
      </c>
      <c r="B161" s="52" t="s">
        <v>231</v>
      </c>
      <c r="C161" s="52" t="s">
        <v>78</v>
      </c>
      <c r="D161" s="39" t="s">
        <v>17</v>
      </c>
      <c r="E161" s="31">
        <f t="shared" si="51"/>
        <v>0</v>
      </c>
      <c r="F161" s="31"/>
      <c r="G161" s="31"/>
      <c r="H161" s="31"/>
      <c r="I161" s="31"/>
      <c r="J161" s="31">
        <f t="shared" ref="J161" si="86">L161+O161</f>
        <v>0</v>
      </c>
      <c r="K161" s="36"/>
      <c r="L161" s="36"/>
      <c r="M161" s="36"/>
      <c r="N161" s="36"/>
      <c r="O161" s="36"/>
      <c r="P161" s="31">
        <f t="shared" ref="P161" si="87">E161+J161</f>
        <v>0</v>
      </c>
      <c r="Q161" s="168"/>
    </row>
    <row r="162" spans="1:17" s="37" customFormat="1" ht="24" customHeight="1" x14ac:dyDescent="0.45">
      <c r="A162" s="28" t="s">
        <v>464</v>
      </c>
      <c r="B162" s="29">
        <v>7640</v>
      </c>
      <c r="C162" s="28" t="s">
        <v>82</v>
      </c>
      <c r="D162" s="39" t="s">
        <v>403</v>
      </c>
      <c r="E162" s="31">
        <f t="shared" si="51"/>
        <v>766560</v>
      </c>
      <c r="F162" s="31">
        <v>766560</v>
      </c>
      <c r="G162" s="31"/>
      <c r="H162" s="31"/>
      <c r="I162" s="31"/>
      <c r="J162" s="31">
        <f>L162+O162</f>
        <v>95589467</v>
      </c>
      <c r="K162" s="31">
        <f>71289467+24000000+300000</f>
        <v>95589467</v>
      </c>
      <c r="L162" s="31"/>
      <c r="M162" s="31"/>
      <c r="N162" s="31"/>
      <c r="O162" s="31">
        <f>71289467+24000000+300000</f>
        <v>95589467</v>
      </c>
      <c r="P162" s="31">
        <f t="shared" si="52"/>
        <v>96356027</v>
      </c>
      <c r="Q162" s="168"/>
    </row>
    <row r="163" spans="1:17" s="37" customFormat="1" ht="47.25" hidden="1" customHeight="1" x14ac:dyDescent="0.45">
      <c r="A163" s="28" t="s">
        <v>467</v>
      </c>
      <c r="B163" s="29">
        <v>7700</v>
      </c>
      <c r="C163" s="28" t="s">
        <v>89</v>
      </c>
      <c r="D163" s="39" t="s">
        <v>349</v>
      </c>
      <c r="E163" s="31">
        <f t="shared" si="51"/>
        <v>0</v>
      </c>
      <c r="F163" s="31"/>
      <c r="G163" s="31"/>
      <c r="H163" s="31"/>
      <c r="I163" s="31"/>
      <c r="J163" s="31">
        <f t="shared" si="53"/>
        <v>0</v>
      </c>
      <c r="K163" s="31"/>
      <c r="L163" s="31"/>
      <c r="M163" s="31"/>
      <c r="N163" s="31"/>
      <c r="O163" s="31"/>
      <c r="P163" s="31">
        <f t="shared" si="52"/>
        <v>0</v>
      </c>
      <c r="Q163" s="168"/>
    </row>
    <row r="164" spans="1:17" s="37" customFormat="1" ht="47.25" hidden="1" customHeight="1" x14ac:dyDescent="0.45">
      <c r="A164" s="28" t="s">
        <v>578</v>
      </c>
      <c r="B164" s="29" t="str">
        <f>'дод 9'!A287</f>
        <v>7693</v>
      </c>
      <c r="C164" s="29" t="str">
        <f>'дод 9'!B287</f>
        <v>0490</v>
      </c>
      <c r="D164" s="42" t="str">
        <f>'дод 9'!C287</f>
        <v>Інші заходи, пов'язані з економічною діяльністю, у т.ч. за рахунок:</v>
      </c>
      <c r="E164" s="31">
        <f t="shared" si="51"/>
        <v>0</v>
      </c>
      <c r="F164" s="53"/>
      <c r="G164" s="31"/>
      <c r="H164" s="31"/>
      <c r="I164" s="31"/>
      <c r="J164" s="31">
        <f t="shared" si="53"/>
        <v>0</v>
      </c>
      <c r="K164" s="31"/>
      <c r="L164" s="31"/>
      <c r="M164" s="31"/>
      <c r="N164" s="31"/>
      <c r="O164" s="31"/>
      <c r="P164" s="31">
        <f t="shared" si="52"/>
        <v>0</v>
      </c>
      <c r="Q164" s="168"/>
    </row>
    <row r="165" spans="1:17" s="37" customFormat="1" ht="65.25" hidden="1" customHeight="1" x14ac:dyDescent="0.45">
      <c r="A165" s="28" t="s">
        <v>467</v>
      </c>
      <c r="B165" s="29">
        <f>'дод 9'!A289</f>
        <v>7700</v>
      </c>
      <c r="C165" s="29" t="str">
        <f>'дод 9'!B289</f>
        <v>0133</v>
      </c>
      <c r="D165" s="42" t="str">
        <f>'дод 9'!C289</f>
        <v>Реалізація програм допомоги і грантів Європейського Союзу, урядів іноземних держав, міжнародних організацій, донорських установ, у т.ч. за рахунок:</v>
      </c>
      <c r="E165" s="31">
        <f t="shared" si="51"/>
        <v>0</v>
      </c>
      <c r="F165" s="53"/>
      <c r="G165" s="31"/>
      <c r="H165" s="31"/>
      <c r="I165" s="31"/>
      <c r="J165" s="31">
        <f>L165+O165</f>
        <v>0</v>
      </c>
      <c r="K165" s="31"/>
      <c r="L165" s="31"/>
      <c r="M165" s="31"/>
      <c r="N165" s="31"/>
      <c r="O165" s="31"/>
      <c r="P165" s="31">
        <f t="shared" si="52"/>
        <v>0</v>
      </c>
      <c r="Q165" s="168"/>
    </row>
    <row r="166" spans="1:17" s="37" customFormat="1" ht="23.25" hidden="1" customHeight="1" x14ac:dyDescent="0.45">
      <c r="A166" s="28"/>
      <c r="B166" s="29"/>
      <c r="C166" s="29"/>
      <c r="D166" s="35" t="s">
        <v>602</v>
      </c>
      <c r="E166" s="31">
        <f t="shared" si="51"/>
        <v>0</v>
      </c>
      <c r="F166" s="53"/>
      <c r="G166" s="31"/>
      <c r="H166" s="31"/>
      <c r="I166" s="31"/>
      <c r="J166" s="36">
        <f>L166+O166</f>
        <v>0</v>
      </c>
      <c r="K166" s="31"/>
      <c r="L166" s="36"/>
      <c r="M166" s="31"/>
      <c r="N166" s="31"/>
      <c r="O166" s="36"/>
      <c r="P166" s="36">
        <f t="shared" si="52"/>
        <v>0</v>
      </c>
      <c r="Q166" s="168"/>
    </row>
    <row r="167" spans="1:17" s="37" customFormat="1" ht="47.25" customHeight="1" x14ac:dyDescent="0.45">
      <c r="A167" s="28" t="s">
        <v>622</v>
      </c>
      <c r="B167" s="29">
        <v>8240</v>
      </c>
      <c r="C167" s="29" t="str">
        <f>'дод 9'!B306</f>
        <v>0380</v>
      </c>
      <c r="D167" s="42" t="str">
        <f>'дод 9'!C306</f>
        <v>Заходи та роботи з територіальної оборони</v>
      </c>
      <c r="E167" s="31">
        <f t="shared" si="51"/>
        <v>14820000</v>
      </c>
      <c r="F167" s="54">
        <v>14820000</v>
      </c>
      <c r="G167" s="31"/>
      <c r="H167" s="31">
        <v>1860000</v>
      </c>
      <c r="I167" s="31"/>
      <c r="J167" s="31">
        <f t="shared" si="53"/>
        <v>0</v>
      </c>
      <c r="K167" s="31"/>
      <c r="L167" s="31"/>
      <c r="M167" s="31"/>
      <c r="N167" s="31"/>
      <c r="O167" s="31"/>
      <c r="P167" s="31">
        <f t="shared" si="52"/>
        <v>14820000</v>
      </c>
      <c r="Q167" s="168"/>
    </row>
    <row r="168" spans="1:17" s="37" customFormat="1" ht="36" customHeight="1" x14ac:dyDescent="0.45">
      <c r="A168" s="28" t="s">
        <v>465</v>
      </c>
      <c r="B168" s="29">
        <v>8340</v>
      </c>
      <c r="C168" s="28" t="s">
        <v>88</v>
      </c>
      <c r="D168" s="39" t="str">
        <f>'дод 9'!C310</f>
        <v>Природоохоронні заходи за рахунок цільових фондів</v>
      </c>
      <c r="E168" s="31">
        <f t="shared" si="51"/>
        <v>0</v>
      </c>
      <c r="F168" s="31"/>
      <c r="G168" s="31"/>
      <c r="H168" s="31"/>
      <c r="I168" s="31"/>
      <c r="J168" s="31">
        <f t="shared" si="53"/>
        <v>681500</v>
      </c>
      <c r="K168" s="31"/>
      <c r="L168" s="31">
        <v>539500</v>
      </c>
      <c r="M168" s="31"/>
      <c r="N168" s="31"/>
      <c r="O168" s="31">
        <v>142000</v>
      </c>
      <c r="P168" s="31">
        <f t="shared" si="52"/>
        <v>681500</v>
      </c>
      <c r="Q168" s="168"/>
    </row>
    <row r="169" spans="1:17" s="37" customFormat="1" ht="47.25" hidden="1" customHeight="1" x14ac:dyDescent="0.45">
      <c r="A169" s="28" t="s">
        <v>489</v>
      </c>
      <c r="B169" s="29">
        <v>9320</v>
      </c>
      <c r="C169" s="28" t="s">
        <v>43</v>
      </c>
      <c r="D169" s="41" t="s">
        <v>529</v>
      </c>
      <c r="E169" s="31">
        <f t="shared" ref="E169:E172" si="88">F169+I169</f>
        <v>0</v>
      </c>
      <c r="F169" s="31"/>
      <c r="G169" s="31"/>
      <c r="H169" s="31"/>
      <c r="I169" s="31"/>
      <c r="J169" s="31">
        <f t="shared" si="53"/>
        <v>0</v>
      </c>
      <c r="K169" s="31"/>
      <c r="L169" s="31"/>
      <c r="M169" s="31"/>
      <c r="N169" s="31"/>
      <c r="O169" s="31"/>
      <c r="P169" s="31">
        <f t="shared" si="52"/>
        <v>0</v>
      </c>
      <c r="Q169" s="168"/>
    </row>
    <row r="170" spans="1:17" s="37" customFormat="1" ht="31.5" hidden="1" customHeight="1" x14ac:dyDescent="0.45">
      <c r="A170" s="33"/>
      <c r="B170" s="34"/>
      <c r="C170" s="33"/>
      <c r="D170" s="35" t="s">
        <v>485</v>
      </c>
      <c r="E170" s="36">
        <f t="shared" si="88"/>
        <v>0</v>
      </c>
      <c r="F170" s="36"/>
      <c r="G170" s="36"/>
      <c r="H170" s="36"/>
      <c r="I170" s="36"/>
      <c r="J170" s="36">
        <f t="shared" si="53"/>
        <v>0</v>
      </c>
      <c r="K170" s="36"/>
      <c r="L170" s="36"/>
      <c r="M170" s="36"/>
      <c r="N170" s="36"/>
      <c r="O170" s="36"/>
      <c r="P170" s="36">
        <f t="shared" si="52"/>
        <v>0</v>
      </c>
      <c r="Q170" s="168"/>
    </row>
    <row r="171" spans="1:17" s="37" customFormat="1" ht="22.5" hidden="1" customHeight="1" x14ac:dyDescent="0.45">
      <c r="A171" s="28" t="s">
        <v>466</v>
      </c>
      <c r="B171" s="29">
        <v>9770</v>
      </c>
      <c r="C171" s="28" t="s">
        <v>43</v>
      </c>
      <c r="D171" s="41" t="str">
        <f>'дод 9'!C327</f>
        <v>Інші субвенції з місцевого бюджету</v>
      </c>
      <c r="E171" s="31">
        <f t="shared" ref="E171" si="89">F171+I171</f>
        <v>0</v>
      </c>
      <c r="F171" s="31"/>
      <c r="G171" s="31"/>
      <c r="H171" s="31"/>
      <c r="I171" s="31"/>
      <c r="J171" s="31">
        <f t="shared" ref="J171" si="90">L171+O171</f>
        <v>0</v>
      </c>
      <c r="K171" s="31"/>
      <c r="L171" s="31"/>
      <c r="M171" s="31"/>
      <c r="N171" s="31"/>
      <c r="O171" s="31"/>
      <c r="P171" s="31">
        <f t="shared" ref="P171" si="91">E171+J171</f>
        <v>0</v>
      </c>
      <c r="Q171" s="168"/>
    </row>
    <row r="172" spans="1:17" s="37" customFormat="1" ht="48.75" hidden="1" customHeight="1" x14ac:dyDescent="0.45">
      <c r="A172" s="28" t="s">
        <v>481</v>
      </c>
      <c r="B172" s="29">
        <v>9800</v>
      </c>
      <c r="C172" s="28" t="s">
        <v>43</v>
      </c>
      <c r="D172" s="41" t="s">
        <v>354</v>
      </c>
      <c r="E172" s="31">
        <f t="shared" si="88"/>
        <v>0</v>
      </c>
      <c r="F172" s="31"/>
      <c r="G172" s="31"/>
      <c r="H172" s="31"/>
      <c r="I172" s="31"/>
      <c r="J172" s="31">
        <f t="shared" si="53"/>
        <v>0</v>
      </c>
      <c r="K172" s="31"/>
      <c r="L172" s="31"/>
      <c r="M172" s="31"/>
      <c r="N172" s="31"/>
      <c r="O172" s="31"/>
      <c r="P172" s="31">
        <f t="shared" si="52"/>
        <v>0</v>
      </c>
      <c r="Q172" s="168"/>
    </row>
    <row r="173" spans="1:17" s="22" customFormat="1" ht="33.75" customHeight="1" x14ac:dyDescent="0.4">
      <c r="A173" s="43" t="s">
        <v>161</v>
      </c>
      <c r="B173" s="44"/>
      <c r="C173" s="44"/>
      <c r="D173" s="45" t="s">
        <v>434</v>
      </c>
      <c r="E173" s="21">
        <f>E174</f>
        <v>128485923.34999999</v>
      </c>
      <c r="F173" s="21">
        <f t="shared" ref="F173:P173" si="92">F174</f>
        <v>128100134</v>
      </c>
      <c r="G173" s="21">
        <f t="shared" si="92"/>
        <v>5280100</v>
      </c>
      <c r="H173" s="21">
        <f t="shared" si="92"/>
        <v>226600</v>
      </c>
      <c r="I173" s="21">
        <f t="shared" si="92"/>
        <v>385789.35</v>
      </c>
      <c r="J173" s="21">
        <f t="shared" si="92"/>
        <v>121925793</v>
      </c>
      <c r="K173" s="21">
        <f t="shared" si="92"/>
        <v>121925793</v>
      </c>
      <c r="L173" s="21">
        <f t="shared" si="92"/>
        <v>0</v>
      </c>
      <c r="M173" s="21">
        <f t="shared" si="92"/>
        <v>0</v>
      </c>
      <c r="N173" s="21">
        <f t="shared" si="92"/>
        <v>0</v>
      </c>
      <c r="O173" s="21">
        <f t="shared" si="92"/>
        <v>121925793</v>
      </c>
      <c r="P173" s="21">
        <f t="shared" si="92"/>
        <v>250411716.34999999</v>
      </c>
      <c r="Q173" s="168"/>
    </row>
    <row r="174" spans="1:17" s="27" customFormat="1" ht="33" customHeight="1" x14ac:dyDescent="0.4">
      <c r="A174" s="23" t="s">
        <v>162</v>
      </c>
      <c r="B174" s="46"/>
      <c r="C174" s="46"/>
      <c r="D174" s="25" t="s">
        <v>688</v>
      </c>
      <c r="E174" s="26">
        <f t="shared" ref="E174:P174" si="93">E186+E187+E190+E193+E195+E197+E200+E201+E202+E203+E204+E210+E213+E215+E189+E192+E216+E206+E208</f>
        <v>128485923.34999999</v>
      </c>
      <c r="F174" s="26">
        <f t="shared" si="93"/>
        <v>128100134</v>
      </c>
      <c r="G174" s="26">
        <f t="shared" si="93"/>
        <v>5280100</v>
      </c>
      <c r="H174" s="26">
        <f t="shared" si="93"/>
        <v>226600</v>
      </c>
      <c r="I174" s="26">
        <f t="shared" si="93"/>
        <v>385789.35</v>
      </c>
      <c r="J174" s="26">
        <f t="shared" si="93"/>
        <v>121925793</v>
      </c>
      <c r="K174" s="26">
        <f t="shared" si="93"/>
        <v>121925793</v>
      </c>
      <c r="L174" s="26">
        <f t="shared" si="93"/>
        <v>0</v>
      </c>
      <c r="M174" s="26">
        <f t="shared" si="93"/>
        <v>0</v>
      </c>
      <c r="N174" s="26">
        <f t="shared" si="93"/>
        <v>0</v>
      </c>
      <c r="O174" s="26">
        <f t="shared" si="93"/>
        <v>121925793</v>
      </c>
      <c r="P174" s="26">
        <f t="shared" si="93"/>
        <v>250411716.34999999</v>
      </c>
      <c r="Q174" s="168"/>
    </row>
    <row r="175" spans="1:17" s="27" customFormat="1" ht="94.5" hidden="1" customHeight="1" x14ac:dyDescent="0.4">
      <c r="A175" s="23"/>
      <c r="B175" s="46"/>
      <c r="C175" s="46"/>
      <c r="D175" s="25" t="s">
        <v>582</v>
      </c>
      <c r="E175" s="26" t="e">
        <f>#REF!</f>
        <v>#REF!</v>
      </c>
      <c r="F175" s="26" t="e">
        <f>#REF!</f>
        <v>#REF!</v>
      </c>
      <c r="G175" s="26" t="e">
        <f>#REF!</f>
        <v>#REF!</v>
      </c>
      <c r="H175" s="26" t="e">
        <f>#REF!</f>
        <v>#REF!</v>
      </c>
      <c r="I175" s="26" t="e">
        <f>#REF!</f>
        <v>#REF!</v>
      </c>
      <c r="J175" s="26" t="e">
        <f>#REF!</f>
        <v>#REF!</v>
      </c>
      <c r="K175" s="26" t="e">
        <f>#REF!</f>
        <v>#REF!</v>
      </c>
      <c r="L175" s="26" t="e">
        <f>#REF!</f>
        <v>#REF!</v>
      </c>
      <c r="M175" s="26" t="e">
        <f>#REF!</f>
        <v>#REF!</v>
      </c>
      <c r="N175" s="26" t="e">
        <f>#REF!</f>
        <v>#REF!</v>
      </c>
      <c r="O175" s="26" t="e">
        <f>#REF!</f>
        <v>#REF!</v>
      </c>
      <c r="P175" s="26" t="e">
        <f>#REF!</f>
        <v>#REF!</v>
      </c>
      <c r="Q175" s="168"/>
    </row>
    <row r="176" spans="1:17" s="27" customFormat="1" ht="31.5" hidden="1" customHeight="1" x14ac:dyDescent="0.4">
      <c r="A176" s="23"/>
      <c r="B176" s="46"/>
      <c r="C176" s="46"/>
      <c r="D176" s="25" t="s">
        <v>377</v>
      </c>
      <c r="E176" s="26" t="e">
        <f>#REF!+E191+E194</f>
        <v>#REF!</v>
      </c>
      <c r="F176" s="26" t="e">
        <f>#REF!+F191+F194</f>
        <v>#REF!</v>
      </c>
      <c r="G176" s="26" t="e">
        <f>#REF!+G191+G194</f>
        <v>#REF!</v>
      </c>
      <c r="H176" s="26" t="e">
        <f>#REF!+H191+H194</f>
        <v>#REF!</v>
      </c>
      <c r="I176" s="26" t="e">
        <f>#REF!+I191+I194</f>
        <v>#REF!</v>
      </c>
      <c r="J176" s="26" t="e">
        <f>#REF!+J191+J194</f>
        <v>#REF!</v>
      </c>
      <c r="K176" s="26" t="e">
        <f>#REF!+K191+K194</f>
        <v>#REF!</v>
      </c>
      <c r="L176" s="26" t="e">
        <f>#REF!+L191+L194</f>
        <v>#REF!</v>
      </c>
      <c r="M176" s="26" t="e">
        <f>#REF!+M191+M194</f>
        <v>#REF!</v>
      </c>
      <c r="N176" s="26" t="e">
        <f>#REF!+N191+N194</f>
        <v>#REF!</v>
      </c>
      <c r="O176" s="26" t="e">
        <f>#REF!+O191+O194</f>
        <v>#REF!</v>
      </c>
      <c r="P176" s="26" t="e">
        <f>#REF!+P191+P194</f>
        <v>#REF!</v>
      </c>
      <c r="Q176" s="168"/>
    </row>
    <row r="177" spans="1:17" s="27" customFormat="1" ht="57" hidden="1" customHeight="1" x14ac:dyDescent="0.4">
      <c r="A177" s="23"/>
      <c r="B177" s="46"/>
      <c r="C177" s="46"/>
      <c r="D177" s="25" t="s">
        <v>375</v>
      </c>
      <c r="E177" s="26">
        <f>E205</f>
        <v>0</v>
      </c>
      <c r="F177" s="26">
        <f>F205</f>
        <v>0</v>
      </c>
      <c r="G177" s="26">
        <f t="shared" ref="G177:I177" si="94">G205</f>
        <v>0</v>
      </c>
      <c r="H177" s="26">
        <f t="shared" si="94"/>
        <v>0</v>
      </c>
      <c r="I177" s="26">
        <f t="shared" si="94"/>
        <v>0</v>
      </c>
      <c r="J177" s="26">
        <f>J205</f>
        <v>0</v>
      </c>
      <c r="K177" s="26">
        <f t="shared" ref="K177:P177" si="95">K205</f>
        <v>0</v>
      </c>
      <c r="L177" s="26">
        <f t="shared" si="95"/>
        <v>0</v>
      </c>
      <c r="M177" s="26">
        <f t="shared" si="95"/>
        <v>0</v>
      </c>
      <c r="N177" s="26">
        <f t="shared" si="95"/>
        <v>0</v>
      </c>
      <c r="O177" s="26">
        <f t="shared" si="95"/>
        <v>0</v>
      </c>
      <c r="P177" s="26">
        <f t="shared" si="95"/>
        <v>0</v>
      </c>
      <c r="Q177" s="168"/>
    </row>
    <row r="178" spans="1:17" s="27" customFormat="1" ht="47.25" hidden="1" customHeight="1" x14ac:dyDescent="0.4">
      <c r="A178" s="23"/>
      <c r="B178" s="46"/>
      <c r="C178" s="46"/>
      <c r="D178" s="25" t="s">
        <v>378</v>
      </c>
      <c r="E178" s="26" t="e">
        <f>#REF!+E198</f>
        <v>#REF!</v>
      </c>
      <c r="F178" s="26" t="e">
        <f>#REF!+F198</f>
        <v>#REF!</v>
      </c>
      <c r="G178" s="26" t="e">
        <f>#REF!+G198</f>
        <v>#REF!</v>
      </c>
      <c r="H178" s="26" t="e">
        <f>#REF!+H198</f>
        <v>#REF!</v>
      </c>
      <c r="I178" s="26" t="e">
        <f>#REF!+I198</f>
        <v>#REF!</v>
      </c>
      <c r="J178" s="26" t="e">
        <f>#REF!+J198</f>
        <v>#REF!</v>
      </c>
      <c r="K178" s="26" t="e">
        <f>#REF!+K198</f>
        <v>#REF!</v>
      </c>
      <c r="L178" s="26" t="e">
        <f>#REF!+L198</f>
        <v>#REF!</v>
      </c>
      <c r="M178" s="26" t="e">
        <f>#REF!+M198</f>
        <v>#REF!</v>
      </c>
      <c r="N178" s="26" t="e">
        <f>#REF!+N198</f>
        <v>#REF!</v>
      </c>
      <c r="O178" s="26" t="e">
        <f>#REF!+O198</f>
        <v>#REF!</v>
      </c>
      <c r="P178" s="26" t="e">
        <f>#REF!+P198</f>
        <v>#REF!</v>
      </c>
      <c r="Q178" s="168"/>
    </row>
    <row r="179" spans="1:17" s="27" customFormat="1" ht="63" hidden="1" customHeight="1" x14ac:dyDescent="0.4">
      <c r="A179" s="23"/>
      <c r="B179" s="46"/>
      <c r="C179" s="46"/>
      <c r="D179" s="25" t="s">
        <v>379</v>
      </c>
      <c r="E179" s="26">
        <f>E196+E199</f>
        <v>0</v>
      </c>
      <c r="F179" s="26">
        <f>F196+F199</f>
        <v>0</v>
      </c>
      <c r="G179" s="26">
        <f t="shared" ref="G179:P179" si="96">G196+G199</f>
        <v>0</v>
      </c>
      <c r="H179" s="26">
        <f t="shared" si="96"/>
        <v>0</v>
      </c>
      <c r="I179" s="26">
        <f t="shared" si="96"/>
        <v>0</v>
      </c>
      <c r="J179" s="26">
        <f t="shared" si="96"/>
        <v>0</v>
      </c>
      <c r="K179" s="26">
        <f>K196+K199</f>
        <v>0</v>
      </c>
      <c r="L179" s="26">
        <f t="shared" si="96"/>
        <v>0</v>
      </c>
      <c r="M179" s="26">
        <f t="shared" si="96"/>
        <v>0</v>
      </c>
      <c r="N179" s="26">
        <f t="shared" si="96"/>
        <v>0</v>
      </c>
      <c r="O179" s="26">
        <f t="shared" si="96"/>
        <v>0</v>
      </c>
      <c r="P179" s="26">
        <f t="shared" si="96"/>
        <v>0</v>
      </c>
      <c r="Q179" s="168"/>
    </row>
    <row r="180" spans="1:17" s="27" customFormat="1" ht="53.25" hidden="1" customHeight="1" x14ac:dyDescent="0.4">
      <c r="A180" s="23"/>
      <c r="B180" s="46"/>
      <c r="C180" s="46"/>
      <c r="D180" s="25" t="s">
        <v>375</v>
      </c>
      <c r="E180" s="26">
        <f>E205</f>
        <v>0</v>
      </c>
      <c r="F180" s="26">
        <f t="shared" ref="F180:P180" si="97">F205</f>
        <v>0</v>
      </c>
      <c r="G180" s="26">
        <f t="shared" si="97"/>
        <v>0</v>
      </c>
      <c r="H180" s="26">
        <f t="shared" si="97"/>
        <v>0</v>
      </c>
      <c r="I180" s="26">
        <f t="shared" si="97"/>
        <v>0</v>
      </c>
      <c r="J180" s="26">
        <f t="shared" si="97"/>
        <v>0</v>
      </c>
      <c r="K180" s="26">
        <f t="shared" si="97"/>
        <v>0</v>
      </c>
      <c r="L180" s="26">
        <f t="shared" si="97"/>
        <v>0</v>
      </c>
      <c r="M180" s="26">
        <f t="shared" si="97"/>
        <v>0</v>
      </c>
      <c r="N180" s="26">
        <f t="shared" si="97"/>
        <v>0</v>
      </c>
      <c r="O180" s="26">
        <f t="shared" si="97"/>
        <v>0</v>
      </c>
      <c r="P180" s="26">
        <f t="shared" si="97"/>
        <v>0</v>
      </c>
      <c r="Q180" s="168"/>
    </row>
    <row r="181" spans="1:17" s="27" customFormat="1" ht="15.75" hidden="1" customHeight="1" x14ac:dyDescent="0.4">
      <c r="A181" s="23"/>
      <c r="B181" s="46"/>
      <c r="C181" s="46"/>
      <c r="D181" s="25" t="s">
        <v>380</v>
      </c>
      <c r="E181" s="26" t="e">
        <f>#REF!</f>
        <v>#REF!</v>
      </c>
      <c r="F181" s="26" t="e">
        <f>#REF!</f>
        <v>#REF!</v>
      </c>
      <c r="G181" s="26" t="e">
        <f>#REF!</f>
        <v>#REF!</v>
      </c>
      <c r="H181" s="26" t="e">
        <f>#REF!</f>
        <v>#REF!</v>
      </c>
      <c r="I181" s="26" t="e">
        <f>#REF!</f>
        <v>#REF!</v>
      </c>
      <c r="J181" s="26" t="e">
        <f>#REF!</f>
        <v>#REF!</v>
      </c>
      <c r="K181" s="26" t="e">
        <f>#REF!</f>
        <v>#REF!</v>
      </c>
      <c r="L181" s="26" t="e">
        <f>#REF!</f>
        <v>#REF!</v>
      </c>
      <c r="M181" s="26" t="e">
        <f>#REF!</f>
        <v>#REF!</v>
      </c>
      <c r="N181" s="26" t="e">
        <f>#REF!</f>
        <v>#REF!</v>
      </c>
      <c r="O181" s="26" t="e">
        <f>#REF!</f>
        <v>#REF!</v>
      </c>
      <c r="P181" s="26" t="e">
        <f>#REF!</f>
        <v>#REF!</v>
      </c>
      <c r="Q181" s="168"/>
    </row>
    <row r="182" spans="1:17" s="27" customFormat="1" ht="15.75" hidden="1" customHeight="1" x14ac:dyDescent="0.4">
      <c r="A182" s="23"/>
      <c r="B182" s="46"/>
      <c r="C182" s="46"/>
      <c r="D182" s="25" t="s">
        <v>400</v>
      </c>
      <c r="E182" s="26">
        <f>E211</f>
        <v>0</v>
      </c>
      <c r="F182" s="26">
        <f t="shared" ref="F182:P182" si="98">F211</f>
        <v>0</v>
      </c>
      <c r="G182" s="26">
        <f t="shared" si="98"/>
        <v>0</v>
      </c>
      <c r="H182" s="26">
        <f t="shared" si="98"/>
        <v>0</v>
      </c>
      <c r="I182" s="26">
        <f t="shared" si="98"/>
        <v>0</v>
      </c>
      <c r="J182" s="26">
        <f t="shared" si="98"/>
        <v>0</v>
      </c>
      <c r="K182" s="26">
        <f t="shared" si="98"/>
        <v>0</v>
      </c>
      <c r="L182" s="26">
        <f t="shared" si="98"/>
        <v>0</v>
      </c>
      <c r="M182" s="26">
        <f t="shared" si="98"/>
        <v>0</v>
      </c>
      <c r="N182" s="26">
        <f t="shared" si="98"/>
        <v>0</v>
      </c>
      <c r="O182" s="26">
        <f t="shared" si="98"/>
        <v>0</v>
      </c>
      <c r="P182" s="26">
        <f t="shared" si="98"/>
        <v>0</v>
      </c>
      <c r="Q182" s="168"/>
    </row>
    <row r="183" spans="1:17" s="27" customFormat="1" ht="45" x14ac:dyDescent="0.4">
      <c r="A183" s="23"/>
      <c r="B183" s="46"/>
      <c r="C183" s="46"/>
      <c r="D183" s="25" t="str">
        <f>D209</f>
        <v>субвенції з державного бюджету місцевим бюджетам на облаштування безпечних умов у закладах охорони здоров'я</v>
      </c>
      <c r="E183" s="26">
        <f t="shared" ref="E183:P183" si="99">E209</f>
        <v>0</v>
      </c>
      <c r="F183" s="26">
        <f t="shared" si="99"/>
        <v>0</v>
      </c>
      <c r="G183" s="26">
        <f t="shared" si="99"/>
        <v>0</v>
      </c>
      <c r="H183" s="26">
        <f t="shared" si="99"/>
        <v>0</v>
      </c>
      <c r="I183" s="26">
        <f t="shared" si="99"/>
        <v>0</v>
      </c>
      <c r="J183" s="26">
        <f t="shared" si="99"/>
        <v>31936617</v>
      </c>
      <c r="K183" s="26">
        <f t="shared" si="99"/>
        <v>31936617</v>
      </c>
      <c r="L183" s="26">
        <f t="shared" si="99"/>
        <v>0</v>
      </c>
      <c r="M183" s="26">
        <f t="shared" si="99"/>
        <v>0</v>
      </c>
      <c r="N183" s="26">
        <f t="shared" si="99"/>
        <v>0</v>
      </c>
      <c r="O183" s="26">
        <f t="shared" si="99"/>
        <v>31936617</v>
      </c>
      <c r="P183" s="26">
        <f t="shared" si="99"/>
        <v>31936617</v>
      </c>
      <c r="Q183" s="168"/>
    </row>
    <row r="184" spans="1:17" s="27" customFormat="1" ht="90" x14ac:dyDescent="0.4">
      <c r="A184" s="23"/>
      <c r="B184" s="46"/>
      <c r="C184" s="46"/>
      <c r="D184" s="25" t="str">
        <f>D188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184" s="26">
        <f>E188+E207</f>
        <v>1093294</v>
      </c>
      <c r="F184" s="26">
        <f t="shared" ref="F184:P184" si="100">F188+F207</f>
        <v>1093294</v>
      </c>
      <c r="G184" s="26">
        <f t="shared" si="100"/>
        <v>0</v>
      </c>
      <c r="H184" s="26">
        <f t="shared" si="100"/>
        <v>0</v>
      </c>
      <c r="I184" s="26">
        <f t="shared" si="100"/>
        <v>0</v>
      </c>
      <c r="J184" s="26">
        <f t="shared" si="100"/>
        <v>2459776</v>
      </c>
      <c r="K184" s="26">
        <f t="shared" si="100"/>
        <v>2459776</v>
      </c>
      <c r="L184" s="26">
        <f t="shared" si="100"/>
        <v>0</v>
      </c>
      <c r="M184" s="26">
        <f t="shared" si="100"/>
        <v>0</v>
      </c>
      <c r="N184" s="26">
        <f t="shared" si="100"/>
        <v>0</v>
      </c>
      <c r="O184" s="26">
        <f t="shared" si="100"/>
        <v>2459776</v>
      </c>
      <c r="P184" s="26">
        <f t="shared" si="100"/>
        <v>3553070</v>
      </c>
      <c r="Q184" s="168"/>
    </row>
    <row r="185" spans="1:17" s="27" customFormat="1" ht="24" hidden="1" customHeight="1" x14ac:dyDescent="0.4">
      <c r="A185" s="23"/>
      <c r="B185" s="46"/>
      <c r="C185" s="46"/>
      <c r="D185" s="25" t="s">
        <v>602</v>
      </c>
      <c r="E185" s="26">
        <f>E212</f>
        <v>0</v>
      </c>
      <c r="F185" s="26">
        <f t="shared" ref="F185:P185" si="101">F212</f>
        <v>0</v>
      </c>
      <c r="G185" s="26">
        <f t="shared" si="101"/>
        <v>0</v>
      </c>
      <c r="H185" s="26">
        <f t="shared" si="101"/>
        <v>0</v>
      </c>
      <c r="I185" s="26">
        <f t="shared" si="101"/>
        <v>0</v>
      </c>
      <c r="J185" s="26">
        <f t="shared" si="101"/>
        <v>0</v>
      </c>
      <c r="K185" s="26">
        <f t="shared" si="101"/>
        <v>0</v>
      </c>
      <c r="L185" s="26">
        <f t="shared" si="101"/>
        <v>0</v>
      </c>
      <c r="M185" s="26">
        <f t="shared" si="101"/>
        <v>0</v>
      </c>
      <c r="N185" s="26">
        <f t="shared" si="101"/>
        <v>0</v>
      </c>
      <c r="O185" s="26">
        <f t="shared" si="101"/>
        <v>0</v>
      </c>
      <c r="P185" s="26">
        <f t="shared" si="101"/>
        <v>0</v>
      </c>
      <c r="Q185" s="168"/>
    </row>
    <row r="186" spans="1:17" s="32" customFormat="1" ht="48" customHeight="1" x14ac:dyDescent="0.45">
      <c r="A186" s="28" t="s">
        <v>163</v>
      </c>
      <c r="B186" s="29" t="str">
        <f>'дод 9'!A16</f>
        <v>0160</v>
      </c>
      <c r="C186" s="29" t="str">
        <f>'дод 9'!B16</f>
        <v>0111</v>
      </c>
      <c r="D186" s="30" t="s">
        <v>721</v>
      </c>
      <c r="E186" s="31">
        <f t="shared" ref="E186:E215" si="102">F186+I186</f>
        <v>3023600</v>
      </c>
      <c r="F186" s="31">
        <f>3144200-12700-314700+206800</f>
        <v>3023600</v>
      </c>
      <c r="G186" s="31">
        <f>2288600-258000+169700</f>
        <v>2200300</v>
      </c>
      <c r="H186" s="31">
        <v>72400</v>
      </c>
      <c r="I186" s="31"/>
      <c r="J186" s="31">
        <f>L186+O186</f>
        <v>0</v>
      </c>
      <c r="K186" s="31"/>
      <c r="L186" s="31"/>
      <c r="M186" s="31"/>
      <c r="N186" s="31"/>
      <c r="O186" s="31"/>
      <c r="P186" s="31">
        <f t="shared" ref="P186:P216" si="103">E186+J186</f>
        <v>3023600</v>
      </c>
      <c r="Q186" s="168"/>
    </row>
    <row r="187" spans="1:17" s="136" customFormat="1" ht="33" customHeight="1" x14ac:dyDescent="0.45">
      <c r="A187" s="28" t="s">
        <v>164</v>
      </c>
      <c r="B187" s="29" t="str">
        <f>'дод 9'!A109</f>
        <v>2010</v>
      </c>
      <c r="C187" s="29" t="str">
        <f>'дод 9'!B109</f>
        <v>0731</v>
      </c>
      <c r="D187" s="41" t="str">
        <f>'дод 9'!C109</f>
        <v>Багатопрофільна стаціонарна медична допомога населенню, у т.ч. за рахунок:</v>
      </c>
      <c r="E187" s="31">
        <f>F187+I187</f>
        <v>72264094</v>
      </c>
      <c r="F187" s="31">
        <f>61266100+4826700+428200-250000+393700+95800+68000+1649800+503294+60000+30000+500000+2692500</f>
        <v>72264094</v>
      </c>
      <c r="G187" s="31"/>
      <c r="H187" s="31"/>
      <c r="I187" s="31"/>
      <c r="J187" s="31">
        <f t="shared" ref="J187:J216" si="104">L187+O187</f>
        <v>19293187</v>
      </c>
      <c r="K187" s="31">
        <f>13500000-500000+68100+2407587+655000+1310000+3500000+1045000-2692500</f>
        <v>19293187</v>
      </c>
      <c r="L187" s="31"/>
      <c r="M187" s="31"/>
      <c r="N187" s="31"/>
      <c r="O187" s="31">
        <f>13500000-500000+68100+2407587+655000+1310000+3500000+1045000-2692500</f>
        <v>19293187</v>
      </c>
      <c r="P187" s="31">
        <f t="shared" si="103"/>
        <v>91557281</v>
      </c>
      <c r="Q187" s="168"/>
    </row>
    <row r="188" spans="1:17" s="136" customFormat="1" ht="92.25" x14ac:dyDescent="0.45">
      <c r="A188" s="28"/>
      <c r="B188" s="29"/>
      <c r="C188" s="29"/>
      <c r="D188" s="55" t="s">
        <v>624</v>
      </c>
      <c r="E188" s="36">
        <f>F188+I188</f>
        <v>1093294</v>
      </c>
      <c r="F188" s="36">
        <f>503294+60000+30000+500000</f>
        <v>1093294</v>
      </c>
      <c r="G188" s="36"/>
      <c r="H188" s="36"/>
      <c r="I188" s="36"/>
      <c r="J188" s="36">
        <f t="shared" ref="J188" si="105">L188+O188</f>
        <v>1638800</v>
      </c>
      <c r="K188" s="36">
        <f>655000+288800+695000</f>
        <v>1638800</v>
      </c>
      <c r="L188" s="36"/>
      <c r="M188" s="36"/>
      <c r="N188" s="36"/>
      <c r="O188" s="36">
        <f>655000+288800+695000</f>
        <v>1638800</v>
      </c>
      <c r="P188" s="36">
        <f t="shared" ref="P188" si="106">E188+J188</f>
        <v>2732094</v>
      </c>
      <c r="Q188" s="168"/>
    </row>
    <row r="189" spans="1:17" s="32" customFormat="1" ht="31.5" hidden="1" customHeight="1" x14ac:dyDescent="0.45">
      <c r="A189" s="28" t="s">
        <v>420</v>
      </c>
      <c r="B189" s="29">
        <v>2020</v>
      </c>
      <c r="C189" s="28" t="s">
        <v>421</v>
      </c>
      <c r="D189" s="30" t="str">
        <f>'дод 9'!C111</f>
        <v xml:space="preserve"> Спеціалізована стаціонарна медична допомога населенню</v>
      </c>
      <c r="E189" s="31">
        <f t="shared" si="102"/>
        <v>0</v>
      </c>
      <c r="F189" s="31"/>
      <c r="G189" s="31"/>
      <c r="H189" s="31"/>
      <c r="I189" s="31"/>
      <c r="J189" s="31">
        <f t="shared" si="104"/>
        <v>0</v>
      </c>
      <c r="K189" s="31"/>
      <c r="L189" s="31"/>
      <c r="M189" s="31"/>
      <c r="N189" s="31"/>
      <c r="O189" s="31"/>
      <c r="P189" s="31">
        <f t="shared" si="103"/>
        <v>0</v>
      </c>
      <c r="Q189" s="168"/>
    </row>
    <row r="190" spans="1:17" s="32" customFormat="1" ht="30.75" x14ac:dyDescent="0.45">
      <c r="A190" s="28" t="s">
        <v>169</v>
      </c>
      <c r="B190" s="29" t="str">
        <f>'дод 9'!A112</f>
        <v>2030</v>
      </c>
      <c r="C190" s="29" t="str">
        <f>'дод 9'!B112</f>
        <v>0733</v>
      </c>
      <c r="D190" s="30" t="str">
        <f>'дод 9'!C112</f>
        <v>Лікарсько-акушерська допомога вагітним, породіллям та новонародженим</v>
      </c>
      <c r="E190" s="31">
        <f t="shared" si="102"/>
        <v>6012400</v>
      </c>
      <c r="F190" s="31">
        <v>6012400</v>
      </c>
      <c r="G190" s="31"/>
      <c r="H190" s="31"/>
      <c r="I190" s="31"/>
      <c r="J190" s="31">
        <f t="shared" si="104"/>
        <v>0</v>
      </c>
      <c r="K190" s="31"/>
      <c r="L190" s="31"/>
      <c r="M190" s="31"/>
      <c r="N190" s="31"/>
      <c r="O190" s="31"/>
      <c r="P190" s="31">
        <f t="shared" si="103"/>
        <v>6012400</v>
      </c>
      <c r="Q190" s="168"/>
    </row>
    <row r="191" spans="1:17" s="37" customFormat="1" ht="31.5" hidden="1" customHeight="1" x14ac:dyDescent="0.45">
      <c r="A191" s="33"/>
      <c r="B191" s="34"/>
      <c r="C191" s="34"/>
      <c r="D191" s="35" t="s">
        <v>377</v>
      </c>
      <c r="E191" s="36">
        <f t="shared" si="102"/>
        <v>0</v>
      </c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1">
        <f t="shared" si="103"/>
        <v>0</v>
      </c>
      <c r="Q191" s="168"/>
    </row>
    <row r="192" spans="1:17" s="37" customFormat="1" ht="21" hidden="1" customHeight="1" x14ac:dyDescent="0.45">
      <c r="A192" s="28" t="s">
        <v>562</v>
      </c>
      <c r="B192" s="29">
        <v>2070</v>
      </c>
      <c r="C192" s="40" t="s">
        <v>563</v>
      </c>
      <c r="D192" s="30" t="s">
        <v>564</v>
      </c>
      <c r="E192" s="31">
        <f t="shared" si="102"/>
        <v>0</v>
      </c>
      <c r="F192" s="31"/>
      <c r="G192" s="30"/>
      <c r="H192" s="30"/>
      <c r="I192" s="30"/>
      <c r="J192" s="31">
        <f t="shared" si="104"/>
        <v>0</v>
      </c>
      <c r="K192" s="31"/>
      <c r="L192" s="31"/>
      <c r="M192" s="31"/>
      <c r="N192" s="31"/>
      <c r="O192" s="31"/>
      <c r="P192" s="31">
        <f t="shared" si="103"/>
        <v>0</v>
      </c>
      <c r="Q192" s="168"/>
    </row>
    <row r="193" spans="1:17" s="32" customFormat="1" ht="24" customHeight="1" x14ac:dyDescent="0.45">
      <c r="A193" s="28" t="s">
        <v>168</v>
      </c>
      <c r="B193" s="29" t="str">
        <f>'дод 9'!A115</f>
        <v>2100</v>
      </c>
      <c r="C193" s="29" t="str">
        <f>'дод 9'!B115</f>
        <v>0722</v>
      </c>
      <c r="D193" s="30" t="str">
        <f>'дод 9'!C115</f>
        <v>Стоматологічна допомога населенню</v>
      </c>
      <c r="E193" s="31">
        <f t="shared" si="102"/>
        <v>12460400</v>
      </c>
      <c r="F193" s="31">
        <v>12460400</v>
      </c>
      <c r="G193" s="31"/>
      <c r="H193" s="31"/>
      <c r="I193" s="31"/>
      <c r="J193" s="31">
        <f t="shared" si="104"/>
        <v>0</v>
      </c>
      <c r="K193" s="31"/>
      <c r="L193" s="31"/>
      <c r="M193" s="31"/>
      <c r="N193" s="31"/>
      <c r="O193" s="31"/>
      <c r="P193" s="31">
        <f t="shared" si="103"/>
        <v>12460400</v>
      </c>
      <c r="Q193" s="168"/>
    </row>
    <row r="194" spans="1:17" s="37" customFormat="1" ht="30" hidden="1" customHeight="1" x14ac:dyDescent="0.45">
      <c r="A194" s="33"/>
      <c r="B194" s="34"/>
      <c r="C194" s="34"/>
      <c r="D194" s="35" t="s">
        <v>377</v>
      </c>
      <c r="E194" s="36">
        <f t="shared" si="102"/>
        <v>0</v>
      </c>
      <c r="F194" s="36"/>
      <c r="G194" s="36"/>
      <c r="H194" s="36"/>
      <c r="I194" s="36"/>
      <c r="J194" s="36">
        <f t="shared" si="104"/>
        <v>0</v>
      </c>
      <c r="K194" s="36"/>
      <c r="L194" s="36"/>
      <c r="M194" s="36"/>
      <c r="N194" s="36"/>
      <c r="O194" s="36"/>
      <c r="P194" s="36">
        <f t="shared" si="103"/>
        <v>0</v>
      </c>
      <c r="Q194" s="168"/>
    </row>
    <row r="195" spans="1:17" s="32" customFormat="1" ht="48" customHeight="1" x14ac:dyDescent="0.45">
      <c r="A195" s="28" t="s">
        <v>167</v>
      </c>
      <c r="B195" s="29" t="str">
        <f>'дод 9'!A117</f>
        <v>2111</v>
      </c>
      <c r="C195" s="29" t="str">
        <f>'дод 9'!B117</f>
        <v>0726</v>
      </c>
      <c r="D195" s="30" t="str">
        <f>'дод 9'!C117</f>
        <v>Первинна медична допомога населенню, що надається центрами первинної медичної (медико-санітарної) допомоги</v>
      </c>
      <c r="E195" s="31">
        <f t="shared" si="102"/>
        <v>5716100</v>
      </c>
      <c r="F195" s="31">
        <v>5716100</v>
      </c>
      <c r="G195" s="31"/>
      <c r="H195" s="31"/>
      <c r="I195" s="31"/>
      <c r="J195" s="31">
        <f t="shared" si="104"/>
        <v>1638127</v>
      </c>
      <c r="K195" s="31">
        <f>3980000-2522740+180867</f>
        <v>1638127</v>
      </c>
      <c r="L195" s="31"/>
      <c r="M195" s="31"/>
      <c r="N195" s="31"/>
      <c r="O195" s="31">
        <f>3980000-2522740+180867</f>
        <v>1638127</v>
      </c>
      <c r="P195" s="31">
        <f t="shared" si="103"/>
        <v>7354227</v>
      </c>
      <c r="Q195" s="168"/>
    </row>
    <row r="196" spans="1:17" s="37" customFormat="1" ht="63" hidden="1" customHeight="1" x14ac:dyDescent="0.45">
      <c r="A196" s="33"/>
      <c r="B196" s="34"/>
      <c r="C196" s="34"/>
      <c r="D196" s="35" t="s">
        <v>379</v>
      </c>
      <c r="E196" s="36">
        <f t="shared" si="102"/>
        <v>0</v>
      </c>
      <c r="F196" s="36"/>
      <c r="G196" s="36"/>
      <c r="H196" s="36"/>
      <c r="I196" s="36"/>
      <c r="J196" s="36">
        <f t="shared" si="104"/>
        <v>0</v>
      </c>
      <c r="K196" s="36"/>
      <c r="L196" s="36"/>
      <c r="M196" s="36"/>
      <c r="N196" s="36"/>
      <c r="O196" s="36"/>
      <c r="P196" s="36">
        <f t="shared" si="103"/>
        <v>0</v>
      </c>
      <c r="Q196" s="168"/>
    </row>
    <row r="197" spans="1:17" s="32" customFormat="1" ht="31.5" hidden="1" customHeight="1" x14ac:dyDescent="0.45">
      <c r="A197" s="28" t="s">
        <v>166</v>
      </c>
      <c r="B197" s="29">
        <f>'дод 9'!A119</f>
        <v>2144</v>
      </c>
      <c r="C197" s="29" t="str">
        <f>'дод 9'!B119</f>
        <v>0763</v>
      </c>
      <c r="D197" s="56" t="str">
        <f>'дод 9'!C119</f>
        <v>Централізовані заходи з лікування хворих на цукровий та нецукровий діабет, у т.ч. за рахунок:</v>
      </c>
      <c r="E197" s="31">
        <f t="shared" si="102"/>
        <v>0</v>
      </c>
      <c r="F197" s="31"/>
      <c r="G197" s="31"/>
      <c r="H197" s="31"/>
      <c r="I197" s="31"/>
      <c r="J197" s="31">
        <f t="shared" si="104"/>
        <v>0</v>
      </c>
      <c r="K197" s="31"/>
      <c r="L197" s="31"/>
      <c r="M197" s="31"/>
      <c r="N197" s="31"/>
      <c r="O197" s="31"/>
      <c r="P197" s="31">
        <f t="shared" si="103"/>
        <v>0</v>
      </c>
      <c r="Q197" s="168"/>
    </row>
    <row r="198" spans="1:17" s="37" customFormat="1" ht="47.25" hidden="1" customHeight="1" x14ac:dyDescent="0.45">
      <c r="A198" s="33"/>
      <c r="B198" s="34"/>
      <c r="C198" s="34"/>
      <c r="D198" s="57" t="s">
        <v>378</v>
      </c>
      <c r="E198" s="36">
        <f t="shared" si="102"/>
        <v>0</v>
      </c>
      <c r="F198" s="36"/>
      <c r="G198" s="36"/>
      <c r="H198" s="36"/>
      <c r="I198" s="36"/>
      <c r="J198" s="36">
        <f t="shared" si="104"/>
        <v>0</v>
      </c>
      <c r="K198" s="36"/>
      <c r="L198" s="36"/>
      <c r="M198" s="36"/>
      <c r="N198" s="36"/>
      <c r="O198" s="36"/>
      <c r="P198" s="36">
        <f t="shared" si="103"/>
        <v>0</v>
      </c>
      <c r="Q198" s="168"/>
    </row>
    <row r="199" spans="1:17" s="37" customFormat="1" ht="63" hidden="1" customHeight="1" x14ac:dyDescent="0.45">
      <c r="A199" s="33"/>
      <c r="B199" s="34"/>
      <c r="C199" s="34"/>
      <c r="D199" s="57" t="s">
        <v>379</v>
      </c>
      <c r="E199" s="36">
        <f t="shared" si="102"/>
        <v>0</v>
      </c>
      <c r="F199" s="36"/>
      <c r="G199" s="36"/>
      <c r="H199" s="36"/>
      <c r="I199" s="36"/>
      <c r="J199" s="36">
        <f t="shared" si="104"/>
        <v>0</v>
      </c>
      <c r="K199" s="36"/>
      <c r="L199" s="36"/>
      <c r="M199" s="36"/>
      <c r="N199" s="36"/>
      <c r="O199" s="36"/>
      <c r="P199" s="36">
        <f t="shared" si="103"/>
        <v>0</v>
      </c>
      <c r="Q199" s="168"/>
    </row>
    <row r="200" spans="1:17" s="32" customFormat="1" ht="30" customHeight="1" x14ac:dyDescent="0.45">
      <c r="A200" s="28" t="s">
        <v>312</v>
      </c>
      <c r="B200" s="29" t="str">
        <f>'дод 9'!A122</f>
        <v>2151</v>
      </c>
      <c r="C200" s="29" t="str">
        <f>'дод 9'!B122</f>
        <v>0763</v>
      </c>
      <c r="D200" s="30" t="str">
        <f>'дод 9'!C122</f>
        <v>Забезпечення діяльності інших закладів у сфері охорони здоров'я</v>
      </c>
      <c r="E200" s="31">
        <f t="shared" si="102"/>
        <v>4113000</v>
      </c>
      <c r="F200" s="31">
        <v>4113000</v>
      </c>
      <c r="G200" s="31">
        <v>3079800</v>
      </c>
      <c r="H200" s="31">
        <v>154200</v>
      </c>
      <c r="I200" s="31"/>
      <c r="J200" s="31">
        <f t="shared" si="104"/>
        <v>0</v>
      </c>
      <c r="K200" s="31"/>
      <c r="L200" s="31"/>
      <c r="M200" s="31"/>
      <c r="N200" s="31"/>
      <c r="O200" s="31"/>
      <c r="P200" s="31">
        <f t="shared" si="103"/>
        <v>4113000</v>
      </c>
      <c r="Q200" s="168"/>
    </row>
    <row r="201" spans="1:17" s="32" customFormat="1" ht="34.5" customHeight="1" x14ac:dyDescent="0.45">
      <c r="A201" s="28" t="s">
        <v>313</v>
      </c>
      <c r="B201" s="29" t="str">
        <f>'дод 9'!A123</f>
        <v>2152</v>
      </c>
      <c r="C201" s="29" t="str">
        <f>'дод 9'!B123</f>
        <v>0763</v>
      </c>
      <c r="D201" s="30" t="str">
        <f>'дод 9'!C123</f>
        <v>Інші програми та заходи у сфері охорони здоров'я</v>
      </c>
      <c r="E201" s="31">
        <f>F201+I201</f>
        <v>24510540</v>
      </c>
      <c r="F201" s="31">
        <f>23965400+250000+250000+45140</f>
        <v>24510540</v>
      </c>
      <c r="G201" s="31"/>
      <c r="H201" s="31"/>
      <c r="I201" s="31"/>
      <c r="J201" s="31">
        <f t="shared" si="104"/>
        <v>50000000</v>
      </c>
      <c r="K201" s="31">
        <v>50000000</v>
      </c>
      <c r="L201" s="31"/>
      <c r="M201" s="31"/>
      <c r="N201" s="31"/>
      <c r="O201" s="31">
        <v>50000000</v>
      </c>
      <c r="P201" s="31">
        <f t="shared" si="103"/>
        <v>74510540</v>
      </c>
      <c r="Q201" s="168"/>
    </row>
    <row r="202" spans="1:17" s="32" customFormat="1" ht="24.75" hidden="1" customHeight="1" x14ac:dyDescent="0.45">
      <c r="A202" s="28" t="s">
        <v>397</v>
      </c>
      <c r="B202" s="29">
        <v>7322</v>
      </c>
      <c r="C202" s="28" t="s">
        <v>107</v>
      </c>
      <c r="D202" s="41" t="str">
        <f>'дод 9'!C235</f>
        <v>Будівництво1 медичних установ та закладів</v>
      </c>
      <c r="E202" s="31">
        <f>F202+I202</f>
        <v>0</v>
      </c>
      <c r="F202" s="31"/>
      <c r="G202" s="31"/>
      <c r="H202" s="31"/>
      <c r="I202" s="31"/>
      <c r="J202" s="31">
        <f t="shared" si="104"/>
        <v>0</v>
      </c>
      <c r="K202" s="31"/>
      <c r="L202" s="31"/>
      <c r="M202" s="31"/>
      <c r="N202" s="31"/>
      <c r="O202" s="31"/>
      <c r="P202" s="31">
        <f t="shared" si="103"/>
        <v>0</v>
      </c>
      <c r="Q202" s="168"/>
    </row>
    <row r="203" spans="1:17" s="32" customFormat="1" ht="47.25" hidden="1" customHeight="1" x14ac:dyDescent="0.45">
      <c r="A203" s="28" t="s">
        <v>360</v>
      </c>
      <c r="B203" s="29">
        <f>'дод 9'!A243</f>
        <v>7361</v>
      </c>
      <c r="C203" s="29" t="str">
        <f>'дод 9'!B243</f>
        <v>0490</v>
      </c>
      <c r="D203" s="30" t="str">
        <f>'дод 9'!C243</f>
        <v>Співфінансування інвестиційних проектів, що реалізуються за рахунок коштів державного фонду регіонального розвитку</v>
      </c>
      <c r="E203" s="31">
        <f t="shared" si="102"/>
        <v>0</v>
      </c>
      <c r="F203" s="31"/>
      <c r="G203" s="31"/>
      <c r="H203" s="31"/>
      <c r="I203" s="31"/>
      <c r="J203" s="31">
        <f t="shared" si="104"/>
        <v>0</v>
      </c>
      <c r="K203" s="31"/>
      <c r="L203" s="31"/>
      <c r="M203" s="31"/>
      <c r="N203" s="31"/>
      <c r="O203" s="31"/>
      <c r="P203" s="31">
        <f t="shared" si="103"/>
        <v>0</v>
      </c>
      <c r="Q203" s="168"/>
    </row>
    <row r="204" spans="1:17" s="32" customFormat="1" ht="47.25" hidden="1" customHeight="1" x14ac:dyDescent="0.45">
      <c r="A204" s="28" t="s">
        <v>404</v>
      </c>
      <c r="B204" s="29">
        <v>7363</v>
      </c>
      <c r="C204" s="28" t="s">
        <v>78</v>
      </c>
      <c r="D204" s="30" t="s">
        <v>383</v>
      </c>
      <c r="E204" s="31">
        <f t="shared" si="102"/>
        <v>0</v>
      </c>
      <c r="F204" s="31"/>
      <c r="G204" s="31"/>
      <c r="H204" s="31"/>
      <c r="I204" s="31"/>
      <c r="J204" s="31">
        <f t="shared" si="104"/>
        <v>0</v>
      </c>
      <c r="K204" s="31"/>
      <c r="L204" s="31"/>
      <c r="M204" s="31"/>
      <c r="N204" s="31"/>
      <c r="O204" s="31"/>
      <c r="P204" s="31">
        <f t="shared" si="103"/>
        <v>0</v>
      </c>
      <c r="Q204" s="168"/>
    </row>
    <row r="205" spans="1:17" s="32" customFormat="1" ht="47.25" hidden="1" customHeight="1" x14ac:dyDescent="0.45">
      <c r="A205" s="28"/>
      <c r="B205" s="29"/>
      <c r="C205" s="29"/>
      <c r="D205" s="35" t="s">
        <v>375</v>
      </c>
      <c r="E205" s="36">
        <f t="shared" si="102"/>
        <v>0</v>
      </c>
      <c r="F205" s="36"/>
      <c r="G205" s="36"/>
      <c r="H205" s="36"/>
      <c r="I205" s="36"/>
      <c r="J205" s="36">
        <f t="shared" si="104"/>
        <v>0</v>
      </c>
      <c r="K205" s="36"/>
      <c r="L205" s="36"/>
      <c r="M205" s="36"/>
      <c r="N205" s="36"/>
      <c r="O205" s="36"/>
      <c r="P205" s="36">
        <f t="shared" si="103"/>
        <v>0</v>
      </c>
      <c r="Q205" s="168"/>
    </row>
    <row r="206" spans="1:17" s="136" customFormat="1" ht="61.5" x14ac:dyDescent="0.45">
      <c r="A206" s="28" t="s">
        <v>701</v>
      </c>
      <c r="B206" s="29">
        <v>2161</v>
      </c>
      <c r="C206" s="28" t="s">
        <v>62</v>
      </c>
      <c r="D206" s="30" t="s">
        <v>751</v>
      </c>
      <c r="E206" s="31">
        <f t="shared" si="102"/>
        <v>0</v>
      </c>
      <c r="F206" s="31"/>
      <c r="G206" s="31"/>
      <c r="H206" s="31"/>
      <c r="I206" s="31"/>
      <c r="J206" s="31">
        <f t="shared" ref="J206:J209" si="107">L206+O206</f>
        <v>9417475</v>
      </c>
      <c r="K206" s="31">
        <f>8596499+820976</f>
        <v>9417475</v>
      </c>
      <c r="L206" s="31"/>
      <c r="M206" s="31"/>
      <c r="N206" s="31"/>
      <c r="O206" s="31">
        <f>8596499+820976</f>
        <v>9417475</v>
      </c>
      <c r="P206" s="31">
        <f t="shared" ref="P206:P209" si="108">E206+J206</f>
        <v>9417475</v>
      </c>
      <c r="Q206" s="168"/>
    </row>
    <row r="207" spans="1:17" s="136" customFormat="1" ht="92.25" x14ac:dyDescent="0.45">
      <c r="A207" s="28"/>
      <c r="B207" s="29"/>
      <c r="C207" s="28"/>
      <c r="D207" s="55" t="s">
        <v>624</v>
      </c>
      <c r="E207" s="31">
        <f t="shared" si="102"/>
        <v>0</v>
      </c>
      <c r="F207" s="31"/>
      <c r="G207" s="31"/>
      <c r="H207" s="31"/>
      <c r="I207" s="31"/>
      <c r="J207" s="31">
        <f t="shared" si="107"/>
        <v>820976</v>
      </c>
      <c r="K207" s="31">
        <v>820976</v>
      </c>
      <c r="L207" s="31"/>
      <c r="M207" s="31"/>
      <c r="N207" s="31"/>
      <c r="O207" s="31">
        <v>820976</v>
      </c>
      <c r="P207" s="31">
        <f t="shared" si="108"/>
        <v>820976</v>
      </c>
      <c r="Q207" s="168"/>
    </row>
    <row r="208" spans="1:17" s="32" customFormat="1" ht="47.25" customHeight="1" x14ac:dyDescent="0.45">
      <c r="A208" s="28" t="s">
        <v>702</v>
      </c>
      <c r="B208" s="29">
        <v>2162</v>
      </c>
      <c r="C208" s="28" t="s">
        <v>62</v>
      </c>
      <c r="D208" s="30" t="s">
        <v>703</v>
      </c>
      <c r="E208" s="31">
        <f t="shared" si="102"/>
        <v>0</v>
      </c>
      <c r="F208" s="31"/>
      <c r="G208" s="31"/>
      <c r="H208" s="31"/>
      <c r="I208" s="31"/>
      <c r="J208" s="31">
        <f t="shared" si="107"/>
        <v>31936617</v>
      </c>
      <c r="K208" s="31">
        <v>31936617</v>
      </c>
      <c r="L208" s="31"/>
      <c r="M208" s="31"/>
      <c r="N208" s="31"/>
      <c r="O208" s="31">
        <v>31936617</v>
      </c>
      <c r="P208" s="31">
        <f t="shared" si="108"/>
        <v>31936617</v>
      </c>
      <c r="Q208" s="168"/>
    </row>
    <row r="209" spans="1:17" s="37" customFormat="1" ht="48" customHeight="1" x14ac:dyDescent="0.45">
      <c r="A209" s="33"/>
      <c r="B209" s="34"/>
      <c r="C209" s="34"/>
      <c r="D209" s="35" t="s">
        <v>704</v>
      </c>
      <c r="E209" s="36">
        <f t="shared" si="102"/>
        <v>0</v>
      </c>
      <c r="F209" s="36"/>
      <c r="G209" s="36"/>
      <c r="H209" s="36"/>
      <c r="I209" s="36"/>
      <c r="J209" s="36">
        <f t="shared" si="107"/>
        <v>31936617</v>
      </c>
      <c r="K209" s="36">
        <v>31936617</v>
      </c>
      <c r="L209" s="36"/>
      <c r="M209" s="36"/>
      <c r="N209" s="36"/>
      <c r="O209" s="36">
        <v>31936617</v>
      </c>
      <c r="P209" s="36">
        <f t="shared" si="108"/>
        <v>31936617</v>
      </c>
      <c r="Q209" s="168"/>
    </row>
    <row r="210" spans="1:17" s="136" customFormat="1" ht="23.25" customHeight="1" x14ac:dyDescent="0.45">
      <c r="A210" s="28" t="s">
        <v>165</v>
      </c>
      <c r="B210" s="29" t="str">
        <f>'дод 9'!A276</f>
        <v>7640</v>
      </c>
      <c r="C210" s="29" t="str">
        <f>'дод 9'!B276</f>
        <v>0470</v>
      </c>
      <c r="D210" s="30" t="s">
        <v>403</v>
      </c>
      <c r="E210" s="31">
        <f t="shared" si="102"/>
        <v>385789.35</v>
      </c>
      <c r="F210" s="31">
        <f>324600-324600</f>
        <v>0</v>
      </c>
      <c r="G210" s="31"/>
      <c r="H210" s="31"/>
      <c r="I210" s="31">
        <f>324600+299189.35-238000</f>
        <v>385789.35</v>
      </c>
      <c r="J210" s="31">
        <f t="shared" si="104"/>
        <v>9588000</v>
      </c>
      <c r="K210" s="31">
        <f>5000000+9350000+238000-5000000</f>
        <v>9588000</v>
      </c>
      <c r="L210" s="31">
        <f>61189.35-61189.35</f>
        <v>0</v>
      </c>
      <c r="M210" s="31"/>
      <c r="N210" s="31"/>
      <c r="O210" s="31">
        <f>5000000+9350000+238000+61189.35-299189.35+238000-5000000</f>
        <v>9588000</v>
      </c>
      <c r="P210" s="31">
        <f t="shared" si="103"/>
        <v>9973789.3499999996</v>
      </c>
      <c r="Q210" s="168"/>
    </row>
    <row r="211" spans="1:17" s="37" customFormat="1" ht="15" hidden="1" customHeight="1" x14ac:dyDescent="0.45">
      <c r="A211" s="33"/>
      <c r="B211" s="34"/>
      <c r="C211" s="34"/>
      <c r="D211" s="35" t="s">
        <v>400</v>
      </c>
      <c r="E211" s="36">
        <f t="shared" si="102"/>
        <v>0</v>
      </c>
      <c r="F211" s="36"/>
      <c r="G211" s="36"/>
      <c r="H211" s="36"/>
      <c r="I211" s="36"/>
      <c r="J211" s="36">
        <f t="shared" si="104"/>
        <v>0</v>
      </c>
      <c r="K211" s="36"/>
      <c r="L211" s="36"/>
      <c r="M211" s="36"/>
      <c r="N211" s="36"/>
      <c r="O211" s="36"/>
      <c r="P211" s="31">
        <f t="shared" si="103"/>
        <v>0</v>
      </c>
      <c r="Q211" s="168"/>
    </row>
    <row r="212" spans="1:17" s="37" customFormat="1" ht="15" hidden="1" customHeight="1" x14ac:dyDescent="0.45">
      <c r="A212" s="33"/>
      <c r="B212" s="34"/>
      <c r="C212" s="34"/>
      <c r="D212" s="35" t="s">
        <v>602</v>
      </c>
      <c r="E212" s="36">
        <f t="shared" si="102"/>
        <v>0</v>
      </c>
      <c r="F212" s="36"/>
      <c r="G212" s="36"/>
      <c r="H212" s="36"/>
      <c r="I212" s="36"/>
      <c r="J212" s="36">
        <f t="shared" si="104"/>
        <v>0</v>
      </c>
      <c r="K212" s="36"/>
      <c r="L212" s="36">
        <f>61189.35-61189.35</f>
        <v>0</v>
      </c>
      <c r="M212" s="36"/>
      <c r="N212" s="36"/>
      <c r="O212" s="36">
        <f>238000+61189.35-299189.35</f>
        <v>0</v>
      </c>
      <c r="P212" s="36">
        <f t="shared" si="103"/>
        <v>0</v>
      </c>
      <c r="Q212" s="168"/>
    </row>
    <row r="213" spans="1:17" s="32" customFormat="1" ht="78" hidden="1" customHeight="1" x14ac:dyDescent="0.45">
      <c r="A213" s="28" t="s">
        <v>348</v>
      </c>
      <c r="B213" s="29">
        <v>7700</v>
      </c>
      <c r="C213" s="28" t="s">
        <v>89</v>
      </c>
      <c r="D213" s="30" t="str">
        <f>'дод 9'!C289</f>
        <v>Реалізація програм допомоги і грантів Європейського Союзу, урядів іноземних держав, міжнародних організацій, донорських установ, у т.ч. за рахунок:</v>
      </c>
      <c r="E213" s="31">
        <f t="shared" si="102"/>
        <v>0</v>
      </c>
      <c r="F213" s="31"/>
      <c r="G213" s="31"/>
      <c r="H213" s="31"/>
      <c r="I213" s="31"/>
      <c r="J213" s="31">
        <f t="shared" si="104"/>
        <v>0</v>
      </c>
      <c r="K213" s="31"/>
      <c r="L213" s="31"/>
      <c r="M213" s="31"/>
      <c r="N213" s="31"/>
      <c r="O213" s="31"/>
      <c r="P213" s="31">
        <f t="shared" si="103"/>
        <v>0</v>
      </c>
      <c r="Q213" s="168"/>
    </row>
    <row r="214" spans="1:17" s="37" customFormat="1" ht="22.5" hidden="1" customHeight="1" x14ac:dyDescent="0.45">
      <c r="A214" s="33"/>
      <c r="B214" s="34"/>
      <c r="C214" s="33"/>
      <c r="D214" s="35" t="s">
        <v>602</v>
      </c>
      <c r="E214" s="36">
        <f t="shared" ref="E214" si="109">F214+I214</f>
        <v>0</v>
      </c>
      <c r="F214" s="36"/>
      <c r="G214" s="36"/>
      <c r="H214" s="36"/>
      <c r="I214" s="36"/>
      <c r="J214" s="36">
        <f t="shared" ref="J214" si="110">L214+O214</f>
        <v>0</v>
      </c>
      <c r="K214" s="36"/>
      <c r="L214" s="36"/>
      <c r="M214" s="36"/>
      <c r="N214" s="36"/>
      <c r="O214" s="36"/>
      <c r="P214" s="36">
        <f t="shared" ref="P214" si="111">E214+J214</f>
        <v>0</v>
      </c>
      <c r="Q214" s="168"/>
    </row>
    <row r="215" spans="1:17" s="32" customFormat="1" ht="25.5" customHeight="1" x14ac:dyDescent="0.45">
      <c r="A215" s="28" t="s">
        <v>409</v>
      </c>
      <c r="B215" s="29">
        <v>9770</v>
      </c>
      <c r="C215" s="28" t="s">
        <v>43</v>
      </c>
      <c r="D215" s="30" t="s">
        <v>410</v>
      </c>
      <c r="E215" s="31">
        <f t="shared" si="102"/>
        <v>0</v>
      </c>
      <c r="F215" s="31"/>
      <c r="G215" s="31"/>
      <c r="H215" s="31"/>
      <c r="I215" s="31"/>
      <c r="J215" s="31">
        <f t="shared" si="104"/>
        <v>52387</v>
      </c>
      <c r="K215" s="31">
        <v>52387</v>
      </c>
      <c r="L215" s="31"/>
      <c r="M215" s="31"/>
      <c r="N215" s="31"/>
      <c r="O215" s="31">
        <v>52387</v>
      </c>
      <c r="P215" s="31">
        <f t="shared" si="103"/>
        <v>52387</v>
      </c>
      <c r="Q215" s="168"/>
    </row>
    <row r="216" spans="1:17" s="32" customFormat="1" ht="38.25" hidden="1" customHeight="1" x14ac:dyDescent="0.45">
      <c r="A216" s="28" t="s">
        <v>566</v>
      </c>
      <c r="B216" s="29">
        <v>8775</v>
      </c>
      <c r="C216" s="28" t="s">
        <v>89</v>
      </c>
      <c r="D216" s="30" t="s">
        <v>565</v>
      </c>
      <c r="E216" s="31">
        <f>F216</f>
        <v>0</v>
      </c>
      <c r="F216" s="31"/>
      <c r="G216" s="31"/>
      <c r="H216" s="31"/>
      <c r="I216" s="31"/>
      <c r="J216" s="31">
        <f t="shared" si="104"/>
        <v>0</v>
      </c>
      <c r="K216" s="31"/>
      <c r="L216" s="31"/>
      <c r="M216" s="31"/>
      <c r="N216" s="31"/>
      <c r="O216" s="31"/>
      <c r="P216" s="31">
        <f t="shared" si="103"/>
        <v>0</v>
      </c>
      <c r="Q216" s="168"/>
    </row>
    <row r="217" spans="1:17" s="22" customFormat="1" ht="36" customHeight="1" x14ac:dyDescent="0.4">
      <c r="A217" s="43" t="s">
        <v>170</v>
      </c>
      <c r="B217" s="44"/>
      <c r="C217" s="44"/>
      <c r="D217" s="45" t="s">
        <v>37</v>
      </c>
      <c r="E217" s="21">
        <f>E218</f>
        <v>459832377.81</v>
      </c>
      <c r="F217" s="21">
        <f t="shared" ref="F217:P217" si="112">F218</f>
        <v>459832377.81</v>
      </c>
      <c r="G217" s="21">
        <f t="shared" si="112"/>
        <v>70958200</v>
      </c>
      <c r="H217" s="21">
        <f t="shared" si="112"/>
        <v>3524300</v>
      </c>
      <c r="I217" s="21">
        <f t="shared" si="112"/>
        <v>0</v>
      </c>
      <c r="J217" s="21">
        <f t="shared" si="112"/>
        <v>17342317.359999999</v>
      </c>
      <c r="K217" s="21">
        <f t="shared" si="112"/>
        <v>17273717.359999999</v>
      </c>
      <c r="L217" s="21">
        <f t="shared" si="112"/>
        <v>68600</v>
      </c>
      <c r="M217" s="21">
        <f t="shared" si="112"/>
        <v>56100</v>
      </c>
      <c r="N217" s="21">
        <f t="shared" si="112"/>
        <v>0</v>
      </c>
      <c r="O217" s="21">
        <f t="shared" si="112"/>
        <v>17273717.359999999</v>
      </c>
      <c r="P217" s="21">
        <f t="shared" si="112"/>
        <v>477174695.16999996</v>
      </c>
      <c r="Q217" s="168"/>
    </row>
    <row r="218" spans="1:17" s="27" customFormat="1" ht="32.25" customHeight="1" x14ac:dyDescent="0.4">
      <c r="A218" s="23" t="s">
        <v>171</v>
      </c>
      <c r="B218" s="46"/>
      <c r="C218" s="46"/>
      <c r="D218" s="25" t="s">
        <v>604</v>
      </c>
      <c r="E218" s="26">
        <f>E224+E225+E226+E227+E228+E230+E231+E232+E234+E236+E238+E241+E243+E245+E246+E247+E248+E249+E250+E252+E254+E256+E257+E260+E264+E237+E261+E263+E262</f>
        <v>459832377.81</v>
      </c>
      <c r="F218" s="26">
        <f t="shared" ref="F218:P218" si="113">F224+F225+F226+F227+F228+F230+F231+F232+F234+F236+F238+F241+F243+F245+F246+F247+F248+F249+F250+F252+F254+F256+F257+F260+F264+F237+F261+F263+F262</f>
        <v>459832377.81</v>
      </c>
      <c r="G218" s="26">
        <f t="shared" si="113"/>
        <v>70958200</v>
      </c>
      <c r="H218" s="26">
        <f t="shared" si="113"/>
        <v>3524300</v>
      </c>
      <c r="I218" s="26">
        <f t="shared" si="113"/>
        <v>0</v>
      </c>
      <c r="J218" s="26">
        <f t="shared" si="113"/>
        <v>17342317.359999999</v>
      </c>
      <c r="K218" s="26">
        <f t="shared" si="113"/>
        <v>17273717.359999999</v>
      </c>
      <c r="L218" s="26">
        <f t="shared" si="113"/>
        <v>68600</v>
      </c>
      <c r="M218" s="26">
        <f t="shared" si="113"/>
        <v>56100</v>
      </c>
      <c r="N218" s="26">
        <f t="shared" si="113"/>
        <v>0</v>
      </c>
      <c r="O218" s="26">
        <f t="shared" si="113"/>
        <v>17273717.359999999</v>
      </c>
      <c r="P218" s="26">
        <f t="shared" si="113"/>
        <v>477174695.16999996</v>
      </c>
      <c r="Q218" s="168"/>
    </row>
    <row r="219" spans="1:17" s="27" customFormat="1" ht="21" customHeight="1" x14ac:dyDescent="0.4">
      <c r="A219" s="23"/>
      <c r="B219" s="46"/>
      <c r="C219" s="46"/>
      <c r="D219" s="25" t="s">
        <v>381</v>
      </c>
      <c r="E219" s="26">
        <f>E229+E233+E235+E242+E244+E258</f>
        <v>3102862.81</v>
      </c>
      <c r="F219" s="26">
        <f t="shared" ref="F219:P219" si="114">F229+F233+F235+F242+F244+F258</f>
        <v>3102862.81</v>
      </c>
      <c r="G219" s="26">
        <f t="shared" si="114"/>
        <v>0</v>
      </c>
      <c r="H219" s="26">
        <f t="shared" si="114"/>
        <v>0</v>
      </c>
      <c r="I219" s="26">
        <f t="shared" si="114"/>
        <v>0</v>
      </c>
      <c r="J219" s="26">
        <f>J229+J233+J235+J242+J244+J258</f>
        <v>0</v>
      </c>
      <c r="K219" s="26">
        <f t="shared" si="114"/>
        <v>0</v>
      </c>
      <c r="L219" s="26">
        <f t="shared" si="114"/>
        <v>0</v>
      </c>
      <c r="M219" s="26">
        <f t="shared" si="114"/>
        <v>0</v>
      </c>
      <c r="N219" s="26">
        <f t="shared" si="114"/>
        <v>0</v>
      </c>
      <c r="O219" s="26">
        <f t="shared" si="114"/>
        <v>0</v>
      </c>
      <c r="P219" s="26">
        <f t="shared" si="114"/>
        <v>3102862.81</v>
      </c>
      <c r="Q219" s="168"/>
    </row>
    <row r="220" spans="1:17" s="27" customFormat="1" ht="117" customHeight="1" x14ac:dyDescent="0.4">
      <c r="A220" s="23"/>
      <c r="B220" s="46"/>
      <c r="C220" s="46"/>
      <c r="D220" s="25" t="s">
        <v>675</v>
      </c>
      <c r="E220" s="26">
        <f>E239</f>
        <v>1495257</v>
      </c>
      <c r="F220" s="26">
        <f t="shared" ref="F220:P220" si="115">F239</f>
        <v>1495257</v>
      </c>
      <c r="G220" s="26">
        <f t="shared" si="115"/>
        <v>0</v>
      </c>
      <c r="H220" s="26">
        <f t="shared" si="115"/>
        <v>0</v>
      </c>
      <c r="I220" s="26">
        <f t="shared" si="115"/>
        <v>0</v>
      </c>
      <c r="J220" s="26">
        <f t="shared" si="115"/>
        <v>0</v>
      </c>
      <c r="K220" s="26">
        <f t="shared" si="115"/>
        <v>0</v>
      </c>
      <c r="L220" s="26">
        <f t="shared" si="115"/>
        <v>0</v>
      </c>
      <c r="M220" s="26">
        <f t="shared" si="115"/>
        <v>0</v>
      </c>
      <c r="N220" s="26">
        <f t="shared" si="115"/>
        <v>0</v>
      </c>
      <c r="O220" s="26">
        <f t="shared" si="115"/>
        <v>0</v>
      </c>
      <c r="P220" s="26">
        <f t="shared" si="115"/>
        <v>1495257</v>
      </c>
      <c r="Q220" s="168"/>
    </row>
    <row r="221" spans="1:17" s="27" customFormat="1" ht="101.25" customHeight="1" x14ac:dyDescent="0.4">
      <c r="A221" s="23"/>
      <c r="B221" s="46"/>
      <c r="C221" s="46"/>
      <c r="D221" s="25" t="str">
        <f>D240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221" s="26">
        <f>E240+E259</f>
        <v>75253000</v>
      </c>
      <c r="F221" s="26">
        <f t="shared" ref="F221:P221" si="116">F240+F259</f>
        <v>75253000</v>
      </c>
      <c r="G221" s="26">
        <f t="shared" si="116"/>
        <v>0</v>
      </c>
      <c r="H221" s="26">
        <f t="shared" si="116"/>
        <v>0</v>
      </c>
      <c r="I221" s="26">
        <f t="shared" si="116"/>
        <v>0</v>
      </c>
      <c r="J221" s="26">
        <f t="shared" si="116"/>
        <v>0</v>
      </c>
      <c r="K221" s="26">
        <f t="shared" si="116"/>
        <v>0</v>
      </c>
      <c r="L221" s="26">
        <f t="shared" si="116"/>
        <v>0</v>
      </c>
      <c r="M221" s="26">
        <f t="shared" si="116"/>
        <v>0</v>
      </c>
      <c r="N221" s="26">
        <f t="shared" si="116"/>
        <v>0</v>
      </c>
      <c r="O221" s="26">
        <f t="shared" si="116"/>
        <v>0</v>
      </c>
      <c r="P221" s="26">
        <f t="shared" si="116"/>
        <v>75253000</v>
      </c>
      <c r="Q221" s="168"/>
    </row>
    <row r="222" spans="1:17" s="27" customFormat="1" ht="327.75" customHeight="1" x14ac:dyDescent="0.4">
      <c r="A222" s="23"/>
      <c r="B222" s="46"/>
      <c r="C222" s="46"/>
      <c r="D222" s="25" t="str">
        <f>D251</f>
        <v>субвенції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v>
      </c>
      <c r="E222" s="26">
        <f t="shared" ref="E222:P222" si="117">E251</f>
        <v>0</v>
      </c>
      <c r="F222" s="26">
        <f t="shared" si="117"/>
        <v>0</v>
      </c>
      <c r="G222" s="26">
        <f t="shared" si="117"/>
        <v>0</v>
      </c>
      <c r="H222" s="26">
        <f t="shared" si="117"/>
        <v>0</v>
      </c>
      <c r="I222" s="26">
        <f t="shared" si="117"/>
        <v>0</v>
      </c>
      <c r="J222" s="26">
        <f t="shared" si="117"/>
        <v>8260461.4100000001</v>
      </c>
      <c r="K222" s="26">
        <f t="shared" si="117"/>
        <v>8260461.4100000001</v>
      </c>
      <c r="L222" s="26">
        <f t="shared" si="117"/>
        <v>0</v>
      </c>
      <c r="M222" s="26">
        <f t="shared" si="117"/>
        <v>0</v>
      </c>
      <c r="N222" s="26">
        <f t="shared" si="117"/>
        <v>0</v>
      </c>
      <c r="O222" s="26">
        <f t="shared" si="117"/>
        <v>8260461.4100000001</v>
      </c>
      <c r="P222" s="26">
        <f t="shared" si="117"/>
        <v>8260461.4100000001</v>
      </c>
      <c r="Q222" s="168"/>
    </row>
    <row r="223" spans="1:17" s="27" customFormat="1" ht="315.75" customHeight="1" x14ac:dyDescent="0.4">
      <c r="A223" s="23"/>
      <c r="B223" s="46"/>
      <c r="C223" s="46"/>
      <c r="D223" s="25" t="str">
        <f>D253</f>
        <v>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v>
      </c>
      <c r="E223" s="26">
        <f t="shared" ref="E223:P223" si="118">E253</f>
        <v>0</v>
      </c>
      <c r="F223" s="26">
        <f t="shared" si="118"/>
        <v>0</v>
      </c>
      <c r="G223" s="26">
        <f t="shared" si="118"/>
        <v>0</v>
      </c>
      <c r="H223" s="26">
        <f t="shared" si="118"/>
        <v>0</v>
      </c>
      <c r="I223" s="26">
        <f t="shared" si="118"/>
        <v>0</v>
      </c>
      <c r="J223" s="26">
        <f t="shared" si="118"/>
        <v>8914255.9499999993</v>
      </c>
      <c r="K223" s="26">
        <f t="shared" si="118"/>
        <v>8914255.9499999993</v>
      </c>
      <c r="L223" s="26">
        <f t="shared" si="118"/>
        <v>0</v>
      </c>
      <c r="M223" s="26">
        <f t="shared" si="118"/>
        <v>0</v>
      </c>
      <c r="N223" s="26">
        <f t="shared" si="118"/>
        <v>0</v>
      </c>
      <c r="O223" s="26">
        <f t="shared" si="118"/>
        <v>8914255.9499999993</v>
      </c>
      <c r="P223" s="26">
        <f t="shared" si="118"/>
        <v>8914255.9499999993</v>
      </c>
      <c r="Q223" s="168"/>
    </row>
    <row r="224" spans="1:17" s="136" customFormat="1" ht="50.25" customHeight="1" x14ac:dyDescent="0.45">
      <c r="A224" s="28" t="s">
        <v>172</v>
      </c>
      <c r="B224" s="29" t="str">
        <f>'дод 9'!A16</f>
        <v>0160</v>
      </c>
      <c r="C224" s="29" t="str">
        <f>'дод 9'!B16</f>
        <v>0111</v>
      </c>
      <c r="D224" s="30" t="s">
        <v>721</v>
      </c>
      <c r="E224" s="31">
        <f t="shared" ref="E224:E264" si="119">F224+I224</f>
        <v>62308700</v>
      </c>
      <c r="F224" s="31">
        <f>58927500-472300-796500+4787500+55600-193100</f>
        <v>62308700</v>
      </c>
      <c r="G224" s="31">
        <f>45101400-387100-652900+3927400-158300</f>
        <v>47830500</v>
      </c>
      <c r="H224" s="31">
        <v>1900500</v>
      </c>
      <c r="I224" s="31"/>
      <c r="J224" s="31">
        <f>L224+O224</f>
        <v>0</v>
      </c>
      <c r="K224" s="31"/>
      <c r="L224" s="31"/>
      <c r="M224" s="31"/>
      <c r="N224" s="31"/>
      <c r="O224" s="31"/>
      <c r="P224" s="31">
        <f t="shared" ref="P224:P264" si="120">E224+J224</f>
        <v>62308700</v>
      </c>
      <c r="Q224" s="168"/>
    </row>
    <row r="225" spans="1:17" s="32" customFormat="1" ht="23.25" hidden="1" customHeight="1" x14ac:dyDescent="0.45">
      <c r="A225" s="28" t="s">
        <v>487</v>
      </c>
      <c r="B225" s="28" t="s">
        <v>43</v>
      </c>
      <c r="C225" s="28" t="s">
        <v>89</v>
      </c>
      <c r="D225" s="30" t="str">
        <f>'дод 9'!C19</f>
        <v>Інша діяльність у сфері державного управління, у т.ч.за рахунок:</v>
      </c>
      <c r="E225" s="31">
        <f t="shared" si="119"/>
        <v>0</v>
      </c>
      <c r="F225" s="31"/>
      <c r="G225" s="31"/>
      <c r="H225" s="31"/>
      <c r="I225" s="31"/>
      <c r="J225" s="31">
        <f>L225+O225</f>
        <v>0</v>
      </c>
      <c r="K225" s="31"/>
      <c r="L225" s="31"/>
      <c r="M225" s="31"/>
      <c r="N225" s="31"/>
      <c r="O225" s="31"/>
      <c r="P225" s="31">
        <f t="shared" si="120"/>
        <v>0</v>
      </c>
      <c r="Q225" s="168"/>
    </row>
    <row r="226" spans="1:17" s="32" customFormat="1" ht="36" customHeight="1" x14ac:dyDescent="0.45">
      <c r="A226" s="28" t="s">
        <v>173</v>
      </c>
      <c r="B226" s="29" t="str">
        <f>'дод 9'!A137</f>
        <v>3031</v>
      </c>
      <c r="C226" s="29" t="str">
        <f>'дод 9'!B137</f>
        <v>1030</v>
      </c>
      <c r="D226" s="30" t="str">
        <f>'дод 9'!C137</f>
        <v>Надання інших пільг окремим категоріям громадян відповідно до законодавства</v>
      </c>
      <c r="E226" s="31">
        <f t="shared" si="119"/>
        <v>433000</v>
      </c>
      <c r="F226" s="31">
        <f>466000-33000</f>
        <v>433000</v>
      </c>
      <c r="G226" s="31"/>
      <c r="H226" s="31"/>
      <c r="I226" s="31"/>
      <c r="J226" s="31">
        <f t="shared" ref="J226:J255" si="121">L226+O226</f>
        <v>0</v>
      </c>
      <c r="K226" s="31"/>
      <c r="L226" s="31"/>
      <c r="M226" s="31"/>
      <c r="N226" s="31"/>
      <c r="O226" s="31"/>
      <c r="P226" s="31">
        <f t="shared" si="120"/>
        <v>433000</v>
      </c>
      <c r="Q226" s="168"/>
    </row>
    <row r="227" spans="1:17" s="32" customFormat="1" ht="39.75" customHeight="1" x14ac:dyDescent="0.45">
      <c r="A227" s="28" t="s">
        <v>174</v>
      </c>
      <c r="B227" s="29" t="str">
        <f>'дод 9'!A138</f>
        <v>3032</v>
      </c>
      <c r="C227" s="29" t="str">
        <f>'дод 9'!B138</f>
        <v>1070</v>
      </c>
      <c r="D227" s="30" t="str">
        <f>'дод 9'!C138</f>
        <v>Надання пільг окремим категоріям громадян з оплати послуг зв'язку</v>
      </c>
      <c r="E227" s="31">
        <f t="shared" si="119"/>
        <v>650450</v>
      </c>
      <c r="F227" s="31">
        <f>830000-9550-170000</f>
        <v>650450</v>
      </c>
      <c r="G227" s="31"/>
      <c r="H227" s="31"/>
      <c r="I227" s="31"/>
      <c r="J227" s="31">
        <f t="shared" si="121"/>
        <v>0</v>
      </c>
      <c r="K227" s="31"/>
      <c r="L227" s="31"/>
      <c r="M227" s="31"/>
      <c r="N227" s="31"/>
      <c r="O227" s="31"/>
      <c r="P227" s="31">
        <f t="shared" si="120"/>
        <v>650450</v>
      </c>
      <c r="Q227" s="168"/>
    </row>
    <row r="228" spans="1:17" s="136" customFormat="1" ht="48.75" customHeight="1" x14ac:dyDescent="0.45">
      <c r="A228" s="28" t="s">
        <v>339</v>
      </c>
      <c r="B228" s="29" t="str">
        <f>'дод 9'!A139</f>
        <v>3033</v>
      </c>
      <c r="C228" s="29" t="str">
        <f>'дод 9'!B139</f>
        <v>1070</v>
      </c>
      <c r="D228" s="30" t="s">
        <v>392</v>
      </c>
      <c r="E228" s="31">
        <f t="shared" si="119"/>
        <v>20232679.810000002</v>
      </c>
      <c r="F228" s="31">
        <f>19330000-850000+1633519.01+147160.8+22000-50000</f>
        <v>20232679.810000002</v>
      </c>
      <c r="G228" s="31"/>
      <c r="H228" s="31"/>
      <c r="I228" s="31"/>
      <c r="J228" s="31">
        <f t="shared" si="121"/>
        <v>0</v>
      </c>
      <c r="K228" s="31"/>
      <c r="L228" s="31"/>
      <c r="M228" s="31"/>
      <c r="N228" s="31"/>
      <c r="O228" s="31"/>
      <c r="P228" s="31">
        <f t="shared" si="120"/>
        <v>20232679.810000002</v>
      </c>
      <c r="Q228" s="168"/>
    </row>
    <row r="229" spans="1:17" s="135" customFormat="1" ht="18.75" customHeight="1" x14ac:dyDescent="0.45">
      <c r="A229" s="33"/>
      <c r="B229" s="34"/>
      <c r="C229" s="34"/>
      <c r="D229" s="35" t="s">
        <v>380</v>
      </c>
      <c r="E229" s="36">
        <f t="shared" si="119"/>
        <v>1730679.81</v>
      </c>
      <c r="F229" s="36">
        <f>1633519.01+147160.8-50000</f>
        <v>1730679.81</v>
      </c>
      <c r="G229" s="36"/>
      <c r="H229" s="36"/>
      <c r="I229" s="36"/>
      <c r="J229" s="36">
        <f t="shared" si="121"/>
        <v>0</v>
      </c>
      <c r="K229" s="36"/>
      <c r="L229" s="36"/>
      <c r="M229" s="36"/>
      <c r="N229" s="36"/>
      <c r="O229" s="36"/>
      <c r="P229" s="36">
        <f t="shared" si="120"/>
        <v>1730679.81</v>
      </c>
      <c r="Q229" s="168"/>
    </row>
    <row r="230" spans="1:17" s="32" customFormat="1" ht="51" customHeight="1" x14ac:dyDescent="0.45">
      <c r="A230" s="28" t="s">
        <v>311</v>
      </c>
      <c r="B230" s="29" t="str">
        <f>'дод 9'!A141</f>
        <v>3035</v>
      </c>
      <c r="C230" s="29" t="str">
        <f>'дод 9'!B141</f>
        <v>1070</v>
      </c>
      <c r="D230" s="30" t="str">
        <f>'дод 9'!C141</f>
        <v>Компенсаційні виплати за пільговий проїзд окремих категорій громадян на залізничному транспорті</v>
      </c>
      <c r="E230" s="31">
        <f t="shared" si="119"/>
        <v>1000000</v>
      </c>
      <c r="F230" s="31">
        <f>2400000-1400000</f>
        <v>1000000</v>
      </c>
      <c r="G230" s="31"/>
      <c r="H230" s="31"/>
      <c r="I230" s="31"/>
      <c r="J230" s="31">
        <f t="shared" si="121"/>
        <v>0</v>
      </c>
      <c r="K230" s="31"/>
      <c r="L230" s="31"/>
      <c r="M230" s="31"/>
      <c r="N230" s="31"/>
      <c r="O230" s="31"/>
      <c r="P230" s="31">
        <f t="shared" si="120"/>
        <v>1000000</v>
      </c>
      <c r="Q230" s="168"/>
    </row>
    <row r="231" spans="1:17" s="32" customFormat="1" ht="52.5" customHeight="1" x14ac:dyDescent="0.45">
      <c r="A231" s="28" t="s">
        <v>175</v>
      </c>
      <c r="B231" s="29" t="str">
        <f>'дод 9'!A142</f>
        <v>3036</v>
      </c>
      <c r="C231" s="29" t="str">
        <f>'дод 9'!B142</f>
        <v>1070</v>
      </c>
      <c r="D231" s="30" t="str">
        <f>'дод 9'!C142</f>
        <v>Компенсаційні виплати на пільговий проїзд електротранспортом окремим категоріям громадян</v>
      </c>
      <c r="E231" s="31">
        <f t="shared" si="119"/>
        <v>44688000</v>
      </c>
      <c r="F231" s="31">
        <f>47688000-3000000</f>
        <v>44688000</v>
      </c>
      <c r="G231" s="31"/>
      <c r="H231" s="31"/>
      <c r="I231" s="31"/>
      <c r="J231" s="31">
        <f t="shared" si="121"/>
        <v>0</v>
      </c>
      <c r="K231" s="31"/>
      <c r="L231" s="31"/>
      <c r="M231" s="31"/>
      <c r="N231" s="31"/>
      <c r="O231" s="31"/>
      <c r="P231" s="31">
        <f t="shared" si="120"/>
        <v>44688000</v>
      </c>
      <c r="Q231" s="168"/>
    </row>
    <row r="232" spans="1:17" s="32" customFormat="1" ht="49.5" customHeight="1" x14ac:dyDescent="0.45">
      <c r="A232" s="28" t="s">
        <v>337</v>
      </c>
      <c r="B232" s="29" t="str">
        <f>'дод 9'!A143</f>
        <v>3050</v>
      </c>
      <c r="C232" s="29" t="str">
        <f>'дод 9'!B143</f>
        <v>1070</v>
      </c>
      <c r="D232" s="30" t="str">
        <f>'дод 9'!C143</f>
        <v>Пільгове медичне обслуговування осіб, які постраждали внаслідок Чорнобильської катастрофи, у т.ч. за рахунок:</v>
      </c>
      <c r="E232" s="31">
        <f t="shared" si="119"/>
        <v>782300</v>
      </c>
      <c r="F232" s="31">
        <v>782300</v>
      </c>
      <c r="G232" s="31"/>
      <c r="H232" s="31"/>
      <c r="I232" s="31"/>
      <c r="J232" s="31">
        <f t="shared" si="121"/>
        <v>0</v>
      </c>
      <c r="K232" s="31"/>
      <c r="L232" s="31"/>
      <c r="M232" s="31"/>
      <c r="N232" s="31"/>
      <c r="O232" s="31"/>
      <c r="P232" s="31">
        <f t="shared" si="120"/>
        <v>782300</v>
      </c>
      <c r="Q232" s="168"/>
    </row>
    <row r="233" spans="1:17" s="37" customFormat="1" ht="15.4" x14ac:dyDescent="0.45">
      <c r="A233" s="33"/>
      <c r="B233" s="34"/>
      <c r="C233" s="34"/>
      <c r="D233" s="35" t="s">
        <v>380</v>
      </c>
      <c r="E233" s="36">
        <f t="shared" si="119"/>
        <v>782300</v>
      </c>
      <c r="F233" s="36">
        <v>782300</v>
      </c>
      <c r="G233" s="36"/>
      <c r="H233" s="36"/>
      <c r="I233" s="36"/>
      <c r="J233" s="36">
        <f t="shared" si="121"/>
        <v>0</v>
      </c>
      <c r="K233" s="36"/>
      <c r="L233" s="36"/>
      <c r="M233" s="36"/>
      <c r="N233" s="36"/>
      <c r="O233" s="36"/>
      <c r="P233" s="36">
        <f t="shared" si="120"/>
        <v>782300</v>
      </c>
      <c r="Q233" s="168"/>
    </row>
    <row r="234" spans="1:17" s="32" customFormat="1" ht="51" customHeight="1" x14ac:dyDescent="0.45">
      <c r="A234" s="28" t="s">
        <v>338</v>
      </c>
      <c r="B234" s="29" t="str">
        <f>'дод 9'!A145</f>
        <v>3090</v>
      </c>
      <c r="C234" s="29" t="str">
        <f>'дод 9'!B145</f>
        <v>1030</v>
      </c>
      <c r="D234" s="30" t="str">
        <f>'дод 9'!C145</f>
        <v>Видатки на поховання учасників бойових дій та осіб з інвалідністю внаслідок війни, у т.ч. за рахунок:</v>
      </c>
      <c r="E234" s="31">
        <f t="shared" si="119"/>
        <v>113154</v>
      </c>
      <c r="F234" s="31">
        <f>287700-204600+30054</f>
        <v>113154</v>
      </c>
      <c r="G234" s="31"/>
      <c r="H234" s="31"/>
      <c r="I234" s="31"/>
      <c r="J234" s="31">
        <f t="shared" si="121"/>
        <v>0</v>
      </c>
      <c r="K234" s="31"/>
      <c r="L234" s="31"/>
      <c r="M234" s="31"/>
      <c r="N234" s="31"/>
      <c r="O234" s="31"/>
      <c r="P234" s="31">
        <f t="shared" si="120"/>
        <v>113154</v>
      </c>
      <c r="Q234" s="168"/>
    </row>
    <row r="235" spans="1:17" s="37" customFormat="1" ht="15.75" customHeight="1" x14ac:dyDescent="0.45">
      <c r="A235" s="33"/>
      <c r="B235" s="34"/>
      <c r="C235" s="34"/>
      <c r="D235" s="35" t="s">
        <v>380</v>
      </c>
      <c r="E235" s="36">
        <f t="shared" si="119"/>
        <v>113154</v>
      </c>
      <c r="F235" s="36">
        <f>287700-204600+30054</f>
        <v>113154</v>
      </c>
      <c r="G235" s="36"/>
      <c r="H235" s="36"/>
      <c r="I235" s="36"/>
      <c r="J235" s="36">
        <f t="shared" si="121"/>
        <v>0</v>
      </c>
      <c r="K235" s="36"/>
      <c r="L235" s="36"/>
      <c r="M235" s="36"/>
      <c r="N235" s="36"/>
      <c r="O235" s="36"/>
      <c r="P235" s="36">
        <f t="shared" si="120"/>
        <v>113154</v>
      </c>
      <c r="Q235" s="168"/>
    </row>
    <row r="236" spans="1:17" s="32" customFormat="1" ht="64.5" customHeight="1" x14ac:dyDescent="0.45">
      <c r="A236" s="28" t="s">
        <v>176</v>
      </c>
      <c r="B236" s="29" t="str">
        <f>'дод 9'!A147</f>
        <v>3104</v>
      </c>
      <c r="C236" s="29" t="str">
        <f>'дод 9'!B147</f>
        <v>1020</v>
      </c>
      <c r="D236" s="30" t="str">
        <f>'дод 9'!C147</f>
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</c>
      <c r="E236" s="31">
        <f>F236+I236</f>
        <v>26125300</v>
      </c>
      <c r="F236" s="31">
        <v>26125300</v>
      </c>
      <c r="G236" s="31">
        <v>19405100</v>
      </c>
      <c r="H236" s="31">
        <v>1117300</v>
      </c>
      <c r="I236" s="31"/>
      <c r="J236" s="31">
        <f t="shared" si="121"/>
        <v>167600</v>
      </c>
      <c r="K236" s="31">
        <v>99000</v>
      </c>
      <c r="L236" s="31">
        <v>68600</v>
      </c>
      <c r="M236" s="31">
        <v>56100</v>
      </c>
      <c r="N236" s="31"/>
      <c r="O236" s="31">
        <v>99000</v>
      </c>
      <c r="P236" s="31">
        <f t="shared" si="120"/>
        <v>26292900</v>
      </c>
      <c r="Q236" s="168"/>
    </row>
    <row r="237" spans="1:17" s="32" customFormat="1" ht="64.5" customHeight="1" x14ac:dyDescent="0.45">
      <c r="A237" s="28" t="s">
        <v>538</v>
      </c>
      <c r="B237" s="29">
        <v>3140</v>
      </c>
      <c r="C237" s="52" t="s">
        <v>96</v>
      </c>
      <c r="D237" s="41" t="str">
        <f>'дод 9'!C155</f>
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</c>
      <c r="E237" s="31">
        <f t="shared" si="119"/>
        <v>1400000</v>
      </c>
      <c r="F237" s="31">
        <v>1400000</v>
      </c>
      <c r="G237" s="31"/>
      <c r="H237" s="31"/>
      <c r="I237" s="31"/>
      <c r="J237" s="31">
        <f t="shared" si="121"/>
        <v>0</v>
      </c>
      <c r="K237" s="31"/>
      <c r="L237" s="31"/>
      <c r="M237" s="31"/>
      <c r="N237" s="31"/>
      <c r="O237" s="31"/>
      <c r="P237" s="31">
        <f t="shared" si="120"/>
        <v>1400000</v>
      </c>
      <c r="Q237" s="168"/>
    </row>
    <row r="238" spans="1:17" s="32" customFormat="1" ht="96.75" customHeight="1" x14ac:dyDescent="0.45">
      <c r="A238" s="28" t="s">
        <v>177</v>
      </c>
      <c r="B238" s="29" t="str">
        <f>'дод 9'!A156</f>
        <v>3160</v>
      </c>
      <c r="C238" s="29">
        <f>'дод 9'!B156</f>
        <v>1010</v>
      </c>
      <c r="D238" s="30" t="str">
        <f>'дод 9'!C156</f>
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допомоги, у т.ч. за рахунок:</v>
      </c>
      <c r="E238" s="31">
        <f t="shared" si="119"/>
        <v>19840100</v>
      </c>
      <c r="F238" s="31">
        <f>16781400-12581400+753900+3504743+1495257+9886200</f>
        <v>19840100</v>
      </c>
      <c r="G238" s="31"/>
      <c r="H238" s="31"/>
      <c r="I238" s="31"/>
      <c r="J238" s="31">
        <f t="shared" si="121"/>
        <v>0</v>
      </c>
      <c r="K238" s="31"/>
      <c r="L238" s="31"/>
      <c r="M238" s="31"/>
      <c r="N238" s="31"/>
      <c r="O238" s="31"/>
      <c r="P238" s="31">
        <f t="shared" si="120"/>
        <v>19840100</v>
      </c>
      <c r="Q238" s="168"/>
    </row>
    <row r="239" spans="1:17" s="37" customFormat="1" ht="115.5" customHeight="1" x14ac:dyDescent="0.45">
      <c r="A239" s="33"/>
      <c r="B239" s="34"/>
      <c r="C239" s="34"/>
      <c r="D239" s="35" t="s">
        <v>675</v>
      </c>
      <c r="E239" s="36">
        <f t="shared" ref="E239" si="122">F239+I239</f>
        <v>1495257</v>
      </c>
      <c r="F239" s="36">
        <v>1495257</v>
      </c>
      <c r="G239" s="36"/>
      <c r="H239" s="36"/>
      <c r="I239" s="36"/>
      <c r="J239" s="36">
        <f t="shared" ref="J239" si="123">L239+O239</f>
        <v>0</v>
      </c>
      <c r="K239" s="36"/>
      <c r="L239" s="36"/>
      <c r="M239" s="36"/>
      <c r="N239" s="36"/>
      <c r="O239" s="36"/>
      <c r="P239" s="36">
        <f t="shared" ref="P239" si="124">E239+J239</f>
        <v>1495257</v>
      </c>
      <c r="Q239" s="168"/>
    </row>
    <row r="240" spans="1:17" s="37" customFormat="1" ht="103.15" customHeight="1" x14ac:dyDescent="0.45">
      <c r="A240" s="33"/>
      <c r="B240" s="34"/>
      <c r="C240" s="34"/>
      <c r="D240" s="35" t="s">
        <v>624</v>
      </c>
      <c r="E240" s="36">
        <f t="shared" ref="E240" si="125">F240+I240</f>
        <v>9886200</v>
      </c>
      <c r="F240" s="36">
        <v>9886200</v>
      </c>
      <c r="G240" s="36"/>
      <c r="H240" s="36"/>
      <c r="I240" s="36"/>
      <c r="J240" s="36">
        <f t="shared" ref="J240" si="126">L240+O240</f>
        <v>0</v>
      </c>
      <c r="K240" s="36"/>
      <c r="L240" s="36"/>
      <c r="M240" s="36"/>
      <c r="N240" s="36"/>
      <c r="O240" s="36"/>
      <c r="P240" s="36">
        <f t="shared" ref="P240" si="127">E240+J240</f>
        <v>9886200</v>
      </c>
      <c r="Q240" s="168"/>
    </row>
    <row r="241" spans="1:17" s="32" customFormat="1" ht="63" customHeight="1" x14ac:dyDescent="0.45">
      <c r="A241" s="28" t="s">
        <v>340</v>
      </c>
      <c r="B241" s="29" t="str">
        <f>'дод 9'!A159</f>
        <v>3171</v>
      </c>
      <c r="C241" s="29">
        <f>'дод 9'!B159</f>
        <v>1010</v>
      </c>
      <c r="D241" s="30" t="s">
        <v>387</v>
      </c>
      <c r="E241" s="31">
        <f t="shared" si="119"/>
        <v>215129</v>
      </c>
      <c r="F241" s="31">
        <v>215129</v>
      </c>
      <c r="G241" s="31"/>
      <c r="H241" s="31"/>
      <c r="I241" s="31"/>
      <c r="J241" s="31">
        <f t="shared" si="121"/>
        <v>0</v>
      </c>
      <c r="K241" s="31"/>
      <c r="L241" s="31"/>
      <c r="M241" s="31"/>
      <c r="N241" s="31"/>
      <c r="O241" s="31"/>
      <c r="P241" s="31">
        <f t="shared" si="120"/>
        <v>215129</v>
      </c>
      <c r="Q241" s="168"/>
    </row>
    <row r="242" spans="1:17" s="37" customFormat="1" ht="18" customHeight="1" x14ac:dyDescent="0.45">
      <c r="A242" s="33"/>
      <c r="B242" s="34"/>
      <c r="C242" s="34"/>
      <c r="D242" s="35" t="s">
        <v>380</v>
      </c>
      <c r="E242" s="36">
        <f t="shared" si="119"/>
        <v>215129</v>
      </c>
      <c r="F242" s="36">
        <v>215129</v>
      </c>
      <c r="G242" s="36"/>
      <c r="H242" s="36"/>
      <c r="I242" s="36"/>
      <c r="J242" s="36">
        <f t="shared" si="121"/>
        <v>0</v>
      </c>
      <c r="K242" s="36"/>
      <c r="L242" s="36"/>
      <c r="M242" s="36"/>
      <c r="N242" s="36"/>
      <c r="O242" s="36"/>
      <c r="P242" s="36">
        <f t="shared" si="120"/>
        <v>215129</v>
      </c>
      <c r="Q242" s="168"/>
    </row>
    <row r="243" spans="1:17" s="32" customFormat="1" ht="31.5" hidden="1" customHeight="1" x14ac:dyDescent="0.45">
      <c r="A243" s="28" t="s">
        <v>341</v>
      </c>
      <c r="B243" s="29" t="str">
        <f>'дод 9'!A161</f>
        <v>3172</v>
      </c>
      <c r="C243" s="29">
        <f>'дод 9'!B161</f>
        <v>1010</v>
      </c>
      <c r="D243" s="30" t="str">
        <f>'дод 9'!C161</f>
        <v>Встановлення телефонів особам з інвалідністю I і II груп, у т.ч. за рахунок:</v>
      </c>
      <c r="E243" s="31">
        <f t="shared" si="119"/>
        <v>0</v>
      </c>
      <c r="F243" s="31"/>
      <c r="G243" s="31"/>
      <c r="H243" s="31"/>
      <c r="I243" s="31"/>
      <c r="J243" s="31">
        <f t="shared" si="121"/>
        <v>0</v>
      </c>
      <c r="K243" s="31"/>
      <c r="L243" s="31"/>
      <c r="M243" s="31"/>
      <c r="N243" s="31"/>
      <c r="O243" s="31"/>
      <c r="P243" s="31">
        <f t="shared" si="120"/>
        <v>0</v>
      </c>
      <c r="Q243" s="168"/>
    </row>
    <row r="244" spans="1:17" s="37" customFormat="1" ht="15.75" hidden="1" customHeight="1" x14ac:dyDescent="0.45">
      <c r="A244" s="33"/>
      <c r="B244" s="34"/>
      <c r="C244" s="34"/>
      <c r="D244" s="35" t="s">
        <v>380</v>
      </c>
      <c r="E244" s="36">
        <f t="shared" si="119"/>
        <v>0</v>
      </c>
      <c r="F244" s="36"/>
      <c r="G244" s="36"/>
      <c r="H244" s="36"/>
      <c r="I244" s="36"/>
      <c r="J244" s="36">
        <f t="shared" si="121"/>
        <v>0</v>
      </c>
      <c r="K244" s="36"/>
      <c r="L244" s="36"/>
      <c r="M244" s="36"/>
      <c r="N244" s="36"/>
      <c r="O244" s="36"/>
      <c r="P244" s="36">
        <f t="shared" si="120"/>
        <v>0</v>
      </c>
      <c r="Q244" s="168"/>
    </row>
    <row r="245" spans="1:17" s="32" customFormat="1" ht="78.75" hidden="1" customHeight="1" x14ac:dyDescent="0.45">
      <c r="A245" s="28" t="s">
        <v>178</v>
      </c>
      <c r="B245" s="29" t="str">
        <f>'дод 9'!A163</f>
        <v>3180</v>
      </c>
      <c r="C245" s="29" t="str">
        <f>'дод 9'!B163</f>
        <v>1060</v>
      </c>
      <c r="D245" s="30" t="str">
        <f>'дод 9'!C163</f>
        <v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v>
      </c>
      <c r="E245" s="31">
        <f t="shared" si="119"/>
        <v>0</v>
      </c>
      <c r="F245" s="31"/>
      <c r="G245" s="31"/>
      <c r="H245" s="31"/>
      <c r="I245" s="31"/>
      <c r="J245" s="31">
        <f t="shared" si="121"/>
        <v>0</v>
      </c>
      <c r="K245" s="31"/>
      <c r="L245" s="31"/>
      <c r="M245" s="31"/>
      <c r="N245" s="31"/>
      <c r="O245" s="31"/>
      <c r="P245" s="31">
        <f t="shared" si="120"/>
        <v>0</v>
      </c>
      <c r="Q245" s="168"/>
    </row>
    <row r="246" spans="1:17" s="32" customFormat="1" ht="40.5" customHeight="1" x14ac:dyDescent="0.45">
      <c r="A246" s="28" t="s">
        <v>296</v>
      </c>
      <c r="B246" s="29" t="str">
        <f>'дод 9'!A164</f>
        <v>3191</v>
      </c>
      <c r="C246" s="29" t="str">
        <f>'дод 9'!B164</f>
        <v>1030</v>
      </c>
      <c r="D246" s="30" t="str">
        <f>'дод 9'!C164</f>
        <v>Інші видатки на соціальний захист ветеранів війни та праці</v>
      </c>
      <c r="E246" s="31">
        <f t="shared" si="119"/>
        <v>6724251</v>
      </c>
      <c r="F246" s="31">
        <f>6861100-136849</f>
        <v>6724251</v>
      </c>
      <c r="G246" s="31"/>
      <c r="H246" s="31"/>
      <c r="I246" s="31"/>
      <c r="J246" s="31">
        <f t="shared" si="121"/>
        <v>0</v>
      </c>
      <c r="K246" s="31"/>
      <c r="L246" s="31"/>
      <c r="M246" s="31"/>
      <c r="N246" s="31"/>
      <c r="O246" s="31"/>
      <c r="P246" s="31">
        <f t="shared" si="120"/>
        <v>6724251</v>
      </c>
      <c r="Q246" s="168"/>
    </row>
    <row r="247" spans="1:17" s="32" customFormat="1" ht="54" customHeight="1" x14ac:dyDescent="0.45">
      <c r="A247" s="28" t="s">
        <v>297</v>
      </c>
      <c r="B247" s="29" t="str">
        <f>'дод 9'!A165</f>
        <v>3192</v>
      </c>
      <c r="C247" s="29" t="str">
        <f>'дод 9'!B165</f>
        <v>1030</v>
      </c>
      <c r="D247" s="30" t="str">
        <f>'дод 9'!C165</f>
        <v>Надання фінансової підтримки громадським об'єднанням ветеранів і осіб з інвалідністю, діяльність яких має соціальну спрямованість</v>
      </c>
      <c r="E247" s="31">
        <f t="shared" si="119"/>
        <v>2036420</v>
      </c>
      <c r="F247" s="31">
        <f>2072000-35580</f>
        <v>2036420</v>
      </c>
      <c r="G247" s="31"/>
      <c r="H247" s="31"/>
      <c r="I247" s="31"/>
      <c r="J247" s="31">
        <f t="shared" si="121"/>
        <v>0</v>
      </c>
      <c r="K247" s="31"/>
      <c r="L247" s="31"/>
      <c r="M247" s="31"/>
      <c r="N247" s="31"/>
      <c r="O247" s="31"/>
      <c r="P247" s="31">
        <f t="shared" si="120"/>
        <v>2036420</v>
      </c>
      <c r="Q247" s="168"/>
    </row>
    <row r="248" spans="1:17" s="32" customFormat="1" ht="34.5" customHeight="1" x14ac:dyDescent="0.45">
      <c r="A248" s="28" t="s">
        <v>179</v>
      </c>
      <c r="B248" s="29" t="str">
        <f>'дод 9'!A166</f>
        <v>3200</v>
      </c>
      <c r="C248" s="29" t="str">
        <f>'дод 9'!B166</f>
        <v>1090</v>
      </c>
      <c r="D248" s="30" t="str">
        <f>'дод 9'!C166</f>
        <v>Забезпечення обробки інформації з нарахування та виплати допомог і компенсацій</v>
      </c>
      <c r="E248" s="31">
        <f t="shared" si="119"/>
        <v>107000</v>
      </c>
      <c r="F248" s="31">
        <v>107000</v>
      </c>
      <c r="G248" s="31"/>
      <c r="H248" s="31"/>
      <c r="I248" s="31"/>
      <c r="J248" s="31">
        <f t="shared" si="121"/>
        <v>0</v>
      </c>
      <c r="K248" s="31"/>
      <c r="L248" s="31"/>
      <c r="M248" s="31"/>
      <c r="N248" s="31"/>
      <c r="O248" s="31"/>
      <c r="P248" s="31">
        <f t="shared" si="120"/>
        <v>107000</v>
      </c>
      <c r="Q248" s="168"/>
    </row>
    <row r="249" spans="1:17" s="32" customFormat="1" ht="15.75" customHeight="1" x14ac:dyDescent="0.45">
      <c r="A249" s="28" t="s">
        <v>298</v>
      </c>
      <c r="B249" s="29" t="str">
        <f>'дод 9'!A167</f>
        <v>3210</v>
      </c>
      <c r="C249" s="29" t="str">
        <f>'дод 9'!B167</f>
        <v>1050</v>
      </c>
      <c r="D249" s="30" t="str">
        <f>'дод 9'!C167</f>
        <v>Організація та проведення громадських робіт</v>
      </c>
      <c r="E249" s="31">
        <f t="shared" si="119"/>
        <v>0</v>
      </c>
      <c r="F249" s="31"/>
      <c r="G249" s="31"/>
      <c r="H249" s="31"/>
      <c r="I249" s="31"/>
      <c r="J249" s="31">
        <f t="shared" si="121"/>
        <v>0</v>
      </c>
      <c r="K249" s="31"/>
      <c r="L249" s="31"/>
      <c r="M249" s="31"/>
      <c r="N249" s="31"/>
      <c r="O249" s="31"/>
      <c r="P249" s="31">
        <f t="shared" si="120"/>
        <v>0</v>
      </c>
      <c r="Q249" s="168"/>
    </row>
    <row r="250" spans="1:17" s="32" customFormat="1" ht="289.5" customHeight="1" x14ac:dyDescent="0.45">
      <c r="A250" s="28" t="s">
        <v>418</v>
      </c>
      <c r="B250" s="29">
        <v>3221</v>
      </c>
      <c r="C250" s="28" t="s">
        <v>51</v>
      </c>
      <c r="D250" s="30" t="s">
        <v>638</v>
      </c>
      <c r="E250" s="31">
        <f t="shared" si="119"/>
        <v>0</v>
      </c>
      <c r="F250" s="54"/>
      <c r="G250" s="31"/>
      <c r="H250" s="31"/>
      <c r="I250" s="31"/>
      <c r="J250" s="31">
        <f t="shared" si="121"/>
        <v>8260461.4100000001</v>
      </c>
      <c r="K250" s="31">
        <v>8260461.4100000001</v>
      </c>
      <c r="L250" s="31"/>
      <c r="M250" s="31"/>
      <c r="N250" s="31"/>
      <c r="O250" s="31">
        <v>8260461.4100000001</v>
      </c>
      <c r="P250" s="31">
        <f t="shared" si="120"/>
        <v>8260461.4100000001</v>
      </c>
      <c r="Q250" s="168"/>
    </row>
    <row r="251" spans="1:17" s="37" customFormat="1" ht="321.75" customHeight="1" x14ac:dyDescent="0.45">
      <c r="A251" s="33"/>
      <c r="B251" s="34"/>
      <c r="C251" s="33"/>
      <c r="D251" s="35" t="s">
        <v>641</v>
      </c>
      <c r="E251" s="31">
        <f t="shared" si="119"/>
        <v>0</v>
      </c>
      <c r="F251" s="58"/>
      <c r="G251" s="36"/>
      <c r="H251" s="36"/>
      <c r="I251" s="36"/>
      <c r="J251" s="36">
        <f t="shared" si="121"/>
        <v>8260461.4100000001</v>
      </c>
      <c r="K251" s="31">
        <v>8260461.4100000001</v>
      </c>
      <c r="L251" s="31"/>
      <c r="M251" s="31"/>
      <c r="N251" s="31"/>
      <c r="O251" s="31">
        <v>8260461.4100000001</v>
      </c>
      <c r="P251" s="36">
        <f t="shared" si="120"/>
        <v>8260461.4100000001</v>
      </c>
      <c r="Q251" s="168"/>
    </row>
    <row r="252" spans="1:17" s="32" customFormat="1" ht="296.25" customHeight="1" x14ac:dyDescent="0.45">
      <c r="A252" s="28" t="s">
        <v>510</v>
      </c>
      <c r="B252" s="29">
        <v>3222</v>
      </c>
      <c r="C252" s="28" t="s">
        <v>51</v>
      </c>
      <c r="D252" s="30" t="s">
        <v>639</v>
      </c>
      <c r="E252" s="31">
        <f t="shared" ref="E252:E253" si="128">F252+I252</f>
        <v>0</v>
      </c>
      <c r="F252" s="59"/>
      <c r="G252" s="31"/>
      <c r="H252" s="31"/>
      <c r="I252" s="31"/>
      <c r="J252" s="31">
        <f t="shared" ref="J252:J253" si="129">L252+O252</f>
        <v>8914255.9499999993</v>
      </c>
      <c r="K252" s="31">
        <v>8914255.9499999993</v>
      </c>
      <c r="L252" s="31"/>
      <c r="M252" s="31"/>
      <c r="N252" s="31"/>
      <c r="O252" s="31">
        <v>8914255.9499999993</v>
      </c>
      <c r="P252" s="31">
        <f t="shared" si="120"/>
        <v>8914255.9499999993</v>
      </c>
      <c r="Q252" s="168"/>
    </row>
    <row r="253" spans="1:17" s="37" customFormat="1" ht="314.25" customHeight="1" x14ac:dyDescent="0.45">
      <c r="A253" s="33"/>
      <c r="B253" s="34"/>
      <c r="C253" s="33"/>
      <c r="D253" s="35" t="s">
        <v>643</v>
      </c>
      <c r="E253" s="36">
        <f t="shared" si="128"/>
        <v>0</v>
      </c>
      <c r="F253" s="60"/>
      <c r="G253" s="36"/>
      <c r="H253" s="36"/>
      <c r="I253" s="36"/>
      <c r="J253" s="36">
        <f t="shared" si="129"/>
        <v>8914255.9499999993</v>
      </c>
      <c r="K253" s="31">
        <v>8914255.9499999993</v>
      </c>
      <c r="L253" s="31"/>
      <c r="M253" s="31"/>
      <c r="N253" s="31"/>
      <c r="O253" s="31">
        <v>8914255.9499999993</v>
      </c>
      <c r="P253" s="36">
        <f t="shared" si="120"/>
        <v>8914255.9499999993</v>
      </c>
      <c r="Q253" s="168"/>
    </row>
    <row r="254" spans="1:17" s="32" customFormat="1" ht="182.25" hidden="1" customHeight="1" x14ac:dyDescent="0.45">
      <c r="A254" s="28" t="s">
        <v>417</v>
      </c>
      <c r="B254" s="29">
        <v>3223</v>
      </c>
      <c r="C254" s="28" t="s">
        <v>51</v>
      </c>
      <c r="D254" s="30" t="str">
        <f>'дод 9'!C172</f>
        <v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умов, у т.ч. за рахунок:</v>
      </c>
      <c r="E254" s="31">
        <f t="shared" si="119"/>
        <v>0</v>
      </c>
      <c r="F254" s="31"/>
      <c r="G254" s="31"/>
      <c r="H254" s="31"/>
      <c r="I254" s="31"/>
      <c r="J254" s="61">
        <f t="shared" si="121"/>
        <v>0</v>
      </c>
      <c r="K254" s="61"/>
      <c r="L254" s="61"/>
      <c r="M254" s="61"/>
      <c r="N254" s="61"/>
      <c r="O254" s="61"/>
      <c r="P254" s="61">
        <f t="shared" si="120"/>
        <v>0</v>
      </c>
      <c r="Q254" s="168"/>
    </row>
    <row r="255" spans="1:17" s="37" customFormat="1" ht="213" hidden="1" customHeight="1" x14ac:dyDescent="0.45">
      <c r="A255" s="33"/>
      <c r="B255" s="34"/>
      <c r="C255" s="33"/>
      <c r="D255" s="35" t="s">
        <v>642</v>
      </c>
      <c r="E255" s="36">
        <f t="shared" si="119"/>
        <v>0</v>
      </c>
      <c r="F255" s="36"/>
      <c r="G255" s="36"/>
      <c r="H255" s="36"/>
      <c r="I255" s="36"/>
      <c r="J255" s="62">
        <f t="shared" si="121"/>
        <v>0</v>
      </c>
      <c r="K255" s="62"/>
      <c r="L255" s="62"/>
      <c r="M255" s="62"/>
      <c r="N255" s="62"/>
      <c r="O255" s="62"/>
      <c r="P255" s="62">
        <f t="shared" si="120"/>
        <v>0</v>
      </c>
      <c r="Q255" s="168"/>
    </row>
    <row r="256" spans="1:17" s="32" customFormat="1" ht="37.5" customHeight="1" x14ac:dyDescent="0.45">
      <c r="A256" s="28" t="s">
        <v>295</v>
      </c>
      <c r="B256" s="29" t="str">
        <f>'дод 9'!A174</f>
        <v>3241</v>
      </c>
      <c r="C256" s="29" t="str">
        <f>'дод 9'!B174</f>
        <v>1090</v>
      </c>
      <c r="D256" s="30" t="str">
        <f>'дод 9'!C174</f>
        <v>Забезпечення діяльності інших закладів у сфері соціального захисту і соціального забезпечення</v>
      </c>
      <c r="E256" s="31">
        <f t="shared" si="119"/>
        <v>6840400</v>
      </c>
      <c r="F256" s="31">
        <f>6618300+222100</f>
        <v>6840400</v>
      </c>
      <c r="G256" s="31">
        <f>3540500+182100</f>
        <v>3722600</v>
      </c>
      <c r="H256" s="31">
        <f>506500</f>
        <v>506500</v>
      </c>
      <c r="I256" s="31"/>
      <c r="J256" s="31">
        <f t="shared" ref="J256:J264" si="130">L256+O256</f>
        <v>0</v>
      </c>
      <c r="K256" s="31"/>
      <c r="L256" s="31"/>
      <c r="M256" s="31"/>
      <c r="N256" s="31"/>
      <c r="O256" s="31"/>
      <c r="P256" s="31">
        <f t="shared" si="120"/>
        <v>6840400</v>
      </c>
      <c r="Q256" s="168"/>
    </row>
    <row r="257" spans="1:17" s="136" customFormat="1" ht="33" customHeight="1" x14ac:dyDescent="0.45">
      <c r="A257" s="28" t="s">
        <v>342</v>
      </c>
      <c r="B257" s="29" t="str">
        <f>'дод 9'!A175</f>
        <v>3242</v>
      </c>
      <c r="C257" s="29" t="str">
        <f>'дод 9'!B175</f>
        <v>1090</v>
      </c>
      <c r="D257" s="30" t="s">
        <v>605</v>
      </c>
      <c r="E257" s="31">
        <f t="shared" si="119"/>
        <v>266135494</v>
      </c>
      <c r="F257" s="31">
        <f>283053500-186471500+261600+100000+440000+100000+71218100+4750000+4997600+60000+9550+61416800+3616150+34265+180000+100000+100000+65000+3750000+353429+200000+17801000</f>
        <v>266135494</v>
      </c>
      <c r="G257" s="31"/>
      <c r="H257" s="31"/>
      <c r="I257" s="31"/>
      <c r="J257" s="31">
        <f t="shared" si="130"/>
        <v>0</v>
      </c>
      <c r="K257" s="31"/>
      <c r="L257" s="31"/>
      <c r="M257" s="31"/>
      <c r="N257" s="31"/>
      <c r="O257" s="31"/>
      <c r="P257" s="31">
        <f t="shared" si="120"/>
        <v>266135494</v>
      </c>
      <c r="Q257" s="168"/>
    </row>
    <row r="258" spans="1:17" s="37" customFormat="1" ht="25.5" customHeight="1" x14ac:dyDescent="0.45">
      <c r="A258" s="33"/>
      <c r="B258" s="34"/>
      <c r="C258" s="34"/>
      <c r="D258" s="35" t="s">
        <v>380</v>
      </c>
      <c r="E258" s="36">
        <f t="shared" si="119"/>
        <v>261600</v>
      </c>
      <c r="F258" s="36">
        <v>261600</v>
      </c>
      <c r="G258" s="36"/>
      <c r="H258" s="36"/>
      <c r="I258" s="36"/>
      <c r="J258" s="36">
        <f t="shared" si="130"/>
        <v>0</v>
      </c>
      <c r="K258" s="36"/>
      <c r="L258" s="36"/>
      <c r="M258" s="36"/>
      <c r="N258" s="36"/>
      <c r="O258" s="36"/>
      <c r="P258" s="36">
        <f t="shared" si="120"/>
        <v>261600</v>
      </c>
      <c r="Q258" s="168"/>
    </row>
    <row r="259" spans="1:17" s="135" customFormat="1" ht="98.65" customHeight="1" x14ac:dyDescent="0.45">
      <c r="A259" s="33"/>
      <c r="B259" s="34"/>
      <c r="C259" s="34"/>
      <c r="D259" s="35" t="s">
        <v>624</v>
      </c>
      <c r="E259" s="36">
        <f t="shared" si="119"/>
        <v>65366800</v>
      </c>
      <c r="F259" s="36">
        <f>61416800+3750000+200000</f>
        <v>65366800</v>
      </c>
      <c r="G259" s="36"/>
      <c r="H259" s="36"/>
      <c r="I259" s="36"/>
      <c r="J259" s="36">
        <f t="shared" si="130"/>
        <v>0</v>
      </c>
      <c r="K259" s="36"/>
      <c r="L259" s="36"/>
      <c r="M259" s="36"/>
      <c r="N259" s="36"/>
      <c r="O259" s="36"/>
      <c r="P259" s="36">
        <f t="shared" si="120"/>
        <v>65366800</v>
      </c>
      <c r="Q259" s="168"/>
    </row>
    <row r="260" spans="1:17" s="32" customFormat="1" ht="31.5" hidden="1" customHeight="1" x14ac:dyDescent="0.45">
      <c r="A260" s="28" t="s">
        <v>398</v>
      </c>
      <c r="B260" s="29">
        <v>7323</v>
      </c>
      <c r="C260" s="28" t="s">
        <v>107</v>
      </c>
      <c r="D260" s="41" t="str">
        <f>'дод 9'!C236</f>
        <v>Будівництво1 установ та закладів соціальної сфери</v>
      </c>
      <c r="E260" s="31">
        <f t="shared" si="119"/>
        <v>0</v>
      </c>
      <c r="F260" s="31"/>
      <c r="G260" s="31"/>
      <c r="H260" s="31"/>
      <c r="I260" s="31"/>
      <c r="J260" s="31">
        <f t="shared" si="130"/>
        <v>0</v>
      </c>
      <c r="K260" s="31"/>
      <c r="L260" s="31"/>
      <c r="M260" s="31"/>
      <c r="N260" s="31"/>
      <c r="O260" s="31"/>
      <c r="P260" s="31">
        <f t="shared" si="120"/>
        <v>0</v>
      </c>
      <c r="Q260" s="168"/>
    </row>
    <row r="261" spans="1:17" s="32" customFormat="1" ht="15.4" hidden="1" x14ac:dyDescent="0.45">
      <c r="A261" s="28" t="s">
        <v>539</v>
      </c>
      <c r="B261" s="29">
        <v>7640</v>
      </c>
      <c r="C261" s="52" t="s">
        <v>82</v>
      </c>
      <c r="D261" s="39" t="s">
        <v>403</v>
      </c>
      <c r="E261" s="31">
        <f t="shared" si="119"/>
        <v>0</v>
      </c>
      <c r="F261" s="31"/>
      <c r="G261" s="31"/>
      <c r="H261" s="31"/>
      <c r="I261" s="31"/>
      <c r="J261" s="31">
        <f t="shared" si="130"/>
        <v>0</v>
      </c>
      <c r="K261" s="31"/>
      <c r="L261" s="31"/>
      <c r="M261" s="31"/>
      <c r="N261" s="31"/>
      <c r="O261" s="31"/>
      <c r="P261" s="31">
        <f t="shared" si="120"/>
        <v>0</v>
      </c>
      <c r="Q261" s="168"/>
    </row>
    <row r="262" spans="1:17" s="32" customFormat="1" ht="66" hidden="1" customHeight="1" x14ac:dyDescent="0.45">
      <c r="A262" s="28" t="s">
        <v>574</v>
      </c>
      <c r="B262" s="29" t="e">
        <f>'дод 9'!#REF!</f>
        <v>#REF!</v>
      </c>
      <c r="C262" s="29" t="e">
        <f>'дод 9'!#REF!</f>
        <v>#REF!</v>
      </c>
      <c r="D262" s="42" t="e">
        <f>'дод 9'!#REF!</f>
        <v>#REF!</v>
      </c>
      <c r="E262" s="31">
        <f>F262</f>
        <v>0</v>
      </c>
      <c r="F262" s="31"/>
      <c r="G262" s="31"/>
      <c r="H262" s="31"/>
      <c r="I262" s="31"/>
      <c r="J262" s="31">
        <f t="shared" ref="J262" si="131">L262+O262</f>
        <v>0</v>
      </c>
      <c r="K262" s="31"/>
      <c r="L262" s="31"/>
      <c r="M262" s="31"/>
      <c r="N262" s="31"/>
      <c r="O262" s="31"/>
      <c r="P262" s="31">
        <f t="shared" ref="P262" si="132">E262+J262</f>
        <v>0</v>
      </c>
      <c r="Q262" s="168"/>
    </row>
    <row r="263" spans="1:17" s="32" customFormat="1" ht="38.25" hidden="1" customHeight="1" x14ac:dyDescent="0.45">
      <c r="A263" s="28" t="s">
        <v>568</v>
      </c>
      <c r="B263" s="29">
        <v>8775</v>
      </c>
      <c r="C263" s="28" t="s">
        <v>89</v>
      </c>
      <c r="D263" s="30" t="s">
        <v>565</v>
      </c>
      <c r="E263" s="31">
        <f>F263</f>
        <v>0</v>
      </c>
      <c r="F263" s="31"/>
      <c r="G263" s="31"/>
      <c r="H263" s="31"/>
      <c r="I263" s="31"/>
      <c r="J263" s="31">
        <f t="shared" si="130"/>
        <v>0</v>
      </c>
      <c r="K263" s="31"/>
      <c r="L263" s="31"/>
      <c r="M263" s="31"/>
      <c r="N263" s="31"/>
      <c r="O263" s="31"/>
      <c r="P263" s="31">
        <f t="shared" si="120"/>
        <v>0</v>
      </c>
      <c r="Q263" s="168"/>
    </row>
    <row r="264" spans="1:17" s="32" customFormat="1" ht="22.5" customHeight="1" x14ac:dyDescent="0.45">
      <c r="A264" s="28" t="s">
        <v>257</v>
      </c>
      <c r="B264" s="29" t="str">
        <f>'дод 9'!A327</f>
        <v>9770</v>
      </c>
      <c r="C264" s="29" t="str">
        <f>'дод 9'!B327</f>
        <v>0180</v>
      </c>
      <c r="D264" s="30" t="str">
        <f>'дод 9'!C327</f>
        <v>Інші субвенції з місцевого бюджету</v>
      </c>
      <c r="E264" s="31">
        <f t="shared" si="119"/>
        <v>200000</v>
      </c>
      <c r="F264" s="31">
        <v>200000</v>
      </c>
      <c r="G264" s="31"/>
      <c r="H264" s="31"/>
      <c r="I264" s="31"/>
      <c r="J264" s="31">
        <f t="shared" si="130"/>
        <v>0</v>
      </c>
      <c r="K264" s="31"/>
      <c r="L264" s="31"/>
      <c r="M264" s="31"/>
      <c r="N264" s="31"/>
      <c r="O264" s="31"/>
      <c r="P264" s="31">
        <f t="shared" si="120"/>
        <v>200000</v>
      </c>
      <c r="Q264" s="168"/>
    </row>
    <row r="265" spans="1:17" s="22" customFormat="1" ht="30" x14ac:dyDescent="0.4">
      <c r="A265" s="43" t="s">
        <v>180</v>
      </c>
      <c r="B265" s="44"/>
      <c r="C265" s="44"/>
      <c r="D265" s="45" t="s">
        <v>350</v>
      </c>
      <c r="E265" s="21">
        <f>E266</f>
        <v>7838300</v>
      </c>
      <c r="F265" s="21">
        <f t="shared" ref="F265:J265" si="133">F266</f>
        <v>7838300</v>
      </c>
      <c r="G265" s="21">
        <f t="shared" si="133"/>
        <v>5839800</v>
      </c>
      <c r="H265" s="21">
        <f t="shared" si="133"/>
        <v>138600</v>
      </c>
      <c r="I265" s="21">
        <f t="shared" si="133"/>
        <v>0</v>
      </c>
      <c r="J265" s="21">
        <f t="shared" si="133"/>
        <v>0</v>
      </c>
      <c r="K265" s="21">
        <f t="shared" ref="K265" si="134">K266</f>
        <v>0</v>
      </c>
      <c r="L265" s="21">
        <f t="shared" ref="L265" si="135">L266</f>
        <v>0</v>
      </c>
      <c r="M265" s="21">
        <f t="shared" ref="M265" si="136">M266</f>
        <v>0</v>
      </c>
      <c r="N265" s="21">
        <f t="shared" ref="N265" si="137">N266</f>
        <v>0</v>
      </c>
      <c r="O265" s="21">
        <f t="shared" ref="O265:P265" si="138">O266</f>
        <v>0</v>
      </c>
      <c r="P265" s="21">
        <f t="shared" si="138"/>
        <v>7838300</v>
      </c>
      <c r="Q265" s="168"/>
    </row>
    <row r="266" spans="1:17" s="27" customFormat="1" ht="30" x14ac:dyDescent="0.4">
      <c r="A266" s="23" t="s">
        <v>181</v>
      </c>
      <c r="B266" s="46"/>
      <c r="C266" s="46"/>
      <c r="D266" s="25" t="s">
        <v>350</v>
      </c>
      <c r="E266" s="26">
        <f>E268+E269+E270+E272+E271</f>
        <v>7838300</v>
      </c>
      <c r="F266" s="26">
        <f t="shared" ref="F266:P266" si="139">F268+F269+F270+F272+F271</f>
        <v>7838300</v>
      </c>
      <c r="G266" s="26">
        <f t="shared" si="139"/>
        <v>5839800</v>
      </c>
      <c r="H266" s="26">
        <f t="shared" si="139"/>
        <v>138600</v>
      </c>
      <c r="I266" s="26">
        <f t="shared" si="139"/>
        <v>0</v>
      </c>
      <c r="J266" s="26">
        <f t="shared" si="139"/>
        <v>0</v>
      </c>
      <c r="K266" s="26">
        <f t="shared" si="139"/>
        <v>0</v>
      </c>
      <c r="L266" s="26">
        <f t="shared" si="139"/>
        <v>0</v>
      </c>
      <c r="M266" s="26">
        <f t="shared" si="139"/>
        <v>0</v>
      </c>
      <c r="N266" s="26">
        <f t="shared" si="139"/>
        <v>0</v>
      </c>
      <c r="O266" s="26">
        <f t="shared" si="139"/>
        <v>0</v>
      </c>
      <c r="P266" s="26">
        <f t="shared" si="139"/>
        <v>7838300</v>
      </c>
      <c r="Q266" s="168"/>
    </row>
    <row r="267" spans="1:17" s="27" customFormat="1" ht="141.75" hidden="1" customHeight="1" x14ac:dyDescent="0.4">
      <c r="A267" s="23"/>
      <c r="B267" s="46"/>
      <c r="C267" s="46"/>
      <c r="D267" s="63" t="s">
        <v>533</v>
      </c>
      <c r="E267" s="26">
        <f>E273</f>
        <v>0</v>
      </c>
      <c r="F267" s="26">
        <f t="shared" ref="F267:P267" si="140">F273</f>
        <v>0</v>
      </c>
      <c r="G267" s="26">
        <f t="shared" si="140"/>
        <v>0</v>
      </c>
      <c r="H267" s="26">
        <f t="shared" si="140"/>
        <v>0</v>
      </c>
      <c r="I267" s="26">
        <f t="shared" si="140"/>
        <v>0</v>
      </c>
      <c r="J267" s="26">
        <f t="shared" si="140"/>
        <v>0</v>
      </c>
      <c r="K267" s="26">
        <f t="shared" si="140"/>
        <v>0</v>
      </c>
      <c r="L267" s="26">
        <f t="shared" si="140"/>
        <v>0</v>
      </c>
      <c r="M267" s="26">
        <f t="shared" si="140"/>
        <v>0</v>
      </c>
      <c r="N267" s="26">
        <f t="shared" si="140"/>
        <v>0</v>
      </c>
      <c r="O267" s="26">
        <f t="shared" si="140"/>
        <v>0</v>
      </c>
      <c r="P267" s="26">
        <f t="shared" si="140"/>
        <v>0</v>
      </c>
      <c r="Q267" s="168"/>
    </row>
    <row r="268" spans="1:17" s="32" customFormat="1" ht="30.75" x14ac:dyDescent="0.45">
      <c r="A268" s="28" t="s">
        <v>182</v>
      </c>
      <c r="B268" s="29" t="str">
        <f>'дод 9'!A16</f>
        <v>0160</v>
      </c>
      <c r="C268" s="29" t="str">
        <f>'дод 9'!B16</f>
        <v>0111</v>
      </c>
      <c r="D268" s="30" t="s">
        <v>721</v>
      </c>
      <c r="E268" s="31">
        <f t="shared" ref="E268:E273" si="141">F268+I268</f>
        <v>7552000</v>
      </c>
      <c r="F268" s="31">
        <f>6981400+570600</f>
        <v>7552000</v>
      </c>
      <c r="G268" s="31">
        <f>5371700+468100</f>
        <v>5839800</v>
      </c>
      <c r="H268" s="31">
        <v>138600</v>
      </c>
      <c r="I268" s="31"/>
      <c r="J268" s="31">
        <f>L268+O268</f>
        <v>0</v>
      </c>
      <c r="K268" s="31">
        <f>12000-12000</f>
        <v>0</v>
      </c>
      <c r="L268" s="31"/>
      <c r="M268" s="31"/>
      <c r="N268" s="31"/>
      <c r="O268" s="31">
        <f>12000-12000</f>
        <v>0</v>
      </c>
      <c r="P268" s="31">
        <f t="shared" ref="P268:P273" si="142">E268+J268</f>
        <v>7552000</v>
      </c>
      <c r="Q268" s="168"/>
    </row>
    <row r="269" spans="1:17" s="32" customFormat="1" ht="84.75" customHeight="1" x14ac:dyDescent="0.45">
      <c r="A269" s="28" t="s">
        <v>321</v>
      </c>
      <c r="B269" s="29">
        <v>3111</v>
      </c>
      <c r="C269" s="29">
        <v>1040</v>
      </c>
      <c r="D269" s="30" t="str">
        <f>'дод 9'!C148</f>
        <v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v>
      </c>
      <c r="E269" s="31">
        <f t="shared" si="141"/>
        <v>116300</v>
      </c>
      <c r="F269" s="31">
        <v>116300</v>
      </c>
      <c r="G269" s="31"/>
      <c r="H269" s="31"/>
      <c r="I269" s="31"/>
      <c r="J269" s="31">
        <f t="shared" ref="J269:J273" si="143">L269+O269</f>
        <v>0</v>
      </c>
      <c r="K269" s="31">
        <f>21140-21140</f>
        <v>0</v>
      </c>
      <c r="L269" s="31"/>
      <c r="M269" s="31"/>
      <c r="N269" s="31"/>
      <c r="O269" s="31">
        <f>21140-21140</f>
        <v>0</v>
      </c>
      <c r="P269" s="31">
        <f t="shared" si="142"/>
        <v>116300</v>
      </c>
      <c r="Q269" s="64"/>
    </row>
    <row r="270" spans="1:17" s="32" customFormat="1" ht="31.5" customHeight="1" x14ac:dyDescent="0.45">
      <c r="A270" s="28" t="s">
        <v>183</v>
      </c>
      <c r="B270" s="29" t="str">
        <f>'дод 9'!A149</f>
        <v>3112</v>
      </c>
      <c r="C270" s="29" t="str">
        <f>'дод 9'!B149</f>
        <v>1040</v>
      </c>
      <c r="D270" s="30" t="str">
        <f>'дод 9'!C149</f>
        <v>Заходи державної політики з питань дітей та їх соціального захисту</v>
      </c>
      <c r="E270" s="31">
        <f t="shared" si="141"/>
        <v>170000</v>
      </c>
      <c r="F270" s="31">
        <f>141200+28800</f>
        <v>170000</v>
      </c>
      <c r="G270" s="31"/>
      <c r="H270" s="31"/>
      <c r="I270" s="31"/>
      <c r="J270" s="31">
        <f t="shared" si="143"/>
        <v>0</v>
      </c>
      <c r="K270" s="31"/>
      <c r="L270" s="31"/>
      <c r="M270" s="31"/>
      <c r="N270" s="31"/>
      <c r="O270" s="31"/>
      <c r="P270" s="31">
        <f t="shared" si="142"/>
        <v>170000</v>
      </c>
      <c r="Q270" s="64"/>
    </row>
    <row r="271" spans="1:17" s="32" customFormat="1" ht="31.5" hidden="1" customHeight="1" x14ac:dyDescent="0.45">
      <c r="A271" s="28" t="s">
        <v>543</v>
      </c>
      <c r="B271" s="29">
        <v>3242</v>
      </c>
      <c r="C271" s="52" t="s">
        <v>54</v>
      </c>
      <c r="D271" s="39" t="s">
        <v>393</v>
      </c>
      <c r="E271" s="31">
        <f t="shared" si="141"/>
        <v>0</v>
      </c>
      <c r="F271" s="31"/>
      <c r="G271" s="31"/>
      <c r="H271" s="31"/>
      <c r="I271" s="31"/>
      <c r="J271" s="31">
        <f t="shared" si="143"/>
        <v>0</v>
      </c>
      <c r="K271" s="31"/>
      <c r="L271" s="31"/>
      <c r="M271" s="31"/>
      <c r="N271" s="31"/>
      <c r="O271" s="31"/>
      <c r="P271" s="31">
        <f t="shared" si="142"/>
        <v>0</v>
      </c>
      <c r="Q271" s="64"/>
    </row>
    <row r="272" spans="1:17" s="32" customFormat="1" ht="94.5" hidden="1" customHeight="1" x14ac:dyDescent="0.45">
      <c r="A272" s="28" t="s">
        <v>414</v>
      </c>
      <c r="B272" s="29">
        <v>6083</v>
      </c>
      <c r="C272" s="28" t="s">
        <v>65</v>
      </c>
      <c r="D272" s="49" t="s">
        <v>415</v>
      </c>
      <c r="E272" s="31">
        <f t="shared" si="141"/>
        <v>0</v>
      </c>
      <c r="F272" s="31"/>
      <c r="G272" s="31"/>
      <c r="H272" s="31"/>
      <c r="I272" s="31"/>
      <c r="J272" s="31">
        <f t="shared" si="143"/>
        <v>0</v>
      </c>
      <c r="K272" s="31"/>
      <c r="L272" s="31"/>
      <c r="M272" s="31"/>
      <c r="N272" s="31"/>
      <c r="O272" s="31"/>
      <c r="P272" s="31">
        <f t="shared" si="142"/>
        <v>0</v>
      </c>
      <c r="Q272" s="64"/>
    </row>
    <row r="273" spans="1:17" s="37" customFormat="1" ht="138.75" hidden="1" customHeight="1" x14ac:dyDescent="0.45">
      <c r="A273" s="33"/>
      <c r="B273" s="34"/>
      <c r="C273" s="33"/>
      <c r="D273" s="65" t="s">
        <v>533</v>
      </c>
      <c r="E273" s="31">
        <f t="shared" si="141"/>
        <v>0</v>
      </c>
      <c r="F273" s="36"/>
      <c r="G273" s="36"/>
      <c r="H273" s="36"/>
      <c r="I273" s="36"/>
      <c r="J273" s="31">
        <f t="shared" si="143"/>
        <v>0</v>
      </c>
      <c r="K273" s="36"/>
      <c r="L273" s="36"/>
      <c r="M273" s="36"/>
      <c r="N273" s="36"/>
      <c r="O273" s="36"/>
      <c r="P273" s="31">
        <f t="shared" si="142"/>
        <v>0</v>
      </c>
      <c r="Q273" s="64"/>
    </row>
    <row r="274" spans="1:17" s="22" customFormat="1" ht="22.5" customHeight="1" x14ac:dyDescent="0.4">
      <c r="A274" s="43" t="s">
        <v>25</v>
      </c>
      <c r="B274" s="44"/>
      <c r="C274" s="44"/>
      <c r="D274" s="45" t="s">
        <v>322</v>
      </c>
      <c r="E274" s="21">
        <f>E275</f>
        <v>103649200</v>
      </c>
      <c r="F274" s="21">
        <f t="shared" ref="F274:J274" si="144">F275</f>
        <v>103649200</v>
      </c>
      <c r="G274" s="21">
        <f t="shared" si="144"/>
        <v>77700300</v>
      </c>
      <c r="H274" s="21">
        <f t="shared" si="144"/>
        <v>4802700</v>
      </c>
      <c r="I274" s="21">
        <f t="shared" si="144"/>
        <v>0</v>
      </c>
      <c r="J274" s="21">
        <f t="shared" si="144"/>
        <v>8570035</v>
      </c>
      <c r="K274" s="21">
        <f t="shared" ref="K274" si="145">K275</f>
        <v>4860300</v>
      </c>
      <c r="L274" s="21">
        <f t="shared" ref="L274" si="146">L275</f>
        <v>3707535</v>
      </c>
      <c r="M274" s="21">
        <f t="shared" ref="M274" si="147">M275</f>
        <v>3020273</v>
      </c>
      <c r="N274" s="21">
        <f t="shared" ref="N274" si="148">N275</f>
        <v>0</v>
      </c>
      <c r="O274" s="21">
        <f t="shared" ref="O274:P274" si="149">O275</f>
        <v>4862500</v>
      </c>
      <c r="P274" s="21">
        <f t="shared" si="149"/>
        <v>112219235</v>
      </c>
      <c r="Q274" s="64"/>
    </row>
    <row r="275" spans="1:17" s="27" customFormat="1" ht="31.5" customHeight="1" x14ac:dyDescent="0.4">
      <c r="A275" s="23" t="s">
        <v>184</v>
      </c>
      <c r="B275" s="46"/>
      <c r="C275" s="46"/>
      <c r="D275" s="25" t="s">
        <v>729</v>
      </c>
      <c r="E275" s="26">
        <f>E277+E278+E279+E282+E283++E285+E280+E284+E286+E287</f>
        <v>103649200</v>
      </c>
      <c r="F275" s="26">
        <f t="shared" ref="F275:P275" si="150">F277+F278+F279+F282+F283++F285+F280+F284+F286+F287</f>
        <v>103649200</v>
      </c>
      <c r="G275" s="26">
        <f t="shared" si="150"/>
        <v>77700300</v>
      </c>
      <c r="H275" s="26">
        <f t="shared" si="150"/>
        <v>4802700</v>
      </c>
      <c r="I275" s="26">
        <f t="shared" si="150"/>
        <v>0</v>
      </c>
      <c r="J275" s="26">
        <f t="shared" si="150"/>
        <v>8570035</v>
      </c>
      <c r="K275" s="26">
        <f t="shared" si="150"/>
        <v>4860300</v>
      </c>
      <c r="L275" s="26">
        <f t="shared" si="150"/>
        <v>3707535</v>
      </c>
      <c r="M275" s="26">
        <f t="shared" si="150"/>
        <v>3020273</v>
      </c>
      <c r="N275" s="26">
        <f t="shared" si="150"/>
        <v>0</v>
      </c>
      <c r="O275" s="26">
        <f t="shared" si="150"/>
        <v>4862500</v>
      </c>
      <c r="P275" s="26">
        <f t="shared" si="150"/>
        <v>112219235</v>
      </c>
      <c r="Q275" s="64"/>
    </row>
    <row r="276" spans="1:17" s="27" customFormat="1" ht="90" x14ac:dyDescent="0.4">
      <c r="A276" s="23"/>
      <c r="B276" s="46"/>
      <c r="C276" s="46"/>
      <c r="D276" s="66" t="s">
        <v>624</v>
      </c>
      <c r="E276" s="26">
        <f>E281</f>
        <v>100000</v>
      </c>
      <c r="F276" s="26">
        <f t="shared" ref="F276:P276" si="151">F281</f>
        <v>100000</v>
      </c>
      <c r="G276" s="26">
        <f t="shared" si="151"/>
        <v>0</v>
      </c>
      <c r="H276" s="26">
        <f t="shared" si="151"/>
        <v>0</v>
      </c>
      <c r="I276" s="26">
        <f t="shared" si="151"/>
        <v>0</v>
      </c>
      <c r="J276" s="26">
        <f t="shared" si="151"/>
        <v>0</v>
      </c>
      <c r="K276" s="26">
        <f t="shared" si="151"/>
        <v>0</v>
      </c>
      <c r="L276" s="26">
        <f t="shared" si="151"/>
        <v>0</v>
      </c>
      <c r="M276" s="26">
        <f t="shared" si="151"/>
        <v>0</v>
      </c>
      <c r="N276" s="26">
        <f t="shared" si="151"/>
        <v>0</v>
      </c>
      <c r="O276" s="26">
        <f t="shared" si="151"/>
        <v>0</v>
      </c>
      <c r="P276" s="26">
        <f t="shared" si="151"/>
        <v>100000</v>
      </c>
      <c r="Q276" s="64"/>
    </row>
    <row r="277" spans="1:17" s="32" customFormat="1" ht="30.75" x14ac:dyDescent="0.45">
      <c r="A277" s="28" t="s">
        <v>132</v>
      </c>
      <c r="B277" s="29" t="str">
        <f>'дод 9'!A16</f>
        <v>0160</v>
      </c>
      <c r="C277" s="29" t="str">
        <f>'дод 9'!B16</f>
        <v>0111</v>
      </c>
      <c r="D277" s="30" t="s">
        <v>721</v>
      </c>
      <c r="E277" s="31">
        <f t="shared" ref="E277:E286" si="152">F277+I277</f>
        <v>2618500</v>
      </c>
      <c r="F277" s="31">
        <f>2410900+207600</f>
        <v>2618500</v>
      </c>
      <c r="G277" s="31">
        <f>1884400+170300</f>
        <v>2054700</v>
      </c>
      <c r="H277" s="31">
        <v>50600</v>
      </c>
      <c r="I277" s="31"/>
      <c r="J277" s="31">
        <f>L277+O277</f>
        <v>0</v>
      </c>
      <c r="K277" s="31"/>
      <c r="L277" s="31"/>
      <c r="M277" s="31"/>
      <c r="N277" s="31"/>
      <c r="O277" s="31"/>
      <c r="P277" s="31">
        <f t="shared" ref="P277:P286" si="153">E277+J277</f>
        <v>2618500</v>
      </c>
      <c r="Q277" s="64"/>
    </row>
    <row r="278" spans="1:17" s="32" customFormat="1" ht="33" customHeight="1" x14ac:dyDescent="0.45">
      <c r="A278" s="28" t="s">
        <v>472</v>
      </c>
      <c r="B278" s="29">
        <v>1080</v>
      </c>
      <c r="C278" s="28" t="s">
        <v>55</v>
      </c>
      <c r="D278" s="30" t="str">
        <f>'дод 9'!C67</f>
        <v>Надання спеціалізованої освіти мистецькими школами</v>
      </c>
      <c r="E278" s="31">
        <f t="shared" si="152"/>
        <v>63714300</v>
      </c>
      <c r="F278" s="31">
        <f>63414300+500000-200000</f>
        <v>63714300</v>
      </c>
      <c r="G278" s="31">
        <v>49963100</v>
      </c>
      <c r="H278" s="31">
        <v>1633100</v>
      </c>
      <c r="I278" s="31"/>
      <c r="J278" s="31">
        <f>L278+O278</f>
        <v>3692735</v>
      </c>
      <c r="K278" s="31"/>
      <c r="L278" s="31">
        <v>3690535</v>
      </c>
      <c r="M278" s="31">
        <v>3020273</v>
      </c>
      <c r="N278" s="31"/>
      <c r="O278" s="31">
        <v>2200</v>
      </c>
      <c r="P278" s="31">
        <f t="shared" si="153"/>
        <v>67407035</v>
      </c>
      <c r="Q278" s="64"/>
    </row>
    <row r="279" spans="1:17" s="32" customFormat="1" ht="21" customHeight="1" x14ac:dyDescent="0.45">
      <c r="A279" s="28" t="s">
        <v>185</v>
      </c>
      <c r="B279" s="29" t="str">
        <f>'дод 9'!A180</f>
        <v>4030</v>
      </c>
      <c r="C279" s="29" t="str">
        <f>'дод 9'!B180</f>
        <v>0824</v>
      </c>
      <c r="D279" s="30" t="str">
        <f>'дод 9'!C180</f>
        <v>Забезпечення діяльності бібліотек</v>
      </c>
      <c r="E279" s="31">
        <f t="shared" si="152"/>
        <v>27722400</v>
      </c>
      <c r="F279" s="31">
        <v>27722400</v>
      </c>
      <c r="G279" s="31">
        <v>19660500</v>
      </c>
      <c r="H279" s="31">
        <v>2672200</v>
      </c>
      <c r="I279" s="31"/>
      <c r="J279" s="31">
        <f t="shared" ref="J279:J286" si="154">L279+O279</f>
        <v>4865300</v>
      </c>
      <c r="K279" s="31">
        <v>4860300</v>
      </c>
      <c r="L279" s="31">
        <v>5000</v>
      </c>
      <c r="M279" s="31"/>
      <c r="N279" s="31"/>
      <c r="O279" s="31">
        <v>4860300</v>
      </c>
      <c r="P279" s="31">
        <f t="shared" si="153"/>
        <v>32587700</v>
      </c>
      <c r="Q279" s="64"/>
    </row>
    <row r="280" spans="1:17" s="32" customFormat="1" ht="54.75" customHeight="1" x14ac:dyDescent="0.45">
      <c r="A280" s="28">
        <v>1014060</v>
      </c>
      <c r="B280" s="29" t="str">
        <f>'дод 9'!A181</f>
        <v>4060</v>
      </c>
      <c r="C280" s="29" t="str">
        <f>'дод 9'!B181</f>
        <v>0828</v>
      </c>
      <c r="D280" s="30" t="str">
        <f>'дод 9'!C181</f>
        <v>Забезпечення діяльності палаців i будинків культури, клубів, центрів дозвілля та iнших клубних закладів, у т.ч. за рахунок:</v>
      </c>
      <c r="E280" s="31">
        <f t="shared" si="152"/>
        <v>6166500</v>
      </c>
      <c r="F280" s="31">
        <f>5349200+173500+243800+300000+100000</f>
        <v>6166500</v>
      </c>
      <c r="G280" s="31">
        <f>3530000+142200+199800</f>
        <v>3872000</v>
      </c>
      <c r="H280" s="31">
        <v>370000</v>
      </c>
      <c r="I280" s="31"/>
      <c r="J280" s="31">
        <f t="shared" si="154"/>
        <v>0</v>
      </c>
      <c r="K280" s="31">
        <f>246000-246000</f>
        <v>0</v>
      </c>
      <c r="L280" s="31"/>
      <c r="M280" s="31"/>
      <c r="N280" s="31"/>
      <c r="O280" s="31">
        <f>246000-246000</f>
        <v>0</v>
      </c>
      <c r="P280" s="31">
        <f t="shared" si="153"/>
        <v>6166500</v>
      </c>
      <c r="Q280" s="64"/>
    </row>
    <row r="281" spans="1:17" s="37" customFormat="1" ht="92.25" x14ac:dyDescent="0.45">
      <c r="A281" s="33"/>
      <c r="B281" s="34"/>
      <c r="C281" s="34"/>
      <c r="D281" s="55" t="s">
        <v>624</v>
      </c>
      <c r="E281" s="36">
        <f t="shared" ref="E281" si="155">F281+I281</f>
        <v>100000</v>
      </c>
      <c r="F281" s="36">
        <v>100000</v>
      </c>
      <c r="G281" s="36"/>
      <c r="H281" s="36"/>
      <c r="I281" s="36"/>
      <c r="J281" s="36">
        <f t="shared" ref="J281" si="156">L281+O281</f>
        <v>0</v>
      </c>
      <c r="K281" s="36">
        <f>246000-246000</f>
        <v>0</v>
      </c>
      <c r="L281" s="36"/>
      <c r="M281" s="36"/>
      <c r="N281" s="36"/>
      <c r="O281" s="36">
        <f>246000-246000</f>
        <v>0</v>
      </c>
      <c r="P281" s="36">
        <f t="shared" ref="P281" si="157">E281+J281</f>
        <v>100000</v>
      </c>
      <c r="Q281" s="67"/>
    </row>
    <row r="282" spans="1:17" s="37" customFormat="1" ht="33.75" customHeight="1" x14ac:dyDescent="0.45">
      <c r="A282" s="28">
        <v>1014081</v>
      </c>
      <c r="B282" s="29" t="str">
        <f>'дод 9'!A183</f>
        <v>4081</v>
      </c>
      <c r="C282" s="29" t="str">
        <f>'дод 9'!B183</f>
        <v>0829</v>
      </c>
      <c r="D282" s="30" t="str">
        <f>'дод 9'!C183</f>
        <v>Забезпечення діяльності інших закладів в галузі культури і мистецтва</v>
      </c>
      <c r="E282" s="31">
        <f t="shared" si="152"/>
        <v>2852500</v>
      </c>
      <c r="F282" s="31">
        <v>2852500</v>
      </c>
      <c r="G282" s="31">
        <v>2150000</v>
      </c>
      <c r="H282" s="31">
        <v>76800</v>
      </c>
      <c r="I282" s="31"/>
      <c r="J282" s="31">
        <f t="shared" si="154"/>
        <v>0</v>
      </c>
      <c r="K282" s="31"/>
      <c r="L282" s="31"/>
      <c r="M282" s="31"/>
      <c r="N282" s="31"/>
      <c r="O282" s="31"/>
      <c r="P282" s="31">
        <f t="shared" si="153"/>
        <v>2852500</v>
      </c>
      <c r="Q282" s="64"/>
    </row>
    <row r="283" spans="1:17" s="37" customFormat="1" ht="25.5" customHeight="1" x14ac:dyDescent="0.45">
      <c r="A283" s="28">
        <v>1014082</v>
      </c>
      <c r="B283" s="29" t="str">
        <f>'дод 9'!A184</f>
        <v>4082</v>
      </c>
      <c r="C283" s="29" t="str">
        <f>'дод 9'!B184</f>
        <v>0829</v>
      </c>
      <c r="D283" s="30" t="str">
        <f>'дод 9'!C184</f>
        <v>Інші заходи в галузі культури і мистецтва</v>
      </c>
      <c r="E283" s="31">
        <f t="shared" si="152"/>
        <v>500000</v>
      </c>
      <c r="F283" s="31">
        <f>1200000-700000</f>
        <v>500000</v>
      </c>
      <c r="G283" s="31"/>
      <c r="H283" s="31"/>
      <c r="I283" s="31"/>
      <c r="J283" s="31">
        <f t="shared" si="154"/>
        <v>0</v>
      </c>
      <c r="K283" s="31"/>
      <c r="L283" s="31"/>
      <c r="M283" s="31"/>
      <c r="N283" s="31"/>
      <c r="O283" s="31"/>
      <c r="P283" s="31">
        <f t="shared" si="153"/>
        <v>500000</v>
      </c>
      <c r="Q283" s="64"/>
    </row>
    <row r="284" spans="1:17" s="37" customFormat="1" ht="21.75" hidden="1" customHeight="1" x14ac:dyDescent="0.45">
      <c r="A284" s="28" t="s">
        <v>427</v>
      </c>
      <c r="B284" s="28" t="s">
        <v>428</v>
      </c>
      <c r="C284" s="28" t="s">
        <v>107</v>
      </c>
      <c r="D284" s="41" t="str">
        <f>'дод 9'!C237</f>
        <v>Будівництво1 установ та закладів культури</v>
      </c>
      <c r="E284" s="31">
        <f t="shared" si="152"/>
        <v>0</v>
      </c>
      <c r="F284" s="31"/>
      <c r="G284" s="31"/>
      <c r="H284" s="31"/>
      <c r="I284" s="31"/>
      <c r="J284" s="31">
        <f t="shared" si="154"/>
        <v>0</v>
      </c>
      <c r="K284" s="31"/>
      <c r="L284" s="31"/>
      <c r="M284" s="31"/>
      <c r="N284" s="31"/>
      <c r="O284" s="31"/>
      <c r="P284" s="31">
        <f t="shared" si="153"/>
        <v>0</v>
      </c>
      <c r="Q284" s="64"/>
    </row>
    <row r="285" spans="1:17" s="32" customFormat="1" ht="22.5" hidden="1" customHeight="1" x14ac:dyDescent="0.45">
      <c r="A285" s="28" t="s">
        <v>138</v>
      </c>
      <c r="B285" s="29" t="str">
        <f>'дод 9'!A276</f>
        <v>7640</v>
      </c>
      <c r="C285" s="29" t="str">
        <f>'дод 9'!B276</f>
        <v>0470</v>
      </c>
      <c r="D285" s="30" t="s">
        <v>403</v>
      </c>
      <c r="E285" s="31">
        <f t="shared" si="152"/>
        <v>0</v>
      </c>
      <c r="F285" s="31"/>
      <c r="G285" s="31"/>
      <c r="H285" s="31"/>
      <c r="I285" s="31"/>
      <c r="J285" s="31">
        <f t="shared" si="154"/>
        <v>0</v>
      </c>
      <c r="K285" s="31"/>
      <c r="L285" s="31"/>
      <c r="M285" s="31"/>
      <c r="N285" s="31"/>
      <c r="O285" s="31"/>
      <c r="P285" s="31">
        <f t="shared" si="153"/>
        <v>0</v>
      </c>
      <c r="Q285" s="64"/>
    </row>
    <row r="286" spans="1:17" s="32" customFormat="1" ht="27" customHeight="1" x14ac:dyDescent="0.45">
      <c r="A286" s="28">
        <v>1018340</v>
      </c>
      <c r="B286" s="29" t="str">
        <f>'дод 9'!A310</f>
        <v>8340</v>
      </c>
      <c r="C286" s="29" t="str">
        <f>'дод 9'!B310</f>
        <v>0540</v>
      </c>
      <c r="D286" s="42" t="str">
        <f>'дод 9'!C310</f>
        <v>Природоохоронні заходи за рахунок цільових фондів</v>
      </c>
      <c r="E286" s="31">
        <f t="shared" si="152"/>
        <v>0</v>
      </c>
      <c r="F286" s="31"/>
      <c r="G286" s="31"/>
      <c r="H286" s="31"/>
      <c r="I286" s="31"/>
      <c r="J286" s="31">
        <f t="shared" si="154"/>
        <v>12000</v>
      </c>
      <c r="K286" s="31"/>
      <c r="L286" s="31">
        <v>12000</v>
      </c>
      <c r="M286" s="31"/>
      <c r="N286" s="31"/>
      <c r="O286" s="31"/>
      <c r="P286" s="31">
        <f t="shared" si="153"/>
        <v>12000</v>
      </c>
      <c r="Q286" s="64"/>
    </row>
    <row r="287" spans="1:17" s="32" customFormat="1" ht="27" customHeight="1" x14ac:dyDescent="0.45">
      <c r="A287" s="28" t="s">
        <v>695</v>
      </c>
      <c r="B287" s="29" t="str">
        <f>'дод 9'!A327</f>
        <v>9770</v>
      </c>
      <c r="C287" s="29" t="str">
        <f>'дод 9'!B327</f>
        <v>0180</v>
      </c>
      <c r="D287" s="42" t="str">
        <f>'дод 9'!C327</f>
        <v>Інші субвенції з місцевого бюджету</v>
      </c>
      <c r="E287" s="31">
        <f t="shared" ref="E287" si="158">F287+I287</f>
        <v>75000</v>
      </c>
      <c r="F287" s="31">
        <v>75000</v>
      </c>
      <c r="G287" s="31"/>
      <c r="H287" s="31"/>
      <c r="I287" s="31"/>
      <c r="J287" s="31">
        <f t="shared" ref="J287" si="159">L287+O287</f>
        <v>0</v>
      </c>
      <c r="K287" s="31"/>
      <c r="L287" s="31"/>
      <c r="M287" s="31"/>
      <c r="N287" s="31"/>
      <c r="O287" s="31"/>
      <c r="P287" s="31">
        <f t="shared" ref="P287" si="160">E287+J287</f>
        <v>75000</v>
      </c>
      <c r="Q287" s="64"/>
    </row>
    <row r="288" spans="1:17" s="22" customFormat="1" ht="34.5" customHeight="1" x14ac:dyDescent="0.4">
      <c r="A288" s="43" t="s">
        <v>186</v>
      </c>
      <c r="B288" s="44"/>
      <c r="C288" s="44"/>
      <c r="D288" s="45" t="s">
        <v>31</v>
      </c>
      <c r="E288" s="21">
        <f>E289</f>
        <v>397293901</v>
      </c>
      <c r="F288" s="21">
        <f t="shared" ref="F288:H288" si="161">F289</f>
        <v>279668152.18000001</v>
      </c>
      <c r="G288" s="21">
        <f t="shared" si="161"/>
        <v>16161700</v>
      </c>
      <c r="H288" s="21">
        <f t="shared" si="161"/>
        <v>25919163</v>
      </c>
      <c r="I288" s="21">
        <f>I289</f>
        <v>117625748.82000001</v>
      </c>
      <c r="J288" s="21">
        <f>J289</f>
        <v>98979076</v>
      </c>
      <c r="K288" s="21">
        <f t="shared" ref="K288:P288" si="162">K289</f>
        <v>76302379</v>
      </c>
      <c r="L288" s="21">
        <f t="shared" si="162"/>
        <v>1146776</v>
      </c>
      <c r="M288" s="21">
        <f t="shared" si="162"/>
        <v>0</v>
      </c>
      <c r="N288" s="21">
        <f t="shared" si="162"/>
        <v>0</v>
      </c>
      <c r="O288" s="21">
        <f t="shared" si="162"/>
        <v>97832300</v>
      </c>
      <c r="P288" s="21">
        <f t="shared" si="162"/>
        <v>496272977</v>
      </c>
      <c r="Q288" s="64"/>
    </row>
    <row r="289" spans="1:17" s="27" customFormat="1" ht="30" x14ac:dyDescent="0.4">
      <c r="A289" s="23" t="s">
        <v>187</v>
      </c>
      <c r="B289" s="46"/>
      <c r="C289" s="46"/>
      <c r="D289" s="25" t="s">
        <v>668</v>
      </c>
      <c r="E289" s="26">
        <f>E302+E304+E305+E306+E307+E310+E311+E312+E314+E318+E320+E322+E324+E323+E326+E328+E332+E334+E336+E345+E346+E349+E358+E361+E363+E325+E339+E355+E352+E315+E317+E362+E360+E309+E364+E359+E356+E357+E338+E335+E341+E319+E350+E343+E344</f>
        <v>397293901</v>
      </c>
      <c r="F289" s="26">
        <f t="shared" ref="F289:P289" si="163">F302+F304+F305+F306+F307+F310+F311+F312+F314+F318+F320+F322+F324+F323+F326+F328+F332+F334+F336+F345+F346+F349+F358+F361+F363+F325+F339+F355+F352+F315+F317+F362+F360+F309+F364+F359+F356+F357+F338+F335+F341+F319+F350+F343+F344</f>
        <v>279668152.18000001</v>
      </c>
      <c r="G289" s="26">
        <f t="shared" si="163"/>
        <v>16161700</v>
      </c>
      <c r="H289" s="26">
        <f t="shared" si="163"/>
        <v>25919163</v>
      </c>
      <c r="I289" s="26">
        <f t="shared" si="163"/>
        <v>117625748.82000001</v>
      </c>
      <c r="J289" s="26">
        <f t="shared" si="163"/>
        <v>98979076</v>
      </c>
      <c r="K289" s="26">
        <f t="shared" si="163"/>
        <v>76302379</v>
      </c>
      <c r="L289" s="26">
        <f t="shared" si="163"/>
        <v>1146776</v>
      </c>
      <c r="M289" s="26">
        <f t="shared" si="163"/>
        <v>0</v>
      </c>
      <c r="N289" s="26">
        <f t="shared" si="163"/>
        <v>0</v>
      </c>
      <c r="O289" s="26">
        <f t="shared" si="163"/>
        <v>97832300</v>
      </c>
      <c r="P289" s="26">
        <f t="shared" si="163"/>
        <v>496272977</v>
      </c>
      <c r="Q289" s="64"/>
    </row>
    <row r="290" spans="1:17" s="27" customFormat="1" ht="117.75" hidden="1" customHeight="1" x14ac:dyDescent="0.4">
      <c r="A290" s="23"/>
      <c r="B290" s="46"/>
      <c r="C290" s="46"/>
      <c r="D290" s="25" t="s">
        <v>382</v>
      </c>
      <c r="E290" s="26">
        <f>E340</f>
        <v>0</v>
      </c>
      <c r="F290" s="26">
        <f t="shared" ref="F290:P290" si="164">F340</f>
        <v>0</v>
      </c>
      <c r="G290" s="26">
        <f t="shared" si="164"/>
        <v>0</v>
      </c>
      <c r="H290" s="26">
        <f t="shared" si="164"/>
        <v>0</v>
      </c>
      <c r="I290" s="26">
        <f t="shared" si="164"/>
        <v>0</v>
      </c>
      <c r="J290" s="26">
        <f t="shared" si="164"/>
        <v>0</v>
      </c>
      <c r="K290" s="26">
        <f t="shared" si="164"/>
        <v>0</v>
      </c>
      <c r="L290" s="26">
        <f t="shared" si="164"/>
        <v>0</v>
      </c>
      <c r="M290" s="26">
        <f t="shared" si="164"/>
        <v>0</v>
      </c>
      <c r="N290" s="26">
        <f t="shared" si="164"/>
        <v>0</v>
      </c>
      <c r="O290" s="26">
        <f t="shared" si="164"/>
        <v>0</v>
      </c>
      <c r="P290" s="26">
        <f t="shared" si="164"/>
        <v>0</v>
      </c>
      <c r="Q290" s="64"/>
    </row>
    <row r="291" spans="1:17" s="27" customFormat="1" ht="84" hidden="1" customHeight="1" x14ac:dyDescent="0.4">
      <c r="A291" s="23"/>
      <c r="B291" s="46"/>
      <c r="C291" s="46"/>
      <c r="D291" s="25" t="s">
        <v>492</v>
      </c>
      <c r="E291" s="26">
        <f>E331</f>
        <v>0</v>
      </c>
      <c r="F291" s="26">
        <f t="shared" ref="F291:P291" si="165">F331</f>
        <v>0</v>
      </c>
      <c r="G291" s="26">
        <f t="shared" si="165"/>
        <v>0</v>
      </c>
      <c r="H291" s="26">
        <f t="shared" si="165"/>
        <v>0</v>
      </c>
      <c r="I291" s="26">
        <f t="shared" si="165"/>
        <v>0</v>
      </c>
      <c r="J291" s="26">
        <f t="shared" si="165"/>
        <v>0</v>
      </c>
      <c r="K291" s="26">
        <f t="shared" si="165"/>
        <v>0</v>
      </c>
      <c r="L291" s="26">
        <f t="shared" si="165"/>
        <v>0</v>
      </c>
      <c r="M291" s="26">
        <f t="shared" si="165"/>
        <v>0</v>
      </c>
      <c r="N291" s="26">
        <f t="shared" si="165"/>
        <v>0</v>
      </c>
      <c r="O291" s="26">
        <f t="shared" si="165"/>
        <v>0</v>
      </c>
      <c r="P291" s="26">
        <f t="shared" si="165"/>
        <v>0</v>
      </c>
      <c r="Q291" s="64"/>
    </row>
    <row r="292" spans="1:17" s="27" customFormat="1" ht="61.5" hidden="1" customHeight="1" x14ac:dyDescent="0.4">
      <c r="A292" s="23"/>
      <c r="B292" s="46"/>
      <c r="C292" s="46"/>
      <c r="D292" s="25" t="s">
        <v>375</v>
      </c>
      <c r="E292" s="26">
        <f>E327</f>
        <v>0</v>
      </c>
      <c r="F292" s="26">
        <f t="shared" ref="F292:P292" si="166">F327</f>
        <v>0</v>
      </c>
      <c r="G292" s="26">
        <f t="shared" si="166"/>
        <v>0</v>
      </c>
      <c r="H292" s="26">
        <f t="shared" si="166"/>
        <v>0</v>
      </c>
      <c r="I292" s="26">
        <f t="shared" si="166"/>
        <v>0</v>
      </c>
      <c r="J292" s="26">
        <f t="shared" si="166"/>
        <v>0</v>
      </c>
      <c r="K292" s="26">
        <f t="shared" si="166"/>
        <v>0</v>
      </c>
      <c r="L292" s="26">
        <f t="shared" si="166"/>
        <v>0</v>
      </c>
      <c r="M292" s="26">
        <f t="shared" si="166"/>
        <v>0</v>
      </c>
      <c r="N292" s="26">
        <f t="shared" si="166"/>
        <v>0</v>
      </c>
      <c r="O292" s="26">
        <f t="shared" si="166"/>
        <v>0</v>
      </c>
      <c r="P292" s="26">
        <f t="shared" si="166"/>
        <v>0</v>
      </c>
      <c r="Q292" s="64"/>
    </row>
    <row r="293" spans="1:17" s="27" customFormat="1" ht="141.75" hidden="1" customHeight="1" x14ac:dyDescent="0.4">
      <c r="A293" s="23"/>
      <c r="B293" s="46"/>
      <c r="C293" s="46"/>
      <c r="D293" s="63" t="s">
        <v>533</v>
      </c>
      <c r="E293" s="26">
        <f>E315</f>
        <v>0</v>
      </c>
      <c r="F293" s="26">
        <f t="shared" ref="F293:P293" si="167">F315</f>
        <v>0</v>
      </c>
      <c r="G293" s="26">
        <f t="shared" si="167"/>
        <v>0</v>
      </c>
      <c r="H293" s="26">
        <f t="shared" si="167"/>
        <v>0</v>
      </c>
      <c r="I293" s="26">
        <f t="shared" si="167"/>
        <v>0</v>
      </c>
      <c r="J293" s="26">
        <f t="shared" si="167"/>
        <v>0</v>
      </c>
      <c r="K293" s="26">
        <f t="shared" si="167"/>
        <v>0</v>
      </c>
      <c r="L293" s="26">
        <f t="shared" si="167"/>
        <v>0</v>
      </c>
      <c r="M293" s="26">
        <f t="shared" si="167"/>
        <v>0</v>
      </c>
      <c r="N293" s="26">
        <f t="shared" si="167"/>
        <v>0</v>
      </c>
      <c r="O293" s="26">
        <f t="shared" si="167"/>
        <v>0</v>
      </c>
      <c r="P293" s="26">
        <f t="shared" si="167"/>
        <v>0</v>
      </c>
      <c r="Q293" s="64"/>
    </row>
    <row r="294" spans="1:17" s="27" customFormat="1" ht="15.75" hidden="1" customHeight="1" x14ac:dyDescent="0.4">
      <c r="A294" s="23"/>
      <c r="B294" s="46"/>
      <c r="C294" s="46"/>
      <c r="D294" s="25" t="s">
        <v>380</v>
      </c>
      <c r="E294" s="26">
        <f t="shared" ref="E294:P294" si="168">E329+E333</f>
        <v>0</v>
      </c>
      <c r="F294" s="26">
        <f t="shared" si="168"/>
        <v>0</v>
      </c>
      <c r="G294" s="26">
        <f t="shared" si="168"/>
        <v>0</v>
      </c>
      <c r="H294" s="26">
        <f t="shared" si="168"/>
        <v>0</v>
      </c>
      <c r="I294" s="26">
        <f t="shared" si="168"/>
        <v>0</v>
      </c>
      <c r="J294" s="26">
        <f t="shared" si="168"/>
        <v>0</v>
      </c>
      <c r="K294" s="26">
        <f t="shared" si="168"/>
        <v>0</v>
      </c>
      <c r="L294" s="26">
        <f t="shared" si="168"/>
        <v>0</v>
      </c>
      <c r="M294" s="26">
        <f t="shared" si="168"/>
        <v>0</v>
      </c>
      <c r="N294" s="26">
        <f t="shared" si="168"/>
        <v>0</v>
      </c>
      <c r="O294" s="26">
        <f t="shared" si="168"/>
        <v>0</v>
      </c>
      <c r="P294" s="26">
        <f t="shared" si="168"/>
        <v>0</v>
      </c>
      <c r="Q294" s="64"/>
    </row>
    <row r="295" spans="1:17" s="27" customFormat="1" ht="15.75" hidden="1" customHeight="1" x14ac:dyDescent="0.4">
      <c r="A295" s="23"/>
      <c r="B295" s="46"/>
      <c r="C295" s="46"/>
      <c r="D295" s="25" t="s">
        <v>400</v>
      </c>
      <c r="E295" s="26">
        <f>E348</f>
        <v>0</v>
      </c>
      <c r="F295" s="26">
        <f t="shared" ref="F295:P295" si="169">F348</f>
        <v>0</v>
      </c>
      <c r="G295" s="26">
        <f t="shared" si="169"/>
        <v>0</v>
      </c>
      <c r="H295" s="26">
        <f t="shared" si="169"/>
        <v>0</v>
      </c>
      <c r="I295" s="26">
        <f t="shared" si="169"/>
        <v>0</v>
      </c>
      <c r="J295" s="26">
        <f t="shared" si="169"/>
        <v>0</v>
      </c>
      <c r="K295" s="26">
        <f t="shared" si="169"/>
        <v>0</v>
      </c>
      <c r="L295" s="26">
        <f t="shared" si="169"/>
        <v>0</v>
      </c>
      <c r="M295" s="26">
        <f t="shared" si="169"/>
        <v>0</v>
      </c>
      <c r="N295" s="26">
        <f t="shared" si="169"/>
        <v>0</v>
      </c>
      <c r="O295" s="26">
        <f t="shared" si="169"/>
        <v>0</v>
      </c>
      <c r="P295" s="26">
        <f t="shared" si="169"/>
        <v>0</v>
      </c>
      <c r="Q295" s="64"/>
    </row>
    <row r="296" spans="1:17" s="27" customFormat="1" ht="111.75" hidden="1" customHeight="1" x14ac:dyDescent="0.4">
      <c r="A296" s="23"/>
      <c r="B296" s="46"/>
      <c r="C296" s="46"/>
      <c r="D296" s="25" t="s">
        <v>624</v>
      </c>
      <c r="E296" s="26">
        <f>E321</f>
        <v>0</v>
      </c>
      <c r="F296" s="26">
        <f t="shared" ref="F296:P296" si="170">F321</f>
        <v>0</v>
      </c>
      <c r="G296" s="26">
        <f t="shared" si="170"/>
        <v>0</v>
      </c>
      <c r="H296" s="26">
        <f t="shared" si="170"/>
        <v>0</v>
      </c>
      <c r="I296" s="26">
        <f t="shared" si="170"/>
        <v>0</v>
      </c>
      <c r="J296" s="26">
        <f t="shared" si="170"/>
        <v>0</v>
      </c>
      <c r="K296" s="26">
        <f t="shared" si="170"/>
        <v>0</v>
      </c>
      <c r="L296" s="26">
        <f t="shared" si="170"/>
        <v>0</v>
      </c>
      <c r="M296" s="26">
        <f t="shared" si="170"/>
        <v>0</v>
      </c>
      <c r="N296" s="26">
        <f t="shared" si="170"/>
        <v>0</v>
      </c>
      <c r="O296" s="26">
        <f t="shared" si="170"/>
        <v>0</v>
      </c>
      <c r="P296" s="26">
        <f t="shared" si="170"/>
        <v>0</v>
      </c>
      <c r="Q296" s="64"/>
    </row>
    <row r="297" spans="1:17" s="27" customFormat="1" ht="63" hidden="1" customHeight="1" x14ac:dyDescent="0.4">
      <c r="A297" s="23"/>
      <c r="B297" s="46"/>
      <c r="C297" s="46"/>
      <c r="D297" s="25" t="str">
        <f>D337</f>
        <v>субвенції з державного бюджету місцевим бюджетам на реалізацію проектів (об'єктів, заходів), спрямованих на ліквідацію наслідків збройної агресії</v>
      </c>
      <c r="E297" s="26">
        <f>E336</f>
        <v>0</v>
      </c>
      <c r="F297" s="26">
        <f t="shared" ref="F297:P297" si="171">F336</f>
        <v>0</v>
      </c>
      <c r="G297" s="26">
        <f t="shared" si="171"/>
        <v>0</v>
      </c>
      <c r="H297" s="26">
        <f t="shared" si="171"/>
        <v>0</v>
      </c>
      <c r="I297" s="26">
        <f t="shared" si="171"/>
        <v>0</v>
      </c>
      <c r="J297" s="26">
        <f t="shared" si="171"/>
        <v>0</v>
      </c>
      <c r="K297" s="26">
        <f t="shared" si="171"/>
        <v>0</v>
      </c>
      <c r="L297" s="26">
        <f t="shared" si="171"/>
        <v>0</v>
      </c>
      <c r="M297" s="26">
        <f t="shared" si="171"/>
        <v>0</v>
      </c>
      <c r="N297" s="26">
        <f t="shared" si="171"/>
        <v>0</v>
      </c>
      <c r="O297" s="26">
        <f t="shared" si="171"/>
        <v>0</v>
      </c>
      <c r="P297" s="26">
        <f t="shared" si="171"/>
        <v>0</v>
      </c>
      <c r="Q297" s="64"/>
    </row>
    <row r="298" spans="1:17" s="27" customFormat="1" ht="118.5" customHeight="1" x14ac:dyDescent="0.4">
      <c r="A298" s="23"/>
      <c r="B298" s="46"/>
      <c r="C298" s="46"/>
      <c r="D298" s="25" t="s">
        <v>671</v>
      </c>
      <c r="E298" s="26">
        <f>E342</f>
        <v>0</v>
      </c>
      <c r="F298" s="26">
        <f t="shared" ref="F298:P298" si="172">F342</f>
        <v>0</v>
      </c>
      <c r="G298" s="26">
        <f t="shared" si="172"/>
        <v>0</v>
      </c>
      <c r="H298" s="26">
        <f t="shared" si="172"/>
        <v>0</v>
      </c>
      <c r="I298" s="26">
        <f t="shared" si="172"/>
        <v>0</v>
      </c>
      <c r="J298" s="26">
        <f t="shared" si="172"/>
        <v>15622974</v>
      </c>
      <c r="K298" s="26">
        <f t="shared" si="172"/>
        <v>0</v>
      </c>
      <c r="L298" s="26">
        <f t="shared" si="172"/>
        <v>0</v>
      </c>
      <c r="M298" s="26">
        <f t="shared" si="172"/>
        <v>0</v>
      </c>
      <c r="N298" s="26">
        <f t="shared" si="172"/>
        <v>0</v>
      </c>
      <c r="O298" s="26">
        <f t="shared" si="172"/>
        <v>15622974</v>
      </c>
      <c r="P298" s="26">
        <f t="shared" si="172"/>
        <v>15622974</v>
      </c>
      <c r="Q298" s="64"/>
    </row>
    <row r="299" spans="1:17" s="27" customFormat="1" ht="100.5" customHeight="1" x14ac:dyDescent="0.4">
      <c r="A299" s="23"/>
      <c r="B299" s="46"/>
      <c r="C299" s="46"/>
      <c r="D299" s="25" t="str">
        <f>D354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299" s="26">
        <f>E354+E308+E313+E347+E303</f>
        <v>14101648</v>
      </c>
      <c r="F299" s="26">
        <f t="shared" ref="F299:P299" si="173">F354+F308+F313+F347+F303</f>
        <v>1997621</v>
      </c>
      <c r="G299" s="26">
        <f t="shared" si="173"/>
        <v>262930</v>
      </c>
      <c r="H299" s="26">
        <f t="shared" si="173"/>
        <v>0</v>
      </c>
      <c r="I299" s="26">
        <f t="shared" si="173"/>
        <v>12104027</v>
      </c>
      <c r="J299" s="26">
        <f t="shared" si="173"/>
        <v>2790870</v>
      </c>
      <c r="K299" s="26">
        <f t="shared" si="173"/>
        <v>2790870</v>
      </c>
      <c r="L299" s="26">
        <f t="shared" si="173"/>
        <v>0</v>
      </c>
      <c r="M299" s="26">
        <f t="shared" si="173"/>
        <v>0</v>
      </c>
      <c r="N299" s="26">
        <f t="shared" si="173"/>
        <v>0</v>
      </c>
      <c r="O299" s="26">
        <f t="shared" si="173"/>
        <v>2790870</v>
      </c>
      <c r="P299" s="26">
        <f t="shared" si="173"/>
        <v>16892518</v>
      </c>
      <c r="Q299" s="64"/>
    </row>
    <row r="300" spans="1:17" s="27" customFormat="1" ht="31.9" customHeight="1" x14ac:dyDescent="0.4">
      <c r="A300" s="23"/>
      <c r="B300" s="46"/>
      <c r="C300" s="46"/>
      <c r="D300" s="25" t="str">
        <f>D353</f>
        <v>іншої субвенції з місцевого бюджету</v>
      </c>
      <c r="E300" s="26">
        <f>E353</f>
        <v>0</v>
      </c>
      <c r="F300" s="26">
        <f t="shared" ref="F300:P300" si="174">F353</f>
        <v>0</v>
      </c>
      <c r="G300" s="26">
        <f t="shared" si="174"/>
        <v>0</v>
      </c>
      <c r="H300" s="26">
        <f t="shared" si="174"/>
        <v>0</v>
      </c>
      <c r="I300" s="26">
        <f t="shared" si="174"/>
        <v>0</v>
      </c>
      <c r="J300" s="26">
        <f t="shared" si="174"/>
        <v>1128100</v>
      </c>
      <c r="K300" s="26">
        <f t="shared" si="174"/>
        <v>1128100</v>
      </c>
      <c r="L300" s="26">
        <f t="shared" si="174"/>
        <v>0</v>
      </c>
      <c r="M300" s="26">
        <f t="shared" si="174"/>
        <v>0</v>
      </c>
      <c r="N300" s="26">
        <f t="shared" si="174"/>
        <v>0</v>
      </c>
      <c r="O300" s="26">
        <f t="shared" si="174"/>
        <v>1128100</v>
      </c>
      <c r="P300" s="26">
        <f t="shared" si="174"/>
        <v>1128100</v>
      </c>
      <c r="Q300" s="64"/>
    </row>
    <row r="301" spans="1:17" s="27" customFormat="1" ht="22.9" customHeight="1" x14ac:dyDescent="0.4">
      <c r="A301" s="23"/>
      <c r="B301" s="46"/>
      <c r="C301" s="46"/>
      <c r="D301" s="25" t="str">
        <f>D351</f>
        <v>грантів (дарунків)</v>
      </c>
      <c r="E301" s="26">
        <f>E351</f>
        <v>0</v>
      </c>
      <c r="F301" s="26">
        <f t="shared" ref="F301:P301" si="175">F351</f>
        <v>0</v>
      </c>
      <c r="G301" s="26">
        <f t="shared" si="175"/>
        <v>0</v>
      </c>
      <c r="H301" s="26">
        <f t="shared" si="175"/>
        <v>0</v>
      </c>
      <c r="I301" s="26">
        <f t="shared" si="175"/>
        <v>0</v>
      </c>
      <c r="J301" s="26">
        <f t="shared" si="175"/>
        <v>5819323</v>
      </c>
      <c r="K301" s="26">
        <f t="shared" si="175"/>
        <v>0</v>
      </c>
      <c r="L301" s="26">
        <f t="shared" si="175"/>
        <v>362376</v>
      </c>
      <c r="M301" s="26">
        <f t="shared" si="175"/>
        <v>0</v>
      </c>
      <c r="N301" s="26">
        <f t="shared" si="175"/>
        <v>0</v>
      </c>
      <c r="O301" s="26">
        <f t="shared" si="175"/>
        <v>5456947</v>
      </c>
      <c r="P301" s="26">
        <f t="shared" si="175"/>
        <v>5819323</v>
      </c>
      <c r="Q301" s="64"/>
    </row>
    <row r="302" spans="1:17" s="136" customFormat="1" ht="46.15" x14ac:dyDescent="0.45">
      <c r="A302" s="28" t="s">
        <v>188</v>
      </c>
      <c r="B302" s="28" t="str">
        <f>'дод 9'!A16</f>
        <v>0160</v>
      </c>
      <c r="C302" s="28" t="str">
        <f>'дод 9'!B16</f>
        <v>0111</v>
      </c>
      <c r="D302" s="30" t="str">
        <f>'дод 9'!C16</f>
        <v>Керівництво і управління у відповідній сфері у містах (місті Києві), селищах, селах, територіальних громадах, у т.ч. за рахунок:</v>
      </c>
      <c r="E302" s="31">
        <f t="shared" ref="E302:E363" si="176">F302+I302</f>
        <v>20852300</v>
      </c>
      <c r="F302" s="31">
        <f>18028900+1494400+50000+1279000</f>
        <v>20852300</v>
      </c>
      <c r="G302" s="31">
        <f>13887400+1225900+1048400</f>
        <v>16161700</v>
      </c>
      <c r="H302" s="31">
        <v>453500</v>
      </c>
      <c r="I302" s="31"/>
      <c r="J302" s="31">
        <f>L302+O302</f>
        <v>0</v>
      </c>
      <c r="K302" s="31"/>
      <c r="L302" s="31"/>
      <c r="M302" s="31"/>
      <c r="N302" s="31"/>
      <c r="O302" s="31"/>
      <c r="P302" s="31">
        <f t="shared" ref="P302:P364" si="177">E302+J302</f>
        <v>20852300</v>
      </c>
      <c r="Q302" s="138"/>
    </row>
    <row r="303" spans="1:17" s="135" customFormat="1" ht="103.9" customHeight="1" x14ac:dyDescent="0.45">
      <c r="A303" s="33"/>
      <c r="B303" s="33"/>
      <c r="C303" s="33"/>
      <c r="D303" s="35" t="str">
        <f>'дод 9'!C17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303" s="36">
        <f t="shared" ref="E303" si="178">F303+I303</f>
        <v>320752</v>
      </c>
      <c r="F303" s="36">
        <v>320752</v>
      </c>
      <c r="G303" s="36">
        <v>262930</v>
      </c>
      <c r="H303" s="36"/>
      <c r="I303" s="36"/>
      <c r="J303" s="36">
        <f>L303+O303</f>
        <v>0</v>
      </c>
      <c r="K303" s="36"/>
      <c r="L303" s="36"/>
      <c r="M303" s="36"/>
      <c r="N303" s="36"/>
      <c r="O303" s="36"/>
      <c r="P303" s="36">
        <f t="shared" ref="P303" si="179">E303+J303</f>
        <v>320752</v>
      </c>
      <c r="Q303" s="139"/>
    </row>
    <row r="304" spans="1:17" s="32" customFormat="1" ht="15.4" hidden="1" customHeight="1" x14ac:dyDescent="0.45">
      <c r="A304" s="28" t="s">
        <v>495</v>
      </c>
      <c r="B304" s="28" t="s">
        <v>43</v>
      </c>
      <c r="C304" s="28" t="s">
        <v>89</v>
      </c>
      <c r="D304" s="49" t="s">
        <v>234</v>
      </c>
      <c r="E304" s="31">
        <f t="shared" si="176"/>
        <v>0</v>
      </c>
      <c r="F304" s="31"/>
      <c r="G304" s="31"/>
      <c r="H304" s="31"/>
      <c r="I304" s="31"/>
      <c r="J304" s="31">
        <f>L304+O304</f>
        <v>0</v>
      </c>
      <c r="K304" s="31"/>
      <c r="L304" s="31"/>
      <c r="M304" s="31"/>
      <c r="N304" s="31"/>
      <c r="O304" s="31"/>
      <c r="P304" s="31">
        <f t="shared" si="177"/>
        <v>0</v>
      </c>
      <c r="Q304" s="64"/>
    </row>
    <row r="305" spans="1:17" s="136" customFormat="1" ht="19.5" customHeight="1" x14ac:dyDescent="0.45">
      <c r="A305" s="28" t="s">
        <v>290</v>
      </c>
      <c r="B305" s="29" t="str">
        <f>'дод 9'!A167</f>
        <v>3210</v>
      </c>
      <c r="C305" s="29" t="str">
        <f>'дод 9'!B167</f>
        <v>1050</v>
      </c>
      <c r="D305" s="30" t="str">
        <f>'дод 9'!C167</f>
        <v>Організація та проведення громадських робіт</v>
      </c>
      <c r="E305" s="31">
        <f t="shared" si="176"/>
        <v>0</v>
      </c>
      <c r="F305" s="31">
        <f>100000-50000-50000</f>
        <v>0</v>
      </c>
      <c r="G305" s="31"/>
      <c r="H305" s="31"/>
      <c r="I305" s="31"/>
      <c r="J305" s="31">
        <f t="shared" ref="J305:J364" si="180">L305+O305</f>
        <v>0</v>
      </c>
      <c r="K305" s="31"/>
      <c r="L305" s="31"/>
      <c r="M305" s="31"/>
      <c r="N305" s="31"/>
      <c r="O305" s="31"/>
      <c r="P305" s="31">
        <f t="shared" si="177"/>
        <v>0</v>
      </c>
      <c r="Q305" s="138"/>
    </row>
    <row r="306" spans="1:17" s="32" customFormat="1" ht="24" hidden="1" customHeight="1" x14ac:dyDescent="0.45">
      <c r="A306" s="28" t="s">
        <v>189</v>
      </c>
      <c r="B306" s="29" t="str">
        <f>'дод 9'!A199</f>
        <v>6011</v>
      </c>
      <c r="C306" s="29" t="str">
        <f>'дод 9'!B199</f>
        <v>0610</v>
      </c>
      <c r="D306" s="30" t="str">
        <f>'дод 9'!C199</f>
        <v>Експлуатація та технічне обслуговування житлового фонду</v>
      </c>
      <c r="E306" s="31">
        <f t="shared" si="176"/>
        <v>0</v>
      </c>
      <c r="F306" s="31"/>
      <c r="G306" s="31"/>
      <c r="H306" s="31"/>
      <c r="I306" s="31"/>
      <c r="J306" s="31">
        <f t="shared" si="180"/>
        <v>0</v>
      </c>
      <c r="K306" s="31"/>
      <c r="L306" s="31"/>
      <c r="M306" s="31"/>
      <c r="N306" s="31"/>
      <c r="O306" s="31"/>
      <c r="P306" s="31">
        <f t="shared" si="177"/>
        <v>0</v>
      </c>
      <c r="Q306" s="64"/>
    </row>
    <row r="307" spans="1:17" s="136" customFormat="1" ht="36.4" customHeight="1" x14ac:dyDescent="0.45">
      <c r="A307" s="28" t="s">
        <v>190</v>
      </c>
      <c r="B307" s="29" t="str">
        <f>'дод 9'!A200</f>
        <v>6013</v>
      </c>
      <c r="C307" s="29" t="str">
        <f>'дод 9'!B200</f>
        <v>0620</v>
      </c>
      <c r="D307" s="30" t="str">
        <f>'дод 9'!C200</f>
        <v>Забезпечення діяльності водопровідно-каналізаційного господарства,  у т.ч. за рахунок:</v>
      </c>
      <c r="E307" s="31">
        <f t="shared" si="176"/>
        <v>82200130</v>
      </c>
      <c r="F307" s="31">
        <f>685000+320000-50000-26000-40000</f>
        <v>889000</v>
      </c>
      <c r="G307" s="31"/>
      <c r="H307" s="31"/>
      <c r="I307" s="31">
        <f>30000000+10000000+25000000+233800+3000000+9130+1068200+2000000+10000000</f>
        <v>81311130</v>
      </c>
      <c r="J307" s="31">
        <f t="shared" si="180"/>
        <v>1290870</v>
      </c>
      <c r="K307" s="31">
        <v>1290870</v>
      </c>
      <c r="L307" s="31"/>
      <c r="M307" s="31"/>
      <c r="N307" s="31"/>
      <c r="O307" s="31">
        <f>1290870</f>
        <v>1290870</v>
      </c>
      <c r="P307" s="31">
        <f t="shared" si="177"/>
        <v>83491000</v>
      </c>
      <c r="Q307" s="138"/>
    </row>
    <row r="308" spans="1:17" s="136" customFormat="1" ht="92.25" x14ac:dyDescent="0.45">
      <c r="A308" s="28"/>
      <c r="B308" s="29"/>
      <c r="C308" s="29"/>
      <c r="D308" s="55" t="s">
        <v>624</v>
      </c>
      <c r="E308" s="36">
        <f t="shared" si="176"/>
        <v>11562545</v>
      </c>
      <c r="F308" s="36"/>
      <c r="G308" s="36"/>
      <c r="H308" s="36"/>
      <c r="I308" s="36">
        <f>3000000+9130+1068200+2000000+5485215</f>
        <v>11562545</v>
      </c>
      <c r="J308" s="36">
        <f>L308+O308</f>
        <v>1290870</v>
      </c>
      <c r="K308" s="36">
        <v>1290870</v>
      </c>
      <c r="L308" s="36"/>
      <c r="M308" s="36"/>
      <c r="N308" s="36"/>
      <c r="O308" s="36">
        <f>1290870</f>
        <v>1290870</v>
      </c>
      <c r="P308" s="36">
        <f t="shared" si="177"/>
        <v>12853415</v>
      </c>
      <c r="Q308" s="138"/>
    </row>
    <row r="309" spans="1:17" s="32" customFormat="1" ht="22.5" hidden="1" customHeight="1" x14ac:dyDescent="0.45">
      <c r="A309" s="28" t="s">
        <v>572</v>
      </c>
      <c r="B309" s="29">
        <f>'дод 9'!A202</f>
        <v>6014</v>
      </c>
      <c r="C309" s="29" t="str">
        <f>'дод 9'!B202</f>
        <v>0620</v>
      </c>
      <c r="D309" s="42" t="str">
        <f>'дод 9'!C202</f>
        <v>Забезпечення збору та вивезення сміття і відходів</v>
      </c>
      <c r="E309" s="31">
        <f t="shared" ref="E309" si="181">F309+I309</f>
        <v>0</v>
      </c>
      <c r="F309" s="31"/>
      <c r="G309" s="31"/>
      <c r="H309" s="31"/>
      <c r="I309" s="31"/>
      <c r="J309" s="31">
        <f t="shared" si="180"/>
        <v>0</v>
      </c>
      <c r="K309" s="31"/>
      <c r="L309" s="31"/>
      <c r="M309" s="31"/>
      <c r="N309" s="31"/>
      <c r="O309" s="31"/>
      <c r="P309" s="31">
        <f t="shared" ref="P309" si="182">E309+J309</f>
        <v>0</v>
      </c>
      <c r="Q309" s="64"/>
    </row>
    <row r="310" spans="1:17" s="32" customFormat="1" ht="33" hidden="1" customHeight="1" x14ac:dyDescent="0.45">
      <c r="A310" s="28" t="s">
        <v>251</v>
      </c>
      <c r="B310" s="29" t="str">
        <f>'дод 9'!A203</f>
        <v>6015</v>
      </c>
      <c r="C310" s="29" t="str">
        <f>'дод 9'!B203</f>
        <v>0620</v>
      </c>
      <c r="D310" s="30" t="str">
        <f>'дод 9'!C203</f>
        <v>Забезпечення надійної та безперебійної експлуатації ліфтів</v>
      </c>
      <c r="E310" s="31">
        <f t="shared" si="176"/>
        <v>0</v>
      </c>
      <c r="F310" s="31"/>
      <c r="G310" s="31"/>
      <c r="H310" s="31"/>
      <c r="I310" s="31"/>
      <c r="J310" s="31">
        <f t="shared" si="180"/>
        <v>0</v>
      </c>
      <c r="K310" s="31"/>
      <c r="L310" s="31"/>
      <c r="M310" s="31"/>
      <c r="N310" s="31"/>
      <c r="O310" s="68"/>
      <c r="P310" s="31">
        <f t="shared" si="177"/>
        <v>0</v>
      </c>
      <c r="Q310" s="64"/>
    </row>
    <row r="311" spans="1:17" s="32" customFormat="1" ht="32.25" customHeight="1" x14ac:dyDescent="0.45">
      <c r="A311" s="28" t="s">
        <v>254</v>
      </c>
      <c r="B311" s="29" t="str">
        <f>'дод 9'!A204</f>
        <v>6017</v>
      </c>
      <c r="C311" s="29" t="str">
        <f>'дод 9'!B204</f>
        <v>0620</v>
      </c>
      <c r="D311" s="30" t="str">
        <f>'дод 9'!C204</f>
        <v>Інша діяльність, пов’язана з експлуатацією об’єктів житлово-комунального господарства</v>
      </c>
      <c r="E311" s="31">
        <f t="shared" si="176"/>
        <v>400000</v>
      </c>
      <c r="F311" s="31">
        <v>400000</v>
      </c>
      <c r="G311" s="31"/>
      <c r="H311" s="31"/>
      <c r="I311" s="31"/>
      <c r="J311" s="31">
        <f t="shared" si="180"/>
        <v>0</v>
      </c>
      <c r="K311" s="31"/>
      <c r="L311" s="31"/>
      <c r="M311" s="31"/>
      <c r="N311" s="31"/>
      <c r="O311" s="31"/>
      <c r="P311" s="31">
        <f t="shared" si="177"/>
        <v>400000</v>
      </c>
      <c r="Q311" s="64"/>
    </row>
    <row r="312" spans="1:17" s="136" customFormat="1" ht="63.75" customHeight="1" x14ac:dyDescent="0.45">
      <c r="A312" s="28" t="s">
        <v>191</v>
      </c>
      <c r="B312" s="29" t="str">
        <f>'дод 9'!A205</f>
        <v>6020</v>
      </c>
      <c r="C312" s="29" t="str">
        <f>'дод 9'!B205</f>
        <v>0620</v>
      </c>
      <c r="D312" s="30" t="str">
        <f>'дод 9'!C205</f>
        <v>Забезпечення функціонування підприємств, установ та організацій, що виробляють, виконують та/або надають житлово-комунальні послуги,  у т.ч. за рахунок:</v>
      </c>
      <c r="E312" s="31">
        <f t="shared" si="176"/>
        <v>9163186.620000001</v>
      </c>
      <c r="F312" s="32"/>
      <c r="G312" s="31"/>
      <c r="H312" s="31"/>
      <c r="I312" s="31">
        <f>400000+200000+3400000+355000+3500000+1366704.62+541482-600000</f>
        <v>9163186.620000001</v>
      </c>
      <c r="J312" s="31">
        <f t="shared" si="180"/>
        <v>4295760</v>
      </c>
      <c r="K312" s="31">
        <v>4295760</v>
      </c>
      <c r="L312" s="31"/>
      <c r="M312" s="31"/>
      <c r="N312" s="31"/>
      <c r="O312" s="31">
        <v>4295760</v>
      </c>
      <c r="P312" s="31">
        <f t="shared" si="177"/>
        <v>13458946.620000001</v>
      </c>
      <c r="Q312" s="138"/>
    </row>
    <row r="313" spans="1:17" s="32" customFormat="1" ht="92.25" x14ac:dyDescent="0.45">
      <c r="A313" s="28"/>
      <c r="B313" s="29"/>
      <c r="C313" s="29"/>
      <c r="D313" s="55" t="s">
        <v>624</v>
      </c>
      <c r="E313" s="36">
        <f t="shared" si="176"/>
        <v>541482</v>
      </c>
      <c r="F313" s="36"/>
      <c r="G313" s="36"/>
      <c r="H313" s="36"/>
      <c r="I313" s="36">
        <v>541482</v>
      </c>
      <c r="J313" s="36">
        <f>L313+O313</f>
        <v>0</v>
      </c>
      <c r="K313" s="36"/>
      <c r="L313" s="36"/>
      <c r="M313" s="36"/>
      <c r="N313" s="36"/>
      <c r="O313" s="36"/>
      <c r="P313" s="36">
        <f t="shared" si="177"/>
        <v>541482</v>
      </c>
      <c r="Q313" s="64"/>
    </row>
    <row r="314" spans="1:17" s="136" customFormat="1" ht="24.75" customHeight="1" x14ac:dyDescent="0.45">
      <c r="A314" s="28" t="s">
        <v>192</v>
      </c>
      <c r="B314" s="29" t="str">
        <f>'дод 9'!A207</f>
        <v>6030</v>
      </c>
      <c r="C314" s="29" t="str">
        <f>'дод 9'!B207</f>
        <v>0620</v>
      </c>
      <c r="D314" s="30" t="str">
        <f>'дод 9'!C207</f>
        <v>Організація благоустрою населених пунктів</v>
      </c>
      <c r="E314" s="31">
        <f t="shared" si="176"/>
        <v>234400493.19999999</v>
      </c>
      <c r="F314" s="31">
        <f>261435000-500000-1000000+3100000-20000000-14715000+5000000-200000-870000+10000000-95000+5000000-10000000+300000-2736337-66122.8+2000000+500000+597952.8-5600000-50000-133000+2333000</f>
        <v>234300493</v>
      </c>
      <c r="G314" s="31"/>
      <c r="H314" s="31">
        <f>43000000+380000-10000000-2736337-5000000-50000-133000</f>
        <v>25460663</v>
      </c>
      <c r="I314" s="31">
        <f>200000+870000-150000-597952.8-122047-100000</f>
        <v>100000.19999999995</v>
      </c>
      <c r="J314" s="31">
        <f t="shared" si="180"/>
        <v>362000</v>
      </c>
      <c r="K314" s="31">
        <f>200000+12000+150000</f>
        <v>362000</v>
      </c>
      <c r="L314" s="31"/>
      <c r="M314" s="31"/>
      <c r="N314" s="31"/>
      <c r="O314" s="31">
        <f>200000+12000+150000</f>
        <v>362000</v>
      </c>
      <c r="P314" s="31">
        <f t="shared" si="177"/>
        <v>234762493.19999999</v>
      </c>
      <c r="Q314" s="138"/>
    </row>
    <row r="315" spans="1:17" s="32" customFormat="1" ht="99.75" hidden="1" customHeight="1" x14ac:dyDescent="0.45">
      <c r="A315" s="28" t="s">
        <v>530</v>
      </c>
      <c r="B315" s="29">
        <v>6083</v>
      </c>
      <c r="C315" s="28" t="s">
        <v>65</v>
      </c>
      <c r="D315" s="49" t="s">
        <v>415</v>
      </c>
      <c r="E315" s="31">
        <f t="shared" si="176"/>
        <v>0</v>
      </c>
      <c r="F315" s="31"/>
      <c r="G315" s="31"/>
      <c r="H315" s="31"/>
      <c r="I315" s="31"/>
      <c r="J315" s="31">
        <f t="shared" si="180"/>
        <v>0</v>
      </c>
      <c r="K315" s="31"/>
      <c r="L315" s="31"/>
      <c r="M315" s="31"/>
      <c r="N315" s="31"/>
      <c r="O315" s="31"/>
      <c r="P315" s="31">
        <f t="shared" si="177"/>
        <v>0</v>
      </c>
      <c r="Q315" s="64"/>
    </row>
    <row r="316" spans="1:17" s="32" customFormat="1" ht="141.75" hidden="1" customHeight="1" x14ac:dyDescent="0.45">
      <c r="A316" s="33"/>
      <c r="B316" s="34"/>
      <c r="C316" s="33"/>
      <c r="D316" s="65" t="s">
        <v>533</v>
      </c>
      <c r="E316" s="31">
        <f t="shared" si="176"/>
        <v>0</v>
      </c>
      <c r="F316" s="36"/>
      <c r="G316" s="36"/>
      <c r="H316" s="36"/>
      <c r="I316" s="36"/>
      <c r="J316" s="31">
        <f t="shared" si="180"/>
        <v>0</v>
      </c>
      <c r="K316" s="36"/>
      <c r="L316" s="36"/>
      <c r="M316" s="36"/>
      <c r="N316" s="36"/>
      <c r="O316" s="36"/>
      <c r="P316" s="31">
        <f t="shared" si="177"/>
        <v>0</v>
      </c>
      <c r="Q316" s="64"/>
    </row>
    <row r="317" spans="1:17" s="32" customFormat="1" ht="94.5" hidden="1" customHeight="1" x14ac:dyDescent="0.45">
      <c r="A317" s="28" t="s">
        <v>540</v>
      </c>
      <c r="B317" s="29">
        <v>6071</v>
      </c>
      <c r="C317" s="28" t="s">
        <v>300</v>
      </c>
      <c r="D317" s="30" t="str">
        <f>'дод 9'!C208</f>
        <v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v>
      </c>
      <c r="E317" s="31">
        <f t="shared" si="176"/>
        <v>0</v>
      </c>
      <c r="G317" s="31"/>
      <c r="H317" s="31"/>
      <c r="I317" s="31"/>
      <c r="J317" s="31">
        <f t="shared" si="180"/>
        <v>0</v>
      </c>
      <c r="K317" s="31"/>
      <c r="L317" s="31"/>
      <c r="M317" s="31"/>
      <c r="N317" s="31"/>
      <c r="O317" s="31"/>
      <c r="P317" s="31">
        <f t="shared" si="177"/>
        <v>0</v>
      </c>
      <c r="Q317" s="64"/>
    </row>
    <row r="318" spans="1:17" s="136" customFormat="1" ht="28.5" customHeight="1" x14ac:dyDescent="0.45">
      <c r="A318" s="28" t="s">
        <v>244</v>
      </c>
      <c r="B318" s="29" t="str">
        <f>'дод 9'!A212</f>
        <v>6090</v>
      </c>
      <c r="C318" s="29" t="str">
        <f>'дод 9'!B212</f>
        <v>0640</v>
      </c>
      <c r="D318" s="30" t="str">
        <f>'дод 9'!C212</f>
        <v>Інша діяльність у сфері житлово-комунального господарства</v>
      </c>
      <c r="E318" s="31">
        <f t="shared" si="176"/>
        <v>6208538.1799999997</v>
      </c>
      <c r="F318" s="31">
        <f>8549120-200000-920000-49000+1000000+300000-12000+35000+50000-1366704.62+370000-100000+92122.8+40000-2000000-500000-270000</f>
        <v>5018538.18</v>
      </c>
      <c r="G318" s="31"/>
      <c r="H318" s="31">
        <v>5000</v>
      </c>
      <c r="I318" s="31">
        <f>920000+270000</f>
        <v>1190000</v>
      </c>
      <c r="J318" s="31">
        <f t="shared" ref="J318" si="183">L318+O318</f>
        <v>0</v>
      </c>
      <c r="K318" s="31"/>
      <c r="L318" s="31"/>
      <c r="M318" s="31"/>
      <c r="N318" s="31"/>
      <c r="O318" s="31"/>
      <c r="P318" s="31">
        <f t="shared" si="177"/>
        <v>6208538.1799999997</v>
      </c>
      <c r="Q318" s="138"/>
    </row>
    <row r="319" spans="1:17" s="32" customFormat="1" ht="28.5" customHeight="1" x14ac:dyDescent="0.45">
      <c r="A319" s="28" t="s">
        <v>706</v>
      </c>
      <c r="B319" s="29" t="str">
        <f>'дод 9'!A224</f>
        <v>7130</v>
      </c>
      <c r="C319" s="29" t="str">
        <f>'дод 9'!B224</f>
        <v>0421</v>
      </c>
      <c r="D319" s="42" t="str">
        <f>'дод 9'!C224</f>
        <v>Здійснення заходів із землеустрою</v>
      </c>
      <c r="E319" s="31">
        <f t="shared" ref="E319" si="184">F319+I319</f>
        <v>100000</v>
      </c>
      <c r="F319" s="31">
        <f>100000-100000</f>
        <v>0</v>
      </c>
      <c r="G319" s="31"/>
      <c r="H319" s="31"/>
      <c r="I319" s="31">
        <v>100000</v>
      </c>
      <c r="J319" s="31">
        <f t="shared" ref="J319" si="185">L319+O319</f>
        <v>0</v>
      </c>
      <c r="K319" s="31"/>
      <c r="L319" s="31"/>
      <c r="M319" s="31"/>
      <c r="N319" s="31"/>
      <c r="O319" s="31"/>
      <c r="P319" s="31">
        <f t="shared" ref="P319" si="186">E319+J319</f>
        <v>100000</v>
      </c>
      <c r="Q319" s="64"/>
    </row>
    <row r="320" spans="1:17" s="136" customFormat="1" ht="15.4" x14ac:dyDescent="0.45">
      <c r="A320" s="28" t="s">
        <v>263</v>
      </c>
      <c r="B320" s="29" t="str">
        <f>'дод 9'!A230</f>
        <v>7310</v>
      </c>
      <c r="C320" s="29" t="str">
        <f>'дод 9'!B230</f>
        <v>0443</v>
      </c>
      <c r="D320" s="41" t="str">
        <f>'дод 9'!C230</f>
        <v>Будівництво1 об'єктів житлово-комунального господарства</v>
      </c>
      <c r="E320" s="31">
        <f t="shared" si="176"/>
        <v>0</v>
      </c>
      <c r="F320" s="31"/>
      <c r="G320" s="31"/>
      <c r="H320" s="31"/>
      <c r="I320" s="31"/>
      <c r="J320" s="31">
        <f t="shared" si="180"/>
        <v>24963664</v>
      </c>
      <c r="K320" s="31">
        <f>21637100-70000-10000000+49000+670000-518050+518050+10000000+3000000-35000-287436</f>
        <v>24963664</v>
      </c>
      <c r="L320" s="31"/>
      <c r="M320" s="31"/>
      <c r="N320" s="31"/>
      <c r="O320" s="31">
        <f>21637100-70000-10000000+49000+670000-518050+518050+10000000+3000000-35000-287436</f>
        <v>24963664</v>
      </c>
      <c r="P320" s="31">
        <f t="shared" si="177"/>
        <v>24963664</v>
      </c>
      <c r="Q320" s="138"/>
    </row>
    <row r="321" spans="1:17" s="37" customFormat="1" ht="92.25" hidden="1" x14ac:dyDescent="0.45">
      <c r="A321" s="33"/>
      <c r="B321" s="34"/>
      <c r="C321" s="34"/>
      <c r="D321" s="51" t="s">
        <v>624</v>
      </c>
      <c r="E321" s="36">
        <f t="shared" si="176"/>
        <v>0</v>
      </c>
      <c r="F321" s="36"/>
      <c r="G321" s="36"/>
      <c r="H321" s="36"/>
      <c r="I321" s="36"/>
      <c r="J321" s="36">
        <f t="shared" si="180"/>
        <v>0</v>
      </c>
      <c r="K321" s="36"/>
      <c r="L321" s="36"/>
      <c r="M321" s="36"/>
      <c r="N321" s="36"/>
      <c r="O321" s="36"/>
      <c r="P321" s="36">
        <f t="shared" si="177"/>
        <v>0</v>
      </c>
      <c r="Q321" s="64"/>
    </row>
    <row r="322" spans="1:17" s="136" customFormat="1" ht="30.75" customHeight="1" x14ac:dyDescent="0.45">
      <c r="A322" s="28" t="s">
        <v>265</v>
      </c>
      <c r="B322" s="29" t="str">
        <f>'дод 9'!A239</f>
        <v>7330</v>
      </c>
      <c r="C322" s="29" t="str">
        <f>'дод 9'!B239</f>
        <v>0443</v>
      </c>
      <c r="D322" s="41" t="s">
        <v>723</v>
      </c>
      <c r="E322" s="31">
        <f t="shared" si="176"/>
        <v>0</v>
      </c>
      <c r="F322" s="31"/>
      <c r="G322" s="31"/>
      <c r="H322" s="31"/>
      <c r="I322" s="31"/>
      <c r="J322" s="31">
        <f>L322+O322</f>
        <v>17672048</v>
      </c>
      <c r="K322" s="31">
        <f>10000000+1400000+4500000+300000+2000000-300000+300000-527952</f>
        <v>17672048</v>
      </c>
      <c r="L322" s="31"/>
      <c r="M322" s="31"/>
      <c r="N322" s="31"/>
      <c r="O322" s="31">
        <f>10000000+1400000+4500000+300000+2000000-300000+300000-527952</f>
        <v>17672048</v>
      </c>
      <c r="P322" s="31">
        <f t="shared" si="177"/>
        <v>17672048</v>
      </c>
      <c r="Q322" s="138"/>
    </row>
    <row r="323" spans="1:17" s="32" customFormat="1" ht="33" customHeight="1" x14ac:dyDescent="0.45">
      <c r="A323" s="28" t="s">
        <v>193</v>
      </c>
      <c r="B323" s="29">
        <v>7340</v>
      </c>
      <c r="C323" s="29" t="str">
        <f>'дод 9'!B238</f>
        <v>0443</v>
      </c>
      <c r="D323" s="30" t="str">
        <f>'дод 9'!C241</f>
        <v>Проектування, реставрація та охорона пам'яток архітектури</v>
      </c>
      <c r="E323" s="31">
        <f t="shared" ref="E323:E335" si="187">F323+I323</f>
        <v>0</v>
      </c>
      <c r="F323" s="31"/>
      <c r="G323" s="31"/>
      <c r="H323" s="31"/>
      <c r="I323" s="31"/>
      <c r="J323" s="31">
        <f>L323+O323</f>
        <v>1000000</v>
      </c>
      <c r="K323" s="31">
        <v>1000000</v>
      </c>
      <c r="L323" s="31"/>
      <c r="M323" s="31"/>
      <c r="N323" s="31"/>
      <c r="O323" s="31">
        <v>1000000</v>
      </c>
      <c r="P323" s="31">
        <f t="shared" ref="P323:P335" si="188">E323+J323</f>
        <v>1000000</v>
      </c>
      <c r="Q323" s="64"/>
    </row>
    <row r="324" spans="1:17" s="32" customFormat="1" ht="49.5" hidden="1" customHeight="1" x14ac:dyDescent="0.45">
      <c r="A324" s="28" t="s">
        <v>357</v>
      </c>
      <c r="B324" s="29">
        <f>'дод 9'!A243</f>
        <v>7361</v>
      </c>
      <c r="C324" s="29" t="str">
        <f>'дод 9'!B243</f>
        <v>0490</v>
      </c>
      <c r="D324" s="30" t="str">
        <f>'дод 9'!C243</f>
        <v>Співфінансування інвестиційних проектів, що реалізуються за рахунок коштів державного фонду регіонального розвитку</v>
      </c>
      <c r="E324" s="31">
        <f t="shared" si="187"/>
        <v>0</v>
      </c>
      <c r="F324" s="31"/>
      <c r="G324" s="31"/>
      <c r="H324" s="31"/>
      <c r="I324" s="31"/>
      <c r="J324" s="31">
        <f t="shared" ref="J324:J335" si="189">L324+O324</f>
        <v>0</v>
      </c>
      <c r="K324" s="31"/>
      <c r="L324" s="31"/>
      <c r="M324" s="31"/>
      <c r="N324" s="31"/>
      <c r="O324" s="31"/>
      <c r="P324" s="31">
        <f t="shared" si="188"/>
        <v>0</v>
      </c>
      <c r="Q324" s="64"/>
    </row>
    <row r="325" spans="1:17" s="32" customFormat="1" ht="30" hidden="1" customHeight="1" x14ac:dyDescent="0.45">
      <c r="A325" s="28">
        <v>1217362</v>
      </c>
      <c r="B325" s="29">
        <f>'дод 9'!A244</f>
        <v>7362</v>
      </c>
      <c r="C325" s="29" t="str">
        <f>'дод 9'!B244</f>
        <v>0490</v>
      </c>
      <c r="D325" s="30" t="str">
        <f>'дод 9'!C244</f>
        <v>Виконання інвестиційних проектів в рамках підтримки розвитку об'єднаних територіальних громад</v>
      </c>
      <c r="E325" s="31">
        <f t="shared" si="187"/>
        <v>0</v>
      </c>
      <c r="F325" s="31"/>
      <c r="G325" s="31"/>
      <c r="H325" s="31"/>
      <c r="I325" s="31"/>
      <c r="J325" s="31">
        <f t="shared" si="189"/>
        <v>0</v>
      </c>
      <c r="K325" s="31"/>
      <c r="L325" s="31"/>
      <c r="M325" s="31"/>
      <c r="N325" s="31"/>
      <c r="O325" s="31"/>
      <c r="P325" s="31">
        <f t="shared" si="188"/>
        <v>0</v>
      </c>
      <c r="Q325" s="64"/>
    </row>
    <row r="326" spans="1:17" s="32" customFormat="1" ht="56.25" hidden="1" customHeight="1" x14ac:dyDescent="0.45">
      <c r="A326" s="28" t="s">
        <v>355</v>
      </c>
      <c r="B326" s="29">
        <v>7363</v>
      </c>
      <c r="C326" s="52" t="s">
        <v>78</v>
      </c>
      <c r="D326" s="30" t="s">
        <v>556</v>
      </c>
      <c r="E326" s="31">
        <f t="shared" si="187"/>
        <v>0</v>
      </c>
      <c r="F326" s="31"/>
      <c r="G326" s="31"/>
      <c r="H326" s="31"/>
      <c r="I326" s="31"/>
      <c r="J326" s="31">
        <f t="shared" si="189"/>
        <v>0</v>
      </c>
      <c r="K326" s="31"/>
      <c r="L326" s="31"/>
      <c r="M326" s="31"/>
      <c r="N326" s="31"/>
      <c r="O326" s="31"/>
      <c r="P326" s="31">
        <f t="shared" si="188"/>
        <v>0</v>
      </c>
      <c r="Q326" s="64"/>
    </row>
    <row r="327" spans="1:17" s="37" customFormat="1" ht="50.25" hidden="1" customHeight="1" x14ac:dyDescent="0.45">
      <c r="A327" s="33"/>
      <c r="B327" s="34"/>
      <c r="C327" s="34"/>
      <c r="D327" s="35" t="s">
        <v>375</v>
      </c>
      <c r="E327" s="31">
        <f t="shared" si="187"/>
        <v>0</v>
      </c>
      <c r="F327" s="36"/>
      <c r="G327" s="36"/>
      <c r="H327" s="36"/>
      <c r="I327" s="36"/>
      <c r="J327" s="31">
        <f t="shared" si="189"/>
        <v>0</v>
      </c>
      <c r="K327" s="36"/>
      <c r="L327" s="36"/>
      <c r="M327" s="36"/>
      <c r="N327" s="36"/>
      <c r="O327" s="36"/>
      <c r="P327" s="31">
        <f t="shared" si="188"/>
        <v>0</v>
      </c>
      <c r="Q327" s="64"/>
    </row>
    <row r="328" spans="1:17" s="37" customFormat="1" ht="31.5" hidden="1" customHeight="1" x14ac:dyDescent="0.45">
      <c r="A328" s="28" t="s">
        <v>523</v>
      </c>
      <c r="B328" s="29">
        <v>7368</v>
      </c>
      <c r="C328" s="52" t="s">
        <v>78</v>
      </c>
      <c r="D328" s="30" t="s">
        <v>524</v>
      </c>
      <c r="E328" s="31">
        <f t="shared" si="187"/>
        <v>0</v>
      </c>
      <c r="F328" s="36"/>
      <c r="G328" s="36"/>
      <c r="H328" s="36"/>
      <c r="I328" s="36"/>
      <c r="J328" s="31">
        <f t="shared" si="189"/>
        <v>0</v>
      </c>
      <c r="K328" s="31"/>
      <c r="L328" s="31"/>
      <c r="M328" s="31"/>
      <c r="N328" s="31"/>
      <c r="O328" s="31"/>
      <c r="P328" s="31">
        <f t="shared" si="188"/>
        <v>0</v>
      </c>
      <c r="Q328" s="64"/>
    </row>
    <row r="329" spans="1:17" s="37" customFormat="1" ht="15.75" hidden="1" customHeight="1" x14ac:dyDescent="0.45">
      <c r="A329" s="33"/>
      <c r="B329" s="34"/>
      <c r="C329" s="34"/>
      <c r="D329" s="35" t="s">
        <v>380</v>
      </c>
      <c r="E329" s="31">
        <f t="shared" si="187"/>
        <v>0</v>
      </c>
      <c r="F329" s="36"/>
      <c r="G329" s="36"/>
      <c r="H329" s="36"/>
      <c r="I329" s="36"/>
      <c r="J329" s="31">
        <f t="shared" si="189"/>
        <v>0</v>
      </c>
      <c r="K329" s="36"/>
      <c r="L329" s="36"/>
      <c r="M329" s="36"/>
      <c r="N329" s="36"/>
      <c r="O329" s="36"/>
      <c r="P329" s="31">
        <f t="shared" si="188"/>
        <v>0</v>
      </c>
      <c r="Q329" s="64"/>
    </row>
    <row r="330" spans="1:17" s="37" customFormat="1" ht="110.25" hidden="1" customHeight="1" x14ac:dyDescent="0.45">
      <c r="A330" s="33"/>
      <c r="B330" s="34"/>
      <c r="C330" s="34"/>
      <c r="D330" s="35" t="s">
        <v>382</v>
      </c>
      <c r="E330" s="31">
        <f t="shared" si="187"/>
        <v>0</v>
      </c>
      <c r="F330" s="36"/>
      <c r="G330" s="36"/>
      <c r="H330" s="36"/>
      <c r="I330" s="36"/>
      <c r="J330" s="31">
        <f t="shared" si="189"/>
        <v>0</v>
      </c>
      <c r="K330" s="36"/>
      <c r="L330" s="36"/>
      <c r="M330" s="36"/>
      <c r="N330" s="36"/>
      <c r="O330" s="36"/>
      <c r="P330" s="31">
        <f t="shared" si="188"/>
        <v>0</v>
      </c>
      <c r="Q330" s="64"/>
    </row>
    <row r="331" spans="1:17" s="37" customFormat="1" ht="87" hidden="1" customHeight="1" x14ac:dyDescent="0.45">
      <c r="A331" s="33"/>
      <c r="B331" s="34"/>
      <c r="C331" s="33"/>
      <c r="D331" s="35" t="s">
        <v>492</v>
      </c>
      <c r="E331" s="31">
        <f t="shared" si="187"/>
        <v>0</v>
      </c>
      <c r="F331" s="36"/>
      <c r="G331" s="36"/>
      <c r="H331" s="36"/>
      <c r="I331" s="36"/>
      <c r="J331" s="31">
        <f t="shared" si="189"/>
        <v>0</v>
      </c>
      <c r="K331" s="36"/>
      <c r="L331" s="36"/>
      <c r="M331" s="36"/>
      <c r="N331" s="36"/>
      <c r="O331" s="36"/>
      <c r="P331" s="31">
        <f t="shared" si="188"/>
        <v>0</v>
      </c>
      <c r="Q331" s="64"/>
    </row>
    <row r="332" spans="1:17" s="37" customFormat="1" ht="63.75" hidden="1" customHeight="1" x14ac:dyDescent="0.45">
      <c r="A332" s="28" t="s">
        <v>521</v>
      </c>
      <c r="B332" s="29">
        <v>7463</v>
      </c>
      <c r="C332" s="28" t="s">
        <v>385</v>
      </c>
      <c r="D332" s="42" t="s">
        <v>522</v>
      </c>
      <c r="E332" s="31">
        <f t="shared" si="187"/>
        <v>0</v>
      </c>
      <c r="F332" s="31"/>
      <c r="G332" s="36"/>
      <c r="H332" s="36"/>
      <c r="I332" s="36"/>
      <c r="J332" s="31">
        <f t="shared" si="189"/>
        <v>0</v>
      </c>
      <c r="K332" s="36"/>
      <c r="L332" s="36"/>
      <c r="M332" s="36"/>
      <c r="N332" s="36"/>
      <c r="O332" s="36"/>
      <c r="P332" s="31">
        <f t="shared" si="188"/>
        <v>0</v>
      </c>
      <c r="Q332" s="64"/>
    </row>
    <row r="333" spans="1:17" s="37" customFormat="1" ht="15.75" hidden="1" customHeight="1" x14ac:dyDescent="0.45">
      <c r="A333" s="33"/>
      <c r="B333" s="34"/>
      <c r="C333" s="33"/>
      <c r="D333" s="35" t="s">
        <v>380</v>
      </c>
      <c r="E333" s="31">
        <f t="shared" si="187"/>
        <v>0</v>
      </c>
      <c r="F333" s="36"/>
      <c r="G333" s="36"/>
      <c r="H333" s="36"/>
      <c r="I333" s="36"/>
      <c r="J333" s="31">
        <f t="shared" si="189"/>
        <v>0</v>
      </c>
      <c r="K333" s="36"/>
      <c r="L333" s="36"/>
      <c r="M333" s="36"/>
      <c r="N333" s="36"/>
      <c r="O333" s="36"/>
      <c r="P333" s="31">
        <f t="shared" si="188"/>
        <v>0</v>
      </c>
      <c r="Q333" s="64"/>
    </row>
    <row r="334" spans="1:17" s="37" customFormat="1" ht="31.5" hidden="1" customHeight="1" x14ac:dyDescent="0.45">
      <c r="A334" s="28" t="s">
        <v>406</v>
      </c>
      <c r="B334" s="29">
        <v>7530</v>
      </c>
      <c r="C334" s="28" t="s">
        <v>228</v>
      </c>
      <c r="D334" s="49" t="s">
        <v>226</v>
      </c>
      <c r="E334" s="31">
        <f t="shared" si="187"/>
        <v>0</v>
      </c>
      <c r="F334" s="31"/>
      <c r="G334" s="36"/>
      <c r="H334" s="36"/>
      <c r="I334" s="36"/>
      <c r="J334" s="31">
        <f t="shared" si="189"/>
        <v>0</v>
      </c>
      <c r="K334" s="31"/>
      <c r="L334" s="31"/>
      <c r="M334" s="31"/>
      <c r="N334" s="31"/>
      <c r="O334" s="31"/>
      <c r="P334" s="31">
        <f t="shared" si="188"/>
        <v>0</v>
      </c>
      <c r="Q334" s="64"/>
    </row>
    <row r="335" spans="1:17" s="135" customFormat="1" ht="46.15" x14ac:dyDescent="0.45">
      <c r="A335" s="28" t="s">
        <v>650</v>
      </c>
      <c r="B335" s="29">
        <v>7375</v>
      </c>
      <c r="C335" s="28" t="s">
        <v>78</v>
      </c>
      <c r="D335" s="49" t="s">
        <v>651</v>
      </c>
      <c r="E335" s="31">
        <f t="shared" si="187"/>
        <v>1800000</v>
      </c>
      <c r="F335" s="31">
        <f>7000000-1200000-2000000-2000000</f>
        <v>1800000</v>
      </c>
      <c r="G335" s="36"/>
      <c r="H335" s="36"/>
      <c r="I335" s="36"/>
      <c r="J335" s="31">
        <f t="shared" si="189"/>
        <v>2700000</v>
      </c>
      <c r="K335" s="31">
        <f>1500000+1200000</f>
        <v>2700000</v>
      </c>
      <c r="L335" s="31"/>
      <c r="M335" s="31"/>
      <c r="N335" s="31"/>
      <c r="O335" s="31">
        <f>1500000+1200000</f>
        <v>2700000</v>
      </c>
      <c r="P335" s="31">
        <f t="shared" si="188"/>
        <v>4500000</v>
      </c>
      <c r="Q335" s="138"/>
    </row>
    <row r="336" spans="1:17" s="37" customFormat="1" ht="49.5" hidden="1" customHeight="1" x14ac:dyDescent="0.45">
      <c r="A336" s="28" t="s">
        <v>626</v>
      </c>
      <c r="B336" s="29">
        <v>7383</v>
      </c>
      <c r="C336" s="28" t="s">
        <v>78</v>
      </c>
      <c r="D336" s="30" t="str">
        <f>'дод 9'!C251</f>
        <v>Реалізація проектів (об'єктів, заходів) за рахунок коштів фонду ліквідації наслідків збройної агресії, у т. ч. за рахунок:</v>
      </c>
      <c r="E336" s="31">
        <f>F336+I336</f>
        <v>0</v>
      </c>
      <c r="F336" s="31"/>
      <c r="G336" s="36"/>
      <c r="H336" s="36"/>
      <c r="I336" s="36"/>
      <c r="J336" s="31">
        <f t="shared" si="180"/>
        <v>0</v>
      </c>
      <c r="K336" s="31"/>
      <c r="L336" s="31"/>
      <c r="M336" s="31"/>
      <c r="N336" s="31"/>
      <c r="O336" s="31"/>
      <c r="P336" s="31">
        <f t="shared" si="177"/>
        <v>0</v>
      </c>
      <c r="Q336" s="64"/>
    </row>
    <row r="337" spans="1:17" s="37" customFormat="1" ht="65.25" hidden="1" customHeight="1" x14ac:dyDescent="0.45">
      <c r="A337" s="28"/>
      <c r="B337" s="29"/>
      <c r="C337" s="28"/>
      <c r="D337" s="35" t="str">
        <f>'дод 9'!C252</f>
        <v>субвенції з державного бюджету місцевим бюджетам на реалізацію проектів (об'єктів, заходів), спрямованих на ліквідацію наслідків збройної агресії</v>
      </c>
      <c r="E337" s="31">
        <f t="shared" ref="E337:E342" si="190">F337+I337</f>
        <v>0</v>
      </c>
      <c r="F337" s="31"/>
      <c r="G337" s="36"/>
      <c r="H337" s="36"/>
      <c r="I337" s="36"/>
      <c r="J337" s="36">
        <f t="shared" si="180"/>
        <v>0</v>
      </c>
      <c r="K337" s="31"/>
      <c r="L337" s="31"/>
      <c r="M337" s="31"/>
      <c r="N337" s="31"/>
      <c r="O337" s="31"/>
      <c r="P337" s="36">
        <f>E337+J337</f>
        <v>0</v>
      </c>
      <c r="Q337" s="64"/>
    </row>
    <row r="338" spans="1:17" s="37" customFormat="1" ht="65.25" hidden="1" customHeight="1" x14ac:dyDescent="0.45">
      <c r="A338" s="28" t="s">
        <v>644</v>
      </c>
      <c r="B338" s="29" t="str">
        <f>'дод 9'!A265</f>
        <v>7461</v>
      </c>
      <c r="C338" s="29" t="str">
        <f>'дод 9'!B265</f>
        <v>0456</v>
      </c>
      <c r="D338" s="42" t="str">
        <f>'дод 9'!C265</f>
        <v>Утримання та розвиток автомобільних доріг та дорожньої інфраструктури за рахунок коштів місцевого бюджету</v>
      </c>
      <c r="E338" s="31">
        <f t="shared" si="190"/>
        <v>0</v>
      </c>
      <c r="F338" s="31"/>
      <c r="G338" s="36"/>
      <c r="H338" s="36"/>
      <c r="I338" s="36"/>
      <c r="J338" s="36">
        <f t="shared" si="180"/>
        <v>0</v>
      </c>
      <c r="K338" s="31"/>
      <c r="L338" s="31"/>
      <c r="M338" s="31"/>
      <c r="N338" s="31"/>
      <c r="O338" s="31"/>
      <c r="P338" s="31">
        <f>E338+J338</f>
        <v>0</v>
      </c>
      <c r="Q338" s="64"/>
    </row>
    <row r="339" spans="1:17" s="32" customFormat="1" ht="47.25" hidden="1" customHeight="1" x14ac:dyDescent="0.45">
      <c r="A339" s="28" t="s">
        <v>361</v>
      </c>
      <c r="B339" s="29" t="str">
        <f>'дод 9'!A266</f>
        <v>7462</v>
      </c>
      <c r="C339" s="29" t="str">
        <f>'дод 9'!B266</f>
        <v>0456</v>
      </c>
      <c r="D339" s="42" t="str">
        <f>'дод 9'!C266</f>
        <v>Утримання та розвиток автомобільних доріг та дорожньої інфраструктури за рахунок субвенції з державного бюджету, у т.ч. за рахунок:</v>
      </c>
      <c r="E339" s="31">
        <f t="shared" si="190"/>
        <v>0</v>
      </c>
      <c r="F339" s="31"/>
      <c r="G339" s="31"/>
      <c r="H339" s="31"/>
      <c r="I339" s="31"/>
      <c r="J339" s="31">
        <f>L339+O339</f>
        <v>0</v>
      </c>
      <c r="K339" s="31"/>
      <c r="L339" s="31"/>
      <c r="M339" s="31"/>
      <c r="N339" s="31"/>
      <c r="O339" s="31"/>
      <c r="P339" s="31">
        <f>E339+J339</f>
        <v>0</v>
      </c>
      <c r="Q339" s="64"/>
    </row>
    <row r="340" spans="1:17" s="32" customFormat="1" ht="111" hidden="1" customHeight="1" x14ac:dyDescent="0.45">
      <c r="A340" s="28"/>
      <c r="B340" s="29"/>
      <c r="C340" s="28"/>
      <c r="D340" s="50" t="s">
        <v>647</v>
      </c>
      <c r="E340" s="31">
        <f t="shared" si="190"/>
        <v>0</v>
      </c>
      <c r="F340" s="31"/>
      <c r="G340" s="31"/>
      <c r="H340" s="31"/>
      <c r="I340" s="31"/>
      <c r="J340" s="36">
        <f>L340+O340</f>
        <v>0</v>
      </c>
      <c r="K340" s="36"/>
      <c r="L340" s="36"/>
      <c r="M340" s="36"/>
      <c r="N340" s="36"/>
      <c r="O340" s="36"/>
      <c r="P340" s="36">
        <f>E340+J340</f>
        <v>0</v>
      </c>
      <c r="Q340" s="64"/>
    </row>
    <row r="341" spans="1:17" s="32" customFormat="1" ht="94.15" customHeight="1" x14ac:dyDescent="0.45">
      <c r="A341" s="28" t="s">
        <v>669</v>
      </c>
      <c r="B341" s="29">
        <v>7384</v>
      </c>
      <c r="C341" s="28" t="s">
        <v>78</v>
      </c>
      <c r="D341" s="39" t="s">
        <v>667</v>
      </c>
      <c r="E341" s="31">
        <f t="shared" si="190"/>
        <v>0</v>
      </c>
      <c r="F341" s="31">
        <v>0</v>
      </c>
      <c r="G341" s="31">
        <v>0</v>
      </c>
      <c r="H341" s="31">
        <v>0</v>
      </c>
      <c r="I341" s="31"/>
      <c r="J341" s="31">
        <f t="shared" ref="J341:J342" si="191">L341+O341</f>
        <v>15622974</v>
      </c>
      <c r="K341" s="31"/>
      <c r="L341" s="36"/>
      <c r="M341" s="36"/>
      <c r="N341" s="36"/>
      <c r="O341" s="31">
        <v>15622974</v>
      </c>
      <c r="P341" s="31">
        <f t="shared" ref="P341:P342" si="192">E341+J341</f>
        <v>15622974</v>
      </c>
      <c r="Q341" s="64"/>
    </row>
    <row r="342" spans="1:17" s="32" customFormat="1" ht="111" customHeight="1" x14ac:dyDescent="0.45">
      <c r="A342" s="33"/>
      <c r="B342" s="34"/>
      <c r="C342" s="33"/>
      <c r="D342" s="51" t="s">
        <v>671</v>
      </c>
      <c r="E342" s="36">
        <f t="shared" si="190"/>
        <v>0</v>
      </c>
      <c r="F342" s="36">
        <v>0</v>
      </c>
      <c r="G342" s="36">
        <v>0</v>
      </c>
      <c r="H342" s="36">
        <v>0</v>
      </c>
      <c r="I342" s="36"/>
      <c r="J342" s="36">
        <f t="shared" si="191"/>
        <v>15622974</v>
      </c>
      <c r="K342" s="36"/>
      <c r="L342" s="36"/>
      <c r="M342" s="36"/>
      <c r="N342" s="36"/>
      <c r="O342" s="36">
        <v>15622974</v>
      </c>
      <c r="P342" s="36">
        <f t="shared" si="192"/>
        <v>15622974</v>
      </c>
      <c r="Q342" s="64"/>
    </row>
    <row r="343" spans="1:17" s="32" customFormat="1" ht="42" customHeight="1" x14ac:dyDescent="0.45">
      <c r="A343" s="28" t="s">
        <v>735</v>
      </c>
      <c r="B343" s="29" t="str">
        <f>'дод 9'!A259</f>
        <v>7412</v>
      </c>
      <c r="C343" s="29" t="str">
        <f>'дод 9'!B259</f>
        <v>0451</v>
      </c>
      <c r="D343" s="42" t="str">
        <f>'дод 9'!C259</f>
        <v>Регулювання цін на послуги місцевого автотранспорту</v>
      </c>
      <c r="E343" s="31">
        <f t="shared" ref="E343:E344" si="193">F343+I343</f>
        <v>6484656</v>
      </c>
      <c r="F343" s="31">
        <v>0</v>
      </c>
      <c r="G343" s="31">
        <v>0</v>
      </c>
      <c r="H343" s="31">
        <v>0</v>
      </c>
      <c r="I343" s="31">
        <v>6484656</v>
      </c>
      <c r="J343" s="31">
        <f t="shared" ref="J343:J344" si="194">L343+O343</f>
        <v>0</v>
      </c>
      <c r="K343" s="31"/>
      <c r="L343" s="36"/>
      <c r="M343" s="36"/>
      <c r="N343" s="36"/>
      <c r="O343" s="31">
        <v>0</v>
      </c>
      <c r="P343" s="31">
        <f t="shared" ref="P343:P344" si="195">E343+J343</f>
        <v>6484656</v>
      </c>
      <c r="Q343" s="64"/>
    </row>
    <row r="344" spans="1:17" s="32" customFormat="1" ht="42" customHeight="1" x14ac:dyDescent="0.45">
      <c r="A344" s="28" t="s">
        <v>736</v>
      </c>
      <c r="B344" s="29">
        <f>'дод 9'!A261</f>
        <v>7422</v>
      </c>
      <c r="C344" s="29" t="str">
        <f>'дод 9'!B261</f>
        <v>0453</v>
      </c>
      <c r="D344" s="42" t="str">
        <f>'дод 9'!C261</f>
        <v>Регулювання цін на послуги місцевого наземного електротранспорту</v>
      </c>
      <c r="E344" s="31">
        <f t="shared" si="193"/>
        <v>18076776</v>
      </c>
      <c r="F344" s="31">
        <v>0</v>
      </c>
      <c r="G344" s="31">
        <v>0</v>
      </c>
      <c r="H344" s="31">
        <v>0</v>
      </c>
      <c r="I344" s="31">
        <v>18076776</v>
      </c>
      <c r="J344" s="31">
        <f t="shared" si="194"/>
        <v>0</v>
      </c>
      <c r="K344" s="31"/>
      <c r="L344" s="36"/>
      <c r="M344" s="36"/>
      <c r="N344" s="36"/>
      <c r="O344" s="31">
        <v>0</v>
      </c>
      <c r="P344" s="31">
        <f t="shared" si="195"/>
        <v>18076776</v>
      </c>
      <c r="Q344" s="64"/>
    </row>
    <row r="345" spans="1:17" s="136" customFormat="1" ht="20.25" customHeight="1" x14ac:dyDescent="0.45">
      <c r="A345" s="28" t="s">
        <v>194</v>
      </c>
      <c r="B345" s="29" t="str">
        <f>'дод 9'!A276</f>
        <v>7640</v>
      </c>
      <c r="C345" s="28" t="str">
        <f>'дод 9'!B276</f>
        <v>0470</v>
      </c>
      <c r="D345" s="30" t="s">
        <v>403</v>
      </c>
      <c r="E345" s="31">
        <f t="shared" si="176"/>
        <v>1300000</v>
      </c>
      <c r="F345" s="31">
        <v>100000</v>
      </c>
      <c r="G345" s="31"/>
      <c r="H345" s="31"/>
      <c r="I345" s="31">
        <f>2300000-100000-1000000</f>
        <v>1200000</v>
      </c>
      <c r="J345" s="31">
        <f t="shared" si="180"/>
        <v>0</v>
      </c>
      <c r="K345" s="31"/>
      <c r="L345" s="31"/>
      <c r="M345" s="31"/>
      <c r="N345" s="31"/>
      <c r="O345" s="31"/>
      <c r="P345" s="31">
        <f t="shared" si="177"/>
        <v>1300000</v>
      </c>
      <c r="Q345" s="138"/>
    </row>
    <row r="346" spans="1:17" s="136" customFormat="1" ht="43.9" customHeight="1" x14ac:dyDescent="0.45">
      <c r="A346" s="28" t="s">
        <v>318</v>
      </c>
      <c r="B346" s="29" t="str">
        <f>'дод 9'!A282</f>
        <v>7670</v>
      </c>
      <c r="C346" s="28" t="str">
        <f>'дод 9'!B282</f>
        <v>0490</v>
      </c>
      <c r="D346" s="30" t="str">
        <f>'дод 9'!C282</f>
        <v>Внески до статутного капіталу суб'єктів господарювання,  у т.ч. за рахунок:</v>
      </c>
      <c r="E346" s="31">
        <f>F346+I346</f>
        <v>0</v>
      </c>
      <c r="F346" s="31"/>
      <c r="G346" s="31"/>
      <c r="H346" s="31"/>
      <c r="I346" s="31"/>
      <c r="J346" s="31">
        <f>L346+O346</f>
        <v>7288637</v>
      </c>
      <c r="K346" s="31">
        <f>2000000+1024337+1712000+200000+1580400+771900</f>
        <v>7288637</v>
      </c>
      <c r="L346" s="31"/>
      <c r="M346" s="31"/>
      <c r="N346" s="31"/>
      <c r="O346" s="31">
        <f>2000000+1024337+1712000+200000+1580400+771900</f>
        <v>7288637</v>
      </c>
      <c r="P346" s="31">
        <f>E346+J346</f>
        <v>7288637</v>
      </c>
      <c r="Q346" s="138"/>
    </row>
    <row r="347" spans="1:17" s="136" customFormat="1" ht="101.25" customHeight="1" x14ac:dyDescent="0.45">
      <c r="A347" s="28"/>
      <c r="B347" s="29"/>
      <c r="C347" s="28"/>
      <c r="D347" s="55" t="s">
        <v>624</v>
      </c>
      <c r="E347" s="36">
        <f t="shared" ref="E347" si="196">F347+I347</f>
        <v>0</v>
      </c>
      <c r="F347" s="36"/>
      <c r="G347" s="36"/>
      <c r="H347" s="36"/>
      <c r="I347" s="36"/>
      <c r="J347" s="36">
        <f>L347+O347</f>
        <v>371900</v>
      </c>
      <c r="K347" s="36">
        <f>200000+171900</f>
        <v>371900</v>
      </c>
      <c r="L347" s="36"/>
      <c r="M347" s="36"/>
      <c r="N347" s="36"/>
      <c r="O347" s="36">
        <f>200000+171900</f>
        <v>371900</v>
      </c>
      <c r="P347" s="36">
        <f t="shared" ref="P347" si="197">E347+J347</f>
        <v>371900</v>
      </c>
      <c r="Q347" s="138"/>
    </row>
    <row r="348" spans="1:17" s="37" customFormat="1" ht="18.75" hidden="1" customHeight="1" x14ac:dyDescent="0.45">
      <c r="A348" s="33"/>
      <c r="B348" s="34"/>
      <c r="C348" s="34"/>
      <c r="D348" s="35" t="s">
        <v>400</v>
      </c>
      <c r="E348" s="36">
        <f t="shared" si="176"/>
        <v>0</v>
      </c>
      <c r="F348" s="36"/>
      <c r="G348" s="36"/>
      <c r="H348" s="36"/>
      <c r="I348" s="36"/>
      <c r="J348" s="36">
        <f t="shared" si="180"/>
        <v>0</v>
      </c>
      <c r="K348" s="36"/>
      <c r="L348" s="36"/>
      <c r="M348" s="36"/>
      <c r="N348" s="36"/>
      <c r="O348" s="36"/>
      <c r="P348" s="36">
        <f t="shared" si="177"/>
        <v>0</v>
      </c>
      <c r="Q348" s="64"/>
    </row>
    <row r="349" spans="1:17" s="32" customFormat="1" ht="112.5" customHeight="1" x14ac:dyDescent="0.45">
      <c r="A349" s="28" t="s">
        <v>288</v>
      </c>
      <c r="B349" s="29">
        <v>7691</v>
      </c>
      <c r="C349" s="29" t="s">
        <v>78</v>
      </c>
      <c r="D349" s="30" t="str">
        <f>'дод 9'!C286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349" s="31">
        <f t="shared" si="176"/>
        <v>0</v>
      </c>
      <c r="F349" s="31"/>
      <c r="G349" s="31"/>
      <c r="H349" s="31"/>
      <c r="I349" s="31"/>
      <c r="J349" s="31">
        <f t="shared" si="180"/>
        <v>60000</v>
      </c>
      <c r="K349" s="31"/>
      <c r="L349" s="31">
        <v>60000</v>
      </c>
      <c r="M349" s="31"/>
      <c r="N349" s="31"/>
      <c r="O349" s="31"/>
      <c r="P349" s="31">
        <f t="shared" si="177"/>
        <v>60000</v>
      </c>
      <c r="Q349" s="64"/>
    </row>
    <row r="350" spans="1:17" s="32" customFormat="1" ht="46.15" x14ac:dyDescent="0.45">
      <c r="A350" s="28" t="s">
        <v>725</v>
      </c>
      <c r="B350" s="29">
        <f>'дод 9'!A289</f>
        <v>7700</v>
      </c>
      <c r="C350" s="29" t="str">
        <f>'дод 9'!B289</f>
        <v>0133</v>
      </c>
      <c r="D350" s="42" t="str">
        <f>'дод 9'!C289</f>
        <v>Реалізація програм допомоги і грантів Європейського Союзу, урядів іноземних держав, міжнародних організацій, донорських установ, у т.ч. за рахунок:</v>
      </c>
      <c r="E350" s="31">
        <f t="shared" ref="E350:E351" si="198">F350+I350</f>
        <v>0</v>
      </c>
      <c r="F350" s="31"/>
      <c r="G350" s="31"/>
      <c r="H350" s="31"/>
      <c r="I350" s="31"/>
      <c r="J350" s="31">
        <f t="shared" ref="J350:J351" si="199">L350+O350</f>
        <v>5819323</v>
      </c>
      <c r="K350" s="31"/>
      <c r="L350" s="31">
        <v>362376</v>
      </c>
      <c r="M350" s="31"/>
      <c r="N350" s="31"/>
      <c r="O350" s="31">
        <v>5456947</v>
      </c>
      <c r="P350" s="31">
        <f t="shared" ref="P350:P351" si="200">E350+J350</f>
        <v>5819323</v>
      </c>
      <c r="Q350" s="64"/>
    </row>
    <row r="351" spans="1:17" s="37" customFormat="1" ht="15.4" x14ac:dyDescent="0.45">
      <c r="A351" s="33"/>
      <c r="B351" s="34"/>
      <c r="C351" s="34"/>
      <c r="D351" s="35" t="str">
        <f>'дод 9'!C290</f>
        <v>грантів (дарунків)</v>
      </c>
      <c r="E351" s="36">
        <f t="shared" si="198"/>
        <v>0</v>
      </c>
      <c r="F351" s="36"/>
      <c r="G351" s="36"/>
      <c r="H351" s="36"/>
      <c r="I351" s="36"/>
      <c r="J351" s="36">
        <f t="shared" si="199"/>
        <v>5819323</v>
      </c>
      <c r="K351" s="36"/>
      <c r="L351" s="36">
        <v>362376</v>
      </c>
      <c r="M351" s="36"/>
      <c r="N351" s="36"/>
      <c r="O351" s="36">
        <v>5456947</v>
      </c>
      <c r="P351" s="36">
        <f t="shared" si="200"/>
        <v>5819323</v>
      </c>
      <c r="Q351" s="67"/>
    </row>
    <row r="352" spans="1:17" s="136" customFormat="1" ht="39" customHeight="1" x14ac:dyDescent="0.45">
      <c r="A352" s="28" t="s">
        <v>367</v>
      </c>
      <c r="B352" s="29" t="str">
        <f>'дод 9'!A299</f>
        <v>8110</v>
      </c>
      <c r="C352" s="29" t="str">
        <f>'дод 9'!B299</f>
        <v>0320</v>
      </c>
      <c r="D352" s="42" t="str">
        <f>'дод 9'!C299</f>
        <v>Заходи із запобігання та ліквідації надзвичайних ситуацій та наслідків стихійного лиха, у т.ч. за рахунок:</v>
      </c>
      <c r="E352" s="31">
        <f t="shared" ref="E352:E362" si="201">F352+I352</f>
        <v>7581021</v>
      </c>
      <c r="F352" s="31">
        <f>7000000-300000+400000-3500000+304152+280000+100000+1196869+100000+2000000</f>
        <v>7581021</v>
      </c>
      <c r="G352" s="31"/>
      <c r="H352" s="31"/>
      <c r="I352" s="31"/>
      <c r="J352" s="31">
        <f>L352+O352</f>
        <v>5756200</v>
      </c>
      <c r="K352" s="31">
        <f>3500000+1128100+1128100</f>
        <v>5756200</v>
      </c>
      <c r="L352" s="31"/>
      <c r="M352" s="31"/>
      <c r="N352" s="31"/>
      <c r="O352" s="31">
        <f>3500000+1128100+1128100</f>
        <v>5756200</v>
      </c>
      <c r="P352" s="31">
        <f t="shared" ref="P352:P357" si="202">E352+J352</f>
        <v>13337221</v>
      </c>
      <c r="Q352" s="138"/>
    </row>
    <row r="353" spans="1:17" s="37" customFormat="1" ht="22.15" customHeight="1" x14ac:dyDescent="0.45">
      <c r="A353" s="33"/>
      <c r="B353" s="34"/>
      <c r="C353" s="34"/>
      <c r="D353" s="50" t="s">
        <v>380</v>
      </c>
      <c r="E353" s="36">
        <f t="shared" ref="E353" si="203">F353+I353</f>
        <v>0</v>
      </c>
      <c r="F353" s="36">
        <v>0</v>
      </c>
      <c r="G353" s="36"/>
      <c r="H353" s="36"/>
      <c r="I353" s="36"/>
      <c r="J353" s="36">
        <f>L353+O353</f>
        <v>1128100</v>
      </c>
      <c r="K353" s="36">
        <v>1128100</v>
      </c>
      <c r="L353" s="36"/>
      <c r="M353" s="36"/>
      <c r="N353" s="36"/>
      <c r="O353" s="36">
        <v>1128100</v>
      </c>
      <c r="P353" s="36">
        <f t="shared" ref="P353" si="204">E353+J353</f>
        <v>1128100</v>
      </c>
      <c r="Q353" s="67"/>
    </row>
    <row r="354" spans="1:17" s="135" customFormat="1" ht="109.5" customHeight="1" x14ac:dyDescent="0.45">
      <c r="A354" s="33"/>
      <c r="B354" s="34"/>
      <c r="C354" s="34"/>
      <c r="D354" s="50" t="str">
        <f>'дод 9'!C301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354" s="36">
        <f t="shared" si="201"/>
        <v>1676869</v>
      </c>
      <c r="F354" s="36">
        <f>280000+100000+1196869+100000</f>
        <v>1676869</v>
      </c>
      <c r="G354" s="36"/>
      <c r="H354" s="36"/>
      <c r="I354" s="36"/>
      <c r="J354" s="36">
        <f>L354+O354</f>
        <v>1128100</v>
      </c>
      <c r="K354" s="36">
        <v>1128100</v>
      </c>
      <c r="L354" s="36"/>
      <c r="M354" s="36"/>
      <c r="N354" s="36"/>
      <c r="O354" s="36">
        <v>1128100</v>
      </c>
      <c r="P354" s="36">
        <f t="shared" si="202"/>
        <v>2804969</v>
      </c>
      <c r="Q354" s="139"/>
    </row>
    <row r="355" spans="1:17" s="32" customFormat="1" ht="15.75" hidden="1" customHeight="1" x14ac:dyDescent="0.45">
      <c r="A355" s="28" t="s">
        <v>366</v>
      </c>
      <c r="B355" s="29" t="str">
        <f>'дод 9'!A305</f>
        <v>8230</v>
      </c>
      <c r="C355" s="29" t="str">
        <f>'дод 9'!B305</f>
        <v>0380</v>
      </c>
      <c r="D355" s="42" t="str">
        <f>'дод 9'!C305</f>
        <v>Інші заходи громадського порядку та безпеки</v>
      </c>
      <c r="E355" s="31">
        <f t="shared" si="201"/>
        <v>0</v>
      </c>
      <c r="F355" s="31"/>
      <c r="G355" s="31"/>
      <c r="H355" s="31"/>
      <c r="I355" s="31"/>
      <c r="J355" s="31">
        <f t="shared" ref="J355:J358" si="205">L355+O355</f>
        <v>0</v>
      </c>
      <c r="K355" s="31"/>
      <c r="L355" s="31"/>
      <c r="M355" s="31"/>
      <c r="N355" s="31"/>
      <c r="O355" s="31"/>
      <c r="P355" s="31">
        <f t="shared" si="202"/>
        <v>0</v>
      </c>
      <c r="Q355" s="47"/>
    </row>
    <row r="356" spans="1:17" s="32" customFormat="1" ht="27" customHeight="1" x14ac:dyDescent="0.45">
      <c r="A356" s="28" t="s">
        <v>618</v>
      </c>
      <c r="B356" s="29">
        <v>8240</v>
      </c>
      <c r="C356" s="29" t="str">
        <f>'дод 9'!B306</f>
        <v>0380</v>
      </c>
      <c r="D356" s="42" t="str">
        <f>'дод 9'!C306</f>
        <v>Заходи та роботи з територіальної оборони</v>
      </c>
      <c r="E356" s="31">
        <f>F356+I356</f>
        <v>4700000</v>
      </c>
      <c r="F356" s="31">
        <f>2000000+2700000</f>
        <v>4700000</v>
      </c>
      <c r="G356" s="31"/>
      <c r="H356" s="31"/>
      <c r="I356" s="31"/>
      <c r="J356" s="31">
        <f>L356+O356</f>
        <v>0</v>
      </c>
      <c r="K356" s="31"/>
      <c r="L356" s="31"/>
      <c r="M356" s="31"/>
      <c r="N356" s="31"/>
      <c r="O356" s="31"/>
      <c r="P356" s="31">
        <f t="shared" si="202"/>
        <v>4700000</v>
      </c>
      <c r="Q356" s="47"/>
    </row>
    <row r="357" spans="1:17" s="32" customFormat="1" ht="27" hidden="1" customHeight="1" x14ac:dyDescent="0.45">
      <c r="A357" s="28" t="s">
        <v>619</v>
      </c>
      <c r="B357" s="29">
        <v>8312</v>
      </c>
      <c r="C357" s="28" t="s">
        <v>620</v>
      </c>
      <c r="D357" s="42" t="s">
        <v>621</v>
      </c>
      <c r="E357" s="31">
        <f>F357+I357</f>
        <v>0</v>
      </c>
      <c r="F357" s="31"/>
      <c r="G357" s="31"/>
      <c r="H357" s="31"/>
      <c r="I357" s="31"/>
      <c r="J357" s="31">
        <f>L357+O357</f>
        <v>0</v>
      </c>
      <c r="K357" s="31"/>
      <c r="L357" s="31"/>
      <c r="M357" s="31"/>
      <c r="N357" s="31"/>
      <c r="O357" s="31"/>
      <c r="P357" s="31">
        <f t="shared" si="202"/>
        <v>0</v>
      </c>
      <c r="Q357" s="47"/>
    </row>
    <row r="358" spans="1:17" s="32" customFormat="1" ht="31.5" customHeight="1" x14ac:dyDescent="0.45">
      <c r="A358" s="28" t="s">
        <v>195</v>
      </c>
      <c r="B358" s="29" t="str">
        <f>'дод 9'!A310</f>
        <v>8340</v>
      </c>
      <c r="C358" s="29" t="str">
        <f>'дод 9'!B310</f>
        <v>0540</v>
      </c>
      <c r="D358" s="30" t="str">
        <f>'дод 9'!C310</f>
        <v>Природоохоронні заходи за рахунок цільових фондів</v>
      </c>
      <c r="E358" s="31">
        <f t="shared" si="201"/>
        <v>0</v>
      </c>
      <c r="F358" s="31"/>
      <c r="G358" s="31"/>
      <c r="H358" s="31"/>
      <c r="I358" s="31"/>
      <c r="J358" s="31">
        <f t="shared" si="205"/>
        <v>1174400</v>
      </c>
      <c r="K358" s="31"/>
      <c r="L358" s="31">
        <v>724400</v>
      </c>
      <c r="M358" s="31"/>
      <c r="N358" s="31"/>
      <c r="O358" s="31">
        <v>450000</v>
      </c>
      <c r="P358" s="31">
        <f t="shared" si="177"/>
        <v>1174400</v>
      </c>
      <c r="Q358" s="168"/>
    </row>
    <row r="359" spans="1:17" s="32" customFormat="1" ht="68.25" hidden="1" customHeight="1" x14ac:dyDescent="0.45">
      <c r="A359" s="28" t="s">
        <v>576</v>
      </c>
      <c r="B359" s="52">
        <v>8741</v>
      </c>
      <c r="C359" s="52">
        <v>610</v>
      </c>
      <c r="D359" s="39" t="s">
        <v>577</v>
      </c>
      <c r="E359" s="31">
        <f t="shared" si="201"/>
        <v>0</v>
      </c>
      <c r="F359" s="31"/>
      <c r="G359" s="31"/>
      <c r="H359" s="31"/>
      <c r="I359" s="31"/>
      <c r="J359" s="31">
        <f t="shared" si="180"/>
        <v>0</v>
      </c>
      <c r="K359" s="31"/>
      <c r="L359" s="31"/>
      <c r="M359" s="31"/>
      <c r="N359" s="31"/>
      <c r="O359" s="31"/>
      <c r="P359" s="31">
        <f t="shared" si="177"/>
        <v>0</v>
      </c>
      <c r="Q359" s="168"/>
    </row>
    <row r="360" spans="1:17" s="32" customFormat="1" ht="38.25" hidden="1" customHeight="1" x14ac:dyDescent="0.45">
      <c r="A360" s="28" t="s">
        <v>569</v>
      </c>
      <c r="B360" s="29">
        <v>8775</v>
      </c>
      <c r="C360" s="28" t="s">
        <v>89</v>
      </c>
      <c r="D360" s="30" t="s">
        <v>565</v>
      </c>
      <c r="E360" s="31">
        <f t="shared" si="201"/>
        <v>0</v>
      </c>
      <c r="F360" s="31"/>
      <c r="G360" s="31"/>
      <c r="H360" s="31"/>
      <c r="I360" s="31"/>
      <c r="J360" s="31">
        <f t="shared" si="180"/>
        <v>0</v>
      </c>
      <c r="K360" s="31"/>
      <c r="L360" s="31"/>
      <c r="M360" s="31"/>
      <c r="N360" s="31"/>
      <c r="O360" s="31"/>
      <c r="P360" s="31">
        <f t="shared" si="177"/>
        <v>0</v>
      </c>
      <c r="Q360" s="168"/>
    </row>
    <row r="361" spans="1:17" s="32" customFormat="1" ht="78.75" hidden="1" customHeight="1" x14ac:dyDescent="0.45">
      <c r="A361" s="28" t="s">
        <v>518</v>
      </c>
      <c r="B361" s="29">
        <v>9730</v>
      </c>
      <c r="C361" s="28" t="s">
        <v>43</v>
      </c>
      <c r="D361" s="30" t="s">
        <v>519</v>
      </c>
      <c r="E361" s="31">
        <f t="shared" si="201"/>
        <v>0</v>
      </c>
      <c r="F361" s="31"/>
      <c r="G361" s="31"/>
      <c r="H361" s="31"/>
      <c r="I361" s="31"/>
      <c r="J361" s="31">
        <f t="shared" si="180"/>
        <v>0</v>
      </c>
      <c r="K361" s="31"/>
      <c r="L361" s="31"/>
      <c r="M361" s="31"/>
      <c r="N361" s="31"/>
      <c r="O361" s="31"/>
      <c r="P361" s="31">
        <f t="shared" si="177"/>
        <v>0</v>
      </c>
      <c r="Q361" s="168"/>
    </row>
    <row r="362" spans="1:17" s="32" customFormat="1" ht="36" hidden="1" customHeight="1" x14ac:dyDescent="0.45">
      <c r="A362" s="28" t="s">
        <v>558</v>
      </c>
      <c r="B362" s="29">
        <v>9750</v>
      </c>
      <c r="C362" s="28" t="s">
        <v>43</v>
      </c>
      <c r="D362" s="30" t="s">
        <v>483</v>
      </c>
      <c r="E362" s="31">
        <f t="shared" si="201"/>
        <v>0</v>
      </c>
      <c r="F362" s="31"/>
      <c r="G362" s="31"/>
      <c r="H362" s="31"/>
      <c r="I362" s="31"/>
      <c r="J362" s="31">
        <f t="shared" ref="J362" si="206">L362+O362</f>
        <v>0</v>
      </c>
      <c r="K362" s="31"/>
      <c r="L362" s="31"/>
      <c r="M362" s="31"/>
      <c r="N362" s="31"/>
      <c r="O362" s="31"/>
      <c r="P362" s="31">
        <f t="shared" si="177"/>
        <v>0</v>
      </c>
      <c r="Q362" s="168"/>
    </row>
    <row r="363" spans="1:17" s="32" customFormat="1" ht="26.25" customHeight="1" x14ac:dyDescent="0.45">
      <c r="A363" s="28" t="s">
        <v>196</v>
      </c>
      <c r="B363" s="29" t="str">
        <f>'дод 9'!A327</f>
        <v>9770</v>
      </c>
      <c r="C363" s="29" t="str">
        <f>'дод 9'!B327</f>
        <v>0180</v>
      </c>
      <c r="D363" s="30" t="str">
        <f>'дод 9'!C327</f>
        <v>Інші субвенції з місцевого бюджету</v>
      </c>
      <c r="E363" s="31">
        <f t="shared" si="176"/>
        <v>4026800</v>
      </c>
      <c r="F363" s="31">
        <v>4026800</v>
      </c>
      <c r="G363" s="31"/>
      <c r="H363" s="31"/>
      <c r="I363" s="31"/>
      <c r="J363" s="31">
        <f t="shared" si="180"/>
        <v>10973200</v>
      </c>
      <c r="K363" s="31">
        <v>10973200</v>
      </c>
      <c r="L363" s="31"/>
      <c r="M363" s="31"/>
      <c r="N363" s="31"/>
      <c r="O363" s="31">
        <v>10973200</v>
      </c>
      <c r="P363" s="31">
        <f t="shared" si="177"/>
        <v>15000000</v>
      </c>
      <c r="Q363" s="168"/>
    </row>
    <row r="364" spans="1:17" s="32" customFormat="1" ht="52.5" hidden="1" customHeight="1" x14ac:dyDescent="0.45">
      <c r="A364" s="28" t="s">
        <v>575</v>
      </c>
      <c r="B364" s="29">
        <f>'дод 9'!A328</f>
        <v>9800</v>
      </c>
      <c r="C364" s="29" t="str">
        <f>'дод 9'!B328</f>
        <v>0180</v>
      </c>
      <c r="D364" s="42" t="str">
        <f>'дод 9'!C328</f>
        <v xml:space="preserve">Субвенція з місцевого бюджету державному бюджету на виконання програм соціально-економічного розвитку регіонів </v>
      </c>
      <c r="E364" s="31">
        <f>F364</f>
        <v>0</v>
      </c>
      <c r="F364" s="31"/>
      <c r="G364" s="31"/>
      <c r="H364" s="31"/>
      <c r="I364" s="31"/>
      <c r="J364" s="31">
        <f t="shared" si="180"/>
        <v>0</v>
      </c>
      <c r="K364" s="31"/>
      <c r="L364" s="31"/>
      <c r="M364" s="31"/>
      <c r="N364" s="31"/>
      <c r="O364" s="31"/>
      <c r="P364" s="31">
        <f t="shared" si="177"/>
        <v>0</v>
      </c>
      <c r="Q364" s="168"/>
    </row>
    <row r="365" spans="1:17" s="22" customFormat="1" ht="33.75" hidden="1" customHeight="1" x14ac:dyDescent="0.4">
      <c r="A365" s="43" t="s">
        <v>26</v>
      </c>
      <c r="B365" s="44"/>
      <c r="C365" s="44"/>
      <c r="D365" s="45" t="s">
        <v>33</v>
      </c>
      <c r="E365" s="21">
        <f>E366</f>
        <v>0</v>
      </c>
      <c r="F365" s="21">
        <f t="shared" ref="F365:J368" si="207">F366</f>
        <v>0</v>
      </c>
      <c r="G365" s="21">
        <f t="shared" si="207"/>
        <v>0</v>
      </c>
      <c r="H365" s="21">
        <f t="shared" si="207"/>
        <v>0</v>
      </c>
      <c r="I365" s="21">
        <f t="shared" si="207"/>
        <v>0</v>
      </c>
      <c r="J365" s="21">
        <f t="shared" si="207"/>
        <v>0</v>
      </c>
      <c r="K365" s="21">
        <f t="shared" ref="K365:K368" si="208">K366</f>
        <v>0</v>
      </c>
      <c r="L365" s="21">
        <f t="shared" ref="L365:L368" si="209">L366</f>
        <v>0</v>
      </c>
      <c r="M365" s="21">
        <f t="shared" ref="M365:M368" si="210">M366</f>
        <v>0</v>
      </c>
      <c r="N365" s="21">
        <f t="shared" ref="N365:N368" si="211">N366</f>
        <v>0</v>
      </c>
      <c r="O365" s="21">
        <f t="shared" ref="O365:P368" si="212">O366</f>
        <v>0</v>
      </c>
      <c r="P365" s="21">
        <f t="shared" si="212"/>
        <v>0</v>
      </c>
      <c r="Q365" s="168"/>
    </row>
    <row r="366" spans="1:17" s="27" customFormat="1" ht="36.75" hidden="1" customHeight="1" x14ac:dyDescent="0.4">
      <c r="A366" s="23" t="s">
        <v>113</v>
      </c>
      <c r="B366" s="46"/>
      <c r="C366" s="46"/>
      <c r="D366" s="25" t="s">
        <v>33</v>
      </c>
      <c r="E366" s="26">
        <f>E367</f>
        <v>0</v>
      </c>
      <c r="F366" s="26">
        <f t="shared" si="207"/>
        <v>0</v>
      </c>
      <c r="G366" s="26">
        <f t="shared" si="207"/>
        <v>0</v>
      </c>
      <c r="H366" s="26">
        <f t="shared" si="207"/>
        <v>0</v>
      </c>
      <c r="I366" s="26">
        <f t="shared" si="207"/>
        <v>0</v>
      </c>
      <c r="J366" s="26">
        <f t="shared" si="207"/>
        <v>0</v>
      </c>
      <c r="K366" s="26">
        <f t="shared" si="208"/>
        <v>0</v>
      </c>
      <c r="L366" s="26">
        <f t="shared" si="209"/>
        <v>0</v>
      </c>
      <c r="M366" s="26">
        <f t="shared" si="210"/>
        <v>0</v>
      </c>
      <c r="N366" s="26">
        <f t="shared" si="211"/>
        <v>0</v>
      </c>
      <c r="O366" s="26">
        <f t="shared" si="212"/>
        <v>0</v>
      </c>
      <c r="P366" s="26">
        <f t="shared" si="212"/>
        <v>0</v>
      </c>
      <c r="Q366" s="168"/>
    </row>
    <row r="367" spans="1:17" s="32" customFormat="1" ht="51.75" hidden="1" customHeight="1" x14ac:dyDescent="0.45">
      <c r="A367" s="28" t="s">
        <v>0</v>
      </c>
      <c r="B367" s="29" t="str">
        <f>'дод 9'!A16</f>
        <v>0160</v>
      </c>
      <c r="C367" s="29" t="str">
        <f>'дод 9'!B16</f>
        <v>0111</v>
      </c>
      <c r="D367" s="30" t="str">
        <f>'дод 9'!C16</f>
        <v>Керівництво і управління у відповідній сфері у містах (місті Києві), селищах, селах, територіальних громадах, у т.ч. за рахунок:</v>
      </c>
      <c r="E367" s="31">
        <f>F367+I367</f>
        <v>0</v>
      </c>
      <c r="F367" s="31"/>
      <c r="G367" s="31"/>
      <c r="H367" s="31"/>
      <c r="I367" s="31"/>
      <c r="J367" s="31">
        <f>L367+O367</f>
        <v>0</v>
      </c>
      <c r="K367" s="31"/>
      <c r="L367" s="31"/>
      <c r="M367" s="31"/>
      <c r="N367" s="31"/>
      <c r="O367" s="31"/>
      <c r="P367" s="31">
        <f>E367+J367</f>
        <v>0</v>
      </c>
      <c r="Q367" s="168"/>
    </row>
    <row r="368" spans="1:17" s="22" customFormat="1" ht="33.75" hidden="1" customHeight="1" x14ac:dyDescent="0.4">
      <c r="A368" s="43" t="s">
        <v>26</v>
      </c>
      <c r="B368" s="44"/>
      <c r="C368" s="44"/>
      <c r="D368" s="45" t="s">
        <v>584</v>
      </c>
      <c r="E368" s="21">
        <f>E369</f>
        <v>0</v>
      </c>
      <c r="F368" s="21">
        <f t="shared" si="207"/>
        <v>0</v>
      </c>
      <c r="G368" s="21">
        <f t="shared" si="207"/>
        <v>0</v>
      </c>
      <c r="H368" s="21">
        <f t="shared" si="207"/>
        <v>0</v>
      </c>
      <c r="I368" s="21">
        <f t="shared" si="207"/>
        <v>0</v>
      </c>
      <c r="J368" s="21">
        <f t="shared" si="207"/>
        <v>0</v>
      </c>
      <c r="K368" s="21">
        <f t="shared" si="208"/>
        <v>0</v>
      </c>
      <c r="L368" s="21">
        <f t="shared" si="209"/>
        <v>0</v>
      </c>
      <c r="M368" s="21">
        <f t="shared" si="210"/>
        <v>0</v>
      </c>
      <c r="N368" s="21">
        <f t="shared" si="211"/>
        <v>0</v>
      </c>
      <c r="O368" s="21">
        <f t="shared" si="212"/>
        <v>0</v>
      </c>
      <c r="P368" s="21">
        <f t="shared" si="212"/>
        <v>0</v>
      </c>
      <c r="Q368" s="168"/>
    </row>
    <row r="369" spans="1:17" s="27" customFormat="1" ht="36.75" hidden="1" customHeight="1" x14ac:dyDescent="0.4">
      <c r="A369" s="23" t="s">
        <v>113</v>
      </c>
      <c r="B369" s="46"/>
      <c r="C369" s="46"/>
      <c r="D369" s="25" t="s">
        <v>584</v>
      </c>
      <c r="E369" s="26">
        <f>E370+E371</f>
        <v>0</v>
      </c>
      <c r="F369" s="26">
        <f t="shared" ref="F369:P369" si="213">F370+F371</f>
        <v>0</v>
      </c>
      <c r="G369" s="26">
        <f t="shared" si="213"/>
        <v>0</v>
      </c>
      <c r="H369" s="26">
        <f t="shared" si="213"/>
        <v>0</v>
      </c>
      <c r="I369" s="26">
        <f t="shared" si="213"/>
        <v>0</v>
      </c>
      <c r="J369" s="26">
        <f t="shared" si="213"/>
        <v>0</v>
      </c>
      <c r="K369" s="26">
        <f t="shared" si="213"/>
        <v>0</v>
      </c>
      <c r="L369" s="26">
        <f t="shared" si="213"/>
        <v>0</v>
      </c>
      <c r="M369" s="26">
        <f t="shared" si="213"/>
        <v>0</v>
      </c>
      <c r="N369" s="26">
        <f t="shared" si="213"/>
        <v>0</v>
      </c>
      <c r="O369" s="26">
        <f t="shared" si="213"/>
        <v>0</v>
      </c>
      <c r="P369" s="26">
        <f t="shared" si="213"/>
        <v>0</v>
      </c>
      <c r="Q369" s="168"/>
    </row>
    <row r="370" spans="1:17" s="32" customFormat="1" ht="51.75" hidden="1" customHeight="1" x14ac:dyDescent="0.45">
      <c r="A370" s="28" t="s">
        <v>0</v>
      </c>
      <c r="B370" s="29" t="str">
        <f>'дод 9'!A16</f>
        <v>0160</v>
      </c>
      <c r="C370" s="29" t="str">
        <f>'дод 9'!B16</f>
        <v>0111</v>
      </c>
      <c r="D370" s="30" t="str">
        <f>'дод 9'!C16</f>
        <v>Керівництво і управління у відповідній сфері у містах (місті Києві), селищах, селах, територіальних громадах, у т.ч. за рахунок:</v>
      </c>
      <c r="E370" s="31">
        <f>F370+I370</f>
        <v>0</v>
      </c>
      <c r="F370" s="31">
        <f>10047900-10047900</f>
        <v>0</v>
      </c>
      <c r="G370" s="31">
        <f>7966500-7966500</f>
        <v>0</v>
      </c>
      <c r="H370" s="31">
        <f>122300-122300</f>
        <v>0</v>
      </c>
      <c r="I370" s="31"/>
      <c r="J370" s="31">
        <f>L370+O370</f>
        <v>0</v>
      </c>
      <c r="K370" s="31">
        <f>8000-8000</f>
        <v>0</v>
      </c>
      <c r="L370" s="31"/>
      <c r="M370" s="31"/>
      <c r="N370" s="31"/>
      <c r="O370" s="31">
        <f>8000-8000</f>
        <v>0</v>
      </c>
      <c r="P370" s="31">
        <f>E370+J370</f>
        <v>0</v>
      </c>
      <c r="Q370" s="168"/>
    </row>
    <row r="371" spans="1:17" s="32" customFormat="1" ht="40.5" hidden="1" customHeight="1" x14ac:dyDescent="0.45">
      <c r="A371" s="28" t="s">
        <v>599</v>
      </c>
      <c r="B371" s="29" t="str">
        <f>'дод 9'!A275</f>
        <v>7610</v>
      </c>
      <c r="C371" s="29" t="str">
        <f>'дод 9'!B275</f>
        <v>0411</v>
      </c>
      <c r="D371" s="42" t="str">
        <f>'дод 9'!C275</f>
        <v>Сприяння розвитку малого та середнього підприємництва</v>
      </c>
      <c r="E371" s="31">
        <f>F371+I371</f>
        <v>0</v>
      </c>
      <c r="F371" s="31">
        <f>270000-50000-220000</f>
        <v>0</v>
      </c>
      <c r="G371" s="31"/>
      <c r="H371" s="31"/>
      <c r="I371" s="31">
        <f>250000+50000-300000</f>
        <v>0</v>
      </c>
      <c r="J371" s="31">
        <f>L371+O371</f>
        <v>0</v>
      </c>
      <c r="K371" s="31">
        <f>8000-8000</f>
        <v>0</v>
      </c>
      <c r="L371" s="31"/>
      <c r="M371" s="31"/>
      <c r="N371" s="31"/>
      <c r="O371" s="31">
        <f>8000-8000</f>
        <v>0</v>
      </c>
      <c r="P371" s="31">
        <f>E371+J371</f>
        <v>0</v>
      </c>
      <c r="Q371" s="168"/>
    </row>
    <row r="372" spans="1:17" s="22" customFormat="1" ht="47.25" customHeight="1" x14ac:dyDescent="0.4">
      <c r="A372" s="43" t="s">
        <v>27</v>
      </c>
      <c r="B372" s="44"/>
      <c r="C372" s="44"/>
      <c r="D372" s="45" t="s">
        <v>32</v>
      </c>
      <c r="E372" s="21">
        <f>E373</f>
        <v>7097110</v>
      </c>
      <c r="F372" s="21">
        <f t="shared" ref="F372:J372" si="214">F373</f>
        <v>7097110</v>
      </c>
      <c r="G372" s="21">
        <f t="shared" si="214"/>
        <v>5255979</v>
      </c>
      <c r="H372" s="21">
        <f t="shared" si="214"/>
        <v>0</v>
      </c>
      <c r="I372" s="21">
        <f t="shared" si="214"/>
        <v>0</v>
      </c>
      <c r="J372" s="21">
        <f t="shared" si="214"/>
        <v>314109840.49000001</v>
      </c>
      <c r="K372" s="21">
        <f t="shared" ref="K372" si="215">K373</f>
        <v>312461235.64999998</v>
      </c>
      <c r="L372" s="21">
        <f t="shared" ref="L372" si="216">L373</f>
        <v>369000</v>
      </c>
      <c r="M372" s="21">
        <f t="shared" ref="M372" si="217">M373</f>
        <v>0</v>
      </c>
      <c r="N372" s="21">
        <f t="shared" ref="N372" si="218">N373</f>
        <v>208200</v>
      </c>
      <c r="O372" s="21">
        <f t="shared" ref="O372:P372" si="219">O373</f>
        <v>313740840.49000001</v>
      </c>
      <c r="P372" s="21">
        <f t="shared" si="219"/>
        <v>321206950.49000001</v>
      </c>
      <c r="Q372" s="168"/>
    </row>
    <row r="373" spans="1:17" s="27" customFormat="1" ht="30" x14ac:dyDescent="0.4">
      <c r="A373" s="23" t="s">
        <v>28</v>
      </c>
      <c r="B373" s="46"/>
      <c r="C373" s="46"/>
      <c r="D373" s="25" t="s">
        <v>401</v>
      </c>
      <c r="E373" s="26">
        <f>SUM(E379+E380+E381+E382+E383+E384+E388+E389+E390+E392+E393+E395+E397+E398+E399+E401+E402+E394+E405+E406+E385+E386)</f>
        <v>7097110</v>
      </c>
      <c r="F373" s="26">
        <f t="shared" ref="F373:P373" si="220">SUM(F379+F380+F381+F382+F383+F384+F388+F389+F390+F392+F393+F395+F397+F398+F399+F401+F402+F394+F405+F406+F385+F386)</f>
        <v>7097110</v>
      </c>
      <c r="G373" s="26">
        <f t="shared" si="220"/>
        <v>5255979</v>
      </c>
      <c r="H373" s="26">
        <f t="shared" si="220"/>
        <v>0</v>
      </c>
      <c r="I373" s="26">
        <f t="shared" si="220"/>
        <v>0</v>
      </c>
      <c r="J373" s="26">
        <f t="shared" si="220"/>
        <v>314109840.49000001</v>
      </c>
      <c r="K373" s="26">
        <f t="shared" si="220"/>
        <v>312461235.64999998</v>
      </c>
      <c r="L373" s="26">
        <f t="shared" si="220"/>
        <v>369000</v>
      </c>
      <c r="M373" s="26">
        <f t="shared" si="220"/>
        <v>0</v>
      </c>
      <c r="N373" s="26">
        <f t="shared" si="220"/>
        <v>208200</v>
      </c>
      <c r="O373" s="26">
        <f t="shared" si="220"/>
        <v>313740840.49000001</v>
      </c>
      <c r="P373" s="26">
        <f t="shared" si="220"/>
        <v>321206950.49000001</v>
      </c>
      <c r="Q373" s="168"/>
    </row>
    <row r="374" spans="1:17" s="27" customFormat="1" ht="63" hidden="1" customHeight="1" x14ac:dyDescent="0.4">
      <c r="A374" s="23"/>
      <c r="B374" s="46"/>
      <c r="C374" s="46"/>
      <c r="D374" s="25" t="s">
        <v>579</v>
      </c>
      <c r="E374" s="26">
        <f>E400</f>
        <v>0</v>
      </c>
      <c r="F374" s="26">
        <f>F400</f>
        <v>0</v>
      </c>
      <c r="G374" s="26">
        <f t="shared" ref="G374:O374" si="221">G400</f>
        <v>0</v>
      </c>
      <c r="H374" s="26">
        <f t="shared" si="221"/>
        <v>0</v>
      </c>
      <c r="I374" s="26">
        <f t="shared" si="221"/>
        <v>0</v>
      </c>
      <c r="J374" s="26">
        <f>J400</f>
        <v>0</v>
      </c>
      <c r="K374" s="26">
        <f t="shared" si="221"/>
        <v>0</v>
      </c>
      <c r="L374" s="26">
        <f t="shared" si="221"/>
        <v>0</v>
      </c>
      <c r="M374" s="26">
        <f t="shared" si="221"/>
        <v>0</v>
      </c>
      <c r="N374" s="26">
        <f t="shared" si="221"/>
        <v>0</v>
      </c>
      <c r="O374" s="26">
        <f t="shared" si="221"/>
        <v>0</v>
      </c>
      <c r="P374" s="26">
        <f>P400</f>
        <v>0</v>
      </c>
      <c r="Q374" s="168"/>
    </row>
    <row r="375" spans="1:17" s="27" customFormat="1" ht="53.25" customHeight="1" x14ac:dyDescent="0.4">
      <c r="A375" s="23"/>
      <c r="B375" s="46"/>
      <c r="C375" s="46"/>
      <c r="D375" s="25" t="s">
        <v>693</v>
      </c>
      <c r="E375" s="26">
        <f>E387</f>
        <v>0</v>
      </c>
      <c r="F375" s="26">
        <f t="shared" ref="F375:P375" si="222">F387</f>
        <v>0</v>
      </c>
      <c r="G375" s="26">
        <f t="shared" si="222"/>
        <v>0</v>
      </c>
      <c r="H375" s="26">
        <f t="shared" si="222"/>
        <v>0</v>
      </c>
      <c r="I375" s="26">
        <f t="shared" si="222"/>
        <v>0</v>
      </c>
      <c r="J375" s="26">
        <f t="shared" si="222"/>
        <v>73585211</v>
      </c>
      <c r="K375" s="26">
        <f t="shared" si="222"/>
        <v>73585211</v>
      </c>
      <c r="L375" s="26">
        <f t="shared" si="222"/>
        <v>0</v>
      </c>
      <c r="M375" s="26">
        <f t="shared" si="222"/>
        <v>0</v>
      </c>
      <c r="N375" s="26">
        <f t="shared" si="222"/>
        <v>0</v>
      </c>
      <c r="O375" s="26">
        <f t="shared" si="222"/>
        <v>73585211</v>
      </c>
      <c r="P375" s="26">
        <f t="shared" si="222"/>
        <v>73585211</v>
      </c>
      <c r="Q375" s="168"/>
    </row>
    <row r="376" spans="1:17" s="27" customFormat="1" ht="105" customHeight="1" x14ac:dyDescent="0.4">
      <c r="A376" s="23"/>
      <c r="B376" s="46"/>
      <c r="C376" s="46"/>
      <c r="D376" s="25" t="str">
        <f>D396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376" s="26">
        <f>E396+E391</f>
        <v>0</v>
      </c>
      <c r="F376" s="26">
        <f t="shared" ref="F376:P376" si="223">F396+F391</f>
        <v>0</v>
      </c>
      <c r="G376" s="26">
        <f t="shared" si="223"/>
        <v>0</v>
      </c>
      <c r="H376" s="26">
        <f t="shared" si="223"/>
        <v>0</v>
      </c>
      <c r="I376" s="26">
        <f t="shared" si="223"/>
        <v>0</v>
      </c>
      <c r="J376" s="26">
        <f t="shared" si="223"/>
        <v>5600000</v>
      </c>
      <c r="K376" s="26">
        <f t="shared" si="223"/>
        <v>5600000</v>
      </c>
      <c r="L376" s="26">
        <f t="shared" si="223"/>
        <v>0</v>
      </c>
      <c r="M376" s="26">
        <f t="shared" si="223"/>
        <v>0</v>
      </c>
      <c r="N376" s="26">
        <f t="shared" si="223"/>
        <v>0</v>
      </c>
      <c r="O376" s="26">
        <f t="shared" si="223"/>
        <v>5600000</v>
      </c>
      <c r="P376" s="26">
        <f t="shared" si="223"/>
        <v>5600000</v>
      </c>
      <c r="Q376" s="168"/>
    </row>
    <row r="377" spans="1:17" s="27" customFormat="1" ht="27" customHeight="1" x14ac:dyDescent="0.4">
      <c r="A377" s="23"/>
      <c r="B377" s="46"/>
      <c r="C377" s="46"/>
      <c r="D377" s="25" t="s">
        <v>400</v>
      </c>
      <c r="E377" s="26">
        <f>E403</f>
        <v>0</v>
      </c>
      <c r="F377" s="26">
        <f t="shared" ref="F377:P377" si="224">F403</f>
        <v>0</v>
      </c>
      <c r="G377" s="26">
        <f t="shared" si="224"/>
        <v>0</v>
      </c>
      <c r="H377" s="26">
        <f t="shared" si="224"/>
        <v>0</v>
      </c>
      <c r="I377" s="26">
        <f t="shared" si="224"/>
        <v>0</v>
      </c>
      <c r="J377" s="26">
        <f>J403</f>
        <v>61868709</v>
      </c>
      <c r="K377" s="26">
        <f t="shared" si="224"/>
        <v>61868709</v>
      </c>
      <c r="L377" s="26">
        <f t="shared" si="224"/>
        <v>0</v>
      </c>
      <c r="M377" s="26">
        <f t="shared" si="224"/>
        <v>0</v>
      </c>
      <c r="N377" s="26">
        <f t="shared" si="224"/>
        <v>0</v>
      </c>
      <c r="O377" s="26">
        <f t="shared" si="224"/>
        <v>61868709</v>
      </c>
      <c r="P377" s="26">
        <f t="shared" si="224"/>
        <v>61868709</v>
      </c>
      <c r="Q377" s="168"/>
    </row>
    <row r="378" spans="1:17" s="27" customFormat="1" ht="53.25" customHeight="1" x14ac:dyDescent="0.4">
      <c r="A378" s="23"/>
      <c r="B378" s="46"/>
      <c r="C378" s="46"/>
      <c r="D378" s="25" t="str">
        <f>D404</f>
        <v xml:space="preserve">залишку коштів по запозиченню від ЄІБ «Підвищення енергоефективності в дошкільних закладах м. Суми», що склався станом на 01.01.2024 року </v>
      </c>
      <c r="E378" s="26">
        <f>E404</f>
        <v>0</v>
      </c>
      <c r="F378" s="26">
        <f t="shared" ref="F378:P378" si="225">F404</f>
        <v>0</v>
      </c>
      <c r="G378" s="26">
        <f t="shared" si="225"/>
        <v>0</v>
      </c>
      <c r="H378" s="26">
        <f t="shared" si="225"/>
        <v>0</v>
      </c>
      <c r="I378" s="26">
        <f t="shared" si="225"/>
        <v>0</v>
      </c>
      <c r="J378" s="26">
        <f t="shared" si="225"/>
        <v>42207900</v>
      </c>
      <c r="K378" s="26">
        <f t="shared" si="225"/>
        <v>42207900</v>
      </c>
      <c r="L378" s="26">
        <f t="shared" si="225"/>
        <v>0</v>
      </c>
      <c r="M378" s="26">
        <f t="shared" si="225"/>
        <v>0</v>
      </c>
      <c r="N378" s="26">
        <f t="shared" si="225"/>
        <v>0</v>
      </c>
      <c r="O378" s="26">
        <f t="shared" si="225"/>
        <v>42207900</v>
      </c>
      <c r="P378" s="26">
        <f t="shared" si="225"/>
        <v>42207900</v>
      </c>
      <c r="Q378" s="168"/>
    </row>
    <row r="379" spans="1:17" s="136" customFormat="1" ht="30.75" x14ac:dyDescent="0.45">
      <c r="A379" s="28" t="s">
        <v>133</v>
      </c>
      <c r="B379" s="29" t="str">
        <f>'дод 9'!A16</f>
        <v>0160</v>
      </c>
      <c r="C379" s="29" t="str">
        <f>'дод 9'!B16</f>
        <v>0111</v>
      </c>
      <c r="D379" s="30" t="s">
        <v>721</v>
      </c>
      <c r="E379" s="31">
        <f t="shared" ref="E379:E405" si="226">F379+I379</f>
        <v>6411786</v>
      </c>
      <c r="F379" s="31">
        <f>7067600-985000+604200-275014</f>
        <v>6411786</v>
      </c>
      <c r="G379" s="31">
        <f>5793100-807400+495700-225421</f>
        <v>5255979</v>
      </c>
      <c r="H379" s="31"/>
      <c r="I379" s="31"/>
      <c r="J379" s="31">
        <f>L379+O379</f>
        <v>369000</v>
      </c>
      <c r="K379" s="31"/>
      <c r="L379" s="31">
        <v>369000</v>
      </c>
      <c r="M379" s="31"/>
      <c r="N379" s="31">
        <v>208200</v>
      </c>
      <c r="O379" s="31"/>
      <c r="P379" s="31">
        <f t="shared" ref="P379:P405" si="227">E379+J379</f>
        <v>6780786</v>
      </c>
      <c r="Q379" s="168"/>
    </row>
    <row r="380" spans="1:17" s="136" customFormat="1" ht="26.65" customHeight="1" x14ac:dyDescent="0.45">
      <c r="A380" s="28" t="s">
        <v>557</v>
      </c>
      <c r="B380" s="29">
        <v>1010</v>
      </c>
      <c r="C380" s="28" t="s">
        <v>47</v>
      </c>
      <c r="D380" s="30" t="s">
        <v>469</v>
      </c>
      <c r="E380" s="31">
        <f t="shared" si="226"/>
        <v>0</v>
      </c>
      <c r="F380" s="31"/>
      <c r="G380" s="31"/>
      <c r="H380" s="31"/>
      <c r="I380" s="31"/>
      <c r="J380" s="31">
        <f>L380+O380</f>
        <v>26838782</v>
      </c>
      <c r="K380" s="31">
        <f>3155700+1954092+20556921.65+685000+970000-300000-989801-136000-19400-9112-103295-1400000-2749-67891-36024-112001+810000+1450000-350000-50000</f>
        <v>26005440.649999999</v>
      </c>
      <c r="L380" s="31"/>
      <c r="M380" s="31"/>
      <c r="N380" s="31"/>
      <c r="O380" s="31">
        <f>3155700+1954092+21390263+685000+970000-300000-989801-136000-19400-9112-103295-1400000-2749-67891-36024-112001+810000+1450000-350000-50000</f>
        <v>26838782</v>
      </c>
      <c r="P380" s="31">
        <f t="shared" si="227"/>
        <v>26838782</v>
      </c>
      <c r="Q380" s="168"/>
    </row>
    <row r="381" spans="1:17" s="32" customFormat="1" ht="31.5" hidden="1" customHeight="1" x14ac:dyDescent="0.45">
      <c r="A381" s="28" t="s">
        <v>559</v>
      </c>
      <c r="B381" s="29">
        <v>1021</v>
      </c>
      <c r="C381" s="28" t="s">
        <v>49</v>
      </c>
      <c r="D381" s="30" t="s">
        <v>439</v>
      </c>
      <c r="E381" s="31">
        <f t="shared" si="226"/>
        <v>0</v>
      </c>
      <c r="F381" s="31"/>
      <c r="G381" s="31"/>
      <c r="H381" s="31"/>
      <c r="I381" s="31"/>
      <c r="J381" s="31">
        <f t="shared" ref="J381:J386" si="228">L381+O381</f>
        <v>0</v>
      </c>
      <c r="K381" s="31"/>
      <c r="L381" s="31"/>
      <c r="M381" s="31"/>
      <c r="N381" s="31"/>
      <c r="O381" s="31"/>
      <c r="P381" s="31">
        <f t="shared" si="227"/>
        <v>0</v>
      </c>
      <c r="Q381" s="168"/>
    </row>
    <row r="382" spans="1:17" s="32" customFormat="1" ht="63" hidden="1" customHeight="1" x14ac:dyDescent="0.45">
      <c r="A382" s="28" t="s">
        <v>560</v>
      </c>
      <c r="B382" s="29">
        <v>1022</v>
      </c>
      <c r="C382" s="28" t="s">
        <v>53</v>
      </c>
      <c r="D382" s="30" t="s">
        <v>441</v>
      </c>
      <c r="E382" s="31">
        <f t="shared" si="226"/>
        <v>0</v>
      </c>
      <c r="F382" s="31"/>
      <c r="G382" s="31"/>
      <c r="H382" s="31"/>
      <c r="I382" s="31"/>
      <c r="J382" s="31">
        <f t="shared" si="228"/>
        <v>0</v>
      </c>
      <c r="K382" s="31"/>
      <c r="L382" s="31"/>
      <c r="M382" s="31"/>
      <c r="N382" s="31"/>
      <c r="O382" s="31"/>
      <c r="P382" s="31">
        <f t="shared" si="227"/>
        <v>0</v>
      </c>
      <c r="Q382" s="168"/>
    </row>
    <row r="383" spans="1:17" s="32" customFormat="1" ht="31.5" hidden="1" customHeight="1" x14ac:dyDescent="0.45">
      <c r="A383" s="28" t="s">
        <v>561</v>
      </c>
      <c r="B383" s="29">
        <v>2010</v>
      </c>
      <c r="C383" s="28" t="s">
        <v>59</v>
      </c>
      <c r="D383" s="30" t="s">
        <v>545</v>
      </c>
      <c r="E383" s="31">
        <f t="shared" si="226"/>
        <v>0</v>
      </c>
      <c r="F383" s="31"/>
      <c r="G383" s="31"/>
      <c r="H383" s="31"/>
      <c r="I383" s="31"/>
      <c r="J383" s="31">
        <f t="shared" si="228"/>
        <v>0</v>
      </c>
      <c r="K383" s="31"/>
      <c r="L383" s="31"/>
      <c r="M383" s="31"/>
      <c r="N383" s="31"/>
      <c r="O383" s="31"/>
      <c r="P383" s="31">
        <f t="shared" si="227"/>
        <v>0</v>
      </c>
      <c r="Q383" s="168"/>
    </row>
    <row r="384" spans="1:17" s="32" customFormat="1" ht="15.75" hidden="1" customHeight="1" x14ac:dyDescent="0.45">
      <c r="A384" s="28" t="s">
        <v>197</v>
      </c>
      <c r="B384" s="29" t="str">
        <f>'дод 9'!A207</f>
        <v>6030</v>
      </c>
      <c r="C384" s="29" t="str">
        <f>'дод 9'!B207</f>
        <v>0620</v>
      </c>
      <c r="D384" s="30" t="str">
        <f>'дод 9'!C207</f>
        <v>Організація благоустрою населених пунктів</v>
      </c>
      <c r="E384" s="31">
        <f t="shared" si="226"/>
        <v>0</v>
      </c>
      <c r="F384" s="31"/>
      <c r="G384" s="31"/>
      <c r="H384" s="31"/>
      <c r="I384" s="31"/>
      <c r="J384" s="31">
        <f t="shared" si="228"/>
        <v>0</v>
      </c>
      <c r="K384" s="31"/>
      <c r="L384" s="31"/>
      <c r="M384" s="31"/>
      <c r="N384" s="31"/>
      <c r="O384" s="31"/>
      <c r="P384" s="31">
        <f t="shared" si="227"/>
        <v>0</v>
      </c>
      <c r="Q384" s="168"/>
    </row>
    <row r="385" spans="1:17" s="32" customFormat="1" ht="80.25" customHeight="1" x14ac:dyDescent="0.45">
      <c r="A385" s="28" t="s">
        <v>636</v>
      </c>
      <c r="B385" s="29">
        <v>1261</v>
      </c>
      <c r="C385" s="28" t="s">
        <v>56</v>
      </c>
      <c r="D385" s="30" t="s">
        <v>659</v>
      </c>
      <c r="E385" s="31">
        <f t="shared" si="226"/>
        <v>0</v>
      </c>
      <c r="F385" s="31"/>
      <c r="G385" s="31"/>
      <c r="H385" s="31"/>
      <c r="I385" s="31"/>
      <c r="J385" s="31">
        <f t="shared" si="228"/>
        <v>50554052</v>
      </c>
      <c r="K385" s="31">
        <f>100000+1000000+7376319+11859694+30220000-1961</f>
        <v>50554052</v>
      </c>
      <c r="L385" s="31"/>
      <c r="M385" s="31"/>
      <c r="N385" s="31"/>
      <c r="O385" s="31">
        <f>100000+1000000+7376319+11859694+30220000-1961</f>
        <v>50554052</v>
      </c>
      <c r="P385" s="31">
        <f t="shared" si="227"/>
        <v>50554052</v>
      </c>
      <c r="Q385" s="168"/>
    </row>
    <row r="386" spans="1:17" s="32" customFormat="1" ht="61.5" x14ac:dyDescent="0.45">
      <c r="A386" s="28" t="s">
        <v>637</v>
      </c>
      <c r="B386" s="29">
        <v>1262</v>
      </c>
      <c r="C386" s="28" t="s">
        <v>56</v>
      </c>
      <c r="D386" s="30" t="s">
        <v>694</v>
      </c>
      <c r="E386" s="31">
        <f t="shared" si="226"/>
        <v>0</v>
      </c>
      <c r="F386" s="31"/>
      <c r="G386" s="31"/>
      <c r="H386" s="31"/>
      <c r="I386" s="31"/>
      <c r="J386" s="31">
        <f t="shared" si="228"/>
        <v>73585211</v>
      </c>
      <c r="K386" s="31">
        <f>17211412+56373799</f>
        <v>73585211</v>
      </c>
      <c r="L386" s="31"/>
      <c r="M386" s="31"/>
      <c r="N386" s="31"/>
      <c r="O386" s="31">
        <f>17211412+56373799</f>
        <v>73585211</v>
      </c>
      <c r="P386" s="31">
        <f t="shared" si="227"/>
        <v>73585211</v>
      </c>
      <c r="Q386" s="168"/>
    </row>
    <row r="387" spans="1:17" s="32" customFormat="1" ht="57" customHeight="1" x14ac:dyDescent="0.45">
      <c r="A387" s="28"/>
      <c r="B387" s="29"/>
      <c r="C387" s="28"/>
      <c r="D387" s="35" t="s">
        <v>692</v>
      </c>
      <c r="E387" s="31">
        <f t="shared" si="226"/>
        <v>0</v>
      </c>
      <c r="F387" s="31"/>
      <c r="G387" s="31"/>
      <c r="H387" s="31"/>
      <c r="I387" s="31"/>
      <c r="J387" s="36">
        <f>L387+O387</f>
        <v>73585211</v>
      </c>
      <c r="K387" s="36">
        <f>17211412+56373799</f>
        <v>73585211</v>
      </c>
      <c r="L387" s="36"/>
      <c r="M387" s="36"/>
      <c r="N387" s="36"/>
      <c r="O387" s="36">
        <f>17211412+56373799</f>
        <v>73585211</v>
      </c>
      <c r="P387" s="36">
        <f t="shared" si="227"/>
        <v>73585211</v>
      </c>
      <c r="Q387" s="168"/>
    </row>
    <row r="388" spans="1:17" s="136" customFormat="1" ht="65.25" customHeight="1" x14ac:dyDescent="0.45">
      <c r="A388" s="28" t="s">
        <v>198</v>
      </c>
      <c r="B388" s="29" t="str">
        <f>'дод 9'!A211</f>
        <v>6084</v>
      </c>
      <c r="C388" s="29" t="str">
        <f>'дод 9'!B211</f>
        <v>0610</v>
      </c>
      <c r="D388" s="30" t="str">
        <f>'дод 9'!C211</f>
        <v>Витрати, пов'язані з наданням та обслуговуванням пільгових довгострокових кредитів, наданих громадянам на будівництво/реконструкцію/придбання житла</v>
      </c>
      <c r="E388" s="31">
        <f t="shared" si="226"/>
        <v>0</v>
      </c>
      <c r="F388" s="31"/>
      <c r="G388" s="31"/>
      <c r="H388" s="31"/>
      <c r="I388" s="31"/>
      <c r="J388" s="31">
        <f t="shared" ref="J388:J414" si="229">L388+O388</f>
        <v>446263.49</v>
      </c>
      <c r="K388" s="31"/>
      <c r="L388" s="31"/>
      <c r="M388" s="31"/>
      <c r="N388" s="31"/>
      <c r="O388" s="31">
        <f>412200+34063.49</f>
        <v>446263.49</v>
      </c>
      <c r="P388" s="31">
        <f t="shared" si="227"/>
        <v>446263.49</v>
      </c>
      <c r="Q388" s="168"/>
    </row>
    <row r="389" spans="1:17" s="136" customFormat="1" ht="24.4" customHeight="1" x14ac:dyDescent="0.45">
      <c r="A389" s="28" t="s">
        <v>267</v>
      </c>
      <c r="B389" s="29" t="str">
        <f>'дод 9'!A230</f>
        <v>7310</v>
      </c>
      <c r="C389" s="29" t="str">
        <f>'дод 9'!B230</f>
        <v>0443</v>
      </c>
      <c r="D389" s="30" t="s">
        <v>625</v>
      </c>
      <c r="E389" s="31">
        <f t="shared" si="226"/>
        <v>0</v>
      </c>
      <c r="F389" s="31"/>
      <c r="G389" s="31"/>
      <c r="H389" s="31"/>
      <c r="I389" s="31"/>
      <c r="J389" s="31">
        <f t="shared" si="229"/>
        <v>1103060</v>
      </c>
      <c r="K389" s="31">
        <f>537260+400000+963060-400000+400000-400000-537260+80000+60000</f>
        <v>1103060</v>
      </c>
      <c r="L389" s="31"/>
      <c r="M389" s="31"/>
      <c r="N389" s="31"/>
      <c r="O389" s="31">
        <f>537260+400000+963060-400000+400000-400000-537260+80000+60000</f>
        <v>1103060</v>
      </c>
      <c r="P389" s="31">
        <f t="shared" si="227"/>
        <v>1103060</v>
      </c>
      <c r="Q389" s="168"/>
    </row>
    <row r="390" spans="1:17" s="136" customFormat="1" ht="29.65" customHeight="1" x14ac:dyDescent="0.45">
      <c r="A390" s="28" t="s">
        <v>268</v>
      </c>
      <c r="B390" s="29" t="str">
        <f>'дод 9'!A232</f>
        <v>7321</v>
      </c>
      <c r="C390" s="29" t="str">
        <f>'дод 9'!B232</f>
        <v>0443</v>
      </c>
      <c r="D390" s="41" t="str">
        <f>'дод 9'!C232</f>
        <v>Будівництво1 освітніх установ та закладів, у т.ч. за рахунок:</v>
      </c>
      <c r="E390" s="31">
        <f t="shared" si="226"/>
        <v>0</v>
      </c>
      <c r="F390" s="31"/>
      <c r="G390" s="31"/>
      <c r="H390" s="31"/>
      <c r="I390" s="31"/>
      <c r="J390" s="31">
        <f t="shared" si="229"/>
        <v>9452376</v>
      </c>
      <c r="K390" s="31">
        <f>5000000+225574+300000+600000+600000+600000+670000+7276319+29520000-7376319-670000-30220000+250000+1839801+400000+150000+39374+50202+47425+50000+100000</f>
        <v>9452376</v>
      </c>
      <c r="L390" s="31"/>
      <c r="M390" s="31"/>
      <c r="N390" s="31"/>
      <c r="O390" s="31">
        <f>5000000+225574+300000+600000+600000+600000+670000+7276319+29520000-7376319-670000-30220000+250000+1839801+400000+150000+39374+50202+47425+50000+100000</f>
        <v>9452376</v>
      </c>
      <c r="P390" s="31">
        <f t="shared" si="227"/>
        <v>9452376</v>
      </c>
      <c r="Q390" s="168"/>
    </row>
    <row r="391" spans="1:17" s="32" customFormat="1" ht="92.25" x14ac:dyDescent="0.45">
      <c r="A391" s="28"/>
      <c r="B391" s="29"/>
      <c r="C391" s="29"/>
      <c r="D391" s="51" t="s">
        <v>624</v>
      </c>
      <c r="E391" s="36">
        <f t="shared" si="226"/>
        <v>0</v>
      </c>
      <c r="F391" s="36"/>
      <c r="G391" s="36"/>
      <c r="H391" s="36"/>
      <c r="I391" s="36"/>
      <c r="J391" s="36">
        <f t="shared" si="229"/>
        <v>550000</v>
      </c>
      <c r="K391" s="36">
        <f>400000+150000</f>
        <v>550000</v>
      </c>
      <c r="L391" s="36"/>
      <c r="M391" s="36"/>
      <c r="N391" s="36"/>
      <c r="O391" s="36">
        <f>400000+150000</f>
        <v>550000</v>
      </c>
      <c r="P391" s="36">
        <f t="shared" si="227"/>
        <v>550000</v>
      </c>
      <c r="Q391" s="168"/>
    </row>
    <row r="392" spans="1:17" s="32" customFormat="1" ht="20.25" customHeight="1" x14ac:dyDescent="0.45">
      <c r="A392" s="28" t="s">
        <v>270</v>
      </c>
      <c r="B392" s="29" t="str">
        <f>'дод 9'!A235</f>
        <v>7322</v>
      </c>
      <c r="C392" s="29" t="str">
        <f>'дод 9'!B235</f>
        <v>0443</v>
      </c>
      <c r="D392" s="41" t="str">
        <f>'дод 9'!C235</f>
        <v>Будівництво1 медичних установ та закладів</v>
      </c>
      <c r="E392" s="31">
        <f t="shared" si="226"/>
        <v>0</v>
      </c>
      <c r="F392" s="31"/>
      <c r="G392" s="31"/>
      <c r="H392" s="31"/>
      <c r="I392" s="31"/>
      <c r="J392" s="31">
        <f t="shared" si="229"/>
        <v>11248612</v>
      </c>
      <c r="K392" s="31">
        <f>8000000+1256612+80000+892000+20000+1000000</f>
        <v>11248612</v>
      </c>
      <c r="L392" s="31"/>
      <c r="M392" s="31"/>
      <c r="N392" s="31"/>
      <c r="O392" s="31">
        <f>8000000+1256612+80000+892000+20000+1000000</f>
        <v>11248612</v>
      </c>
      <c r="P392" s="31">
        <f t="shared" si="227"/>
        <v>11248612</v>
      </c>
      <c r="Q392" s="168"/>
    </row>
    <row r="393" spans="1:17" s="32" customFormat="1" ht="26.25" hidden="1" customHeight="1" x14ac:dyDescent="0.45">
      <c r="A393" s="28" t="s">
        <v>509</v>
      </c>
      <c r="B393" s="29">
        <v>7324</v>
      </c>
      <c r="C393" s="29">
        <v>443</v>
      </c>
      <c r="D393" s="41" t="str">
        <f>'дод 9'!C237</f>
        <v>Будівництво1 установ та закладів культури</v>
      </c>
      <c r="E393" s="31">
        <f t="shared" si="226"/>
        <v>0</v>
      </c>
      <c r="F393" s="31"/>
      <c r="G393" s="31"/>
      <c r="H393" s="31"/>
      <c r="I393" s="31"/>
      <c r="J393" s="31">
        <f t="shared" si="229"/>
        <v>0</v>
      </c>
      <c r="K393" s="31"/>
      <c r="L393" s="31"/>
      <c r="M393" s="31"/>
      <c r="N393" s="31"/>
      <c r="O393" s="31"/>
      <c r="P393" s="31">
        <f t="shared" si="227"/>
        <v>0</v>
      </c>
      <c r="Q393" s="168"/>
    </row>
    <row r="394" spans="1:17" s="32" customFormat="1" ht="32.25" customHeight="1" x14ac:dyDescent="0.45">
      <c r="A394" s="28" t="s">
        <v>346</v>
      </c>
      <c r="B394" s="29">
        <f>'дод 9'!A238</f>
        <v>7325</v>
      </c>
      <c r="C394" s="28" t="s">
        <v>107</v>
      </c>
      <c r="D394" s="41" t="str">
        <f>'дод 9'!C238</f>
        <v>Будівництво1 споруд, установ та закладів фізичної культури і спорту</v>
      </c>
      <c r="E394" s="31">
        <f t="shared" si="226"/>
        <v>0</v>
      </c>
      <c r="F394" s="31"/>
      <c r="G394" s="31"/>
      <c r="H394" s="31"/>
      <c r="I394" s="31"/>
      <c r="J394" s="31">
        <f t="shared" si="229"/>
        <v>250000</v>
      </c>
      <c r="K394" s="31">
        <v>250000</v>
      </c>
      <c r="L394" s="31"/>
      <c r="M394" s="31"/>
      <c r="N394" s="31"/>
      <c r="O394" s="31">
        <v>250000</v>
      </c>
      <c r="P394" s="31">
        <f t="shared" si="227"/>
        <v>250000</v>
      </c>
      <c r="Q394" s="168"/>
    </row>
    <row r="395" spans="1:17" s="32" customFormat="1" ht="32.25" customHeight="1" x14ac:dyDescent="0.45">
      <c r="A395" s="28" t="s">
        <v>272</v>
      </c>
      <c r="B395" s="29" t="str">
        <f>'дод 9'!A239</f>
        <v>7330</v>
      </c>
      <c r="C395" s="29" t="str">
        <f>'дод 9'!B239</f>
        <v>0443</v>
      </c>
      <c r="D395" s="41" t="str">
        <f>'дод 9'!C239</f>
        <v>Будівництво1 інших об'єктів комунальної власності, у т.ч. за рахунок:</v>
      </c>
      <c r="E395" s="31">
        <f t="shared" si="226"/>
        <v>0</v>
      </c>
      <c r="F395" s="31"/>
      <c r="G395" s="31"/>
      <c r="H395" s="31"/>
      <c r="I395" s="31"/>
      <c r="J395" s="31">
        <f t="shared" si="229"/>
        <v>7324097</v>
      </c>
      <c r="K395" s="31">
        <f>500000+135270+743890+1600000+300000+1000000-500000+250000-1000000+4900000+50000-150000-505063</f>
        <v>7324097</v>
      </c>
      <c r="L395" s="31"/>
      <c r="M395" s="31"/>
      <c r="N395" s="31"/>
      <c r="O395" s="31">
        <f>500000+135270+743890+1600000+300000+1000000-500000+250000-1000000+4900000+50000-150000-505063</f>
        <v>7324097</v>
      </c>
      <c r="P395" s="31">
        <f t="shared" si="227"/>
        <v>7324097</v>
      </c>
      <c r="Q395" s="168"/>
    </row>
    <row r="396" spans="1:17" s="37" customFormat="1" ht="99" customHeight="1" x14ac:dyDescent="0.45">
      <c r="A396" s="33"/>
      <c r="B396" s="34"/>
      <c r="C396" s="34"/>
      <c r="D396" s="51" t="s">
        <v>624</v>
      </c>
      <c r="E396" s="36">
        <f t="shared" ref="E396" si="230">F396+I396</f>
        <v>0</v>
      </c>
      <c r="F396" s="36"/>
      <c r="G396" s="36"/>
      <c r="H396" s="36"/>
      <c r="I396" s="36"/>
      <c r="J396" s="36">
        <f t="shared" ref="J396" si="231">L396+O396</f>
        <v>5050000</v>
      </c>
      <c r="K396" s="36">
        <f>250000+4900000+50000-150000</f>
        <v>5050000</v>
      </c>
      <c r="L396" s="36"/>
      <c r="M396" s="36"/>
      <c r="N396" s="36"/>
      <c r="O396" s="36">
        <f>250000+4900000+50000-150000</f>
        <v>5050000</v>
      </c>
      <c r="P396" s="36">
        <f t="shared" ref="P396" si="232">E396+J396</f>
        <v>5050000</v>
      </c>
      <c r="Q396" s="168"/>
    </row>
    <row r="397" spans="1:17" s="136" customFormat="1" ht="28.5" customHeight="1" x14ac:dyDescent="0.45">
      <c r="A397" s="28" t="s">
        <v>405</v>
      </c>
      <c r="B397" s="29">
        <v>7340</v>
      </c>
      <c r="C397" s="28" t="s">
        <v>107</v>
      </c>
      <c r="D397" s="30" t="s">
        <v>1</v>
      </c>
      <c r="E397" s="31">
        <f t="shared" si="226"/>
        <v>0</v>
      </c>
      <c r="F397" s="31"/>
      <c r="G397" s="31"/>
      <c r="H397" s="31"/>
      <c r="I397" s="31"/>
      <c r="J397" s="31">
        <f t="shared" si="229"/>
        <v>6496165</v>
      </c>
      <c r="K397" s="31">
        <f>450000+7357879-1200000-1714-60000-50000</f>
        <v>6496165</v>
      </c>
      <c r="L397" s="31"/>
      <c r="M397" s="31"/>
      <c r="N397" s="31"/>
      <c r="O397" s="31">
        <f>450000+7357879-1200000-1714-60000-50000</f>
        <v>6496165</v>
      </c>
      <c r="P397" s="31">
        <f t="shared" si="227"/>
        <v>6496165</v>
      </c>
      <c r="Q397" s="168"/>
    </row>
    <row r="398" spans="1:17" s="32" customFormat="1" ht="53.25" customHeight="1" x14ac:dyDescent="0.45">
      <c r="A398" s="28" t="s">
        <v>358</v>
      </c>
      <c r="B398" s="29">
        <f>'дод 9'!A243</f>
        <v>7361</v>
      </c>
      <c r="C398" s="29" t="str">
        <f>'дод 9'!B243</f>
        <v>0490</v>
      </c>
      <c r="D398" s="30" t="str">
        <f>'дод 9'!C243</f>
        <v>Співфінансування інвестиційних проектів, що реалізуються за рахунок коштів державного фонду регіонального розвитку</v>
      </c>
      <c r="E398" s="31">
        <f t="shared" ref="E398" si="233">F398+I398</f>
        <v>0</v>
      </c>
      <c r="F398" s="31"/>
      <c r="G398" s="31"/>
      <c r="H398" s="31"/>
      <c r="I398" s="31"/>
      <c r="J398" s="31">
        <f t="shared" ref="J398" si="234">L398+O398</f>
        <v>68209</v>
      </c>
      <c r="K398" s="31">
        <f>120000-51791</f>
        <v>68209</v>
      </c>
      <c r="L398" s="31"/>
      <c r="M398" s="31"/>
      <c r="N398" s="31"/>
      <c r="O398" s="31">
        <f>120000-51791</f>
        <v>68209</v>
      </c>
      <c r="P398" s="31">
        <f t="shared" si="227"/>
        <v>68209</v>
      </c>
      <c r="Q398" s="168"/>
    </row>
    <row r="399" spans="1:17" s="32" customFormat="1" ht="47.25" hidden="1" customHeight="1" x14ac:dyDescent="0.45">
      <c r="A399" s="28" t="s">
        <v>353</v>
      </c>
      <c r="B399" s="29">
        <v>7363</v>
      </c>
      <c r="C399" s="28" t="s">
        <v>78</v>
      </c>
      <c r="D399" s="30" t="s">
        <v>583</v>
      </c>
      <c r="E399" s="31">
        <f t="shared" si="226"/>
        <v>0</v>
      </c>
      <c r="F399" s="31"/>
      <c r="G399" s="31"/>
      <c r="H399" s="31"/>
      <c r="I399" s="31"/>
      <c r="J399" s="31">
        <f t="shared" si="229"/>
        <v>0</v>
      </c>
      <c r="K399" s="31"/>
      <c r="L399" s="31"/>
      <c r="M399" s="31"/>
      <c r="N399" s="31"/>
      <c r="O399" s="31"/>
      <c r="P399" s="31">
        <f t="shared" si="227"/>
        <v>0</v>
      </c>
      <c r="Q399" s="168"/>
    </row>
    <row r="400" spans="1:17" s="37" customFormat="1" ht="63" hidden="1" customHeight="1" x14ac:dyDescent="0.45">
      <c r="A400" s="33"/>
      <c r="B400" s="34"/>
      <c r="C400" s="33"/>
      <c r="D400" s="35" t="s">
        <v>579</v>
      </c>
      <c r="E400" s="36">
        <f t="shared" si="226"/>
        <v>0</v>
      </c>
      <c r="F400" s="36"/>
      <c r="G400" s="36"/>
      <c r="H400" s="36"/>
      <c r="I400" s="36"/>
      <c r="J400" s="36">
        <f t="shared" ref="J400" si="235">L400+O400</f>
        <v>0</v>
      </c>
      <c r="K400" s="36"/>
      <c r="L400" s="36"/>
      <c r="M400" s="36"/>
      <c r="N400" s="36"/>
      <c r="O400" s="36"/>
      <c r="P400" s="36">
        <f t="shared" ref="P400" si="236">E400+J400</f>
        <v>0</v>
      </c>
      <c r="Q400" s="168"/>
    </row>
    <row r="401" spans="1:17" s="32" customFormat="1" ht="31.5" hidden="1" customHeight="1" x14ac:dyDescent="0.45">
      <c r="A401" s="28" t="s">
        <v>407</v>
      </c>
      <c r="B401" s="29">
        <v>7370</v>
      </c>
      <c r="C401" s="28" t="s">
        <v>78</v>
      </c>
      <c r="D401" s="30" t="s">
        <v>408</v>
      </c>
      <c r="E401" s="31">
        <f>F401+I401</f>
        <v>0</v>
      </c>
      <c r="F401" s="31"/>
      <c r="G401" s="31"/>
      <c r="H401" s="31"/>
      <c r="I401" s="31"/>
      <c r="J401" s="31">
        <f t="shared" si="229"/>
        <v>0</v>
      </c>
      <c r="K401" s="31"/>
      <c r="L401" s="31"/>
      <c r="M401" s="31"/>
      <c r="N401" s="31"/>
      <c r="O401" s="31"/>
      <c r="P401" s="31">
        <f t="shared" si="227"/>
        <v>0</v>
      </c>
      <c r="Q401" s="168"/>
    </row>
    <row r="402" spans="1:17" s="136" customFormat="1" ht="21" customHeight="1" x14ac:dyDescent="0.45">
      <c r="A402" s="28" t="s">
        <v>139</v>
      </c>
      <c r="B402" s="29" t="str">
        <f>'дод 9'!A276</f>
        <v>7640</v>
      </c>
      <c r="C402" s="29" t="str">
        <f>'дод 9'!B276</f>
        <v>0470</v>
      </c>
      <c r="D402" s="30" t="str">
        <f>'дод 9'!C276</f>
        <v>Заходи з енергозбереження, у т. ч. за рахунок:</v>
      </c>
      <c r="E402" s="31">
        <f t="shared" si="226"/>
        <v>685324</v>
      </c>
      <c r="F402" s="31">
        <f>985324-300000</f>
        <v>685324</v>
      </c>
      <c r="G402" s="31"/>
      <c r="H402" s="31"/>
      <c r="I402" s="31"/>
      <c r="J402" s="31">
        <f t="shared" si="229"/>
        <v>126374013</v>
      </c>
      <c r="K402" s="31">
        <f>92681686+42207900+241882+135285+1607260+500000-11000000</f>
        <v>126374013</v>
      </c>
      <c r="L402" s="31"/>
      <c r="M402" s="31"/>
      <c r="N402" s="31"/>
      <c r="O402" s="31">
        <f>92681686+42207900+241882+135285+1607260+500000-11000000</f>
        <v>126374013</v>
      </c>
      <c r="P402" s="31">
        <f t="shared" si="227"/>
        <v>127059337</v>
      </c>
      <c r="Q402" s="168"/>
    </row>
    <row r="403" spans="1:17" s="37" customFormat="1" ht="17.25" customHeight="1" x14ac:dyDescent="0.45">
      <c r="A403" s="33"/>
      <c r="B403" s="34"/>
      <c r="C403" s="34"/>
      <c r="D403" s="35" t="s">
        <v>400</v>
      </c>
      <c r="E403" s="36">
        <f t="shared" si="226"/>
        <v>0</v>
      </c>
      <c r="F403" s="36"/>
      <c r="G403" s="36"/>
      <c r="H403" s="36"/>
      <c r="I403" s="36"/>
      <c r="J403" s="36">
        <f t="shared" si="229"/>
        <v>61868709</v>
      </c>
      <c r="K403" s="36">
        <v>61868709</v>
      </c>
      <c r="L403" s="36"/>
      <c r="M403" s="36"/>
      <c r="N403" s="36"/>
      <c r="O403" s="36">
        <v>61868709</v>
      </c>
      <c r="P403" s="36">
        <f t="shared" si="227"/>
        <v>61868709</v>
      </c>
      <c r="Q403" s="168"/>
    </row>
    <row r="404" spans="1:17" s="37" customFormat="1" ht="55.5" customHeight="1" x14ac:dyDescent="0.45">
      <c r="A404" s="33"/>
      <c r="B404" s="34"/>
      <c r="C404" s="34"/>
      <c r="D404" s="35" t="s">
        <v>677</v>
      </c>
      <c r="E404" s="36"/>
      <c r="F404" s="36"/>
      <c r="G404" s="36"/>
      <c r="H404" s="36"/>
      <c r="I404" s="36"/>
      <c r="J404" s="36">
        <f t="shared" si="229"/>
        <v>42207900</v>
      </c>
      <c r="K404" s="36">
        <v>42207900</v>
      </c>
      <c r="L404" s="36"/>
      <c r="M404" s="36"/>
      <c r="N404" s="36"/>
      <c r="O404" s="36">
        <v>42207900</v>
      </c>
      <c r="P404" s="36">
        <f t="shared" si="227"/>
        <v>42207900</v>
      </c>
      <c r="Q404" s="168"/>
    </row>
    <row r="405" spans="1:17" s="32" customFormat="1" ht="126" hidden="1" customHeight="1" x14ac:dyDescent="0.45">
      <c r="A405" s="28" t="s">
        <v>356</v>
      </c>
      <c r="B405" s="29">
        <v>7691</v>
      </c>
      <c r="C405" s="52" t="s">
        <v>78</v>
      </c>
      <c r="D405" s="30" t="s">
        <v>302</v>
      </c>
      <c r="E405" s="31">
        <f t="shared" si="226"/>
        <v>0</v>
      </c>
      <c r="F405" s="31"/>
      <c r="G405" s="31"/>
      <c r="H405" s="31"/>
      <c r="I405" s="31"/>
      <c r="J405" s="31">
        <f t="shared" si="229"/>
        <v>0</v>
      </c>
      <c r="K405" s="31"/>
      <c r="L405" s="31"/>
      <c r="M405" s="31"/>
      <c r="N405" s="31"/>
      <c r="O405" s="31"/>
      <c r="P405" s="31">
        <f t="shared" si="227"/>
        <v>0</v>
      </c>
      <c r="Q405" s="168"/>
    </row>
    <row r="406" spans="1:17" s="32" customFormat="1" ht="31.5" hidden="1" customHeight="1" x14ac:dyDescent="0.45">
      <c r="A406" s="28" t="s">
        <v>482</v>
      </c>
      <c r="B406" s="29">
        <v>9750</v>
      </c>
      <c r="C406" s="28" t="s">
        <v>43</v>
      </c>
      <c r="D406" s="30" t="s">
        <v>483</v>
      </c>
      <c r="E406" s="31">
        <f t="shared" ref="E406" si="237">F406+I406</f>
        <v>0</v>
      </c>
      <c r="F406" s="31"/>
      <c r="G406" s="31"/>
      <c r="H406" s="31"/>
      <c r="I406" s="31"/>
      <c r="J406" s="31">
        <f t="shared" ref="J406" si="238">L406+O406</f>
        <v>0</v>
      </c>
      <c r="K406" s="31"/>
      <c r="L406" s="31"/>
      <c r="M406" s="31"/>
      <c r="N406" s="31"/>
      <c r="O406" s="31"/>
      <c r="P406" s="31">
        <f t="shared" ref="P406" si="239">E406+J406</f>
        <v>0</v>
      </c>
      <c r="Q406" s="168"/>
    </row>
    <row r="407" spans="1:17" s="22" customFormat="1" ht="33.75" hidden="1" customHeight="1" x14ac:dyDescent="0.4">
      <c r="A407" s="43" t="s">
        <v>199</v>
      </c>
      <c r="B407" s="44"/>
      <c r="C407" s="44"/>
      <c r="D407" s="45" t="s">
        <v>39</v>
      </c>
      <c r="E407" s="21">
        <f>E408</f>
        <v>0</v>
      </c>
      <c r="F407" s="21">
        <f t="shared" ref="F407:J407" si="240">F408</f>
        <v>0</v>
      </c>
      <c r="G407" s="21">
        <f t="shared" si="240"/>
        <v>0</v>
      </c>
      <c r="H407" s="21">
        <f t="shared" si="240"/>
        <v>0</v>
      </c>
      <c r="I407" s="21">
        <f t="shared" si="240"/>
        <v>0</v>
      </c>
      <c r="J407" s="21">
        <f t="shared" si="240"/>
        <v>0</v>
      </c>
      <c r="K407" s="21">
        <f t="shared" ref="K407" si="241">K408</f>
        <v>0</v>
      </c>
      <c r="L407" s="21">
        <f t="shared" ref="L407" si="242">L408</f>
        <v>0</v>
      </c>
      <c r="M407" s="21">
        <f t="shared" ref="M407" si="243">M408</f>
        <v>0</v>
      </c>
      <c r="N407" s="21">
        <f t="shared" ref="N407" si="244">N408</f>
        <v>0</v>
      </c>
      <c r="O407" s="21">
        <f t="shared" ref="O407:P407" si="245">O408</f>
        <v>0</v>
      </c>
      <c r="P407" s="21">
        <f t="shared" si="245"/>
        <v>0</v>
      </c>
      <c r="Q407" s="168"/>
    </row>
    <row r="408" spans="1:17" s="27" customFormat="1" ht="35.25" hidden="1" customHeight="1" x14ac:dyDescent="0.4">
      <c r="A408" s="23" t="s">
        <v>200</v>
      </c>
      <c r="B408" s="46"/>
      <c r="C408" s="46"/>
      <c r="D408" s="25" t="s">
        <v>39</v>
      </c>
      <c r="E408" s="26">
        <f>E409+E410+E412+E413+E414+E411</f>
        <v>0</v>
      </c>
      <c r="F408" s="26">
        <f t="shared" ref="F408:P408" si="246">F409+F410+F412+F413+F414+F411</f>
        <v>0</v>
      </c>
      <c r="G408" s="26">
        <f t="shared" si="246"/>
        <v>0</v>
      </c>
      <c r="H408" s="26">
        <f t="shared" si="246"/>
        <v>0</v>
      </c>
      <c r="I408" s="26">
        <f t="shared" si="246"/>
        <v>0</v>
      </c>
      <c r="J408" s="26">
        <f t="shared" si="246"/>
        <v>0</v>
      </c>
      <c r="K408" s="26">
        <f t="shared" si="246"/>
        <v>0</v>
      </c>
      <c r="L408" s="26">
        <f t="shared" si="246"/>
        <v>0</v>
      </c>
      <c r="M408" s="26">
        <f t="shared" si="246"/>
        <v>0</v>
      </c>
      <c r="N408" s="26">
        <f t="shared" si="246"/>
        <v>0</v>
      </c>
      <c r="O408" s="26">
        <f t="shared" si="246"/>
        <v>0</v>
      </c>
      <c r="P408" s="26">
        <f t="shared" si="246"/>
        <v>0</v>
      </c>
      <c r="Q408" s="168"/>
    </row>
    <row r="409" spans="1:17" s="32" customFormat="1" ht="46.15" hidden="1" x14ac:dyDescent="0.45">
      <c r="A409" s="28" t="s">
        <v>201</v>
      </c>
      <c r="B409" s="29" t="str">
        <f>'дод 9'!A16</f>
        <v>0160</v>
      </c>
      <c r="C409" s="29" t="str">
        <f>'дод 9'!B16</f>
        <v>0111</v>
      </c>
      <c r="D409" s="30" t="str">
        <f>'дод 9'!C16</f>
        <v>Керівництво і управління у відповідній сфері у містах (місті Києві), селищах, селах, територіальних громадах, у т.ч. за рахунок:</v>
      </c>
      <c r="E409" s="31">
        <f t="shared" ref="E409:E414" si="247">F409+I409</f>
        <v>0</v>
      </c>
      <c r="F409" s="31"/>
      <c r="G409" s="31"/>
      <c r="H409" s="31"/>
      <c r="I409" s="31"/>
      <c r="J409" s="31">
        <f t="shared" si="229"/>
        <v>0</v>
      </c>
      <c r="K409" s="31"/>
      <c r="L409" s="31"/>
      <c r="M409" s="31"/>
      <c r="N409" s="31"/>
      <c r="O409" s="31"/>
      <c r="P409" s="31">
        <f t="shared" ref="P409:P414" si="248">E409+J409</f>
        <v>0</v>
      </c>
      <c r="Q409" s="168"/>
    </row>
    <row r="410" spans="1:17" s="32" customFormat="1" ht="15.4" hidden="1" x14ac:dyDescent="0.45">
      <c r="A410" s="28" t="s">
        <v>299</v>
      </c>
      <c r="B410" s="29" t="str">
        <f>'дод 9'!A212</f>
        <v>6090</v>
      </c>
      <c r="C410" s="29" t="str">
        <f>'дод 9'!B212</f>
        <v>0640</v>
      </c>
      <c r="D410" s="30" t="str">
        <f>'дод 9'!C212</f>
        <v>Інша діяльність у сфері житлово-комунального господарства</v>
      </c>
      <c r="E410" s="31">
        <f t="shared" si="247"/>
        <v>0</v>
      </c>
      <c r="F410" s="31"/>
      <c r="G410" s="31"/>
      <c r="H410" s="31"/>
      <c r="I410" s="31"/>
      <c r="J410" s="31">
        <f t="shared" si="229"/>
        <v>0</v>
      </c>
      <c r="K410" s="31"/>
      <c r="L410" s="31"/>
      <c r="M410" s="31"/>
      <c r="N410" s="31"/>
      <c r="O410" s="31"/>
      <c r="P410" s="31">
        <f t="shared" si="248"/>
        <v>0</v>
      </c>
      <c r="Q410" s="168"/>
    </row>
    <row r="411" spans="1:17" s="32" customFormat="1" ht="31.5" hidden="1" customHeight="1" x14ac:dyDescent="0.45">
      <c r="A411" s="28" t="s">
        <v>542</v>
      </c>
      <c r="B411" s="29">
        <v>7340</v>
      </c>
      <c r="C411" s="28" t="s">
        <v>107</v>
      </c>
      <c r="D411" s="30" t="str">
        <f>'дод 9'!C241</f>
        <v>Проектування, реставрація та охорона пам'яток архітектури</v>
      </c>
      <c r="E411" s="31">
        <f t="shared" si="247"/>
        <v>0</v>
      </c>
      <c r="F411" s="31"/>
      <c r="G411" s="31"/>
      <c r="H411" s="31"/>
      <c r="I411" s="31"/>
      <c r="J411" s="31">
        <f t="shared" si="229"/>
        <v>0</v>
      </c>
      <c r="K411" s="31"/>
      <c r="L411" s="31"/>
      <c r="M411" s="31"/>
      <c r="N411" s="31"/>
      <c r="O411" s="31"/>
      <c r="P411" s="31">
        <f t="shared" si="248"/>
        <v>0</v>
      </c>
      <c r="Q411" s="47"/>
    </row>
    <row r="412" spans="1:17" s="32" customFormat="1" ht="31.5" hidden="1" customHeight="1" x14ac:dyDescent="0.45">
      <c r="A412" s="28" t="s">
        <v>429</v>
      </c>
      <c r="B412" s="28" t="s">
        <v>430</v>
      </c>
      <c r="C412" s="28" t="s">
        <v>107</v>
      </c>
      <c r="D412" s="30" t="s">
        <v>431</v>
      </c>
      <c r="E412" s="31">
        <f t="shared" si="247"/>
        <v>0</v>
      </c>
      <c r="F412" s="31"/>
      <c r="G412" s="31"/>
      <c r="H412" s="31"/>
      <c r="I412" s="31"/>
      <c r="J412" s="31">
        <f t="shared" si="229"/>
        <v>0</v>
      </c>
      <c r="K412" s="31">
        <f>900000-900000</f>
        <v>0</v>
      </c>
      <c r="L412" s="31"/>
      <c r="M412" s="31"/>
      <c r="N412" s="31"/>
      <c r="O412" s="31">
        <f>900000-900000</f>
        <v>0</v>
      </c>
      <c r="P412" s="31">
        <f t="shared" si="248"/>
        <v>0</v>
      </c>
      <c r="Q412" s="47"/>
    </row>
    <row r="413" spans="1:17" s="32" customFormat="1" ht="31.5" hidden="1" customHeight="1" x14ac:dyDescent="0.45">
      <c r="A413" s="28" t="s">
        <v>502</v>
      </c>
      <c r="B413" s="28" t="s">
        <v>503</v>
      </c>
      <c r="C413" s="28" t="s">
        <v>78</v>
      </c>
      <c r="D413" s="30" t="str">
        <f>'дод 9'!C249</f>
        <v>Реалізація інших заходів щодо соціально-економічного розвитку територій</v>
      </c>
      <c r="E413" s="31">
        <f t="shared" si="247"/>
        <v>0</v>
      </c>
      <c r="F413" s="31"/>
      <c r="G413" s="31"/>
      <c r="H413" s="31"/>
      <c r="I413" s="31"/>
      <c r="J413" s="31">
        <f t="shared" ref="J413" si="249">L413+O413</f>
        <v>0</v>
      </c>
      <c r="K413" s="31"/>
      <c r="L413" s="31"/>
      <c r="M413" s="31"/>
      <c r="N413" s="31"/>
      <c r="O413" s="31"/>
      <c r="P413" s="31">
        <f t="shared" si="248"/>
        <v>0</v>
      </c>
      <c r="Q413" s="47"/>
    </row>
    <row r="414" spans="1:17" s="32" customFormat="1" ht="123" hidden="1" customHeight="1" x14ac:dyDescent="0.45">
      <c r="A414" s="28" t="s">
        <v>287</v>
      </c>
      <c r="B414" s="29" t="str">
        <f>'дод 9'!A286</f>
        <v>7691</v>
      </c>
      <c r="C414" s="29" t="str">
        <f>'дод 9'!B286</f>
        <v>0490</v>
      </c>
      <c r="D414" s="30" t="str">
        <f>'дод 9'!C286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414" s="31">
        <f t="shared" si="247"/>
        <v>0</v>
      </c>
      <c r="F414" s="31"/>
      <c r="G414" s="31"/>
      <c r="H414" s="31"/>
      <c r="I414" s="31"/>
      <c r="J414" s="31">
        <f t="shared" si="229"/>
        <v>0</v>
      </c>
      <c r="K414" s="31"/>
      <c r="L414" s="31"/>
      <c r="M414" s="31"/>
      <c r="N414" s="31"/>
      <c r="O414" s="31"/>
      <c r="P414" s="31">
        <f t="shared" si="248"/>
        <v>0</v>
      </c>
      <c r="Q414" s="47"/>
    </row>
    <row r="415" spans="1:17" s="22" customFormat="1" ht="38.25" customHeight="1" x14ac:dyDescent="0.4">
      <c r="A415" s="43" t="s">
        <v>204</v>
      </c>
      <c r="B415" s="44"/>
      <c r="C415" s="44"/>
      <c r="D415" s="45" t="s">
        <v>41</v>
      </c>
      <c r="E415" s="21">
        <f>E416</f>
        <v>5495700</v>
      </c>
      <c r="F415" s="21">
        <f t="shared" ref="F415:J416" si="250">F416</f>
        <v>5495700</v>
      </c>
      <c r="G415" s="21">
        <f t="shared" si="250"/>
        <v>4200000</v>
      </c>
      <c r="H415" s="21">
        <f t="shared" si="250"/>
        <v>106200</v>
      </c>
      <c r="I415" s="21">
        <f t="shared" si="250"/>
        <v>0</v>
      </c>
      <c r="J415" s="21">
        <f t="shared" si="250"/>
        <v>0</v>
      </c>
      <c r="K415" s="21">
        <f t="shared" ref="K415:K416" si="251">K416</f>
        <v>0</v>
      </c>
      <c r="L415" s="21">
        <f t="shared" ref="L415:L416" si="252">L416</f>
        <v>0</v>
      </c>
      <c r="M415" s="21">
        <f t="shared" ref="M415:M416" si="253">M416</f>
        <v>0</v>
      </c>
      <c r="N415" s="21">
        <f t="shared" ref="N415:N416" si="254">N416</f>
        <v>0</v>
      </c>
      <c r="O415" s="21">
        <f t="shared" ref="O415:P416" si="255">O416</f>
        <v>0</v>
      </c>
      <c r="P415" s="21">
        <f t="shared" si="255"/>
        <v>5495700</v>
      </c>
      <c r="Q415" s="168"/>
    </row>
    <row r="416" spans="1:17" s="27" customFormat="1" ht="35.25" customHeight="1" x14ac:dyDescent="0.4">
      <c r="A416" s="23" t="s">
        <v>202</v>
      </c>
      <c r="B416" s="46"/>
      <c r="C416" s="46"/>
      <c r="D416" s="25" t="s">
        <v>41</v>
      </c>
      <c r="E416" s="26">
        <f>E417</f>
        <v>5495700</v>
      </c>
      <c r="F416" s="26">
        <f t="shared" si="250"/>
        <v>5495700</v>
      </c>
      <c r="G416" s="26">
        <f t="shared" si="250"/>
        <v>4200000</v>
      </c>
      <c r="H416" s="26">
        <f t="shared" si="250"/>
        <v>106200</v>
      </c>
      <c r="I416" s="26">
        <f t="shared" si="250"/>
        <v>0</v>
      </c>
      <c r="J416" s="26">
        <f t="shared" si="250"/>
        <v>0</v>
      </c>
      <c r="K416" s="26">
        <f t="shared" si="251"/>
        <v>0</v>
      </c>
      <c r="L416" s="26">
        <f t="shared" si="252"/>
        <v>0</v>
      </c>
      <c r="M416" s="26">
        <f t="shared" si="253"/>
        <v>0</v>
      </c>
      <c r="N416" s="26">
        <f t="shared" si="254"/>
        <v>0</v>
      </c>
      <c r="O416" s="26">
        <f t="shared" si="255"/>
        <v>0</v>
      </c>
      <c r="P416" s="26">
        <f t="shared" si="255"/>
        <v>5495700</v>
      </c>
      <c r="Q416" s="168"/>
    </row>
    <row r="417" spans="1:17" s="32" customFormat="1" ht="49.5" customHeight="1" x14ac:dyDescent="0.45">
      <c r="A417" s="28" t="s">
        <v>203</v>
      </c>
      <c r="B417" s="29" t="str">
        <f>'дод 9'!A16</f>
        <v>0160</v>
      </c>
      <c r="C417" s="29" t="str">
        <f>'дод 9'!B16</f>
        <v>0111</v>
      </c>
      <c r="D417" s="30" t="s">
        <v>721</v>
      </c>
      <c r="E417" s="31">
        <f>F417+I417</f>
        <v>5495700</v>
      </c>
      <c r="F417" s="31">
        <f>5078400+417300</f>
        <v>5495700</v>
      </c>
      <c r="G417" s="31">
        <f>3857700+342300</f>
        <v>4200000</v>
      </c>
      <c r="H417" s="31">
        <v>106200</v>
      </c>
      <c r="I417" s="31"/>
      <c r="J417" s="31">
        <f>L417+O417</f>
        <v>0</v>
      </c>
      <c r="K417" s="31"/>
      <c r="L417" s="31"/>
      <c r="M417" s="31"/>
      <c r="N417" s="31"/>
      <c r="O417" s="31"/>
      <c r="P417" s="31">
        <f>E417+J417</f>
        <v>5495700</v>
      </c>
      <c r="Q417" s="168"/>
    </row>
    <row r="418" spans="1:17" s="22" customFormat="1" ht="33" customHeight="1" x14ac:dyDescent="0.4">
      <c r="A418" s="43" t="s">
        <v>614</v>
      </c>
      <c r="B418" s="44"/>
      <c r="C418" s="44"/>
      <c r="D418" s="45" t="s">
        <v>584</v>
      </c>
      <c r="E418" s="21">
        <f>E419</f>
        <v>16045230</v>
      </c>
      <c r="F418" s="21">
        <f t="shared" ref="F418:P418" si="256">F419</f>
        <v>15565230</v>
      </c>
      <c r="G418" s="21">
        <f t="shared" si="256"/>
        <v>12231200</v>
      </c>
      <c r="H418" s="21">
        <f t="shared" si="256"/>
        <v>343500</v>
      </c>
      <c r="I418" s="21">
        <f t="shared" si="256"/>
        <v>480000</v>
      </c>
      <c r="J418" s="21">
        <f t="shared" si="256"/>
        <v>0</v>
      </c>
      <c r="K418" s="21">
        <f t="shared" si="256"/>
        <v>0</v>
      </c>
      <c r="L418" s="21">
        <f t="shared" si="256"/>
        <v>0</v>
      </c>
      <c r="M418" s="21">
        <f t="shared" si="256"/>
        <v>0</v>
      </c>
      <c r="N418" s="21">
        <f t="shared" si="256"/>
        <v>0</v>
      </c>
      <c r="O418" s="21">
        <f t="shared" si="256"/>
        <v>0</v>
      </c>
      <c r="P418" s="21">
        <f t="shared" si="256"/>
        <v>16045230</v>
      </c>
      <c r="Q418" s="168"/>
    </row>
    <row r="419" spans="1:17" s="27" customFormat="1" ht="30.75" customHeight="1" x14ac:dyDescent="0.4">
      <c r="A419" s="23" t="s">
        <v>616</v>
      </c>
      <c r="B419" s="46"/>
      <c r="C419" s="46"/>
      <c r="D419" s="25" t="s">
        <v>584</v>
      </c>
      <c r="E419" s="26">
        <f>E420+E421</f>
        <v>16045230</v>
      </c>
      <c r="F419" s="26">
        <f t="shared" ref="F419:P419" si="257">F420+F421</f>
        <v>15565230</v>
      </c>
      <c r="G419" s="26">
        <f t="shared" si="257"/>
        <v>12231200</v>
      </c>
      <c r="H419" s="26">
        <f t="shared" si="257"/>
        <v>343500</v>
      </c>
      <c r="I419" s="26">
        <f t="shared" si="257"/>
        <v>480000</v>
      </c>
      <c r="J419" s="26">
        <f t="shared" si="257"/>
        <v>0</v>
      </c>
      <c r="K419" s="26">
        <f t="shared" si="257"/>
        <v>0</v>
      </c>
      <c r="L419" s="26">
        <f t="shared" si="257"/>
        <v>0</v>
      </c>
      <c r="M419" s="26">
        <f t="shared" si="257"/>
        <v>0</v>
      </c>
      <c r="N419" s="26">
        <f t="shared" si="257"/>
        <v>0</v>
      </c>
      <c r="O419" s="26">
        <f t="shared" si="257"/>
        <v>0</v>
      </c>
      <c r="P419" s="26">
        <f t="shared" si="257"/>
        <v>16045230</v>
      </c>
      <c r="Q419" s="168"/>
    </row>
    <row r="420" spans="1:17" s="136" customFormat="1" ht="30.75" x14ac:dyDescent="0.45">
      <c r="A420" s="28" t="s">
        <v>615</v>
      </c>
      <c r="B420" s="29" t="str">
        <f>'дод 9'!A16</f>
        <v>0160</v>
      </c>
      <c r="C420" s="29" t="str">
        <f>'дод 9'!B16</f>
        <v>0111</v>
      </c>
      <c r="D420" s="30" t="s">
        <v>721</v>
      </c>
      <c r="E420" s="31">
        <f>F420+I420</f>
        <v>15525230</v>
      </c>
      <c r="F420" s="31">
        <f>13404100+965200+1227300-71370</f>
        <v>15525230</v>
      </c>
      <c r="G420" s="31">
        <f>10491700+791200+1006800-58500</f>
        <v>12231200</v>
      </c>
      <c r="H420" s="31">
        <v>343500</v>
      </c>
      <c r="I420" s="31"/>
      <c r="J420" s="31">
        <f>L420+O420</f>
        <v>0</v>
      </c>
      <c r="K420" s="31">
        <f>8000-8000</f>
        <v>0</v>
      </c>
      <c r="L420" s="31"/>
      <c r="M420" s="31"/>
      <c r="N420" s="31"/>
      <c r="O420" s="31">
        <f>8000-8000</f>
        <v>0</v>
      </c>
      <c r="P420" s="31">
        <f>E420+J420</f>
        <v>15525230</v>
      </c>
      <c r="Q420" s="168"/>
    </row>
    <row r="421" spans="1:17" s="32" customFormat="1" ht="31.5" customHeight="1" x14ac:dyDescent="0.45">
      <c r="A421" s="28" t="s">
        <v>617</v>
      </c>
      <c r="B421" s="29" t="str">
        <f>'дод 9'!A275</f>
        <v>7610</v>
      </c>
      <c r="C421" s="29" t="str">
        <f>'дод 9'!B275</f>
        <v>0411</v>
      </c>
      <c r="D421" s="42" t="str">
        <f>'дод 9'!C275</f>
        <v>Сприяння розвитку малого та середнього підприємництва</v>
      </c>
      <c r="E421" s="31">
        <f>F421+I421</f>
        <v>520000</v>
      </c>
      <c r="F421" s="31">
        <f>170000-130000</f>
        <v>40000</v>
      </c>
      <c r="G421" s="31"/>
      <c r="H421" s="31"/>
      <c r="I421" s="31">
        <f>350000+130000</f>
        <v>480000</v>
      </c>
      <c r="J421" s="31">
        <f>L421+O421</f>
        <v>0</v>
      </c>
      <c r="K421" s="31">
        <f>8000-8000</f>
        <v>0</v>
      </c>
      <c r="L421" s="31"/>
      <c r="M421" s="31"/>
      <c r="N421" s="31"/>
      <c r="O421" s="31">
        <f>8000-8000</f>
        <v>0</v>
      </c>
      <c r="P421" s="31">
        <f>E421+J421</f>
        <v>520000</v>
      </c>
      <c r="Q421" s="168"/>
    </row>
    <row r="422" spans="1:17" s="22" customFormat="1" ht="33.75" hidden="1" customHeight="1" x14ac:dyDescent="0.4">
      <c r="A422" s="43" t="s">
        <v>205</v>
      </c>
      <c r="B422" s="44"/>
      <c r="C422" s="44"/>
      <c r="D422" s="45" t="s">
        <v>38</v>
      </c>
      <c r="E422" s="21">
        <f>E423</f>
        <v>0</v>
      </c>
      <c r="F422" s="21">
        <f t="shared" ref="F422:J422" si="258">F423</f>
        <v>0</v>
      </c>
      <c r="G422" s="21">
        <f t="shared" si="258"/>
        <v>0</v>
      </c>
      <c r="H422" s="21">
        <f t="shared" si="258"/>
        <v>0</v>
      </c>
      <c r="I422" s="21">
        <f t="shared" si="258"/>
        <v>0</v>
      </c>
      <c r="J422" s="21">
        <f t="shared" si="258"/>
        <v>0</v>
      </c>
      <c r="K422" s="21">
        <f t="shared" ref="K422" si="259">K423</f>
        <v>0</v>
      </c>
      <c r="L422" s="21">
        <f t="shared" ref="L422" si="260">L423</f>
        <v>0</v>
      </c>
      <c r="M422" s="21">
        <f t="shared" ref="M422" si="261">M423</f>
        <v>0</v>
      </c>
      <c r="N422" s="21">
        <f t="shared" ref="N422" si="262">N423</f>
        <v>0</v>
      </c>
      <c r="O422" s="21">
        <f t="shared" ref="O422" si="263">O423</f>
        <v>0</v>
      </c>
      <c r="P422" s="21">
        <f>P423</f>
        <v>0</v>
      </c>
      <c r="Q422" s="168"/>
    </row>
    <row r="423" spans="1:17" s="27" customFormat="1" ht="32.25" hidden="1" customHeight="1" x14ac:dyDescent="0.4">
      <c r="A423" s="23" t="s">
        <v>206</v>
      </c>
      <c r="B423" s="46"/>
      <c r="C423" s="46"/>
      <c r="D423" s="25" t="s">
        <v>38</v>
      </c>
      <c r="E423" s="26">
        <f>E424+E425++E426+E427+E428+E429</f>
        <v>0</v>
      </c>
      <c r="F423" s="26">
        <f t="shared" ref="F423:P423" si="264">F424+F425++F426+F427+F428+F429</f>
        <v>0</v>
      </c>
      <c r="G423" s="26">
        <f t="shared" si="264"/>
        <v>0</v>
      </c>
      <c r="H423" s="26">
        <f t="shared" si="264"/>
        <v>0</v>
      </c>
      <c r="I423" s="26">
        <f t="shared" si="264"/>
        <v>0</v>
      </c>
      <c r="J423" s="26">
        <f t="shared" si="264"/>
        <v>0</v>
      </c>
      <c r="K423" s="26">
        <f>K424+K425++K426+K427+K428+K429</f>
        <v>0</v>
      </c>
      <c r="L423" s="26">
        <f t="shared" si="264"/>
        <v>0</v>
      </c>
      <c r="M423" s="26">
        <f t="shared" si="264"/>
        <v>0</v>
      </c>
      <c r="N423" s="26">
        <f t="shared" si="264"/>
        <v>0</v>
      </c>
      <c r="O423" s="26">
        <f t="shared" si="264"/>
        <v>0</v>
      </c>
      <c r="P423" s="26">
        <f t="shared" si="264"/>
        <v>0</v>
      </c>
      <c r="Q423" s="168"/>
    </row>
    <row r="424" spans="1:17" s="32" customFormat="1" ht="50.25" hidden="1" customHeight="1" x14ac:dyDescent="0.45">
      <c r="A424" s="28" t="s">
        <v>207</v>
      </c>
      <c r="B424" s="29" t="str">
        <f>'дод 9'!A16</f>
        <v>0160</v>
      </c>
      <c r="C424" s="29" t="str">
        <f>'дод 9'!B16</f>
        <v>0111</v>
      </c>
      <c r="D424" s="30" t="str">
        <f>'дод 9'!C16</f>
        <v>Керівництво і управління у відповідній сфері у містах (місті Києві), селищах, селах, територіальних громадах, у т.ч. за рахунок:</v>
      </c>
      <c r="E424" s="31">
        <f t="shared" ref="E424:E429" si="265">F424+I424</f>
        <v>0</v>
      </c>
      <c r="F424" s="31">
        <f>2935400-2935400</f>
        <v>0</v>
      </c>
      <c r="G424" s="31">
        <f>2161900-2161900</f>
        <v>0</v>
      </c>
      <c r="H424" s="31">
        <f>209200-209200</f>
        <v>0</v>
      </c>
      <c r="I424" s="31"/>
      <c r="J424" s="31">
        <f>L424+O424</f>
        <v>0</v>
      </c>
      <c r="K424" s="31"/>
      <c r="L424" s="31"/>
      <c r="M424" s="31"/>
      <c r="N424" s="31"/>
      <c r="O424" s="31"/>
      <c r="P424" s="31">
        <f t="shared" ref="P424:P429" si="266">E424+J424</f>
        <v>0</v>
      </c>
      <c r="Q424" s="168"/>
    </row>
    <row r="425" spans="1:17" s="69" customFormat="1" ht="21" hidden="1" customHeight="1" x14ac:dyDescent="0.45">
      <c r="A425" s="28" t="s">
        <v>208</v>
      </c>
      <c r="B425" s="29" t="str">
        <f>'дод 9'!A224</f>
        <v>7130</v>
      </c>
      <c r="C425" s="29" t="str">
        <f>'дод 9'!B224</f>
        <v>0421</v>
      </c>
      <c r="D425" s="30" t="str">
        <f>'дод 9'!C224</f>
        <v>Здійснення заходів із землеустрою</v>
      </c>
      <c r="E425" s="31">
        <f t="shared" si="265"/>
        <v>0</v>
      </c>
      <c r="F425" s="31"/>
      <c r="G425" s="31"/>
      <c r="H425" s="31"/>
      <c r="I425" s="31"/>
      <c r="J425" s="31">
        <f t="shared" ref="J425:J429" si="267">L425+O425</f>
        <v>0</v>
      </c>
      <c r="K425" s="31"/>
      <c r="L425" s="31"/>
      <c r="M425" s="31"/>
      <c r="N425" s="31"/>
      <c r="O425" s="31"/>
      <c r="P425" s="31">
        <f t="shared" si="266"/>
        <v>0</v>
      </c>
      <c r="Q425" s="168"/>
    </row>
    <row r="426" spans="1:17" s="32" customFormat="1" ht="36" hidden="1" customHeight="1" x14ac:dyDescent="0.45">
      <c r="A426" s="28" t="s">
        <v>209</v>
      </c>
      <c r="B426" s="29" t="str">
        <f>'дод 9'!A275</f>
        <v>7610</v>
      </c>
      <c r="C426" s="29" t="str">
        <f>'дод 9'!B275</f>
        <v>0411</v>
      </c>
      <c r="D426" s="30" t="str">
        <f>'дод 9'!C275</f>
        <v>Сприяння розвитку малого та середнього підприємництва</v>
      </c>
      <c r="E426" s="31">
        <f t="shared" si="265"/>
        <v>0</v>
      </c>
      <c r="F426" s="31"/>
      <c r="G426" s="31"/>
      <c r="H426" s="31"/>
      <c r="I426" s="31"/>
      <c r="J426" s="31">
        <f t="shared" si="267"/>
        <v>0</v>
      </c>
      <c r="K426" s="31"/>
      <c r="L426" s="31"/>
      <c r="M426" s="31"/>
      <c r="N426" s="31"/>
      <c r="O426" s="31"/>
      <c r="P426" s="31">
        <f t="shared" si="266"/>
        <v>0</v>
      </c>
      <c r="Q426" s="168"/>
    </row>
    <row r="427" spans="1:17" s="32" customFormat="1" ht="32.25" hidden="1" customHeight="1" x14ac:dyDescent="0.45">
      <c r="A427" s="28" t="s">
        <v>258</v>
      </c>
      <c r="B427" s="29" t="str">
        <f>'дод 9'!A280</f>
        <v>7650</v>
      </c>
      <c r="C427" s="29" t="str">
        <f>'дод 9'!B280</f>
        <v>0490</v>
      </c>
      <c r="D427" s="30" t="str">
        <f>'дод 9'!C280</f>
        <v>Проведення експертної грошової оцінки земельної ділянки чи права на неї</v>
      </c>
      <c r="E427" s="31">
        <f t="shared" si="265"/>
        <v>0</v>
      </c>
      <c r="F427" s="31"/>
      <c r="G427" s="31"/>
      <c r="H427" s="31"/>
      <c r="I427" s="31"/>
      <c r="J427" s="31">
        <f t="shared" si="267"/>
        <v>0</v>
      </c>
      <c r="K427" s="31"/>
      <c r="L427" s="31"/>
      <c r="M427" s="31"/>
      <c r="N427" s="31"/>
      <c r="O427" s="31"/>
      <c r="P427" s="31">
        <f t="shared" si="266"/>
        <v>0</v>
      </c>
      <c r="Q427" s="168"/>
    </row>
    <row r="428" spans="1:17" s="32" customFormat="1" ht="63" hidden="1" customHeight="1" x14ac:dyDescent="0.45">
      <c r="A428" s="28" t="s">
        <v>260</v>
      </c>
      <c r="B428" s="29" t="str">
        <f>'дод 9'!A281</f>
        <v>7660</v>
      </c>
      <c r="C428" s="29" t="str">
        <f>'дод 9'!B281</f>
        <v>0490</v>
      </c>
      <c r="D428" s="30" t="str">
        <f>'дод 9'!C281</f>
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</c>
      <c r="E428" s="31">
        <f t="shared" si="265"/>
        <v>0</v>
      </c>
      <c r="F428" s="31"/>
      <c r="G428" s="31"/>
      <c r="H428" s="31"/>
      <c r="I428" s="31"/>
      <c r="J428" s="31">
        <f t="shared" si="267"/>
        <v>0</v>
      </c>
      <c r="K428" s="31"/>
      <c r="L428" s="31"/>
      <c r="M428" s="31"/>
      <c r="N428" s="31"/>
      <c r="O428" s="31"/>
      <c r="P428" s="31">
        <f t="shared" si="266"/>
        <v>0</v>
      </c>
      <c r="Q428" s="168"/>
    </row>
    <row r="429" spans="1:17" s="32" customFormat="1" ht="22.5" hidden="1" customHeight="1" x14ac:dyDescent="0.45">
      <c r="A429" s="28" t="s">
        <v>256</v>
      </c>
      <c r="B429" s="29" t="str">
        <f>'дод 9'!A287</f>
        <v>7693</v>
      </c>
      <c r="C429" s="29" t="str">
        <f>'дод 9'!B287</f>
        <v>0490</v>
      </c>
      <c r="D429" s="30" t="str">
        <f>'дод 9'!C287</f>
        <v>Інші заходи, пов'язані з економічною діяльністю, у т.ч. за рахунок:</v>
      </c>
      <c r="E429" s="31">
        <f t="shared" si="265"/>
        <v>0</v>
      </c>
      <c r="F429" s="31"/>
      <c r="G429" s="31"/>
      <c r="H429" s="31"/>
      <c r="I429" s="31"/>
      <c r="J429" s="31">
        <f t="shared" si="267"/>
        <v>0</v>
      </c>
      <c r="K429" s="31"/>
      <c r="L429" s="31"/>
      <c r="M429" s="31"/>
      <c r="N429" s="31"/>
      <c r="O429" s="31"/>
      <c r="P429" s="31">
        <f t="shared" si="266"/>
        <v>0</v>
      </c>
      <c r="Q429" s="168"/>
    </row>
    <row r="430" spans="1:17" s="22" customFormat="1" ht="33" customHeight="1" x14ac:dyDescent="0.4">
      <c r="A430" s="43" t="s">
        <v>205</v>
      </c>
      <c r="B430" s="44"/>
      <c r="C430" s="44"/>
      <c r="D430" s="45" t="s">
        <v>588</v>
      </c>
      <c r="E430" s="21">
        <f>E431</f>
        <v>13757880</v>
      </c>
      <c r="F430" s="21">
        <f t="shared" ref="F430:O430" si="268">F431</f>
        <v>13757880</v>
      </c>
      <c r="G430" s="21">
        <f t="shared" si="268"/>
        <v>10103100</v>
      </c>
      <c r="H430" s="21">
        <f t="shared" si="268"/>
        <v>210300</v>
      </c>
      <c r="I430" s="21">
        <f t="shared" si="268"/>
        <v>0</v>
      </c>
      <c r="J430" s="21">
        <f t="shared" si="268"/>
        <v>0</v>
      </c>
      <c r="K430" s="21">
        <f t="shared" si="268"/>
        <v>0</v>
      </c>
      <c r="L430" s="21">
        <f t="shared" si="268"/>
        <v>0</v>
      </c>
      <c r="M430" s="21">
        <f t="shared" si="268"/>
        <v>0</v>
      </c>
      <c r="N430" s="21">
        <f t="shared" si="268"/>
        <v>0</v>
      </c>
      <c r="O430" s="21">
        <f t="shared" si="268"/>
        <v>0</v>
      </c>
      <c r="P430" s="21">
        <f>P431</f>
        <v>13757880</v>
      </c>
      <c r="Q430" s="168"/>
    </row>
    <row r="431" spans="1:17" s="27" customFormat="1" ht="32.25" customHeight="1" x14ac:dyDescent="0.4">
      <c r="A431" s="23" t="s">
        <v>206</v>
      </c>
      <c r="B431" s="46"/>
      <c r="C431" s="46"/>
      <c r="D431" s="25" t="s">
        <v>753</v>
      </c>
      <c r="E431" s="26">
        <f t="shared" ref="E431:P431" si="269">E433+E434++E435+E436+E437+E438</f>
        <v>13757880</v>
      </c>
      <c r="F431" s="26">
        <f t="shared" si="269"/>
        <v>13757880</v>
      </c>
      <c r="G431" s="26">
        <f t="shared" si="269"/>
        <v>10103100</v>
      </c>
      <c r="H431" s="26">
        <f t="shared" si="269"/>
        <v>210300</v>
      </c>
      <c r="I431" s="26">
        <f t="shared" si="269"/>
        <v>0</v>
      </c>
      <c r="J431" s="26">
        <f t="shared" si="269"/>
        <v>0</v>
      </c>
      <c r="K431" s="26">
        <f t="shared" si="269"/>
        <v>0</v>
      </c>
      <c r="L431" s="26">
        <f t="shared" si="269"/>
        <v>0</v>
      </c>
      <c r="M431" s="26">
        <f t="shared" si="269"/>
        <v>0</v>
      </c>
      <c r="N431" s="26">
        <f t="shared" si="269"/>
        <v>0</v>
      </c>
      <c r="O431" s="26">
        <f t="shared" si="269"/>
        <v>0</v>
      </c>
      <c r="P431" s="26">
        <f t="shared" si="269"/>
        <v>13757880</v>
      </c>
      <c r="Q431" s="168"/>
    </row>
    <row r="432" spans="1:17" s="137" customFormat="1" ht="96.75" customHeight="1" x14ac:dyDescent="0.4">
      <c r="A432" s="23"/>
      <c r="B432" s="46"/>
      <c r="C432" s="46"/>
      <c r="D432" s="66" t="s">
        <v>624</v>
      </c>
      <c r="E432" s="26">
        <f>E439</f>
        <v>163600</v>
      </c>
      <c r="F432" s="26">
        <f t="shared" ref="F432:P432" si="270">F439</f>
        <v>163600</v>
      </c>
      <c r="G432" s="26">
        <f t="shared" si="270"/>
        <v>0</v>
      </c>
      <c r="H432" s="26">
        <f t="shared" si="270"/>
        <v>0</v>
      </c>
      <c r="I432" s="26">
        <f t="shared" si="270"/>
        <v>0</v>
      </c>
      <c r="J432" s="26">
        <f t="shared" si="270"/>
        <v>0</v>
      </c>
      <c r="K432" s="26">
        <f t="shared" si="270"/>
        <v>0</v>
      </c>
      <c r="L432" s="26">
        <f t="shared" si="270"/>
        <v>0</v>
      </c>
      <c r="M432" s="26">
        <f t="shared" si="270"/>
        <v>0</v>
      </c>
      <c r="N432" s="26">
        <f t="shared" si="270"/>
        <v>0</v>
      </c>
      <c r="O432" s="26">
        <f t="shared" si="270"/>
        <v>0</v>
      </c>
      <c r="P432" s="26">
        <f t="shared" si="270"/>
        <v>163600</v>
      </c>
      <c r="Q432" s="168"/>
    </row>
    <row r="433" spans="1:17" s="136" customFormat="1" ht="50.25" customHeight="1" x14ac:dyDescent="0.45">
      <c r="A433" s="28" t="s">
        <v>207</v>
      </c>
      <c r="B433" s="29" t="str">
        <f>'дод 9'!A16</f>
        <v>0160</v>
      </c>
      <c r="C433" s="29" t="str">
        <f>'дод 9'!B16</f>
        <v>0111</v>
      </c>
      <c r="D433" s="30" t="s">
        <v>721</v>
      </c>
      <c r="E433" s="31">
        <f t="shared" ref="E433:E439" si="271">F433+I433</f>
        <v>13184280</v>
      </c>
      <c r="F433" s="31">
        <f>11868200+145200+980700+190180</f>
        <v>13184280</v>
      </c>
      <c r="G433" s="31">
        <f>9298600+804500</f>
        <v>10103100</v>
      </c>
      <c r="H433" s="31">
        <f>209100+1200</f>
        <v>210300</v>
      </c>
      <c r="I433" s="31"/>
      <c r="J433" s="31">
        <f>L433+O433</f>
        <v>0</v>
      </c>
      <c r="K433" s="31"/>
      <c r="L433" s="31"/>
      <c r="M433" s="31"/>
      <c r="N433" s="31"/>
      <c r="O433" s="31"/>
      <c r="P433" s="31">
        <f t="shared" ref="P433:P439" si="272">E433+J433</f>
        <v>13184280</v>
      </c>
      <c r="Q433" s="168"/>
    </row>
    <row r="434" spans="1:17" s="69" customFormat="1" ht="21" hidden="1" customHeight="1" x14ac:dyDescent="0.45">
      <c r="A434" s="28" t="s">
        <v>208</v>
      </c>
      <c r="B434" s="29" t="str">
        <f>'дод 9'!A224</f>
        <v>7130</v>
      </c>
      <c r="C434" s="29" t="str">
        <f>'дод 9'!B224</f>
        <v>0421</v>
      </c>
      <c r="D434" s="30" t="str">
        <f>'дод 9'!C224</f>
        <v>Здійснення заходів із землеустрою</v>
      </c>
      <c r="E434" s="31">
        <f t="shared" si="271"/>
        <v>0</v>
      </c>
      <c r="F434" s="31"/>
      <c r="G434" s="31"/>
      <c r="H434" s="31"/>
      <c r="I434" s="31"/>
      <c r="J434" s="31">
        <f t="shared" ref="J434:J439" si="273">L434+O434</f>
        <v>0</v>
      </c>
      <c r="K434" s="31"/>
      <c r="L434" s="31"/>
      <c r="M434" s="31"/>
      <c r="N434" s="31"/>
      <c r="O434" s="31"/>
      <c r="P434" s="31">
        <f t="shared" si="272"/>
        <v>0</v>
      </c>
      <c r="Q434" s="168"/>
    </row>
    <row r="435" spans="1:17" s="32" customFormat="1" ht="33.75" hidden="1" customHeight="1" x14ac:dyDescent="0.45">
      <c r="A435" s="28" t="s">
        <v>209</v>
      </c>
      <c r="B435" s="29" t="str">
        <f>'дод 9'!A275</f>
        <v>7610</v>
      </c>
      <c r="C435" s="29" t="str">
        <f>'дод 9'!B275</f>
        <v>0411</v>
      </c>
      <c r="D435" s="30" t="str">
        <f>'дод 9'!C275</f>
        <v>Сприяння розвитку малого та середнього підприємництва</v>
      </c>
      <c r="E435" s="31">
        <f t="shared" si="271"/>
        <v>0</v>
      </c>
      <c r="F435" s="31"/>
      <c r="G435" s="31"/>
      <c r="H435" s="31"/>
      <c r="I435" s="31"/>
      <c r="J435" s="31">
        <f t="shared" si="273"/>
        <v>0</v>
      </c>
      <c r="K435" s="31"/>
      <c r="L435" s="31"/>
      <c r="M435" s="31"/>
      <c r="N435" s="31"/>
      <c r="O435" s="31"/>
      <c r="P435" s="31">
        <f t="shared" si="272"/>
        <v>0</v>
      </c>
      <c r="Q435" s="168"/>
    </row>
    <row r="436" spans="1:17" s="32" customFormat="1" ht="32.25" hidden="1" customHeight="1" x14ac:dyDescent="0.45">
      <c r="A436" s="28" t="s">
        <v>258</v>
      </c>
      <c r="B436" s="29" t="str">
        <f>'дод 9'!A280</f>
        <v>7650</v>
      </c>
      <c r="C436" s="29" t="str">
        <f>'дод 9'!B280</f>
        <v>0490</v>
      </c>
      <c r="D436" s="30" t="str">
        <f>'дод 9'!C280</f>
        <v>Проведення експертної грошової оцінки земельної ділянки чи права на неї</v>
      </c>
      <c r="E436" s="31">
        <f t="shared" si="271"/>
        <v>0</v>
      </c>
      <c r="F436" s="31"/>
      <c r="G436" s="31"/>
      <c r="H436" s="31"/>
      <c r="I436" s="31"/>
      <c r="J436" s="31">
        <f t="shared" si="273"/>
        <v>0</v>
      </c>
      <c r="K436" s="31"/>
      <c r="L436" s="31"/>
      <c r="M436" s="31"/>
      <c r="N436" s="31"/>
      <c r="O436" s="31"/>
      <c r="P436" s="31">
        <f t="shared" si="272"/>
        <v>0</v>
      </c>
      <c r="Q436" s="168"/>
    </row>
    <row r="437" spans="1:17" s="32" customFormat="1" ht="46.15" hidden="1" customHeight="1" x14ac:dyDescent="0.45">
      <c r="A437" s="28" t="s">
        <v>260</v>
      </c>
      <c r="B437" s="29" t="str">
        <f>'дод 9'!A281</f>
        <v>7660</v>
      </c>
      <c r="C437" s="29" t="str">
        <f>'дод 9'!B281</f>
        <v>0490</v>
      </c>
      <c r="D437" s="30" t="str">
        <f>'дод 9'!C281</f>
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</c>
      <c r="E437" s="31">
        <f t="shared" si="271"/>
        <v>0</v>
      </c>
      <c r="F437" s="31"/>
      <c r="G437" s="31"/>
      <c r="H437" s="31"/>
      <c r="I437" s="31"/>
      <c r="J437" s="31">
        <f t="shared" si="273"/>
        <v>0</v>
      </c>
      <c r="K437" s="31"/>
      <c r="L437" s="31"/>
      <c r="M437" s="31"/>
      <c r="N437" s="31"/>
      <c r="O437" s="31"/>
      <c r="P437" s="31">
        <f t="shared" si="272"/>
        <v>0</v>
      </c>
      <c r="Q437" s="168"/>
    </row>
    <row r="438" spans="1:17" s="136" customFormat="1" ht="44.25" customHeight="1" x14ac:dyDescent="0.45">
      <c r="A438" s="28" t="s">
        <v>256</v>
      </c>
      <c r="B438" s="29" t="str">
        <f>'дод 9'!A287</f>
        <v>7693</v>
      </c>
      <c r="C438" s="29" t="str">
        <f>'дод 9'!B287</f>
        <v>0490</v>
      </c>
      <c r="D438" s="30" t="str">
        <f>'дод 9'!C287</f>
        <v>Інші заходи, пов'язані з економічною діяльністю, у т.ч. за рахунок:</v>
      </c>
      <c r="E438" s="31">
        <f t="shared" si="271"/>
        <v>573600</v>
      </c>
      <c r="F438" s="31">
        <f>410000+163600</f>
        <v>573600</v>
      </c>
      <c r="G438" s="31"/>
      <c r="H438" s="31"/>
      <c r="I438" s="31"/>
      <c r="J438" s="31">
        <f t="shared" si="273"/>
        <v>0</v>
      </c>
      <c r="K438" s="31"/>
      <c r="L438" s="31"/>
      <c r="M438" s="31"/>
      <c r="N438" s="31"/>
      <c r="O438" s="31"/>
      <c r="P438" s="31">
        <f t="shared" si="272"/>
        <v>573600</v>
      </c>
      <c r="Q438" s="168"/>
    </row>
    <row r="439" spans="1:17" s="135" customFormat="1" ht="92.25" x14ac:dyDescent="0.45">
      <c r="A439" s="33"/>
      <c r="B439" s="34"/>
      <c r="C439" s="34"/>
      <c r="D439" s="55" t="s">
        <v>624</v>
      </c>
      <c r="E439" s="36">
        <f t="shared" si="271"/>
        <v>163600</v>
      </c>
      <c r="F439" s="36">
        <v>163600</v>
      </c>
      <c r="G439" s="36"/>
      <c r="H439" s="36"/>
      <c r="I439" s="36"/>
      <c r="J439" s="36">
        <f t="shared" si="273"/>
        <v>0</v>
      </c>
      <c r="K439" s="36"/>
      <c r="L439" s="36"/>
      <c r="M439" s="36"/>
      <c r="N439" s="36"/>
      <c r="O439" s="36"/>
      <c r="P439" s="36">
        <f t="shared" si="272"/>
        <v>163600</v>
      </c>
      <c r="Q439" s="168"/>
    </row>
    <row r="440" spans="1:17" s="22" customFormat="1" ht="33.75" customHeight="1" x14ac:dyDescent="0.4">
      <c r="A440" s="43" t="s">
        <v>585</v>
      </c>
      <c r="B440" s="44"/>
      <c r="C440" s="44"/>
      <c r="D440" s="45" t="s">
        <v>38</v>
      </c>
      <c r="E440" s="21">
        <f>E441</f>
        <v>26658450</v>
      </c>
      <c r="F440" s="21">
        <f t="shared" ref="F440:P440" si="274">F441</f>
        <v>26658450</v>
      </c>
      <c r="G440" s="21">
        <f t="shared" si="274"/>
        <v>18767750</v>
      </c>
      <c r="H440" s="21">
        <f t="shared" si="274"/>
        <v>968000</v>
      </c>
      <c r="I440" s="21">
        <f t="shared" si="274"/>
        <v>0</v>
      </c>
      <c r="J440" s="21">
        <f t="shared" si="274"/>
        <v>330000</v>
      </c>
      <c r="K440" s="21">
        <f t="shared" si="274"/>
        <v>330000</v>
      </c>
      <c r="L440" s="21">
        <f t="shared" si="274"/>
        <v>0</v>
      </c>
      <c r="M440" s="21">
        <f t="shared" si="274"/>
        <v>0</v>
      </c>
      <c r="N440" s="21">
        <f t="shared" si="274"/>
        <v>0</v>
      </c>
      <c r="O440" s="21">
        <f t="shared" si="274"/>
        <v>330000</v>
      </c>
      <c r="P440" s="21">
        <f t="shared" si="274"/>
        <v>26988450</v>
      </c>
      <c r="Q440" s="168"/>
    </row>
    <row r="441" spans="1:17" s="27" customFormat="1" ht="36.75" customHeight="1" x14ac:dyDescent="0.4">
      <c r="A441" s="23" t="s">
        <v>586</v>
      </c>
      <c r="B441" s="46"/>
      <c r="C441" s="46"/>
      <c r="D441" s="25" t="s">
        <v>38</v>
      </c>
      <c r="E441" s="26">
        <f>E442+E443+E444+E445+E446+E447+E448+E449+E450</f>
        <v>26658450</v>
      </c>
      <c r="F441" s="26">
        <f t="shared" ref="F441:P441" si="275">F442+F443+F444+F445+F446+F447+F448+F449+F450</f>
        <v>26658450</v>
      </c>
      <c r="G441" s="26">
        <f t="shared" si="275"/>
        <v>18767750</v>
      </c>
      <c r="H441" s="26">
        <f t="shared" si="275"/>
        <v>968000</v>
      </c>
      <c r="I441" s="26">
        <f t="shared" si="275"/>
        <v>0</v>
      </c>
      <c r="J441" s="26">
        <f t="shared" si="275"/>
        <v>330000</v>
      </c>
      <c r="K441" s="26">
        <f t="shared" si="275"/>
        <v>330000</v>
      </c>
      <c r="L441" s="26">
        <f t="shared" si="275"/>
        <v>0</v>
      </c>
      <c r="M441" s="26">
        <f t="shared" si="275"/>
        <v>0</v>
      </c>
      <c r="N441" s="26">
        <f t="shared" si="275"/>
        <v>0</v>
      </c>
      <c r="O441" s="26">
        <f t="shared" si="275"/>
        <v>330000</v>
      </c>
      <c r="P441" s="26">
        <f t="shared" si="275"/>
        <v>26988450</v>
      </c>
      <c r="Q441" s="168"/>
    </row>
    <row r="442" spans="1:17" s="32" customFormat="1" ht="51.75" customHeight="1" x14ac:dyDescent="0.45">
      <c r="A442" s="28" t="s">
        <v>587</v>
      </c>
      <c r="B442" s="29" t="str">
        <f>'дод 9'!A16</f>
        <v>0160</v>
      </c>
      <c r="C442" s="29" t="str">
        <f>'дод 9'!B16</f>
        <v>0111</v>
      </c>
      <c r="D442" s="30" t="s">
        <v>721</v>
      </c>
      <c r="E442" s="31">
        <f>F442+I442</f>
        <v>25054450</v>
      </c>
      <c r="F442" s="31">
        <f>23520400-318850+1852900</f>
        <v>25054450</v>
      </c>
      <c r="G442" s="31">
        <f>17509100-261350+1520000</f>
        <v>18767750</v>
      </c>
      <c r="H442" s="31">
        <v>968000</v>
      </c>
      <c r="I442" s="31"/>
      <c r="J442" s="31">
        <f>L442+O442</f>
        <v>0</v>
      </c>
      <c r="K442" s="31"/>
      <c r="L442" s="31"/>
      <c r="M442" s="31"/>
      <c r="N442" s="31"/>
      <c r="O442" s="31"/>
      <c r="P442" s="31">
        <f>E442+J442</f>
        <v>25054450</v>
      </c>
      <c r="Q442" s="168"/>
    </row>
    <row r="443" spans="1:17" s="136" customFormat="1" ht="30" customHeight="1" x14ac:dyDescent="0.45">
      <c r="A443" s="28" t="s">
        <v>589</v>
      </c>
      <c r="B443" s="29" t="str">
        <f>'дод 9'!A212</f>
        <v>6090</v>
      </c>
      <c r="C443" s="29" t="str">
        <f>'дод 9'!B212</f>
        <v>0640</v>
      </c>
      <c r="D443" s="42" t="str">
        <f>'дод 9'!C212</f>
        <v>Інша діяльність у сфері житлово-комунального господарства</v>
      </c>
      <c r="E443" s="31">
        <f t="shared" ref="E443:E450" si="276">F443+I443</f>
        <v>99000</v>
      </c>
      <c r="F443" s="31">
        <f>200000-101000</f>
        <v>99000</v>
      </c>
      <c r="G443" s="31"/>
      <c r="H443" s="31"/>
      <c r="I443" s="31"/>
      <c r="J443" s="31">
        <f t="shared" ref="J443:J450" si="277">L443+O443</f>
        <v>0</v>
      </c>
      <c r="K443" s="31"/>
      <c r="L443" s="31"/>
      <c r="M443" s="31"/>
      <c r="N443" s="31"/>
      <c r="O443" s="31"/>
      <c r="P443" s="31">
        <f t="shared" ref="P443:P450" si="278">E443+J443</f>
        <v>99000</v>
      </c>
      <c r="Q443" s="168"/>
    </row>
    <row r="444" spans="1:17" s="32" customFormat="1" ht="27.75" customHeight="1" x14ac:dyDescent="0.45">
      <c r="A444" s="28" t="s">
        <v>592</v>
      </c>
      <c r="B444" s="29" t="str">
        <f>'дод 9'!A224</f>
        <v>7130</v>
      </c>
      <c r="C444" s="29" t="str">
        <f>'дод 9'!B224</f>
        <v>0421</v>
      </c>
      <c r="D444" s="42" t="str">
        <f>'дод 9'!C224</f>
        <v>Здійснення заходів із землеустрою</v>
      </c>
      <c r="E444" s="31">
        <f t="shared" si="276"/>
        <v>600000</v>
      </c>
      <c r="F444" s="31">
        <f>200000+400000</f>
        <v>600000</v>
      </c>
      <c r="G444" s="31"/>
      <c r="H444" s="31"/>
      <c r="I444" s="31"/>
      <c r="J444" s="31">
        <f t="shared" si="277"/>
        <v>0</v>
      </c>
      <c r="K444" s="31"/>
      <c r="L444" s="31"/>
      <c r="M444" s="31"/>
      <c r="N444" s="31"/>
      <c r="O444" s="31"/>
      <c r="P444" s="31">
        <f t="shared" si="278"/>
        <v>600000</v>
      </c>
      <c r="Q444" s="168"/>
    </row>
    <row r="445" spans="1:17" s="32" customFormat="1" ht="31.5" hidden="1" customHeight="1" x14ac:dyDescent="0.45">
      <c r="A445" s="28" t="s">
        <v>590</v>
      </c>
      <c r="B445" s="29" t="str">
        <f>'дод 9'!A241</f>
        <v>7340</v>
      </c>
      <c r="C445" s="29" t="str">
        <f>'дод 9'!B241</f>
        <v>0443</v>
      </c>
      <c r="D445" s="42" t="str">
        <f>'дод 9'!C241</f>
        <v>Проектування, реставрація та охорона пам'яток архітектури</v>
      </c>
      <c r="E445" s="31">
        <f t="shared" si="276"/>
        <v>0</v>
      </c>
      <c r="F445" s="31"/>
      <c r="G445" s="31"/>
      <c r="H445" s="31"/>
      <c r="I445" s="31"/>
      <c r="J445" s="31">
        <f t="shared" si="277"/>
        <v>0</v>
      </c>
      <c r="K445" s="31"/>
      <c r="L445" s="31"/>
      <c r="M445" s="31"/>
      <c r="N445" s="31"/>
      <c r="O445" s="31"/>
      <c r="P445" s="31">
        <f t="shared" si="278"/>
        <v>0</v>
      </c>
      <c r="Q445" s="168"/>
    </row>
    <row r="446" spans="1:17" s="32" customFormat="1" ht="30" customHeight="1" x14ac:dyDescent="0.45">
      <c r="A446" s="28" t="s">
        <v>591</v>
      </c>
      <c r="B446" s="29">
        <f>'дод 9'!A249</f>
        <v>7370</v>
      </c>
      <c r="C446" s="29" t="str">
        <f>'дод 9'!B249</f>
        <v>0490</v>
      </c>
      <c r="D446" s="42" t="str">
        <f>'дод 9'!C249</f>
        <v>Реалізація інших заходів щодо соціально-економічного розвитку територій</v>
      </c>
      <c r="E446" s="31">
        <f t="shared" si="276"/>
        <v>245000</v>
      </c>
      <c r="F446" s="31">
        <f>45000+200000</f>
        <v>245000</v>
      </c>
      <c r="G446" s="31"/>
      <c r="H446" s="31"/>
      <c r="I446" s="31"/>
      <c r="J446" s="31">
        <f t="shared" si="277"/>
        <v>250000</v>
      </c>
      <c r="K446" s="31">
        <f>150000+100000</f>
        <v>250000</v>
      </c>
      <c r="L446" s="31"/>
      <c r="M446" s="31"/>
      <c r="N446" s="31"/>
      <c r="O446" s="31">
        <f>150000+100000</f>
        <v>250000</v>
      </c>
      <c r="P446" s="31">
        <f t="shared" si="278"/>
        <v>495000</v>
      </c>
      <c r="Q446" s="168"/>
    </row>
    <row r="447" spans="1:17" s="32" customFormat="1" ht="33" hidden="1" customHeight="1" x14ac:dyDescent="0.45">
      <c r="A447" s="28" t="s">
        <v>593</v>
      </c>
      <c r="B447" s="29" t="str">
        <f>'дод 9'!A275</f>
        <v>7610</v>
      </c>
      <c r="C447" s="29" t="str">
        <f>'дод 9'!B275</f>
        <v>0411</v>
      </c>
      <c r="D447" s="42" t="str">
        <f>'дод 9'!C275</f>
        <v>Сприяння розвитку малого та середнього підприємництва</v>
      </c>
      <c r="E447" s="31">
        <f t="shared" si="276"/>
        <v>0</v>
      </c>
      <c r="F447" s="31"/>
      <c r="G447" s="31"/>
      <c r="H447" s="31"/>
      <c r="I447" s="31"/>
      <c r="J447" s="31">
        <f t="shared" si="277"/>
        <v>0</v>
      </c>
      <c r="K447" s="31"/>
      <c r="L447" s="31"/>
      <c r="M447" s="31"/>
      <c r="N447" s="31"/>
      <c r="O447" s="31"/>
      <c r="P447" s="31">
        <f t="shared" si="278"/>
        <v>0</v>
      </c>
      <c r="Q447" s="168"/>
    </row>
    <row r="448" spans="1:17" s="32" customFormat="1" ht="37.5" customHeight="1" x14ac:dyDescent="0.45">
      <c r="A448" s="28" t="s">
        <v>594</v>
      </c>
      <c r="B448" s="29" t="str">
        <f>'дод 9'!A280</f>
        <v>7650</v>
      </c>
      <c r="C448" s="29" t="str">
        <f>'дод 9'!B280</f>
        <v>0490</v>
      </c>
      <c r="D448" s="42" t="str">
        <f>'дод 9'!C280</f>
        <v>Проведення експертної грошової оцінки земельної ділянки чи права на неї</v>
      </c>
      <c r="E448" s="31">
        <f t="shared" si="276"/>
        <v>0</v>
      </c>
      <c r="F448" s="31"/>
      <c r="G448" s="31"/>
      <c r="H448" s="31"/>
      <c r="I448" s="31"/>
      <c r="J448" s="31">
        <f t="shared" si="277"/>
        <v>30000</v>
      </c>
      <c r="K448" s="31">
        <v>30000</v>
      </c>
      <c r="L448" s="31"/>
      <c r="M448" s="31"/>
      <c r="N448" s="31"/>
      <c r="O448" s="31">
        <v>30000</v>
      </c>
      <c r="P448" s="31">
        <f t="shared" si="278"/>
        <v>30000</v>
      </c>
      <c r="Q448" s="168"/>
    </row>
    <row r="449" spans="1:17" s="32" customFormat="1" ht="46.15" x14ac:dyDescent="0.45">
      <c r="A449" s="28" t="s">
        <v>595</v>
      </c>
      <c r="B449" s="29" t="str">
        <f>'дод 9'!A281</f>
        <v>7660</v>
      </c>
      <c r="C449" s="29" t="str">
        <f>'дод 9'!B281</f>
        <v>0490</v>
      </c>
      <c r="D449" s="42" t="str">
        <f>'дод 9'!C281</f>
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</c>
      <c r="E449" s="31">
        <f t="shared" si="276"/>
        <v>0</v>
      </c>
      <c r="F449" s="31"/>
      <c r="G449" s="31"/>
      <c r="H449" s="31"/>
      <c r="I449" s="31"/>
      <c r="J449" s="31">
        <f t="shared" si="277"/>
        <v>50000</v>
      </c>
      <c r="K449" s="31">
        <v>50000</v>
      </c>
      <c r="L449" s="31"/>
      <c r="M449" s="31"/>
      <c r="N449" s="31"/>
      <c r="O449" s="31">
        <v>50000</v>
      </c>
      <c r="P449" s="31">
        <f t="shared" si="278"/>
        <v>50000</v>
      </c>
      <c r="Q449" s="168"/>
    </row>
    <row r="450" spans="1:17" s="32" customFormat="1" ht="33.75" customHeight="1" x14ac:dyDescent="0.45">
      <c r="A450" s="28" t="s">
        <v>596</v>
      </c>
      <c r="B450" s="29" t="str">
        <f>'дод 9'!A287</f>
        <v>7693</v>
      </c>
      <c r="C450" s="29" t="str">
        <f>'дод 9'!B287</f>
        <v>0490</v>
      </c>
      <c r="D450" s="42" t="str">
        <f>'дод 9'!C287</f>
        <v>Інші заходи, пов'язані з економічною діяльністю, у т.ч. за рахунок:</v>
      </c>
      <c r="E450" s="31">
        <f t="shared" si="276"/>
        <v>660000</v>
      </c>
      <c r="F450" s="31">
        <v>660000</v>
      </c>
      <c r="G450" s="31"/>
      <c r="H450" s="31"/>
      <c r="I450" s="31"/>
      <c r="J450" s="31">
        <f t="shared" si="277"/>
        <v>0</v>
      </c>
      <c r="K450" s="31"/>
      <c r="L450" s="31"/>
      <c r="M450" s="31"/>
      <c r="N450" s="31"/>
      <c r="O450" s="31"/>
      <c r="P450" s="31">
        <f t="shared" si="278"/>
        <v>660000</v>
      </c>
      <c r="Q450" s="168"/>
    </row>
    <row r="451" spans="1:17" s="22" customFormat="1" ht="38.25" customHeight="1" x14ac:dyDescent="0.4">
      <c r="A451" s="43" t="s">
        <v>210</v>
      </c>
      <c r="B451" s="44"/>
      <c r="C451" s="44"/>
      <c r="D451" s="45" t="s">
        <v>40</v>
      </c>
      <c r="E451" s="21">
        <f>E452</f>
        <v>28220312.560000002</v>
      </c>
      <c r="F451" s="21">
        <f t="shared" ref="F451:J451" si="279">F452</f>
        <v>27965561</v>
      </c>
      <c r="G451" s="21">
        <f t="shared" si="279"/>
        <v>19452470</v>
      </c>
      <c r="H451" s="21">
        <f t="shared" si="279"/>
        <v>578400</v>
      </c>
      <c r="I451" s="21">
        <f t="shared" si="279"/>
        <v>0</v>
      </c>
      <c r="J451" s="21">
        <f t="shared" si="279"/>
        <v>289600</v>
      </c>
      <c r="K451" s="21">
        <f t="shared" ref="K451" si="280">K452</f>
        <v>0</v>
      </c>
      <c r="L451" s="21">
        <f t="shared" ref="L451" si="281">L452</f>
        <v>289600</v>
      </c>
      <c r="M451" s="21">
        <f t="shared" ref="M451" si="282">M452</f>
        <v>0</v>
      </c>
      <c r="N451" s="21">
        <f t="shared" ref="N451" si="283">N452</f>
        <v>0</v>
      </c>
      <c r="O451" s="21">
        <f t="shared" ref="O451:P451" si="284">O452</f>
        <v>0</v>
      </c>
      <c r="P451" s="21">
        <f t="shared" si="284"/>
        <v>28509912.560000002</v>
      </c>
      <c r="Q451" s="168"/>
    </row>
    <row r="452" spans="1:17" s="27" customFormat="1" ht="34.5" customHeight="1" x14ac:dyDescent="0.4">
      <c r="A452" s="23" t="s">
        <v>211</v>
      </c>
      <c r="B452" s="46"/>
      <c r="C452" s="46"/>
      <c r="D452" s="25" t="s">
        <v>714</v>
      </c>
      <c r="E452" s="26">
        <f>SUM(E454+E456+E457+E460+E461+E462+E463+E459+E458+E464)</f>
        <v>28220312.560000002</v>
      </c>
      <c r="F452" s="26">
        <f t="shared" ref="F452:P452" si="285">SUM(F454+F456+F457+F460+F461+F462+F463+F459+F458+F464)</f>
        <v>27965561</v>
      </c>
      <c r="G452" s="26">
        <f t="shared" si="285"/>
        <v>19452470</v>
      </c>
      <c r="H452" s="26">
        <f t="shared" si="285"/>
        <v>578400</v>
      </c>
      <c r="I452" s="26">
        <f t="shared" si="285"/>
        <v>0</v>
      </c>
      <c r="J452" s="26">
        <f t="shared" si="285"/>
        <v>289600</v>
      </c>
      <c r="K452" s="26">
        <f t="shared" si="285"/>
        <v>0</v>
      </c>
      <c r="L452" s="26">
        <f t="shared" si="285"/>
        <v>289600</v>
      </c>
      <c r="M452" s="26">
        <f t="shared" si="285"/>
        <v>0</v>
      </c>
      <c r="N452" s="26">
        <f t="shared" si="285"/>
        <v>0</v>
      </c>
      <c r="O452" s="26">
        <f t="shared" si="285"/>
        <v>0</v>
      </c>
      <c r="P452" s="26">
        <f t="shared" si="285"/>
        <v>28509912.560000002</v>
      </c>
      <c r="Q452" s="168"/>
    </row>
    <row r="453" spans="1:17" s="27" customFormat="1" ht="100.5" customHeight="1" x14ac:dyDescent="0.4">
      <c r="A453" s="23"/>
      <c r="B453" s="46"/>
      <c r="C453" s="46"/>
      <c r="D453" s="66" t="s">
        <v>624</v>
      </c>
      <c r="E453" s="26">
        <f>E455</f>
        <v>103200</v>
      </c>
      <c r="F453" s="26">
        <f t="shared" ref="F453:P453" si="286">F455</f>
        <v>103200</v>
      </c>
      <c r="G453" s="26">
        <f t="shared" si="286"/>
        <v>84600</v>
      </c>
      <c r="H453" s="26">
        <f t="shared" si="286"/>
        <v>0</v>
      </c>
      <c r="I453" s="26">
        <f t="shared" si="286"/>
        <v>0</v>
      </c>
      <c r="J453" s="26">
        <f t="shared" si="286"/>
        <v>0</v>
      </c>
      <c r="K453" s="26">
        <f t="shared" si="286"/>
        <v>0</v>
      </c>
      <c r="L453" s="26">
        <f t="shared" si="286"/>
        <v>0</v>
      </c>
      <c r="M453" s="26">
        <f t="shared" si="286"/>
        <v>0</v>
      </c>
      <c r="N453" s="26">
        <f t="shared" si="286"/>
        <v>0</v>
      </c>
      <c r="O453" s="26">
        <f t="shared" si="286"/>
        <v>0</v>
      </c>
      <c r="P453" s="26">
        <f t="shared" si="286"/>
        <v>103200</v>
      </c>
      <c r="Q453" s="168"/>
    </row>
    <row r="454" spans="1:17" s="32" customFormat="1" ht="53.25" customHeight="1" x14ac:dyDescent="0.45">
      <c r="A454" s="28" t="s">
        <v>212</v>
      </c>
      <c r="B454" s="29" t="str">
        <f>'дод 9'!A16</f>
        <v>0160</v>
      </c>
      <c r="C454" s="29" t="str">
        <f>'дод 9'!B16</f>
        <v>0111</v>
      </c>
      <c r="D454" s="30" t="s">
        <v>715</v>
      </c>
      <c r="E454" s="31">
        <f t="shared" ref="E454:E461" si="287">F454+I454</f>
        <v>25214495</v>
      </c>
      <c r="F454" s="31">
        <f>23032500-73200+2170930-1930935+1912000+103200</f>
        <v>25214495</v>
      </c>
      <c r="G454" s="31">
        <f>17662800-60000+1779450-1582880+1568500+84600</f>
        <v>19452470</v>
      </c>
      <c r="H454" s="31">
        <v>578400</v>
      </c>
      <c r="I454" s="31"/>
      <c r="J454" s="31">
        <f>L454+O454</f>
        <v>0</v>
      </c>
      <c r="K454" s="31"/>
      <c r="L454" s="31"/>
      <c r="M454" s="31"/>
      <c r="N454" s="31"/>
      <c r="O454" s="31"/>
      <c r="P454" s="31">
        <f t="shared" ref="P454:P464" si="288">E454+J454</f>
        <v>25214495</v>
      </c>
      <c r="Q454" s="168"/>
    </row>
    <row r="455" spans="1:17" s="37" customFormat="1" ht="101.45" customHeight="1" x14ac:dyDescent="0.45">
      <c r="A455" s="33"/>
      <c r="B455" s="34"/>
      <c r="C455" s="34"/>
      <c r="D455" s="55" t="s">
        <v>624</v>
      </c>
      <c r="E455" s="36">
        <f t="shared" si="287"/>
        <v>103200</v>
      </c>
      <c r="F455" s="36">
        <v>103200</v>
      </c>
      <c r="G455" s="36">
        <v>84600</v>
      </c>
      <c r="H455" s="36"/>
      <c r="I455" s="36"/>
      <c r="J455" s="36">
        <f>L455+O455</f>
        <v>0</v>
      </c>
      <c r="K455" s="36"/>
      <c r="L455" s="36"/>
      <c r="M455" s="36"/>
      <c r="N455" s="36"/>
      <c r="O455" s="36"/>
      <c r="P455" s="36">
        <f t="shared" si="288"/>
        <v>103200</v>
      </c>
      <c r="Q455" s="168"/>
    </row>
    <row r="456" spans="1:17" s="32" customFormat="1" ht="30.75" customHeight="1" x14ac:dyDescent="0.45">
      <c r="A456" s="28" t="s">
        <v>250</v>
      </c>
      <c r="B456" s="29" t="str">
        <f>'дод 9'!A276</f>
        <v>7640</v>
      </c>
      <c r="C456" s="29" t="str">
        <f>'дод 9'!B276</f>
        <v>0470</v>
      </c>
      <c r="D456" s="30" t="s">
        <v>403</v>
      </c>
      <c r="E456" s="31">
        <f t="shared" si="287"/>
        <v>654400</v>
      </c>
      <c r="F456" s="31">
        <f>665000+14400-40000+15000</f>
        <v>654400</v>
      </c>
      <c r="G456" s="31"/>
      <c r="H456" s="31"/>
      <c r="I456" s="31"/>
      <c r="J456" s="31">
        <f t="shared" ref="J456:J463" si="289">L456+O456</f>
        <v>0</v>
      </c>
      <c r="K456" s="31"/>
      <c r="L456" s="31"/>
      <c r="M456" s="31"/>
      <c r="N456" s="31"/>
      <c r="O456" s="31"/>
      <c r="P456" s="31">
        <f t="shared" si="288"/>
        <v>654400</v>
      </c>
      <c r="Q456" s="168"/>
    </row>
    <row r="457" spans="1:17" s="32" customFormat="1" ht="42.75" customHeight="1" x14ac:dyDescent="0.45">
      <c r="A457" s="28" t="s">
        <v>317</v>
      </c>
      <c r="B457" s="29" t="str">
        <f>'дод 9'!A287</f>
        <v>7693</v>
      </c>
      <c r="C457" s="29" t="str">
        <f>'дод 9'!B287</f>
        <v>0490</v>
      </c>
      <c r="D457" s="30" t="str">
        <f>'дод 9'!C287</f>
        <v>Інші заходи, пов'язані з економічною діяльністю, у т.ч. за рахунок:</v>
      </c>
      <c r="E457" s="31">
        <f>F457+I457</f>
        <v>50800</v>
      </c>
      <c r="F457" s="31">
        <f>177700-126900</f>
        <v>50800</v>
      </c>
      <c r="G457" s="31"/>
      <c r="H457" s="31"/>
      <c r="I457" s="31"/>
      <c r="J457" s="31">
        <f t="shared" si="289"/>
        <v>0</v>
      </c>
      <c r="K457" s="31"/>
      <c r="L457" s="31"/>
      <c r="M457" s="31"/>
      <c r="N457" s="31"/>
      <c r="O457" s="31"/>
      <c r="P457" s="31">
        <f t="shared" si="288"/>
        <v>50800</v>
      </c>
      <c r="Q457" s="168"/>
    </row>
    <row r="458" spans="1:17" s="32" customFormat="1" ht="48.75" hidden="1" customHeight="1" x14ac:dyDescent="0.45">
      <c r="A458" s="28" t="s">
        <v>597</v>
      </c>
      <c r="B458" s="29">
        <v>7700</v>
      </c>
      <c r="C458" s="28" t="s">
        <v>89</v>
      </c>
      <c r="D458" s="30" t="s">
        <v>349</v>
      </c>
      <c r="E458" s="31">
        <f t="shared" si="287"/>
        <v>0</v>
      </c>
      <c r="F458" s="31"/>
      <c r="G458" s="31"/>
      <c r="H458" s="31"/>
      <c r="I458" s="31"/>
      <c r="J458" s="31">
        <f t="shared" si="289"/>
        <v>0</v>
      </c>
      <c r="K458" s="31"/>
      <c r="L458" s="31"/>
      <c r="M458" s="31"/>
      <c r="N458" s="31"/>
      <c r="O458" s="31"/>
      <c r="P458" s="31">
        <f t="shared" si="288"/>
        <v>0</v>
      </c>
      <c r="Q458" s="168"/>
    </row>
    <row r="459" spans="1:17" s="32" customFormat="1" ht="31.5" customHeight="1" x14ac:dyDescent="0.45">
      <c r="A459" s="28">
        <v>3718330</v>
      </c>
      <c r="B459" s="29">
        <f>'дод 9'!A309</f>
        <v>8330</v>
      </c>
      <c r="C459" s="28" t="s">
        <v>88</v>
      </c>
      <c r="D459" s="30" t="str">
        <f>'дод 9'!C309</f>
        <v xml:space="preserve">Інша діяльність у сфері екології та охорони природних ресурсів </v>
      </c>
      <c r="E459" s="31">
        <f t="shared" si="287"/>
        <v>75000</v>
      </c>
      <c r="F459" s="31">
        <v>75000</v>
      </c>
      <c r="G459" s="31"/>
      <c r="H459" s="31"/>
      <c r="I459" s="31"/>
      <c r="J459" s="31">
        <f t="shared" si="289"/>
        <v>0</v>
      </c>
      <c r="K459" s="31"/>
      <c r="L459" s="31"/>
      <c r="M459" s="31"/>
      <c r="N459" s="31"/>
      <c r="O459" s="31"/>
      <c r="P459" s="31">
        <f t="shared" si="288"/>
        <v>75000</v>
      </c>
      <c r="Q459" s="168"/>
    </row>
    <row r="460" spans="1:17" s="32" customFormat="1" ht="30" customHeight="1" x14ac:dyDescent="0.45">
      <c r="A460" s="28" t="s">
        <v>213</v>
      </c>
      <c r="B460" s="29" t="str">
        <f>'дод 9'!A310</f>
        <v>8340</v>
      </c>
      <c r="C460" s="28" t="str">
        <f>'дод 9'!B310</f>
        <v>0540</v>
      </c>
      <c r="D460" s="30" t="str">
        <f>'дод 9'!C310</f>
        <v>Природоохоронні заходи за рахунок цільових фондів</v>
      </c>
      <c r="E460" s="31">
        <f t="shared" si="287"/>
        <v>0</v>
      </c>
      <c r="F460" s="31"/>
      <c r="G460" s="31"/>
      <c r="H460" s="31"/>
      <c r="I460" s="31"/>
      <c r="J460" s="31">
        <f t="shared" si="289"/>
        <v>289600</v>
      </c>
      <c r="K460" s="31"/>
      <c r="L460" s="31">
        <v>289600</v>
      </c>
      <c r="M460" s="31"/>
      <c r="N460" s="31"/>
      <c r="O460" s="31"/>
      <c r="P460" s="31">
        <f t="shared" si="288"/>
        <v>289600</v>
      </c>
      <c r="Q460" s="168"/>
    </row>
    <row r="461" spans="1:17" s="136" customFormat="1" ht="21.75" customHeight="1" x14ac:dyDescent="0.45">
      <c r="A461" s="28" t="s">
        <v>214</v>
      </c>
      <c r="B461" s="29" t="str">
        <f>'дод 9'!A313</f>
        <v>8600</v>
      </c>
      <c r="C461" s="29" t="str">
        <f>'дод 9'!B313</f>
        <v>0170</v>
      </c>
      <c r="D461" s="30" t="str">
        <f>'дод 9'!C313</f>
        <v>Обслуговування місцевого боргу</v>
      </c>
      <c r="E461" s="31">
        <f t="shared" si="287"/>
        <v>1617069</v>
      </c>
      <c r="F461" s="31">
        <f>3017069-1400000</f>
        <v>1617069</v>
      </c>
      <c r="G461" s="31"/>
      <c r="H461" s="31"/>
      <c r="I461" s="31"/>
      <c r="J461" s="31">
        <f t="shared" si="289"/>
        <v>0</v>
      </c>
      <c r="K461" s="31"/>
      <c r="L461" s="31"/>
      <c r="M461" s="31"/>
      <c r="N461" s="31"/>
      <c r="O461" s="31"/>
      <c r="P461" s="31">
        <f t="shared" si="288"/>
        <v>1617069</v>
      </c>
      <c r="Q461" s="168"/>
    </row>
    <row r="462" spans="1:17" s="32" customFormat="1" ht="24.75" customHeight="1" x14ac:dyDescent="0.45">
      <c r="A462" s="28" t="s">
        <v>476</v>
      </c>
      <c r="B462" s="29">
        <v>8710</v>
      </c>
      <c r="C462" s="29" t="str">
        <f>'дод 9'!B315</f>
        <v>0133</v>
      </c>
      <c r="D462" s="30" t="str">
        <f>'дод 9'!C315</f>
        <v>Резервний фонд місцевого бюджету</v>
      </c>
      <c r="E462" s="31">
        <f>80000000+20000000+100000000+30000000-18036300-500000+10000000-15714580+12700-5000-5000-213795+173300-428200-300000+137824-3283700+410600-78828579-3000000-3700000+341000-2300000+47414669+120000-13120000-10670000-13121284+5000000-4585060-1000000-20105000-1300000+4000000-14736631-141416+1060000-400000-3500000-71937477-2331018.88-180000-114370-3854958.56-8979020-1644952-200000-179000</f>
        <v>254751.56000000052</v>
      </c>
      <c r="F462" s="31"/>
      <c r="G462" s="31"/>
      <c r="H462" s="31"/>
      <c r="I462" s="31"/>
      <c r="J462" s="31">
        <f t="shared" si="289"/>
        <v>0</v>
      </c>
      <c r="K462" s="31"/>
      <c r="L462" s="31"/>
      <c r="M462" s="31"/>
      <c r="N462" s="31"/>
      <c r="O462" s="31"/>
      <c r="P462" s="31">
        <f t="shared" si="288"/>
        <v>254751.56000000052</v>
      </c>
      <c r="Q462" s="168"/>
    </row>
    <row r="463" spans="1:17" s="32" customFormat="1" ht="24.75" hidden="1" customHeight="1" x14ac:dyDescent="0.45">
      <c r="A463" s="28" t="s">
        <v>224</v>
      </c>
      <c r="B463" s="29" t="str">
        <f>'дод 9'!A319</f>
        <v>9110</v>
      </c>
      <c r="C463" s="29" t="str">
        <f>'дод 9'!B319</f>
        <v>0180</v>
      </c>
      <c r="D463" s="30" t="str">
        <f>'дод 9'!C319</f>
        <v>Реверсна дотація</v>
      </c>
      <c r="E463" s="31">
        <f>F463+I463</f>
        <v>0</v>
      </c>
      <c r="F463" s="31"/>
      <c r="G463" s="31"/>
      <c r="H463" s="31"/>
      <c r="I463" s="31"/>
      <c r="J463" s="31">
        <f t="shared" si="289"/>
        <v>0</v>
      </c>
      <c r="K463" s="31"/>
      <c r="L463" s="31"/>
      <c r="M463" s="31"/>
      <c r="N463" s="31"/>
      <c r="O463" s="31"/>
      <c r="P463" s="31">
        <f t="shared" si="288"/>
        <v>0</v>
      </c>
      <c r="Q463" s="168"/>
    </row>
    <row r="464" spans="1:17" s="32" customFormat="1" ht="24.75" customHeight="1" x14ac:dyDescent="0.45">
      <c r="A464" s="28" t="s">
        <v>722</v>
      </c>
      <c r="B464" s="52" t="s">
        <v>14</v>
      </c>
      <c r="C464" s="29" t="s">
        <v>43</v>
      </c>
      <c r="D464" s="41" t="s">
        <v>343</v>
      </c>
      <c r="E464" s="31">
        <f t="shared" ref="E464" si="290">F464+I464</f>
        <v>353797</v>
      </c>
      <c r="F464" s="31">
        <v>353797</v>
      </c>
      <c r="G464" s="31"/>
      <c r="H464" s="31"/>
      <c r="I464" s="31"/>
      <c r="J464" s="31"/>
      <c r="K464" s="31"/>
      <c r="L464" s="31"/>
      <c r="M464" s="31"/>
      <c r="N464" s="31"/>
      <c r="O464" s="31"/>
      <c r="P464" s="31">
        <f t="shared" si="288"/>
        <v>353797</v>
      </c>
      <c r="Q464" s="70"/>
    </row>
    <row r="465" spans="1:17" s="32" customFormat="1" ht="36.75" customHeight="1" x14ac:dyDescent="0.4">
      <c r="A465" s="43" t="s">
        <v>648</v>
      </c>
      <c r="B465" s="29"/>
      <c r="C465" s="29"/>
      <c r="D465" s="45" t="s">
        <v>658</v>
      </c>
      <c r="E465" s="21">
        <f>E466</f>
        <v>10756170</v>
      </c>
      <c r="F465" s="21">
        <f t="shared" ref="F465:O465" si="291">F466</f>
        <v>10756170</v>
      </c>
      <c r="G465" s="21">
        <f t="shared" si="291"/>
        <v>8166571</v>
      </c>
      <c r="H465" s="21">
        <f t="shared" si="291"/>
        <v>92800</v>
      </c>
      <c r="I465" s="21">
        <f t="shared" si="291"/>
        <v>0</v>
      </c>
      <c r="J465" s="21">
        <f t="shared" si="291"/>
        <v>654030</v>
      </c>
      <c r="K465" s="21">
        <f t="shared" si="291"/>
        <v>654030</v>
      </c>
      <c r="L465" s="21">
        <f t="shared" si="291"/>
        <v>0</v>
      </c>
      <c r="M465" s="21">
        <f t="shared" si="291"/>
        <v>0</v>
      </c>
      <c r="N465" s="21">
        <f t="shared" si="291"/>
        <v>0</v>
      </c>
      <c r="O465" s="21">
        <f t="shared" si="291"/>
        <v>654030</v>
      </c>
      <c r="P465" s="21">
        <f t="shared" ref="P465:P469" si="292">E465+J465</f>
        <v>11410200</v>
      </c>
      <c r="Q465" s="70"/>
    </row>
    <row r="466" spans="1:17" s="32" customFormat="1" ht="38.25" customHeight="1" x14ac:dyDescent="0.4">
      <c r="A466" s="23" t="s">
        <v>648</v>
      </c>
      <c r="B466" s="29"/>
      <c r="C466" s="29"/>
      <c r="D466" s="25" t="s">
        <v>717</v>
      </c>
      <c r="E466" s="26">
        <f t="shared" ref="E466:O466" si="293">E468</f>
        <v>10756170</v>
      </c>
      <c r="F466" s="26">
        <f t="shared" si="293"/>
        <v>10756170</v>
      </c>
      <c r="G466" s="26">
        <f t="shared" si="293"/>
        <v>8166571</v>
      </c>
      <c r="H466" s="26">
        <f t="shared" si="293"/>
        <v>92800</v>
      </c>
      <c r="I466" s="26">
        <f t="shared" si="293"/>
        <v>0</v>
      </c>
      <c r="J466" s="26">
        <f t="shared" si="293"/>
        <v>654030</v>
      </c>
      <c r="K466" s="26">
        <f t="shared" si="293"/>
        <v>654030</v>
      </c>
      <c r="L466" s="26">
        <f t="shared" si="293"/>
        <v>0</v>
      </c>
      <c r="M466" s="26">
        <f t="shared" si="293"/>
        <v>0</v>
      </c>
      <c r="N466" s="26">
        <f t="shared" si="293"/>
        <v>0</v>
      </c>
      <c r="O466" s="26">
        <f t="shared" si="293"/>
        <v>654030</v>
      </c>
      <c r="P466" s="26">
        <f t="shared" si="292"/>
        <v>11410200</v>
      </c>
      <c r="Q466" s="70"/>
    </row>
    <row r="467" spans="1:17" s="32" customFormat="1" ht="106.5" customHeight="1" x14ac:dyDescent="0.4">
      <c r="A467" s="23"/>
      <c r="B467" s="29"/>
      <c r="C467" s="29"/>
      <c r="D467" s="66" t="s">
        <v>624</v>
      </c>
      <c r="E467" s="26">
        <f>E469</f>
        <v>2702100</v>
      </c>
      <c r="F467" s="26">
        <f>F469</f>
        <v>2702100</v>
      </c>
      <c r="G467" s="26">
        <f>G469</f>
        <v>2183571</v>
      </c>
      <c r="H467" s="26">
        <f t="shared" ref="H467:P467" si="294">H469</f>
        <v>0</v>
      </c>
      <c r="I467" s="26">
        <f t="shared" si="294"/>
        <v>0</v>
      </c>
      <c r="J467" s="26">
        <f t="shared" si="294"/>
        <v>312000</v>
      </c>
      <c r="K467" s="26">
        <f t="shared" si="294"/>
        <v>312000</v>
      </c>
      <c r="L467" s="26">
        <f t="shared" si="294"/>
        <v>0</v>
      </c>
      <c r="M467" s="26">
        <f t="shared" si="294"/>
        <v>0</v>
      </c>
      <c r="N467" s="26">
        <f t="shared" si="294"/>
        <v>0</v>
      </c>
      <c r="O467" s="26">
        <f t="shared" si="294"/>
        <v>312000</v>
      </c>
      <c r="P467" s="26">
        <f t="shared" si="294"/>
        <v>3014100</v>
      </c>
      <c r="Q467" s="70"/>
    </row>
    <row r="468" spans="1:17" s="32" customFormat="1" ht="46.15" x14ac:dyDescent="0.45">
      <c r="A468" s="28" t="s">
        <v>649</v>
      </c>
      <c r="B468" s="28" t="s">
        <v>114</v>
      </c>
      <c r="C468" s="29" t="s">
        <v>44</v>
      </c>
      <c r="D468" s="30" t="s">
        <v>715</v>
      </c>
      <c r="E468" s="31">
        <f t="shared" ref="E468:E469" si="295">F468+I468</f>
        <v>10756170</v>
      </c>
      <c r="F468" s="31">
        <f>7421100+5000+620000+7970+1849200-274000+1126900</f>
        <v>10756170</v>
      </c>
      <c r="G468" s="31">
        <f>5470600+4100+508300+1259900+923671</f>
        <v>8166571</v>
      </c>
      <c r="H468" s="31">
        <v>92800</v>
      </c>
      <c r="I468" s="31"/>
      <c r="J468" s="31">
        <f t="shared" ref="J468:J469" si="296">L468+O468</f>
        <v>654030</v>
      </c>
      <c r="K468" s="31">
        <f>350000-7970+38000+274000</f>
        <v>654030</v>
      </c>
      <c r="L468" s="31"/>
      <c r="M468" s="31"/>
      <c r="N468" s="31"/>
      <c r="O468" s="31">
        <f>350000-7970+38000+274000</f>
        <v>654030</v>
      </c>
      <c r="P468" s="31">
        <f t="shared" si="292"/>
        <v>11410200</v>
      </c>
      <c r="Q468" s="70"/>
    </row>
    <row r="469" spans="1:17" s="37" customFormat="1" ht="108" customHeight="1" x14ac:dyDescent="0.45">
      <c r="A469" s="33"/>
      <c r="B469" s="33"/>
      <c r="C469" s="34"/>
      <c r="D469" s="55" t="s">
        <v>624</v>
      </c>
      <c r="E469" s="36">
        <f t="shared" si="295"/>
        <v>2702100</v>
      </c>
      <c r="F469" s="36">
        <f>1849200-274000+1126900</f>
        <v>2702100</v>
      </c>
      <c r="G469" s="36">
        <f>1259900+923671</f>
        <v>2183571</v>
      </c>
      <c r="H469" s="36"/>
      <c r="I469" s="36"/>
      <c r="J469" s="36">
        <f t="shared" si="296"/>
        <v>312000</v>
      </c>
      <c r="K469" s="36">
        <f>38000+274000</f>
        <v>312000</v>
      </c>
      <c r="L469" s="36"/>
      <c r="M469" s="36"/>
      <c r="N469" s="36"/>
      <c r="O469" s="36">
        <f>38000+274000</f>
        <v>312000</v>
      </c>
      <c r="P469" s="36">
        <f t="shared" si="292"/>
        <v>3014100</v>
      </c>
      <c r="Q469" s="71"/>
    </row>
    <row r="470" spans="1:17" s="22" customFormat="1" ht="22.5" customHeight="1" x14ac:dyDescent="0.4">
      <c r="A470" s="43"/>
      <c r="B470" s="44"/>
      <c r="C470" s="156"/>
      <c r="D470" s="45" t="s">
        <v>389</v>
      </c>
      <c r="E470" s="21">
        <f t="shared" ref="E470:P470" si="297">E16+E75+E173+E217+E265+E274+E288+E365+E372+E407+E415+E422+E451+E368+E440+E430+E418+E465</f>
        <v>3092827947.29</v>
      </c>
      <c r="F470" s="21">
        <f t="shared" si="297"/>
        <v>2907583089.5599999</v>
      </c>
      <c r="G470" s="21">
        <f t="shared" si="297"/>
        <v>1420862477</v>
      </c>
      <c r="H470" s="21">
        <f t="shared" si="297"/>
        <v>199193828</v>
      </c>
      <c r="I470" s="21">
        <f t="shared" si="297"/>
        <v>184990106.17000002</v>
      </c>
      <c r="J470" s="21">
        <f t="shared" si="297"/>
        <v>1185383484.51</v>
      </c>
      <c r="K470" s="21">
        <f t="shared" si="297"/>
        <v>980901418.00999999</v>
      </c>
      <c r="L470" s="21">
        <f t="shared" si="297"/>
        <v>118145300</v>
      </c>
      <c r="M470" s="21">
        <f t="shared" si="297"/>
        <v>10161379</v>
      </c>
      <c r="N470" s="21">
        <f t="shared" si="297"/>
        <v>5905712</v>
      </c>
      <c r="O470" s="21">
        <f t="shared" si="297"/>
        <v>1067238184.51</v>
      </c>
      <c r="P470" s="21">
        <f t="shared" si="297"/>
        <v>4278211431.7999997</v>
      </c>
      <c r="Q470" s="167"/>
    </row>
    <row r="471" spans="1:17" s="27" customFormat="1" ht="26.45" customHeight="1" x14ac:dyDescent="0.4">
      <c r="A471" s="23"/>
      <c r="B471" s="46"/>
      <c r="C471" s="24"/>
      <c r="D471" s="25" t="s">
        <v>748</v>
      </c>
      <c r="E471" s="26">
        <f>E77+E78+E374+E297+E220+E79+E221+E375+E183+E80+E82+E19+E184+E299+E376+E453+E467+E276+E81+E20+E432</f>
        <v>670943039.88999999</v>
      </c>
      <c r="F471" s="26">
        <f t="shared" ref="F471:P471" si="298">F77+F78+F374+F297+F220+F79+F221+F375+F183+F80+F82+F19+F184+F299+F376+F453+F467+F276+F81+F20+F432</f>
        <v>658839012.88999999</v>
      </c>
      <c r="G471" s="26">
        <f t="shared" si="298"/>
        <v>455205701</v>
      </c>
      <c r="H471" s="26">
        <f t="shared" si="298"/>
        <v>0</v>
      </c>
      <c r="I471" s="26">
        <f t="shared" si="298"/>
        <v>12104027</v>
      </c>
      <c r="J471" s="26">
        <f t="shared" si="298"/>
        <v>244007913</v>
      </c>
      <c r="K471" s="26">
        <f t="shared" si="298"/>
        <v>244007913</v>
      </c>
      <c r="L471" s="26">
        <f t="shared" si="298"/>
        <v>0</v>
      </c>
      <c r="M471" s="26">
        <f t="shared" si="298"/>
        <v>0</v>
      </c>
      <c r="N471" s="26">
        <f t="shared" si="298"/>
        <v>0</v>
      </c>
      <c r="O471" s="26">
        <f t="shared" si="298"/>
        <v>244007913</v>
      </c>
      <c r="P471" s="26">
        <f t="shared" si="298"/>
        <v>914950952.88999999</v>
      </c>
      <c r="Q471" s="167"/>
    </row>
    <row r="472" spans="1:17" s="27" customFormat="1" ht="90" x14ac:dyDescent="0.4">
      <c r="A472" s="23"/>
      <c r="B472" s="46"/>
      <c r="C472" s="24"/>
      <c r="D472" s="66" t="s">
        <v>624</v>
      </c>
      <c r="E472" s="26">
        <f>E19+E82+E184+E221+E276+E299+E376+E453+E467-E113+E432</f>
        <v>95667315</v>
      </c>
      <c r="F472" s="26">
        <f t="shared" ref="F472:P472" si="299">F19+F82+F184+F221+F276+F299+F376+F453+F467-F113+F432</f>
        <v>83563288</v>
      </c>
      <c r="G472" s="26">
        <f t="shared" si="299"/>
        <v>2531101</v>
      </c>
      <c r="H472" s="26">
        <f t="shared" si="299"/>
        <v>0</v>
      </c>
      <c r="I472" s="26">
        <f t="shared" si="299"/>
        <v>12104027</v>
      </c>
      <c r="J472" s="26">
        <f t="shared" si="299"/>
        <v>13206985</v>
      </c>
      <c r="K472" s="26">
        <f t="shared" si="299"/>
        <v>13206985</v>
      </c>
      <c r="L472" s="26">
        <f t="shared" si="299"/>
        <v>0</v>
      </c>
      <c r="M472" s="26">
        <f t="shared" si="299"/>
        <v>0</v>
      </c>
      <c r="N472" s="26">
        <f t="shared" si="299"/>
        <v>0</v>
      </c>
      <c r="O472" s="26">
        <f t="shared" si="299"/>
        <v>13206985</v>
      </c>
      <c r="P472" s="26">
        <f t="shared" si="299"/>
        <v>108874300</v>
      </c>
      <c r="Q472" s="167"/>
    </row>
    <row r="473" spans="1:17" s="27" customFormat="1" ht="44.65" customHeight="1" x14ac:dyDescent="0.4">
      <c r="A473" s="23"/>
      <c r="B473" s="46"/>
      <c r="C473" s="24"/>
      <c r="D473" s="25" t="s">
        <v>661</v>
      </c>
      <c r="E473" s="26">
        <f t="shared" ref="E473:P473" si="300">E83+E90+E298+E84+E85+E86+E222+E223+E87</f>
        <v>6838567.2400000002</v>
      </c>
      <c r="F473" s="26">
        <f t="shared" si="300"/>
        <v>6838567.2400000002</v>
      </c>
      <c r="G473" s="26">
        <f t="shared" si="300"/>
        <v>3390984</v>
      </c>
      <c r="H473" s="26">
        <f t="shared" si="300"/>
        <v>0</v>
      </c>
      <c r="I473" s="26">
        <f t="shared" si="300"/>
        <v>0</v>
      </c>
      <c r="J473" s="26">
        <f t="shared" si="300"/>
        <v>117674584.02</v>
      </c>
      <c r="K473" s="26">
        <f t="shared" si="300"/>
        <v>35255706.359999999</v>
      </c>
      <c r="L473" s="26">
        <f t="shared" si="300"/>
        <v>3562863</v>
      </c>
      <c r="M473" s="26">
        <f t="shared" si="300"/>
        <v>0</v>
      </c>
      <c r="N473" s="26">
        <f t="shared" si="300"/>
        <v>0</v>
      </c>
      <c r="O473" s="26">
        <f t="shared" si="300"/>
        <v>114111721.02</v>
      </c>
      <c r="P473" s="26">
        <f t="shared" si="300"/>
        <v>124513151.25999999</v>
      </c>
      <c r="Q473" s="167"/>
    </row>
    <row r="474" spans="1:17" s="27" customFormat="1" ht="27.75" customHeight="1" x14ac:dyDescent="0.4">
      <c r="A474" s="23"/>
      <c r="B474" s="46"/>
      <c r="C474" s="24"/>
      <c r="D474" s="25" t="s">
        <v>662</v>
      </c>
      <c r="E474" s="26">
        <f t="shared" ref="E474:P474" si="301">E219+E18+E89+E300</f>
        <v>3513462.81</v>
      </c>
      <c r="F474" s="26">
        <f t="shared" si="301"/>
        <v>3513462.81</v>
      </c>
      <c r="G474" s="26">
        <f t="shared" si="301"/>
        <v>336800</v>
      </c>
      <c r="H474" s="26">
        <f t="shared" si="301"/>
        <v>0</v>
      </c>
      <c r="I474" s="26">
        <f t="shared" si="301"/>
        <v>0</v>
      </c>
      <c r="J474" s="26">
        <f t="shared" si="301"/>
        <v>7692296</v>
      </c>
      <c r="K474" s="26">
        <f t="shared" si="301"/>
        <v>1128100</v>
      </c>
      <c r="L474" s="26">
        <f t="shared" si="301"/>
        <v>6564196</v>
      </c>
      <c r="M474" s="26">
        <f t="shared" si="301"/>
        <v>0</v>
      </c>
      <c r="N474" s="26">
        <f t="shared" si="301"/>
        <v>0</v>
      </c>
      <c r="O474" s="26">
        <f t="shared" si="301"/>
        <v>1128100</v>
      </c>
      <c r="P474" s="26">
        <f t="shared" si="301"/>
        <v>11205758.810000001</v>
      </c>
      <c r="Q474" s="167"/>
    </row>
    <row r="475" spans="1:17" s="27" customFormat="1" ht="20.25" customHeight="1" x14ac:dyDescent="0.4">
      <c r="A475" s="23"/>
      <c r="B475" s="46"/>
      <c r="C475" s="46"/>
      <c r="D475" s="25" t="s">
        <v>400</v>
      </c>
      <c r="E475" s="26">
        <f t="shared" ref="E475:P475" si="302">E182+E377+E295+E378</f>
        <v>0</v>
      </c>
      <c r="F475" s="26">
        <f t="shared" si="302"/>
        <v>0</v>
      </c>
      <c r="G475" s="26">
        <f t="shared" si="302"/>
        <v>0</v>
      </c>
      <c r="H475" s="26">
        <f t="shared" si="302"/>
        <v>0</v>
      </c>
      <c r="I475" s="26">
        <f t="shared" si="302"/>
        <v>0</v>
      </c>
      <c r="J475" s="26">
        <f t="shared" si="302"/>
        <v>104076609</v>
      </c>
      <c r="K475" s="26">
        <f t="shared" si="302"/>
        <v>104076609</v>
      </c>
      <c r="L475" s="26">
        <f t="shared" si="302"/>
        <v>0</v>
      </c>
      <c r="M475" s="26">
        <f t="shared" si="302"/>
        <v>0</v>
      </c>
      <c r="N475" s="26">
        <f t="shared" si="302"/>
        <v>0</v>
      </c>
      <c r="O475" s="26">
        <f t="shared" si="302"/>
        <v>104076609</v>
      </c>
      <c r="P475" s="26">
        <f t="shared" si="302"/>
        <v>104076609</v>
      </c>
      <c r="Q475" s="167"/>
    </row>
    <row r="476" spans="1:17" s="27" customFormat="1" ht="20.25" customHeight="1" x14ac:dyDescent="0.4">
      <c r="A476" s="23"/>
      <c r="B476" s="46"/>
      <c r="C476" s="46"/>
      <c r="D476" s="25" t="s">
        <v>602</v>
      </c>
      <c r="E476" s="26">
        <f t="shared" ref="E476:P476" si="303">E21+E301</f>
        <v>0</v>
      </c>
      <c r="F476" s="26">
        <f t="shared" si="303"/>
        <v>0</v>
      </c>
      <c r="G476" s="26">
        <f t="shared" si="303"/>
        <v>0</v>
      </c>
      <c r="H476" s="26">
        <f t="shared" si="303"/>
        <v>0</v>
      </c>
      <c r="I476" s="26">
        <f t="shared" si="303"/>
        <v>0</v>
      </c>
      <c r="J476" s="26">
        <f t="shared" si="303"/>
        <v>5904588</v>
      </c>
      <c r="K476" s="26">
        <f t="shared" si="303"/>
        <v>0</v>
      </c>
      <c r="L476" s="26">
        <f t="shared" si="303"/>
        <v>447641</v>
      </c>
      <c r="M476" s="26">
        <f t="shared" si="303"/>
        <v>0</v>
      </c>
      <c r="N476" s="26">
        <f t="shared" si="303"/>
        <v>0</v>
      </c>
      <c r="O476" s="26">
        <f t="shared" si="303"/>
        <v>5456947</v>
      </c>
      <c r="P476" s="26">
        <f t="shared" si="303"/>
        <v>5904588</v>
      </c>
      <c r="Q476" s="167"/>
    </row>
    <row r="477" spans="1:17" s="27" customFormat="1" ht="20.25" customHeight="1" x14ac:dyDescent="0.4">
      <c r="A477" s="72"/>
      <c r="B477" s="73"/>
      <c r="C477" s="73"/>
      <c r="D477" s="74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167"/>
    </row>
    <row r="478" spans="1:17" s="27" customFormat="1" ht="63.75" customHeight="1" x14ac:dyDescent="0.4">
      <c r="A478" s="72"/>
      <c r="B478" s="73"/>
      <c r="C478" s="73"/>
      <c r="D478" s="74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167"/>
    </row>
    <row r="479" spans="1:17" ht="49.5" customHeight="1" x14ac:dyDescent="0.85">
      <c r="A479" s="161" t="s">
        <v>741</v>
      </c>
      <c r="B479" s="161"/>
      <c r="C479" s="161"/>
      <c r="D479" s="161"/>
      <c r="E479" s="161"/>
      <c r="F479" s="76"/>
      <c r="G479" s="77"/>
      <c r="H479" s="77"/>
      <c r="I479" s="77"/>
      <c r="J479" s="77"/>
      <c r="K479" s="77"/>
      <c r="L479" s="172"/>
      <c r="M479" s="172"/>
      <c r="N479" s="172"/>
      <c r="O479" s="171" t="s">
        <v>742</v>
      </c>
      <c r="P479" s="171"/>
      <c r="Q479" s="167"/>
    </row>
    <row r="480" spans="1:17" ht="16.5" customHeight="1" x14ac:dyDescent="0.85">
      <c r="A480" s="161"/>
      <c r="B480" s="161"/>
      <c r="C480" s="161"/>
      <c r="D480" s="161"/>
      <c r="E480" s="161"/>
      <c r="F480" s="77"/>
      <c r="G480" s="77"/>
      <c r="H480" s="77"/>
      <c r="I480" s="77"/>
      <c r="J480" s="77"/>
      <c r="K480" s="77"/>
      <c r="L480" s="77"/>
      <c r="M480" s="77"/>
      <c r="P480" s="5"/>
      <c r="Q480" s="167"/>
    </row>
    <row r="481" spans="1:17" s="82" customFormat="1" ht="23.65" customHeight="1" x14ac:dyDescent="0.7">
      <c r="A481" s="78"/>
      <c r="B481" s="79"/>
      <c r="C481" s="79"/>
      <c r="D481" s="45" t="s">
        <v>389</v>
      </c>
      <c r="E481" s="80">
        <f>E470-'дод 9'!D329</f>
        <v>0</v>
      </c>
      <c r="F481" s="80">
        <f>F470-'дод 9'!E329</f>
        <v>0</v>
      </c>
      <c r="G481" s="80">
        <f>G470-'дод 9'!F329</f>
        <v>0</v>
      </c>
      <c r="H481" s="80">
        <f>H470-'дод 9'!G329</f>
        <v>0</v>
      </c>
      <c r="I481" s="80">
        <f>I470-'дод 9'!H329</f>
        <v>0</v>
      </c>
      <c r="J481" s="80">
        <f>J470-'дод 9'!I329</f>
        <v>0</v>
      </c>
      <c r="K481" s="80">
        <f>K470-'дод 9'!J329</f>
        <v>0</v>
      </c>
      <c r="L481" s="80">
        <f>L470-'дод 9'!K329</f>
        <v>0</v>
      </c>
      <c r="M481" s="80">
        <f>M470-'дод 9'!L329</f>
        <v>0</v>
      </c>
      <c r="N481" s="80">
        <f>N470-'дод 9'!M329</f>
        <v>0</v>
      </c>
      <c r="O481" s="80">
        <f>O470-'дод 9'!N329</f>
        <v>0</v>
      </c>
      <c r="P481" s="80">
        <f>P470-'дод 9'!O329</f>
        <v>0</v>
      </c>
      <c r="Q481" s="81"/>
    </row>
    <row r="482" spans="1:17" ht="15" x14ac:dyDescent="0.4">
      <c r="D482" s="25" t="s">
        <v>660</v>
      </c>
      <c r="E482" s="83">
        <f>E471-'дод 9'!D330</f>
        <v>0</v>
      </c>
      <c r="F482" s="83">
        <f>F471-'дод 9'!E330</f>
        <v>0</v>
      </c>
      <c r="G482" s="83">
        <f>G471-'дод 9'!F330</f>
        <v>0</v>
      </c>
      <c r="H482" s="83">
        <f>H471-'дод 9'!G330</f>
        <v>0</v>
      </c>
      <c r="I482" s="83">
        <f>I471-'дод 9'!H330</f>
        <v>0</v>
      </c>
      <c r="J482" s="83">
        <f>J471-'дод 9'!I330</f>
        <v>0</v>
      </c>
      <c r="K482" s="83">
        <f>K471-'дод 9'!J330</f>
        <v>0</v>
      </c>
      <c r="L482" s="83">
        <f>L471-'дод 9'!K330</f>
        <v>0</v>
      </c>
      <c r="M482" s="83">
        <f>M471-'дод 9'!L330</f>
        <v>0</v>
      </c>
      <c r="N482" s="83">
        <f>N471-'дод 9'!M330</f>
        <v>0</v>
      </c>
      <c r="O482" s="83">
        <f>O471-'дод 9'!N330</f>
        <v>0</v>
      </c>
      <c r="P482" s="83">
        <f>P471-'дод 9'!O330</f>
        <v>0</v>
      </c>
    </row>
    <row r="483" spans="1:17" ht="15" x14ac:dyDescent="0.4">
      <c r="D483" s="25" t="s">
        <v>747</v>
      </c>
      <c r="E483" s="83">
        <f>E472-'дод 9'!D331</f>
        <v>0</v>
      </c>
      <c r="F483" s="83">
        <f>F472-'дод 9'!E331</f>
        <v>0</v>
      </c>
      <c r="G483" s="83">
        <f>G472-'дод 9'!F331</f>
        <v>0</v>
      </c>
      <c r="H483" s="83">
        <f>H472-'дод 9'!G331</f>
        <v>0</v>
      </c>
      <c r="I483" s="83">
        <f>I472-'дод 9'!H331</f>
        <v>0</v>
      </c>
      <c r="J483" s="83">
        <f>J472-'дод 9'!I331</f>
        <v>0</v>
      </c>
      <c r="K483" s="83">
        <f>K472-'дод 9'!J331</f>
        <v>0</v>
      </c>
      <c r="L483" s="83">
        <f>L472-'дод 9'!K331</f>
        <v>0</v>
      </c>
      <c r="M483" s="83">
        <f>M472-'дод 9'!L331</f>
        <v>0</v>
      </c>
      <c r="N483" s="83">
        <f>N472-'дод 9'!M331</f>
        <v>0</v>
      </c>
      <c r="O483" s="83">
        <f>O472-'дод 9'!N331</f>
        <v>0</v>
      </c>
      <c r="P483" s="83">
        <f>P472-'дод 9'!O331</f>
        <v>0</v>
      </c>
    </row>
    <row r="484" spans="1:17" ht="45" x14ac:dyDescent="0.4">
      <c r="D484" s="25" t="s">
        <v>661</v>
      </c>
      <c r="E484" s="83">
        <f>E473-'дод 9'!D332</f>
        <v>0</v>
      </c>
      <c r="F484" s="83">
        <f>F473-'дод 9'!E332</f>
        <v>0</v>
      </c>
      <c r="G484" s="83">
        <f>G473-'дод 9'!F332</f>
        <v>0</v>
      </c>
      <c r="H484" s="83">
        <f>H473-'дод 9'!G332</f>
        <v>0</v>
      </c>
      <c r="I484" s="83">
        <f>I473-'дод 9'!H332</f>
        <v>0</v>
      </c>
      <c r="J484" s="83">
        <f>J473-'дод 9'!I332</f>
        <v>0</v>
      </c>
      <c r="K484" s="83">
        <f>K473-'дод 9'!J332</f>
        <v>0</v>
      </c>
      <c r="L484" s="83">
        <f>L473-'дод 9'!K332</f>
        <v>0</v>
      </c>
      <c r="M484" s="83">
        <f>M473-'дод 9'!L332</f>
        <v>0</v>
      </c>
      <c r="N484" s="83">
        <f>N473-'дод 9'!M332</f>
        <v>0</v>
      </c>
      <c r="O484" s="83">
        <f>O473-'дод 9'!N332</f>
        <v>0</v>
      </c>
      <c r="P484" s="83">
        <f>P473-'дод 9'!O332</f>
        <v>0</v>
      </c>
    </row>
    <row r="485" spans="1:17" ht="15" x14ac:dyDescent="0.4">
      <c r="D485" s="25" t="s">
        <v>662</v>
      </c>
      <c r="E485" s="83">
        <f>E474-'дод 9'!D333</f>
        <v>0</v>
      </c>
      <c r="F485" s="83">
        <f>F474-'дод 9'!E333</f>
        <v>0</v>
      </c>
      <c r="G485" s="83">
        <f>G474-'дод 9'!F333</f>
        <v>0</v>
      </c>
      <c r="H485" s="83">
        <f>H474-'дод 9'!G333</f>
        <v>0</v>
      </c>
      <c r="I485" s="83">
        <f>I474-'дод 9'!H333</f>
        <v>0</v>
      </c>
      <c r="J485" s="83">
        <f>J474-'дод 9'!I333</f>
        <v>0</v>
      </c>
      <c r="K485" s="83">
        <f>K474-'дод 9'!J333</f>
        <v>0</v>
      </c>
      <c r="L485" s="83">
        <f>L474-'дод 9'!K333</f>
        <v>0</v>
      </c>
      <c r="M485" s="83">
        <f>M474-'дод 9'!L333</f>
        <v>0</v>
      </c>
      <c r="N485" s="83">
        <f>N474-'дод 9'!M333</f>
        <v>0</v>
      </c>
      <c r="O485" s="83">
        <f>O474-'дод 9'!N333</f>
        <v>0</v>
      </c>
      <c r="P485" s="83">
        <f>P474-'дод 9'!O333</f>
        <v>0</v>
      </c>
    </row>
    <row r="486" spans="1:17" ht="15" x14ac:dyDescent="0.4">
      <c r="D486" s="25" t="s">
        <v>400</v>
      </c>
      <c r="E486" s="83">
        <f>E475-'дод 9'!D334</f>
        <v>0</v>
      </c>
      <c r="F486" s="83">
        <f>F475-'дод 9'!E334</f>
        <v>0</v>
      </c>
      <c r="G486" s="83">
        <f>G475-'дод 9'!F334</f>
        <v>0</v>
      </c>
      <c r="H486" s="83">
        <f>H475-'дод 9'!G334</f>
        <v>0</v>
      </c>
      <c r="I486" s="83">
        <f>I475-'дод 9'!H334</f>
        <v>0</v>
      </c>
      <c r="J486" s="83">
        <f>J475-'дод 9'!I334</f>
        <v>0</v>
      </c>
      <c r="K486" s="83">
        <f>K475-'дод 9'!J334</f>
        <v>0</v>
      </c>
      <c r="L486" s="83">
        <f>L475-'дод 9'!K334</f>
        <v>0</v>
      </c>
      <c r="M486" s="83">
        <f>M475-'дод 9'!L334</f>
        <v>0</v>
      </c>
      <c r="N486" s="83">
        <f>N475-'дод 9'!M334</f>
        <v>0</v>
      </c>
      <c r="O486" s="83">
        <f>O475-'дод 9'!N334</f>
        <v>0</v>
      </c>
      <c r="P486" s="83">
        <f>P475-'дод 9'!O334</f>
        <v>0</v>
      </c>
    </row>
    <row r="487" spans="1:17" ht="15" x14ac:dyDescent="0.4">
      <c r="D487" s="25" t="s">
        <v>602</v>
      </c>
      <c r="E487" s="83">
        <f>E476-'дод 9'!D335</f>
        <v>0</v>
      </c>
      <c r="F487" s="83">
        <f>F476-'дод 9'!E335</f>
        <v>0</v>
      </c>
      <c r="G487" s="83">
        <f>G476-'дод 9'!F335</f>
        <v>0</v>
      </c>
      <c r="H487" s="83">
        <f>H476-'дод 9'!G335</f>
        <v>0</v>
      </c>
      <c r="I487" s="83">
        <f>I476-'дод 9'!H335</f>
        <v>0</v>
      </c>
      <c r="J487" s="83">
        <f>J476-'дод 9'!I335</f>
        <v>0</v>
      </c>
      <c r="K487" s="83">
        <f>K476-'дод 9'!J335</f>
        <v>0</v>
      </c>
      <c r="L487" s="83">
        <f>L476-'дод 9'!K335</f>
        <v>0</v>
      </c>
      <c r="M487" s="83">
        <f>M476-'дод 9'!L335</f>
        <v>0</v>
      </c>
      <c r="N487" s="83">
        <f>N476-'дод 9'!M335</f>
        <v>0</v>
      </c>
      <c r="O487" s="83">
        <f>O476-'дод 9'!N335</f>
        <v>0</v>
      </c>
      <c r="P487" s="83">
        <f>P476-'дод 9'!O335</f>
        <v>0</v>
      </c>
    </row>
    <row r="488" spans="1:17" x14ac:dyDescent="0.4">
      <c r="P488" s="5"/>
    </row>
    <row r="489" spans="1:17" x14ac:dyDescent="0.4">
      <c r="P489" s="84"/>
    </row>
    <row r="490" spans="1:17" x14ac:dyDescent="0.4">
      <c r="P490" s="5"/>
    </row>
    <row r="491" spans="1:17" x14ac:dyDescent="0.4">
      <c r="P491" s="5"/>
    </row>
    <row r="492" spans="1:17" x14ac:dyDescent="0.4">
      <c r="P492" s="5"/>
    </row>
    <row r="493" spans="1:17" x14ac:dyDescent="0.4">
      <c r="P493" s="5"/>
    </row>
    <row r="494" spans="1:17" x14ac:dyDescent="0.4">
      <c r="P494" s="5"/>
    </row>
    <row r="495" spans="1:17" x14ac:dyDescent="0.4">
      <c r="P495" s="5"/>
    </row>
    <row r="496" spans="1:17" x14ac:dyDescent="0.4">
      <c r="P496" s="5"/>
    </row>
    <row r="497" spans="16:16" x14ac:dyDescent="0.4">
      <c r="P497" s="5"/>
    </row>
    <row r="498" spans="16:16" x14ac:dyDescent="0.4">
      <c r="P498" s="5"/>
    </row>
    <row r="499" spans="16:16" x14ac:dyDescent="0.4">
      <c r="P499" s="5"/>
    </row>
    <row r="500" spans="16:16" x14ac:dyDescent="0.4">
      <c r="P500" s="5"/>
    </row>
    <row r="501" spans="16:16" x14ac:dyDescent="0.4">
      <c r="P501" s="5"/>
    </row>
    <row r="502" spans="16:16" x14ac:dyDescent="0.4">
      <c r="P502" s="5"/>
    </row>
    <row r="503" spans="16:16" x14ac:dyDescent="0.4">
      <c r="P503" s="5"/>
    </row>
    <row r="504" spans="16:16" x14ac:dyDescent="0.4">
      <c r="P504" s="5"/>
    </row>
    <row r="505" spans="16:16" x14ac:dyDescent="0.4">
      <c r="P505" s="5"/>
    </row>
    <row r="506" spans="16:16" x14ac:dyDescent="0.4">
      <c r="P506" s="5"/>
    </row>
    <row r="507" spans="16:16" x14ac:dyDescent="0.4">
      <c r="P507" s="5"/>
    </row>
    <row r="508" spans="16:16" x14ac:dyDescent="0.4">
      <c r="P508" s="5"/>
    </row>
    <row r="509" spans="16:16" x14ac:dyDescent="0.4">
      <c r="P509" s="5"/>
    </row>
    <row r="510" spans="16:16" x14ac:dyDescent="0.4">
      <c r="P510" s="5"/>
    </row>
    <row r="511" spans="16:16" x14ac:dyDescent="0.4">
      <c r="P511" s="5"/>
    </row>
    <row r="512" spans="16:16" x14ac:dyDescent="0.4">
      <c r="P512" s="5"/>
    </row>
    <row r="513" spans="16:16" x14ac:dyDescent="0.4">
      <c r="P513" s="5"/>
    </row>
    <row r="514" spans="16:16" x14ac:dyDescent="0.4">
      <c r="P514" s="5"/>
    </row>
    <row r="515" spans="16:16" x14ac:dyDescent="0.4">
      <c r="P515" s="5"/>
    </row>
    <row r="516" spans="16:16" x14ac:dyDescent="0.4">
      <c r="P516" s="5"/>
    </row>
    <row r="517" spans="16:16" x14ac:dyDescent="0.4">
      <c r="P517" s="5"/>
    </row>
    <row r="518" spans="16:16" x14ac:dyDescent="0.4">
      <c r="P518" s="5"/>
    </row>
    <row r="519" spans="16:16" x14ac:dyDescent="0.4">
      <c r="P519" s="5"/>
    </row>
    <row r="520" spans="16:16" x14ac:dyDescent="0.4">
      <c r="P520" s="5"/>
    </row>
    <row r="521" spans="16:16" x14ac:dyDescent="0.4">
      <c r="P521" s="5"/>
    </row>
    <row r="522" spans="16:16" x14ac:dyDescent="0.4">
      <c r="P522" s="5"/>
    </row>
    <row r="523" spans="16:16" x14ac:dyDescent="0.4">
      <c r="P523" s="5"/>
    </row>
    <row r="524" spans="16:16" x14ac:dyDescent="0.4">
      <c r="P524" s="5"/>
    </row>
    <row r="525" spans="16:16" x14ac:dyDescent="0.4">
      <c r="P525" s="5"/>
    </row>
    <row r="526" spans="16:16" x14ac:dyDescent="0.4">
      <c r="P526" s="5"/>
    </row>
    <row r="527" spans="16:16" x14ac:dyDescent="0.4">
      <c r="P527" s="5"/>
    </row>
    <row r="528" spans="16:16" x14ac:dyDescent="0.4">
      <c r="P528" s="5"/>
    </row>
    <row r="529" spans="16:16" x14ac:dyDescent="0.4">
      <c r="P529" s="5"/>
    </row>
    <row r="530" spans="16:16" x14ac:dyDescent="0.4">
      <c r="P530" s="5"/>
    </row>
    <row r="531" spans="16:16" x14ac:dyDescent="0.4">
      <c r="P531" s="5"/>
    </row>
    <row r="532" spans="16:16" x14ac:dyDescent="0.4">
      <c r="P532" s="5"/>
    </row>
    <row r="533" spans="16:16" x14ac:dyDescent="0.4">
      <c r="P533" s="5"/>
    </row>
    <row r="534" spans="16:16" x14ac:dyDescent="0.4">
      <c r="P534" s="5"/>
    </row>
    <row r="535" spans="16:16" x14ac:dyDescent="0.4">
      <c r="P535" s="5"/>
    </row>
    <row r="536" spans="16:16" x14ac:dyDescent="0.4">
      <c r="P536" s="5"/>
    </row>
    <row r="537" spans="16:16" x14ac:dyDescent="0.4">
      <c r="P537" s="5"/>
    </row>
    <row r="538" spans="16:16" x14ac:dyDescent="0.4">
      <c r="P538" s="5"/>
    </row>
    <row r="539" spans="16:16" x14ac:dyDescent="0.4">
      <c r="P539" s="5"/>
    </row>
    <row r="540" spans="16:16" x14ac:dyDescent="0.4">
      <c r="P540" s="5"/>
    </row>
    <row r="541" spans="16:16" x14ac:dyDescent="0.4">
      <c r="P541" s="5"/>
    </row>
    <row r="542" spans="16:16" x14ac:dyDescent="0.4">
      <c r="P542" s="5"/>
    </row>
    <row r="543" spans="16:16" x14ac:dyDescent="0.4">
      <c r="P543" s="5"/>
    </row>
    <row r="544" spans="16:16" x14ac:dyDescent="0.4">
      <c r="P544" s="5"/>
    </row>
    <row r="545" spans="16:16" x14ac:dyDescent="0.4">
      <c r="P545" s="5"/>
    </row>
    <row r="546" spans="16:16" x14ac:dyDescent="0.4">
      <c r="P546" s="5"/>
    </row>
    <row r="547" spans="16:16" x14ac:dyDescent="0.4">
      <c r="P547" s="5"/>
    </row>
    <row r="548" spans="16:16" x14ac:dyDescent="0.4">
      <c r="P548" s="5"/>
    </row>
    <row r="549" spans="16:16" x14ac:dyDescent="0.4">
      <c r="P549" s="5"/>
    </row>
    <row r="550" spans="16:16" x14ac:dyDescent="0.4">
      <c r="P550" s="5"/>
    </row>
    <row r="551" spans="16:16" x14ac:dyDescent="0.4">
      <c r="P551" s="5"/>
    </row>
    <row r="552" spans="16:16" x14ac:dyDescent="0.4">
      <c r="P552" s="5"/>
    </row>
    <row r="553" spans="16:16" x14ac:dyDescent="0.4">
      <c r="P553" s="5"/>
    </row>
    <row r="554" spans="16:16" x14ac:dyDescent="0.4">
      <c r="P554" s="5"/>
    </row>
    <row r="555" spans="16:16" x14ac:dyDescent="0.4">
      <c r="P555" s="5"/>
    </row>
    <row r="556" spans="16:16" x14ac:dyDescent="0.4">
      <c r="P556" s="5"/>
    </row>
    <row r="557" spans="16:16" x14ac:dyDescent="0.4">
      <c r="P557" s="5"/>
    </row>
    <row r="558" spans="16:16" x14ac:dyDescent="0.4">
      <c r="P558" s="5"/>
    </row>
    <row r="559" spans="16:16" x14ac:dyDescent="0.4">
      <c r="P559" s="5"/>
    </row>
    <row r="560" spans="16:16" x14ac:dyDescent="0.4">
      <c r="P560" s="5"/>
    </row>
    <row r="561" spans="16:16" x14ac:dyDescent="0.4">
      <c r="P561" s="5"/>
    </row>
    <row r="562" spans="16:16" x14ac:dyDescent="0.4">
      <c r="P562" s="5"/>
    </row>
    <row r="563" spans="16:16" x14ac:dyDescent="0.4">
      <c r="P563" s="5"/>
    </row>
    <row r="564" spans="16:16" x14ac:dyDescent="0.4">
      <c r="P564" s="5"/>
    </row>
    <row r="565" spans="16:16" x14ac:dyDescent="0.4">
      <c r="P565" s="5"/>
    </row>
    <row r="566" spans="16:16" x14ac:dyDescent="0.4">
      <c r="P566" s="5"/>
    </row>
    <row r="567" spans="16:16" x14ac:dyDescent="0.4">
      <c r="P567" s="5"/>
    </row>
    <row r="568" spans="16:16" x14ac:dyDescent="0.4">
      <c r="P568" s="5"/>
    </row>
    <row r="569" spans="16:16" x14ac:dyDescent="0.4">
      <c r="P569" s="5"/>
    </row>
    <row r="570" spans="16:16" x14ac:dyDescent="0.4">
      <c r="P570" s="5"/>
    </row>
    <row r="571" spans="16:16" x14ac:dyDescent="0.4">
      <c r="P571" s="5"/>
    </row>
    <row r="572" spans="16:16" x14ac:dyDescent="0.4">
      <c r="P572" s="5"/>
    </row>
    <row r="573" spans="16:16" x14ac:dyDescent="0.4">
      <c r="P573" s="5"/>
    </row>
    <row r="574" spans="16:16" x14ac:dyDescent="0.4">
      <c r="P574" s="5"/>
    </row>
    <row r="575" spans="16:16" x14ac:dyDescent="0.4">
      <c r="P575" s="5"/>
    </row>
    <row r="576" spans="16:16" x14ac:dyDescent="0.4">
      <c r="P576" s="5"/>
    </row>
    <row r="577" spans="16:16" x14ac:dyDescent="0.4">
      <c r="P577" s="5"/>
    </row>
    <row r="578" spans="16:16" x14ac:dyDescent="0.4">
      <c r="P578" s="5"/>
    </row>
    <row r="579" spans="16:16" x14ac:dyDescent="0.4">
      <c r="P579" s="5"/>
    </row>
    <row r="580" spans="16:16" x14ac:dyDescent="0.4">
      <c r="P580" s="5"/>
    </row>
    <row r="581" spans="16:16" x14ac:dyDescent="0.4">
      <c r="P581" s="5"/>
    </row>
    <row r="582" spans="16:16" x14ac:dyDescent="0.4">
      <c r="P582" s="5"/>
    </row>
    <row r="583" spans="16:16" x14ac:dyDescent="0.4">
      <c r="P583" s="5"/>
    </row>
    <row r="584" spans="16:16" x14ac:dyDescent="0.4">
      <c r="P584" s="5"/>
    </row>
    <row r="585" spans="16:16" x14ac:dyDescent="0.4">
      <c r="P585" s="5"/>
    </row>
    <row r="586" spans="16:16" x14ac:dyDescent="0.4">
      <c r="P586" s="5"/>
    </row>
    <row r="587" spans="16:16" x14ac:dyDescent="0.4">
      <c r="P587" s="5"/>
    </row>
    <row r="588" spans="16:16" x14ac:dyDescent="0.4">
      <c r="P588" s="5"/>
    </row>
    <row r="589" spans="16:16" x14ac:dyDescent="0.4">
      <c r="P589" s="5"/>
    </row>
    <row r="590" spans="16:16" x14ac:dyDescent="0.4">
      <c r="P590" s="5"/>
    </row>
    <row r="591" spans="16:16" x14ac:dyDescent="0.4">
      <c r="P591" s="5"/>
    </row>
    <row r="592" spans="16:16" x14ac:dyDescent="0.4">
      <c r="P592" s="5"/>
    </row>
    <row r="593" spans="16:16" x14ac:dyDescent="0.4">
      <c r="P593" s="5"/>
    </row>
    <row r="594" spans="16:16" x14ac:dyDescent="0.4">
      <c r="P594" s="5"/>
    </row>
    <row r="595" spans="16:16" x14ac:dyDescent="0.4">
      <c r="P595" s="5"/>
    </row>
    <row r="596" spans="16:16" x14ac:dyDescent="0.4">
      <c r="P596" s="5"/>
    </row>
    <row r="597" spans="16:16" x14ac:dyDescent="0.4">
      <c r="P597" s="5"/>
    </row>
    <row r="598" spans="16:16" x14ac:dyDescent="0.4">
      <c r="P598" s="5"/>
    </row>
    <row r="599" spans="16:16" x14ac:dyDescent="0.4">
      <c r="P599" s="5"/>
    </row>
    <row r="600" spans="16:16" x14ac:dyDescent="0.4">
      <c r="P600" s="5"/>
    </row>
    <row r="601" spans="16:16" x14ac:dyDescent="0.4">
      <c r="P601" s="5"/>
    </row>
    <row r="602" spans="16:16" x14ac:dyDescent="0.4">
      <c r="P602" s="5"/>
    </row>
    <row r="603" spans="16:16" x14ac:dyDescent="0.4">
      <c r="P603" s="5"/>
    </row>
    <row r="604" spans="16:16" x14ac:dyDescent="0.4">
      <c r="P604" s="5"/>
    </row>
    <row r="605" spans="16:16" x14ac:dyDescent="0.4">
      <c r="P605" s="5"/>
    </row>
    <row r="606" spans="16:16" x14ac:dyDescent="0.4">
      <c r="P606" s="5"/>
    </row>
    <row r="607" spans="16:16" x14ac:dyDescent="0.4">
      <c r="P607" s="5"/>
    </row>
    <row r="608" spans="16:16" x14ac:dyDescent="0.4">
      <c r="P608" s="5"/>
    </row>
    <row r="609" spans="16:16" x14ac:dyDescent="0.4">
      <c r="P609" s="5"/>
    </row>
    <row r="610" spans="16:16" x14ac:dyDescent="0.4">
      <c r="P610" s="5"/>
    </row>
    <row r="611" spans="16:16" x14ac:dyDescent="0.4">
      <c r="P611" s="5"/>
    </row>
    <row r="612" spans="16:16" x14ac:dyDescent="0.4">
      <c r="P612" s="5"/>
    </row>
    <row r="613" spans="16:16" x14ac:dyDescent="0.4">
      <c r="P613" s="5"/>
    </row>
    <row r="614" spans="16:16" x14ac:dyDescent="0.4">
      <c r="P614" s="5"/>
    </row>
    <row r="615" spans="16:16" x14ac:dyDescent="0.4">
      <c r="P615" s="5"/>
    </row>
    <row r="616" spans="16:16" x14ac:dyDescent="0.4">
      <c r="P616" s="5"/>
    </row>
    <row r="617" spans="16:16" x14ac:dyDescent="0.4">
      <c r="P617" s="5"/>
    </row>
    <row r="618" spans="16:16" x14ac:dyDescent="0.4">
      <c r="P618" s="5"/>
    </row>
    <row r="619" spans="16:16" x14ac:dyDescent="0.4">
      <c r="P619" s="5"/>
    </row>
    <row r="620" spans="16:16" x14ac:dyDescent="0.4">
      <c r="P620" s="5"/>
    </row>
    <row r="621" spans="16:16" x14ac:dyDescent="0.4">
      <c r="P621" s="5"/>
    </row>
    <row r="622" spans="16:16" x14ac:dyDescent="0.4">
      <c r="P622" s="5"/>
    </row>
    <row r="623" spans="16:16" x14ac:dyDescent="0.4">
      <c r="P623" s="5"/>
    </row>
    <row r="624" spans="16:16" x14ac:dyDescent="0.4">
      <c r="P624" s="5"/>
    </row>
    <row r="625" spans="16:16" x14ac:dyDescent="0.4">
      <c r="P625" s="5"/>
    </row>
    <row r="626" spans="16:16" x14ac:dyDescent="0.4">
      <c r="P626" s="5"/>
    </row>
    <row r="627" spans="16:16" x14ac:dyDescent="0.4">
      <c r="P627" s="5"/>
    </row>
    <row r="628" spans="16:16" x14ac:dyDescent="0.4">
      <c r="P628" s="5"/>
    </row>
    <row r="629" spans="16:16" x14ac:dyDescent="0.4">
      <c r="P629" s="5"/>
    </row>
    <row r="630" spans="16:16" x14ac:dyDescent="0.4">
      <c r="P630" s="5"/>
    </row>
    <row r="631" spans="16:16" x14ac:dyDescent="0.4">
      <c r="P631" s="5"/>
    </row>
    <row r="632" spans="16:16" x14ac:dyDescent="0.4">
      <c r="P632" s="5"/>
    </row>
    <row r="633" spans="16:16" x14ac:dyDescent="0.4">
      <c r="P633" s="5"/>
    </row>
    <row r="634" spans="16:16" x14ac:dyDescent="0.4">
      <c r="P634" s="5"/>
    </row>
    <row r="635" spans="16:16" x14ac:dyDescent="0.4">
      <c r="P635" s="5"/>
    </row>
    <row r="636" spans="16:16" x14ac:dyDescent="0.4">
      <c r="P636" s="5"/>
    </row>
    <row r="637" spans="16:16" x14ac:dyDescent="0.4">
      <c r="P637" s="5"/>
    </row>
    <row r="638" spans="16:16" x14ac:dyDescent="0.4">
      <c r="P638" s="5"/>
    </row>
    <row r="639" spans="16:16" x14ac:dyDescent="0.4">
      <c r="P639" s="5"/>
    </row>
    <row r="640" spans="16:16" x14ac:dyDescent="0.4">
      <c r="P640" s="5"/>
    </row>
    <row r="641" spans="16:16" x14ac:dyDescent="0.4">
      <c r="P641" s="5"/>
    </row>
    <row r="642" spans="16:16" x14ac:dyDescent="0.4">
      <c r="P642" s="5"/>
    </row>
    <row r="643" spans="16:16" x14ac:dyDescent="0.4">
      <c r="P643" s="5"/>
    </row>
    <row r="644" spans="16:16" x14ac:dyDescent="0.4">
      <c r="P644" s="5"/>
    </row>
    <row r="645" spans="16:16" x14ac:dyDescent="0.4">
      <c r="P645" s="5"/>
    </row>
    <row r="646" spans="16:16" x14ac:dyDescent="0.4">
      <c r="P646" s="5"/>
    </row>
    <row r="647" spans="16:16" x14ac:dyDescent="0.4">
      <c r="P647" s="5"/>
    </row>
    <row r="648" spans="16:16" x14ac:dyDescent="0.4">
      <c r="P648" s="5"/>
    </row>
    <row r="649" spans="16:16" x14ac:dyDescent="0.4">
      <c r="P649" s="5"/>
    </row>
    <row r="650" spans="16:16" x14ac:dyDescent="0.4">
      <c r="P650" s="5"/>
    </row>
    <row r="651" spans="16:16" x14ac:dyDescent="0.4">
      <c r="P651" s="5"/>
    </row>
    <row r="652" spans="16:16" x14ac:dyDescent="0.4">
      <c r="P652" s="5"/>
    </row>
    <row r="653" spans="16:16" x14ac:dyDescent="0.4">
      <c r="P653" s="5"/>
    </row>
    <row r="654" spans="16:16" x14ac:dyDescent="0.4">
      <c r="P654" s="5"/>
    </row>
    <row r="655" spans="16:16" x14ac:dyDescent="0.4">
      <c r="P655" s="5"/>
    </row>
    <row r="656" spans="16:16" x14ac:dyDescent="0.4">
      <c r="P656" s="5"/>
    </row>
    <row r="657" spans="16:16" x14ac:dyDescent="0.4">
      <c r="P657" s="5"/>
    </row>
    <row r="658" spans="16:16" x14ac:dyDescent="0.4">
      <c r="P658" s="5"/>
    </row>
    <row r="659" spans="16:16" x14ac:dyDescent="0.4">
      <c r="P659" s="5"/>
    </row>
    <row r="660" spans="16:16" x14ac:dyDescent="0.4">
      <c r="P660" s="5"/>
    </row>
    <row r="661" spans="16:16" x14ac:dyDescent="0.4">
      <c r="P661" s="5"/>
    </row>
    <row r="662" spans="16:16" x14ac:dyDescent="0.4">
      <c r="P662" s="5"/>
    </row>
    <row r="663" spans="16:16" x14ac:dyDescent="0.4">
      <c r="P663" s="5"/>
    </row>
    <row r="664" spans="16:16" x14ac:dyDescent="0.4">
      <c r="P664" s="5"/>
    </row>
    <row r="665" spans="16:16" x14ac:dyDescent="0.4">
      <c r="P665" s="5"/>
    </row>
    <row r="666" spans="16:16" x14ac:dyDescent="0.4">
      <c r="P666" s="5"/>
    </row>
    <row r="667" spans="16:16" x14ac:dyDescent="0.4">
      <c r="P667" s="5"/>
    </row>
    <row r="668" spans="16:16" x14ac:dyDescent="0.4">
      <c r="P668" s="5"/>
    </row>
    <row r="669" spans="16:16" x14ac:dyDescent="0.4">
      <c r="P669" s="5"/>
    </row>
    <row r="670" spans="16:16" x14ac:dyDescent="0.4">
      <c r="P670" s="5"/>
    </row>
    <row r="671" spans="16:16" x14ac:dyDescent="0.4">
      <c r="P671" s="5"/>
    </row>
    <row r="672" spans="16:16" x14ac:dyDescent="0.4">
      <c r="P672" s="5"/>
    </row>
    <row r="673" spans="16:16" x14ac:dyDescent="0.4">
      <c r="P673" s="5"/>
    </row>
    <row r="674" spans="16:16" x14ac:dyDescent="0.4">
      <c r="P674" s="5"/>
    </row>
    <row r="675" spans="16:16" x14ac:dyDescent="0.4">
      <c r="P675" s="5"/>
    </row>
    <row r="676" spans="16:16" x14ac:dyDescent="0.4">
      <c r="P676" s="5"/>
    </row>
    <row r="677" spans="16:16" x14ac:dyDescent="0.4">
      <c r="P677" s="5"/>
    </row>
    <row r="678" spans="16:16" x14ac:dyDescent="0.4">
      <c r="P678" s="5"/>
    </row>
    <row r="679" spans="16:16" x14ac:dyDescent="0.4">
      <c r="P679" s="5"/>
    </row>
    <row r="680" spans="16:16" x14ac:dyDescent="0.4">
      <c r="P680" s="5"/>
    </row>
    <row r="681" spans="16:16" x14ac:dyDescent="0.4">
      <c r="P681" s="5"/>
    </row>
    <row r="682" spans="16:16" x14ac:dyDescent="0.4">
      <c r="P682" s="5"/>
    </row>
    <row r="683" spans="16:16" x14ac:dyDescent="0.4">
      <c r="P683" s="5"/>
    </row>
    <row r="684" spans="16:16" x14ac:dyDescent="0.4">
      <c r="P684" s="5"/>
    </row>
    <row r="685" spans="16:16" x14ac:dyDescent="0.4">
      <c r="P685" s="5"/>
    </row>
    <row r="686" spans="16:16" x14ac:dyDescent="0.4">
      <c r="P686" s="5"/>
    </row>
    <row r="687" spans="16:16" x14ac:dyDescent="0.4">
      <c r="P687" s="5"/>
    </row>
    <row r="688" spans="16:16" x14ac:dyDescent="0.4">
      <c r="P688" s="5"/>
    </row>
    <row r="689" spans="16:16" x14ac:dyDescent="0.4">
      <c r="P689" s="5"/>
    </row>
    <row r="690" spans="16:16" x14ac:dyDescent="0.4">
      <c r="P690" s="5"/>
    </row>
    <row r="691" spans="16:16" x14ac:dyDescent="0.4">
      <c r="P691" s="5"/>
    </row>
    <row r="692" spans="16:16" x14ac:dyDescent="0.4">
      <c r="P692" s="5"/>
    </row>
    <row r="693" spans="16:16" x14ac:dyDescent="0.4">
      <c r="P693" s="5"/>
    </row>
    <row r="694" spans="16:16" x14ac:dyDescent="0.4">
      <c r="P694" s="5"/>
    </row>
    <row r="695" spans="16:16" x14ac:dyDescent="0.4">
      <c r="P695" s="5"/>
    </row>
    <row r="696" spans="16:16" x14ac:dyDescent="0.4">
      <c r="P696" s="5"/>
    </row>
    <row r="697" spans="16:16" x14ac:dyDescent="0.4">
      <c r="P697" s="5"/>
    </row>
    <row r="698" spans="16:16" x14ac:dyDescent="0.4">
      <c r="P698" s="5"/>
    </row>
    <row r="699" spans="16:16" x14ac:dyDescent="0.4">
      <c r="P699" s="5"/>
    </row>
    <row r="700" spans="16:16" x14ac:dyDescent="0.4">
      <c r="P700" s="5"/>
    </row>
    <row r="701" spans="16:16" x14ac:dyDescent="0.4">
      <c r="P701" s="5"/>
    </row>
    <row r="702" spans="16:16" x14ac:dyDescent="0.4">
      <c r="P702" s="5"/>
    </row>
    <row r="703" spans="16:16" x14ac:dyDescent="0.4">
      <c r="P703" s="5"/>
    </row>
    <row r="704" spans="16:16" x14ac:dyDescent="0.4">
      <c r="P704" s="5"/>
    </row>
    <row r="705" spans="16:16" x14ac:dyDescent="0.4">
      <c r="P705" s="5"/>
    </row>
    <row r="706" spans="16:16" x14ac:dyDescent="0.4">
      <c r="P706" s="5"/>
    </row>
    <row r="707" spans="16:16" x14ac:dyDescent="0.4">
      <c r="P707" s="5"/>
    </row>
    <row r="708" spans="16:16" x14ac:dyDescent="0.4">
      <c r="P708" s="5"/>
    </row>
    <row r="709" spans="16:16" x14ac:dyDescent="0.4">
      <c r="P709" s="5"/>
    </row>
    <row r="710" spans="16:16" x14ac:dyDescent="0.4">
      <c r="P710" s="5"/>
    </row>
    <row r="711" spans="16:16" x14ac:dyDescent="0.4">
      <c r="P711" s="5"/>
    </row>
    <row r="712" spans="16:16" x14ac:dyDescent="0.4">
      <c r="P712" s="5"/>
    </row>
    <row r="713" spans="16:16" x14ac:dyDescent="0.4">
      <c r="P713" s="5"/>
    </row>
    <row r="714" spans="16:16" x14ac:dyDescent="0.4">
      <c r="P714" s="5"/>
    </row>
    <row r="715" spans="16:16" x14ac:dyDescent="0.4">
      <c r="P715" s="5"/>
    </row>
    <row r="716" spans="16:16" x14ac:dyDescent="0.4">
      <c r="P716" s="5"/>
    </row>
    <row r="717" spans="16:16" x14ac:dyDescent="0.4">
      <c r="P717" s="5"/>
    </row>
    <row r="718" spans="16:16" x14ac:dyDescent="0.4">
      <c r="P718" s="5"/>
    </row>
    <row r="719" spans="16:16" x14ac:dyDescent="0.4">
      <c r="P719" s="5"/>
    </row>
    <row r="720" spans="16:16" x14ac:dyDescent="0.4">
      <c r="P720" s="5"/>
    </row>
    <row r="721" spans="16:16" x14ac:dyDescent="0.4">
      <c r="P721" s="5"/>
    </row>
    <row r="722" spans="16:16" x14ac:dyDescent="0.4">
      <c r="P722" s="5"/>
    </row>
    <row r="723" spans="16:16" x14ac:dyDescent="0.4">
      <c r="P723" s="5"/>
    </row>
    <row r="724" spans="16:16" x14ac:dyDescent="0.4">
      <c r="P724" s="5"/>
    </row>
    <row r="725" spans="16:16" x14ac:dyDescent="0.4">
      <c r="P725" s="5"/>
    </row>
    <row r="726" spans="16:16" x14ac:dyDescent="0.4">
      <c r="P726" s="5"/>
    </row>
    <row r="727" spans="16:16" x14ac:dyDescent="0.4">
      <c r="P727" s="5"/>
    </row>
    <row r="728" spans="16:16" x14ac:dyDescent="0.4">
      <c r="P728" s="5"/>
    </row>
    <row r="729" spans="16:16" x14ac:dyDescent="0.4">
      <c r="P729" s="5"/>
    </row>
    <row r="730" spans="16:16" x14ac:dyDescent="0.4">
      <c r="P730" s="5"/>
    </row>
    <row r="731" spans="16:16" x14ac:dyDescent="0.4">
      <c r="P731" s="5"/>
    </row>
    <row r="732" spans="16:16" x14ac:dyDescent="0.4">
      <c r="P732" s="5"/>
    </row>
    <row r="733" spans="16:16" x14ac:dyDescent="0.4">
      <c r="P733" s="5"/>
    </row>
    <row r="734" spans="16:16" x14ac:dyDescent="0.4">
      <c r="P734" s="5"/>
    </row>
    <row r="735" spans="16:16" x14ac:dyDescent="0.4">
      <c r="P735" s="5"/>
    </row>
    <row r="736" spans="16:16" x14ac:dyDescent="0.4">
      <c r="P736" s="5"/>
    </row>
    <row r="737" spans="16:16" x14ac:dyDescent="0.4">
      <c r="P737" s="5"/>
    </row>
    <row r="738" spans="16:16" x14ac:dyDescent="0.4">
      <c r="P738" s="5"/>
    </row>
    <row r="739" spans="16:16" x14ac:dyDescent="0.4">
      <c r="P739" s="5"/>
    </row>
    <row r="740" spans="16:16" x14ac:dyDescent="0.4">
      <c r="P740" s="5"/>
    </row>
    <row r="741" spans="16:16" x14ac:dyDescent="0.4">
      <c r="P741" s="5"/>
    </row>
    <row r="742" spans="16:16" x14ac:dyDescent="0.4">
      <c r="P742" s="5"/>
    </row>
    <row r="743" spans="16:16" x14ac:dyDescent="0.4">
      <c r="P743" s="5"/>
    </row>
    <row r="744" spans="16:16" x14ac:dyDescent="0.4">
      <c r="P744" s="5"/>
    </row>
    <row r="745" spans="16:16" x14ac:dyDescent="0.4">
      <c r="P745" s="5"/>
    </row>
    <row r="746" spans="16:16" x14ac:dyDescent="0.4">
      <c r="P746" s="5"/>
    </row>
    <row r="747" spans="16:16" x14ac:dyDescent="0.4">
      <c r="P747" s="5"/>
    </row>
    <row r="748" spans="16:16" x14ac:dyDescent="0.4">
      <c r="P748" s="5"/>
    </row>
    <row r="749" spans="16:16" x14ac:dyDescent="0.4">
      <c r="P749" s="5"/>
    </row>
    <row r="750" spans="16:16" x14ac:dyDescent="0.4">
      <c r="P750" s="5"/>
    </row>
    <row r="751" spans="16:16" x14ac:dyDescent="0.4">
      <c r="P751" s="5"/>
    </row>
    <row r="752" spans="16:16" x14ac:dyDescent="0.4">
      <c r="P752" s="5"/>
    </row>
    <row r="753" spans="16:16" x14ac:dyDescent="0.4">
      <c r="P753" s="5"/>
    </row>
    <row r="754" spans="16:16" x14ac:dyDescent="0.4">
      <c r="P754" s="5"/>
    </row>
    <row r="755" spans="16:16" x14ac:dyDescent="0.4">
      <c r="P755" s="5"/>
    </row>
    <row r="756" spans="16:16" x14ac:dyDescent="0.4">
      <c r="P756" s="5"/>
    </row>
    <row r="757" spans="16:16" x14ac:dyDescent="0.4">
      <c r="P757" s="5"/>
    </row>
    <row r="758" spans="16:16" x14ac:dyDescent="0.4">
      <c r="P758" s="5"/>
    </row>
    <row r="759" spans="16:16" x14ac:dyDescent="0.4">
      <c r="P759" s="5"/>
    </row>
    <row r="760" spans="16:16" x14ac:dyDescent="0.4">
      <c r="P760" s="5"/>
    </row>
    <row r="761" spans="16:16" x14ac:dyDescent="0.4">
      <c r="P761" s="5"/>
    </row>
    <row r="762" spans="16:16" x14ac:dyDescent="0.4">
      <c r="P762" s="5"/>
    </row>
    <row r="763" spans="16:16" x14ac:dyDescent="0.4">
      <c r="P763" s="5"/>
    </row>
    <row r="764" spans="16:16" x14ac:dyDescent="0.4">
      <c r="P764" s="5"/>
    </row>
    <row r="765" spans="16:16" x14ac:dyDescent="0.4">
      <c r="P765" s="5"/>
    </row>
    <row r="766" spans="16:16" x14ac:dyDescent="0.4">
      <c r="P766" s="5"/>
    </row>
    <row r="767" spans="16:16" x14ac:dyDescent="0.4">
      <c r="P767" s="5"/>
    </row>
    <row r="768" spans="16:16" x14ac:dyDescent="0.4">
      <c r="P768" s="5"/>
    </row>
    <row r="769" spans="16:16" x14ac:dyDescent="0.4">
      <c r="P769" s="5"/>
    </row>
    <row r="770" spans="16:16" x14ac:dyDescent="0.4">
      <c r="P770" s="5"/>
    </row>
    <row r="771" spans="16:16" x14ac:dyDescent="0.4">
      <c r="P771" s="5"/>
    </row>
    <row r="772" spans="16:16" x14ac:dyDescent="0.4">
      <c r="P772" s="5"/>
    </row>
    <row r="773" spans="16:16" x14ac:dyDescent="0.4">
      <c r="P773" s="5"/>
    </row>
    <row r="774" spans="16:16" x14ac:dyDescent="0.4">
      <c r="P774" s="5"/>
    </row>
    <row r="775" spans="16:16" x14ac:dyDescent="0.4">
      <c r="P775" s="5"/>
    </row>
    <row r="776" spans="16:16" x14ac:dyDescent="0.4">
      <c r="P776" s="5"/>
    </row>
    <row r="777" spans="16:16" x14ac:dyDescent="0.4">
      <c r="P777" s="5"/>
    </row>
    <row r="778" spans="16:16" x14ac:dyDescent="0.4">
      <c r="P778" s="5"/>
    </row>
    <row r="779" spans="16:16" x14ac:dyDescent="0.4">
      <c r="P779" s="5"/>
    </row>
    <row r="780" spans="16:16" x14ac:dyDescent="0.4">
      <c r="P780" s="5"/>
    </row>
    <row r="781" spans="16:16" x14ac:dyDescent="0.4">
      <c r="P781" s="5"/>
    </row>
    <row r="782" spans="16:16" x14ac:dyDescent="0.4">
      <c r="P782" s="5"/>
    </row>
    <row r="783" spans="16:16" x14ac:dyDescent="0.4">
      <c r="P783" s="5"/>
    </row>
    <row r="784" spans="16:16" x14ac:dyDescent="0.4">
      <c r="P784" s="5"/>
    </row>
    <row r="785" spans="16:16" x14ac:dyDescent="0.4">
      <c r="P785" s="5"/>
    </row>
    <row r="786" spans="16:16" x14ac:dyDescent="0.4">
      <c r="P786" s="5"/>
    </row>
    <row r="787" spans="16:16" x14ac:dyDescent="0.4">
      <c r="P787" s="5"/>
    </row>
    <row r="788" spans="16:16" x14ac:dyDescent="0.4">
      <c r="P788" s="5"/>
    </row>
    <row r="789" spans="16:16" x14ac:dyDescent="0.4">
      <c r="P789" s="5"/>
    </row>
    <row r="790" spans="16:16" x14ac:dyDescent="0.4">
      <c r="P790" s="5"/>
    </row>
    <row r="791" spans="16:16" x14ac:dyDescent="0.4">
      <c r="P791" s="5"/>
    </row>
    <row r="792" spans="16:16" x14ac:dyDescent="0.4">
      <c r="P792" s="5"/>
    </row>
    <row r="793" spans="16:16" x14ac:dyDescent="0.4">
      <c r="P793" s="5"/>
    </row>
    <row r="794" spans="16:16" x14ac:dyDescent="0.4">
      <c r="P794" s="5"/>
    </row>
    <row r="795" spans="16:16" x14ac:dyDescent="0.4">
      <c r="P795" s="5"/>
    </row>
    <row r="796" spans="16:16" x14ac:dyDescent="0.4">
      <c r="P796" s="5"/>
    </row>
    <row r="797" spans="16:16" x14ac:dyDescent="0.4">
      <c r="P797" s="5"/>
    </row>
    <row r="798" spans="16:16" x14ac:dyDescent="0.4">
      <c r="P798" s="5"/>
    </row>
    <row r="799" spans="16:16" x14ac:dyDescent="0.4">
      <c r="P799" s="5"/>
    </row>
    <row r="800" spans="16:16" x14ac:dyDescent="0.4">
      <c r="P800" s="5"/>
    </row>
    <row r="801" spans="16:16" x14ac:dyDescent="0.4">
      <c r="P801" s="5"/>
    </row>
    <row r="802" spans="16:16" x14ac:dyDescent="0.4">
      <c r="P802" s="5"/>
    </row>
    <row r="803" spans="16:16" x14ac:dyDescent="0.4">
      <c r="P803" s="5"/>
    </row>
    <row r="804" spans="16:16" x14ac:dyDescent="0.4">
      <c r="P804" s="5"/>
    </row>
    <row r="805" spans="16:16" x14ac:dyDescent="0.4">
      <c r="P805" s="5"/>
    </row>
    <row r="806" spans="16:16" x14ac:dyDescent="0.4">
      <c r="P806" s="5"/>
    </row>
    <row r="807" spans="16:16" x14ac:dyDescent="0.4">
      <c r="P807" s="5"/>
    </row>
    <row r="808" spans="16:16" x14ac:dyDescent="0.4">
      <c r="P808" s="5"/>
    </row>
    <row r="809" spans="16:16" x14ac:dyDescent="0.4">
      <c r="P809" s="5"/>
    </row>
    <row r="810" spans="16:16" x14ac:dyDescent="0.4">
      <c r="P810" s="5"/>
    </row>
    <row r="811" spans="16:16" x14ac:dyDescent="0.4">
      <c r="P811" s="5"/>
    </row>
    <row r="812" spans="16:16" x14ac:dyDescent="0.4">
      <c r="P812" s="5"/>
    </row>
    <row r="813" spans="16:16" x14ac:dyDescent="0.4">
      <c r="P813" s="5"/>
    </row>
    <row r="814" spans="16:16" x14ac:dyDescent="0.4">
      <c r="P814" s="5"/>
    </row>
    <row r="815" spans="16:16" x14ac:dyDescent="0.4">
      <c r="P815" s="5"/>
    </row>
    <row r="816" spans="16:16" x14ac:dyDescent="0.4">
      <c r="P816" s="5"/>
    </row>
    <row r="817" spans="16:16" x14ac:dyDescent="0.4">
      <c r="P817" s="5"/>
    </row>
    <row r="818" spans="16:16" x14ac:dyDescent="0.4">
      <c r="P818" s="5"/>
    </row>
    <row r="819" spans="16:16" x14ac:dyDescent="0.4">
      <c r="P819" s="5"/>
    </row>
    <row r="820" spans="16:16" x14ac:dyDescent="0.4">
      <c r="P820" s="5"/>
    </row>
    <row r="821" spans="16:16" x14ac:dyDescent="0.4">
      <c r="P821" s="5"/>
    </row>
    <row r="822" spans="16:16" x14ac:dyDescent="0.4">
      <c r="P822" s="5"/>
    </row>
    <row r="823" spans="16:16" x14ac:dyDescent="0.4">
      <c r="P823" s="5"/>
    </row>
    <row r="824" spans="16:16" x14ac:dyDescent="0.4">
      <c r="P824" s="5"/>
    </row>
    <row r="825" spans="16:16" x14ac:dyDescent="0.4">
      <c r="P825" s="5"/>
    </row>
    <row r="826" spans="16:16" x14ac:dyDescent="0.4">
      <c r="P826" s="5"/>
    </row>
    <row r="827" spans="16:16" x14ac:dyDescent="0.4">
      <c r="P827" s="5"/>
    </row>
    <row r="828" spans="16:16" x14ac:dyDescent="0.4">
      <c r="P828" s="5"/>
    </row>
    <row r="829" spans="16:16" x14ac:dyDescent="0.4">
      <c r="P829" s="5"/>
    </row>
    <row r="830" spans="16:16" x14ac:dyDescent="0.4">
      <c r="P830" s="5"/>
    </row>
    <row r="831" spans="16:16" x14ac:dyDescent="0.4">
      <c r="P831" s="5"/>
    </row>
    <row r="832" spans="16:16" x14ac:dyDescent="0.4">
      <c r="P832" s="5"/>
    </row>
    <row r="833" spans="16:16" x14ac:dyDescent="0.4">
      <c r="P833" s="5"/>
    </row>
    <row r="834" spans="16:16" x14ac:dyDescent="0.4">
      <c r="P834" s="5"/>
    </row>
    <row r="835" spans="16:16" x14ac:dyDescent="0.4">
      <c r="P835" s="5"/>
    </row>
    <row r="836" spans="16:16" x14ac:dyDescent="0.4">
      <c r="P836" s="5"/>
    </row>
    <row r="837" spans="16:16" x14ac:dyDescent="0.4">
      <c r="P837" s="5"/>
    </row>
    <row r="838" spans="16:16" x14ac:dyDescent="0.4">
      <c r="P838" s="5"/>
    </row>
    <row r="839" spans="16:16" x14ac:dyDescent="0.4">
      <c r="P839" s="5"/>
    </row>
    <row r="840" spans="16:16" x14ac:dyDescent="0.4">
      <c r="P840" s="5"/>
    </row>
    <row r="841" spans="16:16" x14ac:dyDescent="0.4">
      <c r="P841" s="5"/>
    </row>
    <row r="842" spans="16:16" x14ac:dyDescent="0.4">
      <c r="P842" s="5"/>
    </row>
    <row r="843" spans="16:16" x14ac:dyDescent="0.4">
      <c r="P843" s="5"/>
    </row>
    <row r="844" spans="16:16" x14ac:dyDescent="0.4">
      <c r="P844" s="5"/>
    </row>
    <row r="845" spans="16:16" x14ac:dyDescent="0.4">
      <c r="P845" s="5"/>
    </row>
    <row r="846" spans="16:16" x14ac:dyDescent="0.4">
      <c r="P846" s="5"/>
    </row>
    <row r="847" spans="16:16" x14ac:dyDescent="0.4">
      <c r="P847" s="5"/>
    </row>
    <row r="848" spans="16:16" x14ac:dyDescent="0.4">
      <c r="P848" s="5"/>
    </row>
    <row r="849" spans="16:16" x14ac:dyDescent="0.4">
      <c r="P849" s="5"/>
    </row>
    <row r="850" spans="16:16" x14ac:dyDescent="0.4">
      <c r="P850" s="5"/>
    </row>
    <row r="851" spans="16:16" x14ac:dyDescent="0.4">
      <c r="P851" s="5"/>
    </row>
    <row r="852" spans="16:16" x14ac:dyDescent="0.4">
      <c r="P852" s="5"/>
    </row>
    <row r="853" spans="16:16" x14ac:dyDescent="0.4">
      <c r="P853" s="5"/>
    </row>
    <row r="854" spans="16:16" x14ac:dyDescent="0.4">
      <c r="P854" s="5"/>
    </row>
    <row r="855" spans="16:16" x14ac:dyDescent="0.4">
      <c r="P855" s="5"/>
    </row>
    <row r="856" spans="16:16" x14ac:dyDescent="0.4">
      <c r="P856" s="5"/>
    </row>
    <row r="857" spans="16:16" x14ac:dyDescent="0.4">
      <c r="P857" s="5"/>
    </row>
    <row r="858" spans="16:16" x14ac:dyDescent="0.4">
      <c r="P858" s="5"/>
    </row>
    <row r="859" spans="16:16" x14ac:dyDescent="0.4">
      <c r="P859" s="5"/>
    </row>
    <row r="860" spans="16:16" x14ac:dyDescent="0.4">
      <c r="P860" s="5"/>
    </row>
    <row r="861" spans="16:16" x14ac:dyDescent="0.4">
      <c r="P861" s="5"/>
    </row>
    <row r="862" spans="16:16" x14ac:dyDescent="0.4">
      <c r="P862" s="5"/>
    </row>
    <row r="863" spans="16:16" x14ac:dyDescent="0.4">
      <c r="P863" s="5"/>
    </row>
    <row r="864" spans="16:16" x14ac:dyDescent="0.4">
      <c r="P864" s="5"/>
    </row>
    <row r="865" spans="16:16" x14ac:dyDescent="0.4">
      <c r="P865" s="5"/>
    </row>
    <row r="866" spans="16:16" x14ac:dyDescent="0.4">
      <c r="P866" s="5"/>
    </row>
    <row r="867" spans="16:16" x14ac:dyDescent="0.4">
      <c r="P867" s="5"/>
    </row>
    <row r="868" spans="16:16" x14ac:dyDescent="0.4">
      <c r="P868" s="5"/>
    </row>
    <row r="869" spans="16:16" x14ac:dyDescent="0.4">
      <c r="P869" s="5"/>
    </row>
    <row r="870" spans="16:16" x14ac:dyDescent="0.4">
      <c r="P870" s="5"/>
    </row>
    <row r="871" spans="16:16" x14ac:dyDescent="0.4">
      <c r="P871" s="5"/>
    </row>
    <row r="872" spans="16:16" x14ac:dyDescent="0.4">
      <c r="P872" s="5"/>
    </row>
    <row r="873" spans="16:16" x14ac:dyDescent="0.4">
      <c r="P873" s="5"/>
    </row>
    <row r="874" spans="16:16" x14ac:dyDescent="0.4">
      <c r="P874" s="5"/>
    </row>
    <row r="875" spans="16:16" x14ac:dyDescent="0.4">
      <c r="P875" s="5"/>
    </row>
    <row r="876" spans="16:16" x14ac:dyDescent="0.4">
      <c r="P876" s="5"/>
    </row>
    <row r="877" spans="16:16" x14ac:dyDescent="0.4">
      <c r="P877" s="5"/>
    </row>
    <row r="878" spans="16:16" x14ac:dyDescent="0.4">
      <c r="P878" s="5"/>
    </row>
    <row r="879" spans="16:16" x14ac:dyDescent="0.4">
      <c r="P879" s="5"/>
    </row>
    <row r="880" spans="16:16" x14ac:dyDescent="0.4">
      <c r="P880" s="5"/>
    </row>
    <row r="881" spans="16:16" x14ac:dyDescent="0.4">
      <c r="P881" s="5"/>
    </row>
    <row r="882" spans="16:16" x14ac:dyDescent="0.4">
      <c r="P882" s="5"/>
    </row>
    <row r="883" spans="16:16" x14ac:dyDescent="0.4">
      <c r="P883" s="5"/>
    </row>
    <row r="884" spans="16:16" x14ac:dyDescent="0.4">
      <c r="P884" s="5"/>
    </row>
    <row r="885" spans="16:16" x14ac:dyDescent="0.4">
      <c r="P885" s="5"/>
    </row>
    <row r="886" spans="16:16" x14ac:dyDescent="0.4">
      <c r="P886" s="5"/>
    </row>
    <row r="887" spans="16:16" x14ac:dyDescent="0.4">
      <c r="P887" s="5"/>
    </row>
    <row r="888" spans="16:16" x14ac:dyDescent="0.4">
      <c r="P888" s="5"/>
    </row>
    <row r="889" spans="16:16" x14ac:dyDescent="0.4">
      <c r="P889" s="5"/>
    </row>
    <row r="890" spans="16:16" x14ac:dyDescent="0.4">
      <c r="P890" s="5"/>
    </row>
    <row r="891" spans="16:16" x14ac:dyDescent="0.4">
      <c r="P891" s="5"/>
    </row>
    <row r="892" spans="16:16" x14ac:dyDescent="0.4">
      <c r="P892" s="5"/>
    </row>
    <row r="893" spans="16:16" x14ac:dyDescent="0.4">
      <c r="P893" s="5"/>
    </row>
    <row r="894" spans="16:16" x14ac:dyDescent="0.4">
      <c r="P894" s="5"/>
    </row>
    <row r="895" spans="16:16" x14ac:dyDescent="0.4">
      <c r="P895" s="5"/>
    </row>
    <row r="896" spans="16:16" x14ac:dyDescent="0.4">
      <c r="P896" s="5"/>
    </row>
    <row r="897" spans="16:16" x14ac:dyDescent="0.4">
      <c r="P897" s="5"/>
    </row>
    <row r="898" spans="16:16" x14ac:dyDescent="0.4">
      <c r="P898" s="5"/>
    </row>
    <row r="899" spans="16:16" x14ac:dyDescent="0.4">
      <c r="P899" s="5"/>
    </row>
    <row r="900" spans="16:16" x14ac:dyDescent="0.4">
      <c r="P900" s="5"/>
    </row>
    <row r="901" spans="16:16" x14ac:dyDescent="0.4">
      <c r="P901" s="5"/>
    </row>
    <row r="902" spans="16:16" x14ac:dyDescent="0.4">
      <c r="P902" s="5"/>
    </row>
    <row r="903" spans="16:16" x14ac:dyDescent="0.4">
      <c r="P903" s="5"/>
    </row>
    <row r="904" spans="16:16" x14ac:dyDescent="0.4">
      <c r="P904" s="5"/>
    </row>
    <row r="905" spans="16:16" x14ac:dyDescent="0.4">
      <c r="P905" s="5"/>
    </row>
    <row r="906" spans="16:16" x14ac:dyDescent="0.4">
      <c r="P906" s="5"/>
    </row>
    <row r="907" spans="16:16" x14ac:dyDescent="0.4">
      <c r="P907" s="5"/>
    </row>
    <row r="908" spans="16:16" x14ac:dyDescent="0.4">
      <c r="P908" s="5"/>
    </row>
    <row r="909" spans="16:16" x14ac:dyDescent="0.4">
      <c r="P909" s="5"/>
    </row>
    <row r="910" spans="16:16" x14ac:dyDescent="0.4">
      <c r="P910" s="5"/>
    </row>
    <row r="911" spans="16:16" x14ac:dyDescent="0.4">
      <c r="P911" s="5"/>
    </row>
    <row r="912" spans="16:16" x14ac:dyDescent="0.4">
      <c r="P912" s="5"/>
    </row>
    <row r="913" spans="16:16" x14ac:dyDescent="0.4">
      <c r="P913" s="5"/>
    </row>
    <row r="914" spans="16:16" x14ac:dyDescent="0.4">
      <c r="P914" s="5"/>
    </row>
    <row r="915" spans="16:16" x14ac:dyDescent="0.4">
      <c r="P915" s="5"/>
    </row>
    <row r="916" spans="16:16" x14ac:dyDescent="0.4">
      <c r="P916" s="5"/>
    </row>
    <row r="917" spans="16:16" x14ac:dyDescent="0.4">
      <c r="P917" s="5"/>
    </row>
    <row r="918" spans="16:16" x14ac:dyDescent="0.4">
      <c r="P918" s="5"/>
    </row>
    <row r="919" spans="16:16" x14ac:dyDescent="0.4">
      <c r="P919" s="5"/>
    </row>
    <row r="920" spans="16:16" x14ac:dyDescent="0.4">
      <c r="P920" s="5"/>
    </row>
    <row r="921" spans="16:16" x14ac:dyDescent="0.4">
      <c r="P921" s="5"/>
    </row>
    <row r="922" spans="16:16" x14ac:dyDescent="0.4">
      <c r="P922" s="5"/>
    </row>
    <row r="923" spans="16:16" x14ac:dyDescent="0.4">
      <c r="P923" s="5"/>
    </row>
    <row r="924" spans="16:16" x14ac:dyDescent="0.4">
      <c r="P924" s="5"/>
    </row>
    <row r="925" spans="16:16" x14ac:dyDescent="0.4">
      <c r="P925" s="5"/>
    </row>
    <row r="926" spans="16:16" x14ac:dyDescent="0.4">
      <c r="P926" s="5"/>
    </row>
    <row r="927" spans="16:16" x14ac:dyDescent="0.4">
      <c r="P927" s="5"/>
    </row>
    <row r="928" spans="16:16" x14ac:dyDescent="0.4">
      <c r="P928" s="5"/>
    </row>
    <row r="929" spans="16:16" x14ac:dyDescent="0.4">
      <c r="P929" s="5"/>
    </row>
    <row r="930" spans="16:16" x14ac:dyDescent="0.4">
      <c r="P930" s="5"/>
    </row>
    <row r="931" spans="16:16" x14ac:dyDescent="0.4">
      <c r="P931" s="5"/>
    </row>
    <row r="932" spans="16:16" x14ac:dyDescent="0.4">
      <c r="P932" s="5"/>
    </row>
    <row r="933" spans="16:16" x14ac:dyDescent="0.4">
      <c r="P933" s="5"/>
    </row>
    <row r="934" spans="16:16" x14ac:dyDescent="0.4">
      <c r="P934" s="5"/>
    </row>
    <row r="935" spans="16:16" x14ac:dyDescent="0.4">
      <c r="P935" s="5"/>
    </row>
    <row r="936" spans="16:16" x14ac:dyDescent="0.4">
      <c r="P936" s="5"/>
    </row>
    <row r="937" spans="16:16" x14ac:dyDescent="0.4">
      <c r="P937" s="5"/>
    </row>
    <row r="938" spans="16:16" x14ac:dyDescent="0.4">
      <c r="P938" s="5"/>
    </row>
    <row r="939" spans="16:16" x14ac:dyDescent="0.4">
      <c r="P939" s="5"/>
    </row>
    <row r="940" spans="16:16" x14ac:dyDescent="0.4">
      <c r="P940" s="5"/>
    </row>
    <row r="941" spans="16:16" x14ac:dyDescent="0.4">
      <c r="P941" s="5"/>
    </row>
    <row r="942" spans="16:16" x14ac:dyDescent="0.4">
      <c r="P942" s="5"/>
    </row>
    <row r="943" spans="16:16" x14ac:dyDescent="0.4">
      <c r="P943" s="5"/>
    </row>
    <row r="944" spans="16:16" x14ac:dyDescent="0.4">
      <c r="P944" s="5"/>
    </row>
    <row r="945" spans="16:16" x14ac:dyDescent="0.4">
      <c r="P945" s="5"/>
    </row>
    <row r="946" spans="16:16" x14ac:dyDescent="0.4">
      <c r="P946" s="5"/>
    </row>
    <row r="947" spans="16:16" x14ac:dyDescent="0.4">
      <c r="P947" s="5"/>
    </row>
    <row r="948" spans="16:16" x14ac:dyDescent="0.4">
      <c r="P948" s="5"/>
    </row>
    <row r="949" spans="16:16" x14ac:dyDescent="0.4">
      <c r="P949" s="5"/>
    </row>
    <row r="950" spans="16:16" x14ac:dyDescent="0.4">
      <c r="P950" s="5"/>
    </row>
    <row r="951" spans="16:16" x14ac:dyDescent="0.4">
      <c r="P951" s="5"/>
    </row>
    <row r="952" spans="16:16" x14ac:dyDescent="0.4">
      <c r="P952" s="5"/>
    </row>
    <row r="953" spans="16:16" x14ac:dyDescent="0.4">
      <c r="P953" s="5"/>
    </row>
    <row r="954" spans="16:16" x14ac:dyDescent="0.4">
      <c r="P954" s="5"/>
    </row>
    <row r="955" spans="16:16" x14ac:dyDescent="0.4">
      <c r="P955" s="5"/>
    </row>
    <row r="956" spans="16:16" x14ac:dyDescent="0.4">
      <c r="P956" s="5"/>
    </row>
    <row r="957" spans="16:16" x14ac:dyDescent="0.4">
      <c r="P957" s="5"/>
    </row>
    <row r="958" spans="16:16" x14ac:dyDescent="0.4">
      <c r="P958" s="5"/>
    </row>
    <row r="959" spans="16:16" x14ac:dyDescent="0.4">
      <c r="P959" s="5"/>
    </row>
    <row r="960" spans="16:16" x14ac:dyDescent="0.4">
      <c r="P960" s="5"/>
    </row>
    <row r="961" spans="16:16" x14ac:dyDescent="0.4">
      <c r="P961" s="5"/>
    </row>
    <row r="962" spans="16:16" x14ac:dyDescent="0.4">
      <c r="P962" s="5"/>
    </row>
    <row r="963" spans="16:16" x14ac:dyDescent="0.4">
      <c r="P963" s="5"/>
    </row>
    <row r="964" spans="16:16" x14ac:dyDescent="0.4">
      <c r="P964" s="5"/>
    </row>
    <row r="965" spans="16:16" x14ac:dyDescent="0.4">
      <c r="P965" s="5"/>
    </row>
    <row r="966" spans="16:16" x14ac:dyDescent="0.4">
      <c r="P966" s="5"/>
    </row>
    <row r="967" spans="16:16" x14ac:dyDescent="0.4">
      <c r="P967" s="5"/>
    </row>
    <row r="968" spans="16:16" x14ac:dyDescent="0.4">
      <c r="P968" s="5"/>
    </row>
    <row r="969" spans="16:16" x14ac:dyDescent="0.4">
      <c r="P969" s="5"/>
    </row>
    <row r="970" spans="16:16" x14ac:dyDescent="0.4">
      <c r="P970" s="5"/>
    </row>
    <row r="971" spans="16:16" x14ac:dyDescent="0.4">
      <c r="P971" s="5"/>
    </row>
    <row r="972" spans="16:16" x14ac:dyDescent="0.4">
      <c r="P972" s="5"/>
    </row>
    <row r="973" spans="16:16" x14ac:dyDescent="0.4">
      <c r="P973" s="5"/>
    </row>
    <row r="974" spans="16:16" x14ac:dyDescent="0.4">
      <c r="P974" s="5"/>
    </row>
    <row r="975" spans="16:16" x14ac:dyDescent="0.4">
      <c r="P975" s="5"/>
    </row>
    <row r="976" spans="16:16" x14ac:dyDescent="0.4">
      <c r="P976" s="5"/>
    </row>
    <row r="977" spans="16:16" x14ac:dyDescent="0.4">
      <c r="P977" s="5"/>
    </row>
    <row r="978" spans="16:16" x14ac:dyDescent="0.4">
      <c r="P978" s="5"/>
    </row>
    <row r="979" spans="16:16" x14ac:dyDescent="0.4">
      <c r="P979" s="5"/>
    </row>
    <row r="980" spans="16:16" x14ac:dyDescent="0.4">
      <c r="P980" s="5"/>
    </row>
    <row r="981" spans="16:16" x14ac:dyDescent="0.4">
      <c r="P981" s="5"/>
    </row>
    <row r="982" spans="16:16" x14ac:dyDescent="0.4">
      <c r="P982" s="5"/>
    </row>
    <row r="983" spans="16:16" x14ac:dyDescent="0.4">
      <c r="P983" s="5"/>
    </row>
    <row r="984" spans="16:16" x14ac:dyDescent="0.4">
      <c r="P984" s="5"/>
    </row>
    <row r="985" spans="16:16" x14ac:dyDescent="0.4">
      <c r="P985" s="5"/>
    </row>
    <row r="986" spans="16:16" x14ac:dyDescent="0.4">
      <c r="P986" s="5"/>
    </row>
    <row r="987" spans="16:16" x14ac:dyDescent="0.4">
      <c r="P987" s="5"/>
    </row>
    <row r="988" spans="16:16" x14ac:dyDescent="0.4">
      <c r="P988" s="5"/>
    </row>
    <row r="989" spans="16:16" x14ac:dyDescent="0.4">
      <c r="P989" s="5"/>
    </row>
    <row r="990" spans="16:16" x14ac:dyDescent="0.4">
      <c r="P990" s="5"/>
    </row>
    <row r="991" spans="16:16" x14ac:dyDescent="0.4">
      <c r="P991" s="5"/>
    </row>
    <row r="992" spans="16:16" x14ac:dyDescent="0.4">
      <c r="P992" s="5"/>
    </row>
    <row r="993" spans="16:16" x14ac:dyDescent="0.4">
      <c r="P993" s="5"/>
    </row>
    <row r="994" spans="16:16" x14ac:dyDescent="0.4">
      <c r="P994" s="5"/>
    </row>
    <row r="995" spans="16:16" x14ac:dyDescent="0.4">
      <c r="P995" s="5"/>
    </row>
    <row r="996" spans="16:16" x14ac:dyDescent="0.4">
      <c r="P996" s="5"/>
    </row>
    <row r="997" spans="16:16" x14ac:dyDescent="0.4">
      <c r="P997" s="5"/>
    </row>
    <row r="998" spans="16:16" x14ac:dyDescent="0.4">
      <c r="P998" s="5"/>
    </row>
    <row r="999" spans="16:16" x14ac:dyDescent="0.4">
      <c r="P999" s="5"/>
    </row>
    <row r="1000" spans="16:16" x14ac:dyDescent="0.4">
      <c r="P1000" s="5"/>
    </row>
    <row r="1001" spans="16:16" x14ac:dyDescent="0.4">
      <c r="P1001" s="5"/>
    </row>
    <row r="1002" spans="16:16" x14ac:dyDescent="0.4">
      <c r="P1002" s="5"/>
    </row>
    <row r="1003" spans="16:16" x14ac:dyDescent="0.4">
      <c r="P1003" s="5"/>
    </row>
    <row r="1004" spans="16:16" x14ac:dyDescent="0.4">
      <c r="P1004" s="5"/>
    </row>
    <row r="1005" spans="16:16" x14ac:dyDescent="0.4">
      <c r="P1005" s="5"/>
    </row>
    <row r="1006" spans="16:16" x14ac:dyDescent="0.4">
      <c r="P1006" s="5"/>
    </row>
    <row r="1007" spans="16:16" x14ac:dyDescent="0.4">
      <c r="P1007" s="5"/>
    </row>
    <row r="1008" spans="16:16" x14ac:dyDescent="0.4">
      <c r="P1008" s="5"/>
    </row>
    <row r="1009" spans="16:16" x14ac:dyDescent="0.4">
      <c r="P1009" s="5"/>
    </row>
    <row r="1010" spans="16:16" x14ac:dyDescent="0.4">
      <c r="P1010" s="5"/>
    </row>
    <row r="1011" spans="16:16" x14ac:dyDescent="0.4">
      <c r="P1011" s="5"/>
    </row>
    <row r="1012" spans="16:16" x14ac:dyDescent="0.4">
      <c r="P1012" s="5"/>
    </row>
    <row r="1013" spans="16:16" x14ac:dyDescent="0.4">
      <c r="P1013" s="5"/>
    </row>
    <row r="1014" spans="16:16" x14ac:dyDescent="0.4">
      <c r="P1014" s="5"/>
    </row>
    <row r="1015" spans="16:16" x14ac:dyDescent="0.4">
      <c r="P1015" s="5"/>
    </row>
    <row r="1016" spans="16:16" x14ac:dyDescent="0.4">
      <c r="P1016" s="5"/>
    </row>
    <row r="1017" spans="16:16" x14ac:dyDescent="0.4">
      <c r="P1017" s="5"/>
    </row>
    <row r="1018" spans="16:16" x14ac:dyDescent="0.4">
      <c r="P1018" s="5"/>
    </row>
    <row r="1019" spans="16:16" x14ac:dyDescent="0.4">
      <c r="P1019" s="5"/>
    </row>
    <row r="1020" spans="16:16" x14ac:dyDescent="0.4">
      <c r="P1020" s="5"/>
    </row>
    <row r="1021" spans="16:16" x14ac:dyDescent="0.4">
      <c r="P1021" s="5"/>
    </row>
    <row r="1022" spans="16:16" x14ac:dyDescent="0.4">
      <c r="P1022" s="5"/>
    </row>
    <row r="1023" spans="16:16" x14ac:dyDescent="0.4">
      <c r="P1023" s="5"/>
    </row>
    <row r="1024" spans="16:16" x14ac:dyDescent="0.4">
      <c r="P1024" s="5"/>
    </row>
    <row r="1025" spans="16:16" x14ac:dyDescent="0.4">
      <c r="P1025" s="5"/>
    </row>
    <row r="1026" spans="16:16" x14ac:dyDescent="0.4">
      <c r="P1026" s="5"/>
    </row>
    <row r="1027" spans="16:16" x14ac:dyDescent="0.4">
      <c r="P1027" s="5"/>
    </row>
    <row r="1028" spans="16:16" x14ac:dyDescent="0.4">
      <c r="P1028" s="5"/>
    </row>
    <row r="1029" spans="16:16" x14ac:dyDescent="0.4">
      <c r="P1029" s="5"/>
    </row>
    <row r="1030" spans="16:16" x14ac:dyDescent="0.4">
      <c r="P1030" s="5"/>
    </row>
    <row r="1031" spans="16:16" x14ac:dyDescent="0.4">
      <c r="P1031" s="5"/>
    </row>
    <row r="1032" spans="16:16" x14ac:dyDescent="0.4">
      <c r="P1032" s="5"/>
    </row>
    <row r="1033" spans="16:16" x14ac:dyDescent="0.4">
      <c r="P1033" s="5"/>
    </row>
    <row r="1034" spans="16:16" x14ac:dyDescent="0.4">
      <c r="P1034" s="5"/>
    </row>
    <row r="1035" spans="16:16" x14ac:dyDescent="0.4">
      <c r="P1035" s="5"/>
    </row>
    <row r="1036" spans="16:16" x14ac:dyDescent="0.4">
      <c r="P1036" s="5"/>
    </row>
    <row r="1037" spans="16:16" x14ac:dyDescent="0.4">
      <c r="P1037" s="5"/>
    </row>
    <row r="1038" spans="16:16" x14ac:dyDescent="0.4">
      <c r="P1038" s="5"/>
    </row>
    <row r="1039" spans="16:16" x14ac:dyDescent="0.4">
      <c r="P1039" s="5"/>
    </row>
    <row r="1040" spans="16:16" x14ac:dyDescent="0.4">
      <c r="P1040" s="5"/>
    </row>
    <row r="1041" spans="16:16" x14ac:dyDescent="0.4">
      <c r="P1041" s="5"/>
    </row>
    <row r="1042" spans="16:16" x14ac:dyDescent="0.4">
      <c r="P1042" s="5"/>
    </row>
    <row r="1043" spans="16:16" x14ac:dyDescent="0.4">
      <c r="P1043" s="5"/>
    </row>
    <row r="1044" spans="16:16" x14ac:dyDescent="0.4">
      <c r="P1044" s="5"/>
    </row>
    <row r="1045" spans="16:16" x14ac:dyDescent="0.4">
      <c r="P1045" s="5"/>
    </row>
    <row r="1046" spans="16:16" x14ac:dyDescent="0.4">
      <c r="P1046" s="5"/>
    </row>
    <row r="1047" spans="16:16" x14ac:dyDescent="0.4">
      <c r="P1047" s="5"/>
    </row>
    <row r="1048" spans="16:16" x14ac:dyDescent="0.4">
      <c r="P1048" s="5"/>
    </row>
    <row r="1049" spans="16:16" x14ac:dyDescent="0.4">
      <c r="P1049" s="5"/>
    </row>
    <row r="1050" spans="16:16" x14ac:dyDescent="0.4">
      <c r="P1050" s="5"/>
    </row>
    <row r="1051" spans="16:16" x14ac:dyDescent="0.4">
      <c r="P1051" s="5"/>
    </row>
    <row r="1052" spans="16:16" x14ac:dyDescent="0.4">
      <c r="P1052" s="5"/>
    </row>
    <row r="1053" spans="16:16" x14ac:dyDescent="0.4">
      <c r="P1053" s="5"/>
    </row>
    <row r="1054" spans="16:16" x14ac:dyDescent="0.4">
      <c r="P1054" s="5"/>
    </row>
    <row r="1055" spans="16:16" x14ac:dyDescent="0.4">
      <c r="P1055" s="5"/>
    </row>
    <row r="1056" spans="16:16" x14ac:dyDescent="0.4">
      <c r="P1056" s="5"/>
    </row>
    <row r="1057" spans="16:16" x14ac:dyDescent="0.4">
      <c r="P1057" s="5"/>
    </row>
    <row r="1058" spans="16:16" x14ac:dyDescent="0.4">
      <c r="P1058" s="5"/>
    </row>
    <row r="1059" spans="16:16" x14ac:dyDescent="0.4">
      <c r="P1059" s="5"/>
    </row>
    <row r="1060" spans="16:16" x14ac:dyDescent="0.4">
      <c r="P1060" s="5"/>
    </row>
    <row r="1061" spans="16:16" x14ac:dyDescent="0.4">
      <c r="P1061" s="5"/>
    </row>
    <row r="1062" spans="16:16" x14ac:dyDescent="0.4">
      <c r="P1062" s="5"/>
    </row>
    <row r="1063" spans="16:16" x14ac:dyDescent="0.4">
      <c r="P1063" s="5"/>
    </row>
    <row r="1064" spans="16:16" x14ac:dyDescent="0.4">
      <c r="P1064" s="5"/>
    </row>
    <row r="1065" spans="16:16" x14ac:dyDescent="0.4">
      <c r="P1065" s="5"/>
    </row>
    <row r="1066" spans="16:16" x14ac:dyDescent="0.4">
      <c r="P1066" s="5"/>
    </row>
    <row r="1067" spans="16:16" x14ac:dyDescent="0.4">
      <c r="P1067" s="5"/>
    </row>
    <row r="1068" spans="16:16" x14ac:dyDescent="0.4">
      <c r="P1068" s="5"/>
    </row>
    <row r="1069" spans="16:16" x14ac:dyDescent="0.4">
      <c r="P1069" s="5"/>
    </row>
    <row r="1070" spans="16:16" x14ac:dyDescent="0.4">
      <c r="P1070" s="5"/>
    </row>
    <row r="1071" spans="16:16" x14ac:dyDescent="0.4">
      <c r="P1071" s="5"/>
    </row>
    <row r="1072" spans="16:16" x14ac:dyDescent="0.4">
      <c r="P1072" s="5"/>
    </row>
    <row r="1073" spans="16:16" x14ac:dyDescent="0.4">
      <c r="P1073" s="5"/>
    </row>
    <row r="1074" spans="16:16" x14ac:dyDescent="0.4">
      <c r="P1074" s="5"/>
    </row>
    <row r="1075" spans="16:16" x14ac:dyDescent="0.4">
      <c r="P1075" s="5"/>
    </row>
    <row r="1076" spans="16:16" x14ac:dyDescent="0.4">
      <c r="P1076" s="5"/>
    </row>
    <row r="1077" spans="16:16" x14ac:dyDescent="0.4">
      <c r="P1077" s="5"/>
    </row>
    <row r="1078" spans="16:16" x14ac:dyDescent="0.4">
      <c r="P1078" s="5"/>
    </row>
    <row r="1079" spans="16:16" x14ac:dyDescent="0.4">
      <c r="P1079" s="5"/>
    </row>
    <row r="1080" spans="16:16" x14ac:dyDescent="0.4">
      <c r="P1080" s="5"/>
    </row>
    <row r="1081" spans="16:16" x14ac:dyDescent="0.4">
      <c r="P1081" s="5"/>
    </row>
    <row r="1082" spans="16:16" x14ac:dyDescent="0.4">
      <c r="P1082" s="5"/>
    </row>
    <row r="1083" spans="16:16" x14ac:dyDescent="0.4">
      <c r="P1083" s="5"/>
    </row>
    <row r="1084" spans="16:16" x14ac:dyDescent="0.4">
      <c r="P1084" s="5"/>
    </row>
    <row r="1085" spans="16:16" x14ac:dyDescent="0.4">
      <c r="P1085" s="5"/>
    </row>
    <row r="1086" spans="16:16" x14ac:dyDescent="0.4">
      <c r="P1086" s="5"/>
    </row>
    <row r="1087" spans="16:16" x14ac:dyDescent="0.4">
      <c r="P1087" s="5"/>
    </row>
    <row r="1088" spans="16:16" x14ac:dyDescent="0.4">
      <c r="P1088" s="5"/>
    </row>
    <row r="1089" spans="16:16" x14ac:dyDescent="0.4">
      <c r="P1089" s="5"/>
    </row>
    <row r="1090" spans="16:16" x14ac:dyDescent="0.4">
      <c r="P1090" s="5"/>
    </row>
    <row r="1091" spans="16:16" x14ac:dyDescent="0.4">
      <c r="P1091" s="5"/>
    </row>
    <row r="1092" spans="16:16" x14ac:dyDescent="0.4">
      <c r="P1092" s="5"/>
    </row>
    <row r="1093" spans="16:16" x14ac:dyDescent="0.4">
      <c r="P1093" s="5"/>
    </row>
    <row r="1094" spans="16:16" x14ac:dyDescent="0.4">
      <c r="P1094" s="5"/>
    </row>
    <row r="1095" spans="16:16" x14ac:dyDescent="0.4">
      <c r="P1095" s="5"/>
    </row>
    <row r="1096" spans="16:16" x14ac:dyDescent="0.4">
      <c r="P1096" s="5"/>
    </row>
    <row r="1097" spans="16:16" x14ac:dyDescent="0.4">
      <c r="P1097" s="5"/>
    </row>
    <row r="1098" spans="16:16" x14ac:dyDescent="0.4">
      <c r="P1098" s="5"/>
    </row>
    <row r="1099" spans="16:16" x14ac:dyDescent="0.4">
      <c r="P1099" s="5"/>
    </row>
    <row r="1100" spans="16:16" x14ac:dyDescent="0.4">
      <c r="P1100" s="5"/>
    </row>
    <row r="1101" spans="16:16" x14ac:dyDescent="0.4">
      <c r="P1101" s="5"/>
    </row>
    <row r="1102" spans="16:16" x14ac:dyDescent="0.4">
      <c r="P1102" s="5"/>
    </row>
    <row r="1103" spans="16:16" x14ac:dyDescent="0.4">
      <c r="P1103" s="5"/>
    </row>
    <row r="1104" spans="16:16" x14ac:dyDescent="0.4">
      <c r="P1104" s="5"/>
    </row>
    <row r="1105" spans="16:16" x14ac:dyDescent="0.4">
      <c r="P1105" s="5"/>
    </row>
    <row r="1106" spans="16:16" x14ac:dyDescent="0.4">
      <c r="P1106" s="5"/>
    </row>
    <row r="1107" spans="16:16" x14ac:dyDescent="0.4">
      <c r="P1107" s="5"/>
    </row>
    <row r="1108" spans="16:16" x14ac:dyDescent="0.4">
      <c r="P1108" s="5"/>
    </row>
    <row r="1109" spans="16:16" x14ac:dyDescent="0.4">
      <c r="P1109" s="5"/>
    </row>
    <row r="1110" spans="16:16" x14ac:dyDescent="0.4">
      <c r="P1110" s="5"/>
    </row>
    <row r="1111" spans="16:16" x14ac:dyDescent="0.4">
      <c r="P1111" s="5"/>
    </row>
    <row r="1112" spans="16:16" x14ac:dyDescent="0.4">
      <c r="P1112" s="5"/>
    </row>
    <row r="1113" spans="16:16" x14ac:dyDescent="0.4">
      <c r="P1113" s="5"/>
    </row>
    <row r="1114" spans="16:16" x14ac:dyDescent="0.4">
      <c r="P1114" s="5"/>
    </row>
    <row r="1115" spans="16:16" x14ac:dyDescent="0.4">
      <c r="P1115" s="5"/>
    </row>
    <row r="1116" spans="16:16" x14ac:dyDescent="0.4">
      <c r="P1116" s="5"/>
    </row>
    <row r="1117" spans="16:16" x14ac:dyDescent="0.4">
      <c r="P1117" s="5"/>
    </row>
    <row r="1118" spans="16:16" x14ac:dyDescent="0.4">
      <c r="P1118" s="5"/>
    </row>
    <row r="1119" spans="16:16" x14ac:dyDescent="0.4">
      <c r="P1119" s="5"/>
    </row>
    <row r="1120" spans="16:16" x14ac:dyDescent="0.4">
      <c r="P1120" s="5"/>
    </row>
    <row r="1121" spans="16:16" x14ac:dyDescent="0.4">
      <c r="P1121" s="5"/>
    </row>
    <row r="1122" spans="16:16" x14ac:dyDescent="0.4">
      <c r="P1122" s="5"/>
    </row>
    <row r="1123" spans="16:16" x14ac:dyDescent="0.4">
      <c r="P1123" s="5"/>
    </row>
    <row r="1124" spans="16:16" x14ac:dyDescent="0.4">
      <c r="P1124" s="5"/>
    </row>
    <row r="1125" spans="16:16" x14ac:dyDescent="0.4">
      <c r="P1125" s="5"/>
    </row>
    <row r="1126" spans="16:16" x14ac:dyDescent="0.4">
      <c r="P1126" s="5"/>
    </row>
    <row r="1127" spans="16:16" x14ac:dyDescent="0.4">
      <c r="P1127" s="5"/>
    </row>
    <row r="1128" spans="16:16" x14ac:dyDescent="0.4">
      <c r="P1128" s="5"/>
    </row>
    <row r="1129" spans="16:16" x14ac:dyDescent="0.4">
      <c r="P1129" s="5"/>
    </row>
    <row r="1130" spans="16:16" x14ac:dyDescent="0.4">
      <c r="P1130" s="5"/>
    </row>
    <row r="1131" spans="16:16" x14ac:dyDescent="0.4">
      <c r="P1131" s="5"/>
    </row>
    <row r="1132" spans="16:16" x14ac:dyDescent="0.4">
      <c r="P1132" s="5"/>
    </row>
    <row r="1133" spans="16:16" x14ac:dyDescent="0.4">
      <c r="P1133" s="5"/>
    </row>
    <row r="1134" spans="16:16" x14ac:dyDescent="0.4">
      <c r="P1134" s="5"/>
    </row>
    <row r="1135" spans="16:16" x14ac:dyDescent="0.4">
      <c r="P1135" s="5"/>
    </row>
    <row r="1136" spans="16:16" x14ac:dyDescent="0.4">
      <c r="P1136" s="5"/>
    </row>
    <row r="1137" spans="16:16" x14ac:dyDescent="0.4">
      <c r="P1137" s="5"/>
    </row>
    <row r="1138" spans="16:16" x14ac:dyDescent="0.4">
      <c r="P1138" s="5"/>
    </row>
    <row r="1139" spans="16:16" x14ac:dyDescent="0.4">
      <c r="P1139" s="5"/>
    </row>
    <row r="1140" spans="16:16" x14ac:dyDescent="0.4">
      <c r="P1140" s="5"/>
    </row>
    <row r="1141" spans="16:16" x14ac:dyDescent="0.4">
      <c r="P1141" s="5"/>
    </row>
    <row r="1142" spans="16:16" x14ac:dyDescent="0.4">
      <c r="P1142" s="5"/>
    </row>
    <row r="1143" spans="16:16" x14ac:dyDescent="0.4">
      <c r="P1143" s="5"/>
    </row>
    <row r="1144" spans="16:16" x14ac:dyDescent="0.4">
      <c r="P1144" s="5"/>
    </row>
    <row r="1145" spans="16:16" x14ac:dyDescent="0.4">
      <c r="P1145" s="5"/>
    </row>
    <row r="1146" spans="16:16" x14ac:dyDescent="0.4">
      <c r="P1146" s="5"/>
    </row>
    <row r="1147" spans="16:16" x14ac:dyDescent="0.4">
      <c r="P1147" s="5"/>
    </row>
    <row r="1148" spans="16:16" x14ac:dyDescent="0.4">
      <c r="P1148" s="5"/>
    </row>
    <row r="1149" spans="16:16" x14ac:dyDescent="0.4">
      <c r="P1149" s="5"/>
    </row>
    <row r="1150" spans="16:16" x14ac:dyDescent="0.4">
      <c r="P1150" s="5"/>
    </row>
    <row r="1151" spans="16:16" x14ac:dyDescent="0.4">
      <c r="P1151" s="5"/>
    </row>
    <row r="1152" spans="16:16" x14ac:dyDescent="0.4">
      <c r="P1152" s="5"/>
    </row>
    <row r="1153" spans="16:16" x14ac:dyDescent="0.4">
      <c r="P1153" s="5"/>
    </row>
    <row r="1154" spans="16:16" x14ac:dyDescent="0.4">
      <c r="P1154" s="5"/>
    </row>
    <row r="1155" spans="16:16" x14ac:dyDescent="0.4">
      <c r="P1155" s="5"/>
    </row>
    <row r="1156" spans="16:16" x14ac:dyDescent="0.4">
      <c r="P1156" s="5"/>
    </row>
    <row r="1157" spans="16:16" x14ac:dyDescent="0.4">
      <c r="P1157" s="5"/>
    </row>
    <row r="1158" spans="16:16" x14ac:dyDescent="0.4">
      <c r="P1158" s="5"/>
    </row>
    <row r="1159" spans="16:16" x14ac:dyDescent="0.4">
      <c r="P1159" s="5"/>
    </row>
    <row r="1160" spans="16:16" x14ac:dyDescent="0.4">
      <c r="P1160" s="5"/>
    </row>
    <row r="1161" spans="16:16" x14ac:dyDescent="0.4">
      <c r="P1161" s="5"/>
    </row>
    <row r="1162" spans="16:16" x14ac:dyDescent="0.4">
      <c r="P1162" s="5"/>
    </row>
    <row r="1163" spans="16:16" x14ac:dyDescent="0.4">
      <c r="P1163" s="5"/>
    </row>
    <row r="1164" spans="16:16" x14ac:dyDescent="0.4">
      <c r="P1164" s="5"/>
    </row>
    <row r="1165" spans="16:16" x14ac:dyDescent="0.4">
      <c r="P1165" s="5"/>
    </row>
    <row r="1166" spans="16:16" x14ac:dyDescent="0.4">
      <c r="P1166" s="5"/>
    </row>
    <row r="1167" spans="16:16" x14ac:dyDescent="0.4">
      <c r="P1167" s="5"/>
    </row>
    <row r="1168" spans="16:16" x14ac:dyDescent="0.4">
      <c r="P1168" s="5"/>
    </row>
    <row r="1169" spans="16:16" x14ac:dyDescent="0.4">
      <c r="P1169" s="5"/>
    </row>
    <row r="1170" spans="16:16" x14ac:dyDescent="0.4">
      <c r="P1170" s="5"/>
    </row>
    <row r="1171" spans="16:16" x14ac:dyDescent="0.4">
      <c r="P1171" s="5"/>
    </row>
    <row r="1172" spans="16:16" x14ac:dyDescent="0.4">
      <c r="P1172" s="5"/>
    </row>
    <row r="1173" spans="16:16" x14ac:dyDescent="0.4">
      <c r="P1173" s="5"/>
    </row>
    <row r="1174" spans="16:16" x14ac:dyDescent="0.4">
      <c r="P1174" s="5"/>
    </row>
    <row r="1175" spans="16:16" x14ac:dyDescent="0.4">
      <c r="P1175" s="5"/>
    </row>
    <row r="1176" spans="16:16" x14ac:dyDescent="0.4">
      <c r="P1176" s="5"/>
    </row>
    <row r="1177" spans="16:16" x14ac:dyDescent="0.4">
      <c r="P1177" s="5"/>
    </row>
    <row r="1178" spans="16:16" x14ac:dyDescent="0.4">
      <c r="P1178" s="5"/>
    </row>
    <row r="1179" spans="16:16" x14ac:dyDescent="0.4">
      <c r="P1179" s="5"/>
    </row>
    <row r="1180" spans="16:16" x14ac:dyDescent="0.4">
      <c r="P1180" s="5"/>
    </row>
    <row r="1181" spans="16:16" x14ac:dyDescent="0.4">
      <c r="P1181" s="5"/>
    </row>
    <row r="1182" spans="16:16" x14ac:dyDescent="0.4">
      <c r="P1182" s="5"/>
    </row>
    <row r="1183" spans="16:16" x14ac:dyDescent="0.4">
      <c r="P1183" s="5"/>
    </row>
    <row r="1184" spans="16:16" x14ac:dyDescent="0.4">
      <c r="P1184" s="5"/>
    </row>
    <row r="1185" spans="16:16" x14ac:dyDescent="0.4">
      <c r="P1185" s="5"/>
    </row>
    <row r="1186" spans="16:16" x14ac:dyDescent="0.4">
      <c r="P1186" s="5"/>
    </row>
    <row r="1187" spans="16:16" x14ac:dyDescent="0.4">
      <c r="P1187" s="5"/>
    </row>
    <row r="1188" spans="16:16" x14ac:dyDescent="0.4">
      <c r="P1188" s="5"/>
    </row>
    <row r="1189" spans="16:16" x14ac:dyDescent="0.4">
      <c r="P1189" s="5"/>
    </row>
    <row r="1190" spans="16:16" x14ac:dyDescent="0.4">
      <c r="P1190" s="5"/>
    </row>
    <row r="1191" spans="16:16" x14ac:dyDescent="0.4">
      <c r="P1191" s="5"/>
    </row>
    <row r="1192" spans="16:16" x14ac:dyDescent="0.4">
      <c r="P1192" s="5"/>
    </row>
    <row r="1193" spans="16:16" x14ac:dyDescent="0.4">
      <c r="P1193" s="5"/>
    </row>
    <row r="1194" spans="16:16" x14ac:dyDescent="0.4">
      <c r="P1194" s="5"/>
    </row>
    <row r="1195" spans="16:16" x14ac:dyDescent="0.4">
      <c r="P1195" s="5"/>
    </row>
    <row r="1196" spans="16:16" x14ac:dyDescent="0.4">
      <c r="P1196" s="5"/>
    </row>
    <row r="1197" spans="16:16" x14ac:dyDescent="0.4">
      <c r="P1197" s="5"/>
    </row>
    <row r="1198" spans="16:16" x14ac:dyDescent="0.4">
      <c r="P1198" s="5"/>
    </row>
    <row r="1199" spans="16:16" x14ac:dyDescent="0.4">
      <c r="P1199" s="5"/>
    </row>
    <row r="1200" spans="16:16" x14ac:dyDescent="0.4">
      <c r="P1200" s="5"/>
    </row>
    <row r="1201" spans="16:16" x14ac:dyDescent="0.4">
      <c r="P1201" s="5"/>
    </row>
    <row r="1202" spans="16:16" x14ac:dyDescent="0.4">
      <c r="P1202" s="5"/>
    </row>
    <row r="1203" spans="16:16" x14ac:dyDescent="0.4">
      <c r="P1203" s="5"/>
    </row>
    <row r="1204" spans="16:16" x14ac:dyDescent="0.4">
      <c r="P1204" s="5"/>
    </row>
    <row r="1205" spans="16:16" x14ac:dyDescent="0.4">
      <c r="P1205" s="5"/>
    </row>
    <row r="1206" spans="16:16" x14ac:dyDescent="0.4">
      <c r="P1206" s="5"/>
    </row>
    <row r="1207" spans="16:16" x14ac:dyDescent="0.4">
      <c r="P1207" s="5"/>
    </row>
    <row r="1208" spans="16:16" x14ac:dyDescent="0.4">
      <c r="P1208" s="5"/>
    </row>
    <row r="1209" spans="16:16" x14ac:dyDescent="0.4">
      <c r="P1209" s="5"/>
    </row>
    <row r="1210" spans="16:16" x14ac:dyDescent="0.4">
      <c r="P1210" s="5"/>
    </row>
    <row r="1211" spans="16:16" x14ac:dyDescent="0.4">
      <c r="P1211" s="5"/>
    </row>
    <row r="1212" spans="16:16" x14ac:dyDescent="0.4">
      <c r="P1212" s="5"/>
    </row>
    <row r="1213" spans="16:16" x14ac:dyDescent="0.4">
      <c r="P1213" s="5"/>
    </row>
    <row r="1214" spans="16:16" x14ac:dyDescent="0.4">
      <c r="P1214" s="5"/>
    </row>
    <row r="1215" spans="16:16" x14ac:dyDescent="0.4">
      <c r="P1215" s="5"/>
    </row>
    <row r="1216" spans="16:16" x14ac:dyDescent="0.4">
      <c r="P1216" s="5"/>
    </row>
    <row r="1217" spans="16:16" x14ac:dyDescent="0.4">
      <c r="P1217" s="5"/>
    </row>
    <row r="1218" spans="16:16" x14ac:dyDescent="0.4">
      <c r="P1218" s="5"/>
    </row>
    <row r="1219" spans="16:16" x14ac:dyDescent="0.4">
      <c r="P1219" s="5"/>
    </row>
    <row r="1220" spans="16:16" x14ac:dyDescent="0.4">
      <c r="P1220" s="5"/>
    </row>
    <row r="1221" spans="16:16" x14ac:dyDescent="0.4">
      <c r="P1221" s="5"/>
    </row>
    <row r="1222" spans="16:16" x14ac:dyDescent="0.4">
      <c r="P1222" s="5"/>
    </row>
    <row r="1223" spans="16:16" x14ac:dyDescent="0.4">
      <c r="P1223" s="5"/>
    </row>
    <row r="1224" spans="16:16" x14ac:dyDescent="0.4">
      <c r="P1224" s="5"/>
    </row>
    <row r="1225" spans="16:16" x14ac:dyDescent="0.4">
      <c r="P1225" s="5"/>
    </row>
    <row r="1226" spans="16:16" x14ac:dyDescent="0.4">
      <c r="P1226" s="5"/>
    </row>
    <row r="1227" spans="16:16" x14ac:dyDescent="0.4">
      <c r="P1227" s="5"/>
    </row>
    <row r="1228" spans="16:16" x14ac:dyDescent="0.4">
      <c r="P1228" s="5"/>
    </row>
    <row r="1229" spans="16:16" x14ac:dyDescent="0.4">
      <c r="P1229" s="5"/>
    </row>
    <row r="1230" spans="16:16" x14ac:dyDescent="0.4">
      <c r="P1230" s="5"/>
    </row>
    <row r="1231" spans="16:16" x14ac:dyDescent="0.4">
      <c r="P1231" s="5"/>
    </row>
    <row r="1232" spans="16:16" x14ac:dyDescent="0.4">
      <c r="P1232" s="5"/>
    </row>
    <row r="1233" spans="16:16" x14ac:dyDescent="0.4">
      <c r="P1233" s="5"/>
    </row>
    <row r="1234" spans="16:16" x14ac:dyDescent="0.4">
      <c r="P1234" s="5"/>
    </row>
    <row r="1235" spans="16:16" x14ac:dyDescent="0.4">
      <c r="P1235" s="5"/>
    </row>
    <row r="1236" spans="16:16" x14ac:dyDescent="0.4">
      <c r="P1236" s="5"/>
    </row>
    <row r="1237" spans="16:16" x14ac:dyDescent="0.4">
      <c r="P1237" s="5"/>
    </row>
    <row r="1238" spans="16:16" x14ac:dyDescent="0.4">
      <c r="P1238" s="5"/>
    </row>
    <row r="1239" spans="16:16" x14ac:dyDescent="0.4">
      <c r="P1239" s="5"/>
    </row>
    <row r="1240" spans="16:16" x14ac:dyDescent="0.4">
      <c r="P1240" s="5"/>
    </row>
    <row r="1241" spans="16:16" x14ac:dyDescent="0.4">
      <c r="P1241" s="5"/>
    </row>
    <row r="1242" spans="16:16" x14ac:dyDescent="0.4">
      <c r="P1242" s="5"/>
    </row>
    <row r="1243" spans="16:16" x14ac:dyDescent="0.4">
      <c r="P1243" s="5"/>
    </row>
    <row r="1244" spans="16:16" x14ac:dyDescent="0.4">
      <c r="P1244" s="5"/>
    </row>
    <row r="1245" spans="16:16" x14ac:dyDescent="0.4">
      <c r="P1245" s="5"/>
    </row>
    <row r="1246" spans="16:16" x14ac:dyDescent="0.4">
      <c r="P1246" s="5"/>
    </row>
    <row r="1247" spans="16:16" x14ac:dyDescent="0.4">
      <c r="P1247" s="5"/>
    </row>
    <row r="1248" spans="16:16" x14ac:dyDescent="0.4">
      <c r="P1248" s="5"/>
    </row>
    <row r="1249" spans="16:16" x14ac:dyDescent="0.4">
      <c r="P1249" s="5"/>
    </row>
    <row r="1250" spans="16:16" x14ac:dyDescent="0.4">
      <c r="P1250" s="5"/>
    </row>
    <row r="1251" spans="16:16" x14ac:dyDescent="0.4">
      <c r="P1251" s="5"/>
    </row>
    <row r="1252" spans="16:16" x14ac:dyDescent="0.4">
      <c r="P1252" s="5"/>
    </row>
    <row r="1253" spans="16:16" x14ac:dyDescent="0.4">
      <c r="P1253" s="5"/>
    </row>
    <row r="1254" spans="16:16" x14ac:dyDescent="0.4">
      <c r="P1254" s="5"/>
    </row>
    <row r="1255" spans="16:16" x14ac:dyDescent="0.4">
      <c r="P1255" s="5"/>
    </row>
    <row r="1256" spans="16:16" x14ac:dyDescent="0.4">
      <c r="P1256" s="5"/>
    </row>
    <row r="1257" spans="16:16" x14ac:dyDescent="0.4">
      <c r="P1257" s="5"/>
    </row>
    <row r="1258" spans="16:16" x14ac:dyDescent="0.4">
      <c r="P1258" s="5"/>
    </row>
    <row r="1259" spans="16:16" x14ac:dyDescent="0.4">
      <c r="P1259" s="5"/>
    </row>
    <row r="1260" spans="16:16" x14ac:dyDescent="0.4">
      <c r="P1260" s="5"/>
    </row>
    <row r="1261" spans="16:16" x14ac:dyDescent="0.4">
      <c r="P1261" s="5"/>
    </row>
    <row r="1262" spans="16:16" x14ac:dyDescent="0.4">
      <c r="P1262" s="5"/>
    </row>
    <row r="1263" spans="16:16" x14ac:dyDescent="0.4">
      <c r="P1263" s="5"/>
    </row>
    <row r="1264" spans="16:16" x14ac:dyDescent="0.4">
      <c r="P1264" s="5"/>
    </row>
    <row r="1265" spans="16:16" x14ac:dyDescent="0.4">
      <c r="P1265" s="5"/>
    </row>
    <row r="1266" spans="16:16" x14ac:dyDescent="0.4">
      <c r="P1266" s="5"/>
    </row>
    <row r="1267" spans="16:16" x14ac:dyDescent="0.4">
      <c r="P1267" s="5"/>
    </row>
    <row r="1268" spans="16:16" x14ac:dyDescent="0.4">
      <c r="P1268" s="5"/>
    </row>
    <row r="1269" spans="16:16" x14ac:dyDescent="0.4">
      <c r="P1269" s="5"/>
    </row>
    <row r="1270" spans="16:16" x14ac:dyDescent="0.4">
      <c r="P1270" s="5"/>
    </row>
    <row r="1271" spans="16:16" x14ac:dyDescent="0.4">
      <c r="P1271" s="5"/>
    </row>
    <row r="1272" spans="16:16" x14ac:dyDescent="0.4">
      <c r="P1272" s="5"/>
    </row>
    <row r="1273" spans="16:16" x14ac:dyDescent="0.4">
      <c r="P1273" s="5"/>
    </row>
    <row r="1274" spans="16:16" x14ac:dyDescent="0.4">
      <c r="P1274" s="5"/>
    </row>
    <row r="1275" spans="16:16" x14ac:dyDescent="0.4">
      <c r="P1275" s="5"/>
    </row>
    <row r="1276" spans="16:16" x14ac:dyDescent="0.4">
      <c r="P1276" s="5"/>
    </row>
    <row r="1277" spans="16:16" x14ac:dyDescent="0.4">
      <c r="P1277" s="5"/>
    </row>
    <row r="1278" spans="16:16" x14ac:dyDescent="0.4">
      <c r="P1278" s="5"/>
    </row>
    <row r="1279" spans="16:16" x14ac:dyDescent="0.4">
      <c r="P1279" s="5"/>
    </row>
    <row r="1280" spans="16:16" x14ac:dyDescent="0.4">
      <c r="P1280" s="5"/>
    </row>
    <row r="1281" spans="16:16" x14ac:dyDescent="0.4">
      <c r="P1281" s="5"/>
    </row>
    <row r="1282" spans="16:16" x14ac:dyDescent="0.4">
      <c r="P1282" s="5"/>
    </row>
    <row r="1283" spans="16:16" x14ac:dyDescent="0.4">
      <c r="P1283" s="5"/>
    </row>
    <row r="1284" spans="16:16" x14ac:dyDescent="0.4">
      <c r="P1284" s="5"/>
    </row>
    <row r="1285" spans="16:16" x14ac:dyDescent="0.4">
      <c r="P1285" s="5"/>
    </row>
    <row r="1286" spans="16:16" x14ac:dyDescent="0.4">
      <c r="P1286" s="5"/>
    </row>
    <row r="1287" spans="16:16" x14ac:dyDescent="0.4">
      <c r="P1287" s="5"/>
    </row>
    <row r="1288" spans="16:16" x14ac:dyDescent="0.4">
      <c r="P1288" s="5"/>
    </row>
    <row r="1289" spans="16:16" x14ac:dyDescent="0.4">
      <c r="P1289" s="5"/>
    </row>
    <row r="1290" spans="16:16" x14ac:dyDescent="0.4">
      <c r="P1290" s="5"/>
    </row>
    <row r="1291" spans="16:16" x14ac:dyDescent="0.4">
      <c r="P1291" s="5"/>
    </row>
    <row r="1292" spans="16:16" x14ac:dyDescent="0.4">
      <c r="P1292" s="5"/>
    </row>
    <row r="1293" spans="16:16" x14ac:dyDescent="0.4">
      <c r="P1293" s="5"/>
    </row>
    <row r="1294" spans="16:16" x14ac:dyDescent="0.4">
      <c r="P1294" s="5"/>
    </row>
    <row r="1295" spans="16:16" x14ac:dyDescent="0.4">
      <c r="P1295" s="5"/>
    </row>
    <row r="1296" spans="16:16" x14ac:dyDescent="0.4">
      <c r="P1296" s="5"/>
    </row>
    <row r="1297" spans="16:16" x14ac:dyDescent="0.4">
      <c r="P1297" s="5"/>
    </row>
    <row r="1298" spans="16:16" x14ac:dyDescent="0.4">
      <c r="P1298" s="5"/>
    </row>
    <row r="1299" spans="16:16" x14ac:dyDescent="0.4">
      <c r="P1299" s="5"/>
    </row>
    <row r="1300" spans="16:16" x14ac:dyDescent="0.4">
      <c r="P1300" s="5"/>
    </row>
    <row r="1301" spans="16:16" x14ac:dyDescent="0.4">
      <c r="P1301" s="5"/>
    </row>
    <row r="1302" spans="16:16" x14ac:dyDescent="0.4">
      <c r="P1302" s="5"/>
    </row>
    <row r="1303" spans="16:16" x14ac:dyDescent="0.4">
      <c r="P1303" s="5"/>
    </row>
    <row r="1304" spans="16:16" x14ac:dyDescent="0.4">
      <c r="P1304" s="5"/>
    </row>
    <row r="1305" spans="16:16" x14ac:dyDescent="0.4">
      <c r="P1305" s="5"/>
    </row>
    <row r="1306" spans="16:16" x14ac:dyDescent="0.4">
      <c r="P1306" s="5"/>
    </row>
    <row r="1307" spans="16:16" x14ac:dyDescent="0.4">
      <c r="P1307" s="5"/>
    </row>
    <row r="1308" spans="16:16" x14ac:dyDescent="0.4">
      <c r="P1308" s="5"/>
    </row>
    <row r="1309" spans="16:16" x14ac:dyDescent="0.4">
      <c r="P1309" s="5"/>
    </row>
    <row r="1310" spans="16:16" x14ac:dyDescent="0.4">
      <c r="P1310" s="5"/>
    </row>
    <row r="1311" spans="16:16" x14ac:dyDescent="0.4">
      <c r="P1311" s="5"/>
    </row>
    <row r="1312" spans="16:16" x14ac:dyDescent="0.4">
      <c r="P1312" s="5"/>
    </row>
    <row r="1313" spans="16:16" x14ac:dyDescent="0.4">
      <c r="P1313" s="5"/>
    </row>
    <row r="1314" spans="16:16" x14ac:dyDescent="0.4">
      <c r="P1314" s="5"/>
    </row>
    <row r="1315" spans="16:16" x14ac:dyDescent="0.4">
      <c r="P1315" s="5"/>
    </row>
    <row r="1316" spans="16:16" x14ac:dyDescent="0.4">
      <c r="P1316" s="5"/>
    </row>
    <row r="1317" spans="16:16" x14ac:dyDescent="0.4">
      <c r="P1317" s="5"/>
    </row>
    <row r="1318" spans="16:16" x14ac:dyDescent="0.4">
      <c r="P1318" s="5"/>
    </row>
    <row r="1319" spans="16:16" x14ac:dyDescent="0.4">
      <c r="P1319" s="5"/>
    </row>
    <row r="1320" spans="16:16" x14ac:dyDescent="0.4">
      <c r="P1320" s="5"/>
    </row>
    <row r="1321" spans="16:16" x14ac:dyDescent="0.4">
      <c r="P1321" s="5"/>
    </row>
    <row r="1322" spans="16:16" x14ac:dyDescent="0.4">
      <c r="P1322" s="5"/>
    </row>
    <row r="1323" spans="16:16" x14ac:dyDescent="0.4">
      <c r="P1323" s="5"/>
    </row>
    <row r="1324" spans="16:16" x14ac:dyDescent="0.4">
      <c r="P1324" s="5"/>
    </row>
    <row r="1325" spans="16:16" x14ac:dyDescent="0.4">
      <c r="P1325" s="5"/>
    </row>
    <row r="1326" spans="16:16" x14ac:dyDescent="0.4">
      <c r="P1326" s="5"/>
    </row>
    <row r="1327" spans="16:16" x14ac:dyDescent="0.4">
      <c r="P1327" s="5"/>
    </row>
    <row r="1328" spans="16:16" x14ac:dyDescent="0.4">
      <c r="P1328" s="5"/>
    </row>
    <row r="1329" spans="16:16" x14ac:dyDescent="0.4">
      <c r="P1329" s="5"/>
    </row>
    <row r="1330" spans="16:16" x14ac:dyDescent="0.4">
      <c r="P1330" s="5"/>
    </row>
    <row r="1331" spans="16:16" x14ac:dyDescent="0.4">
      <c r="P1331" s="5"/>
    </row>
    <row r="1332" spans="16:16" x14ac:dyDescent="0.4">
      <c r="P1332" s="5"/>
    </row>
    <row r="1333" spans="16:16" x14ac:dyDescent="0.4">
      <c r="P1333" s="5"/>
    </row>
    <row r="1334" spans="16:16" x14ac:dyDescent="0.4">
      <c r="P1334" s="5"/>
    </row>
    <row r="1335" spans="16:16" x14ac:dyDescent="0.4">
      <c r="P1335" s="5"/>
    </row>
    <row r="1336" spans="16:16" x14ac:dyDescent="0.4">
      <c r="P1336" s="5"/>
    </row>
    <row r="1337" spans="16:16" x14ac:dyDescent="0.4">
      <c r="P1337" s="5"/>
    </row>
    <row r="1338" spans="16:16" x14ac:dyDescent="0.4">
      <c r="P1338" s="5"/>
    </row>
    <row r="1339" spans="16:16" x14ac:dyDescent="0.4">
      <c r="P1339" s="5"/>
    </row>
    <row r="1340" spans="16:16" x14ac:dyDescent="0.4">
      <c r="P1340" s="5"/>
    </row>
    <row r="1341" spans="16:16" x14ac:dyDescent="0.4">
      <c r="P1341" s="5"/>
    </row>
    <row r="1342" spans="16:16" x14ac:dyDescent="0.4">
      <c r="P1342" s="5"/>
    </row>
    <row r="1343" spans="16:16" x14ac:dyDescent="0.4">
      <c r="P1343" s="5"/>
    </row>
    <row r="1344" spans="16:16" x14ac:dyDescent="0.4">
      <c r="P1344" s="5"/>
    </row>
    <row r="1345" spans="16:16" x14ac:dyDescent="0.4">
      <c r="P1345" s="5"/>
    </row>
    <row r="1346" spans="16:16" x14ac:dyDescent="0.4">
      <c r="P1346" s="5"/>
    </row>
    <row r="1347" spans="16:16" x14ac:dyDescent="0.4">
      <c r="P1347" s="5"/>
    </row>
    <row r="1348" spans="16:16" x14ac:dyDescent="0.4">
      <c r="P1348" s="5"/>
    </row>
    <row r="1349" spans="16:16" x14ac:dyDescent="0.4">
      <c r="P1349" s="5"/>
    </row>
    <row r="1350" spans="16:16" x14ac:dyDescent="0.4">
      <c r="P1350" s="5"/>
    </row>
    <row r="1351" spans="16:16" x14ac:dyDescent="0.4">
      <c r="P1351" s="5"/>
    </row>
    <row r="1352" spans="16:16" x14ac:dyDescent="0.4">
      <c r="P1352" s="5"/>
    </row>
    <row r="1353" spans="16:16" x14ac:dyDescent="0.4">
      <c r="P1353" s="5"/>
    </row>
    <row r="1354" spans="16:16" x14ac:dyDescent="0.4">
      <c r="P1354" s="5"/>
    </row>
    <row r="1355" spans="16:16" x14ac:dyDescent="0.4">
      <c r="P1355" s="5"/>
    </row>
    <row r="1356" spans="16:16" x14ac:dyDescent="0.4">
      <c r="P1356" s="5"/>
    </row>
    <row r="1357" spans="16:16" x14ac:dyDescent="0.4">
      <c r="P1357" s="5"/>
    </row>
    <row r="1358" spans="16:16" x14ac:dyDescent="0.4">
      <c r="P1358" s="5"/>
    </row>
    <row r="1359" spans="16:16" x14ac:dyDescent="0.4">
      <c r="P1359" s="5"/>
    </row>
    <row r="1360" spans="16:16" x14ac:dyDescent="0.4">
      <c r="P1360" s="5"/>
    </row>
    <row r="1361" spans="16:16" x14ac:dyDescent="0.4">
      <c r="P1361" s="5"/>
    </row>
    <row r="1362" spans="16:16" x14ac:dyDescent="0.4">
      <c r="P1362" s="5"/>
    </row>
    <row r="1363" spans="16:16" x14ac:dyDescent="0.4">
      <c r="P1363" s="5"/>
    </row>
    <row r="1364" spans="16:16" x14ac:dyDescent="0.4">
      <c r="P1364" s="5"/>
    </row>
    <row r="1365" spans="16:16" x14ac:dyDescent="0.4">
      <c r="P1365" s="5"/>
    </row>
    <row r="1366" spans="16:16" x14ac:dyDescent="0.4">
      <c r="P1366" s="5"/>
    </row>
    <row r="1367" spans="16:16" x14ac:dyDescent="0.4">
      <c r="P1367" s="5"/>
    </row>
    <row r="1368" spans="16:16" x14ac:dyDescent="0.4">
      <c r="P1368" s="5"/>
    </row>
    <row r="1369" spans="16:16" x14ac:dyDescent="0.4">
      <c r="P1369" s="5"/>
    </row>
    <row r="1370" spans="16:16" x14ac:dyDescent="0.4">
      <c r="P1370" s="5"/>
    </row>
    <row r="1371" spans="16:16" x14ac:dyDescent="0.4">
      <c r="P1371" s="5"/>
    </row>
    <row r="1372" spans="16:16" x14ac:dyDescent="0.4">
      <c r="P1372" s="5"/>
    </row>
    <row r="1373" spans="16:16" x14ac:dyDescent="0.4">
      <c r="P1373" s="5"/>
    </row>
    <row r="1374" spans="16:16" x14ac:dyDescent="0.4">
      <c r="P1374" s="5"/>
    </row>
    <row r="1375" spans="16:16" x14ac:dyDescent="0.4">
      <c r="P1375" s="5"/>
    </row>
    <row r="1376" spans="16:16" x14ac:dyDescent="0.4">
      <c r="P1376" s="5"/>
    </row>
    <row r="1377" spans="16:16" x14ac:dyDescent="0.4">
      <c r="P1377" s="5"/>
    </row>
    <row r="1378" spans="16:16" x14ac:dyDescent="0.4">
      <c r="P1378" s="5"/>
    </row>
    <row r="1379" spans="16:16" x14ac:dyDescent="0.4">
      <c r="P1379" s="5"/>
    </row>
    <row r="1380" spans="16:16" x14ac:dyDescent="0.4">
      <c r="P1380" s="5"/>
    </row>
    <row r="1381" spans="16:16" x14ac:dyDescent="0.4">
      <c r="P1381" s="5"/>
    </row>
    <row r="1382" spans="16:16" x14ac:dyDescent="0.4">
      <c r="P1382" s="5"/>
    </row>
    <row r="1383" spans="16:16" x14ac:dyDescent="0.4">
      <c r="P1383" s="5"/>
    </row>
    <row r="1384" spans="16:16" x14ac:dyDescent="0.4">
      <c r="P1384" s="5"/>
    </row>
    <row r="1385" spans="16:16" x14ac:dyDescent="0.4">
      <c r="P1385" s="5"/>
    </row>
    <row r="1386" spans="16:16" x14ac:dyDescent="0.4">
      <c r="P1386" s="5"/>
    </row>
    <row r="1387" spans="16:16" x14ac:dyDescent="0.4">
      <c r="P1387" s="5"/>
    </row>
    <row r="1388" spans="16:16" x14ac:dyDescent="0.4">
      <c r="P1388" s="5"/>
    </row>
    <row r="1389" spans="16:16" x14ac:dyDescent="0.4">
      <c r="P1389" s="5"/>
    </row>
    <row r="1390" spans="16:16" x14ac:dyDescent="0.4">
      <c r="P1390" s="5"/>
    </row>
    <row r="1391" spans="16:16" x14ac:dyDescent="0.4">
      <c r="P1391" s="5"/>
    </row>
    <row r="1392" spans="16:16" x14ac:dyDescent="0.4">
      <c r="P1392" s="5"/>
    </row>
    <row r="1393" spans="16:16" x14ac:dyDescent="0.4">
      <c r="P1393" s="5"/>
    </row>
    <row r="1394" spans="16:16" x14ac:dyDescent="0.4">
      <c r="P1394" s="5"/>
    </row>
    <row r="1395" spans="16:16" x14ac:dyDescent="0.4">
      <c r="P1395" s="5"/>
    </row>
    <row r="1396" spans="16:16" x14ac:dyDescent="0.4">
      <c r="P1396" s="5"/>
    </row>
    <row r="1397" spans="16:16" x14ac:dyDescent="0.4">
      <c r="P1397" s="5"/>
    </row>
    <row r="1398" spans="16:16" x14ac:dyDescent="0.4">
      <c r="P1398" s="5"/>
    </row>
    <row r="1399" spans="16:16" x14ac:dyDescent="0.4">
      <c r="P1399" s="5"/>
    </row>
    <row r="1400" spans="16:16" x14ac:dyDescent="0.4">
      <c r="P1400" s="5"/>
    </row>
    <row r="1401" spans="16:16" x14ac:dyDescent="0.4">
      <c r="P1401" s="5"/>
    </row>
    <row r="1402" spans="16:16" x14ac:dyDescent="0.4">
      <c r="P1402" s="5"/>
    </row>
    <row r="1403" spans="16:16" x14ac:dyDescent="0.4">
      <c r="P1403" s="5"/>
    </row>
    <row r="1404" spans="16:16" x14ac:dyDescent="0.4">
      <c r="P1404" s="5"/>
    </row>
    <row r="1405" spans="16:16" x14ac:dyDescent="0.4">
      <c r="P1405" s="5"/>
    </row>
    <row r="1406" spans="16:16" x14ac:dyDescent="0.4">
      <c r="P1406" s="5"/>
    </row>
    <row r="1407" spans="16:16" x14ac:dyDescent="0.4">
      <c r="P1407" s="5"/>
    </row>
    <row r="1408" spans="16:16" x14ac:dyDescent="0.4">
      <c r="P1408" s="5"/>
    </row>
    <row r="1409" spans="16:16" x14ac:dyDescent="0.4">
      <c r="P1409" s="5"/>
    </row>
    <row r="1410" spans="16:16" x14ac:dyDescent="0.4">
      <c r="P1410" s="5"/>
    </row>
    <row r="1411" spans="16:16" x14ac:dyDescent="0.4">
      <c r="P1411" s="5"/>
    </row>
    <row r="1412" spans="16:16" x14ac:dyDescent="0.4">
      <c r="P1412" s="5"/>
    </row>
    <row r="1413" spans="16:16" x14ac:dyDescent="0.4">
      <c r="P1413" s="5"/>
    </row>
    <row r="1414" spans="16:16" x14ac:dyDescent="0.4">
      <c r="P1414" s="5"/>
    </row>
    <row r="1415" spans="16:16" x14ac:dyDescent="0.4">
      <c r="P1415" s="5"/>
    </row>
    <row r="1416" spans="16:16" x14ac:dyDescent="0.4">
      <c r="P1416" s="5"/>
    </row>
    <row r="1417" spans="16:16" x14ac:dyDescent="0.4">
      <c r="P1417" s="5"/>
    </row>
    <row r="1418" spans="16:16" x14ac:dyDescent="0.4">
      <c r="P1418" s="5"/>
    </row>
    <row r="1419" spans="16:16" x14ac:dyDescent="0.4">
      <c r="P1419" s="5"/>
    </row>
    <row r="1420" spans="16:16" x14ac:dyDescent="0.4">
      <c r="P1420" s="5"/>
    </row>
    <row r="1421" spans="16:16" x14ac:dyDescent="0.4">
      <c r="P1421" s="5"/>
    </row>
    <row r="1422" spans="16:16" x14ac:dyDescent="0.4">
      <c r="P1422" s="5"/>
    </row>
    <row r="1423" spans="16:16" x14ac:dyDescent="0.4">
      <c r="P1423" s="5"/>
    </row>
    <row r="1424" spans="16:16" x14ac:dyDescent="0.4">
      <c r="P1424" s="5"/>
    </row>
    <row r="1425" spans="16:16" x14ac:dyDescent="0.4">
      <c r="P1425" s="5"/>
    </row>
    <row r="1426" spans="16:16" x14ac:dyDescent="0.4">
      <c r="P1426" s="5"/>
    </row>
    <row r="1427" spans="16:16" x14ac:dyDescent="0.4">
      <c r="P1427" s="5"/>
    </row>
    <row r="1428" spans="16:16" x14ac:dyDescent="0.4">
      <c r="P1428" s="5"/>
    </row>
    <row r="1429" spans="16:16" x14ac:dyDescent="0.4">
      <c r="P1429" s="5"/>
    </row>
    <row r="1430" spans="16:16" x14ac:dyDescent="0.4">
      <c r="P1430" s="5"/>
    </row>
    <row r="1431" spans="16:16" x14ac:dyDescent="0.4">
      <c r="P1431" s="5"/>
    </row>
    <row r="1432" spans="16:16" x14ac:dyDescent="0.4">
      <c r="P1432" s="5"/>
    </row>
    <row r="1433" spans="16:16" x14ac:dyDescent="0.4">
      <c r="P1433" s="5"/>
    </row>
    <row r="1434" spans="16:16" x14ac:dyDescent="0.4">
      <c r="P1434" s="5"/>
    </row>
    <row r="1435" spans="16:16" x14ac:dyDescent="0.4">
      <c r="P1435" s="5"/>
    </row>
    <row r="1436" spans="16:16" x14ac:dyDescent="0.4">
      <c r="P1436" s="5"/>
    </row>
    <row r="1437" spans="16:16" x14ac:dyDescent="0.4">
      <c r="P1437" s="5"/>
    </row>
    <row r="1438" spans="16:16" x14ac:dyDescent="0.4">
      <c r="P1438" s="5"/>
    </row>
    <row r="1439" spans="16:16" x14ac:dyDescent="0.4">
      <c r="P1439" s="5"/>
    </row>
    <row r="1440" spans="16:16" x14ac:dyDescent="0.4">
      <c r="P1440" s="5"/>
    </row>
    <row r="1441" spans="16:16" x14ac:dyDescent="0.4">
      <c r="P1441" s="5"/>
    </row>
    <row r="1442" spans="16:16" x14ac:dyDescent="0.4">
      <c r="P1442" s="5"/>
    </row>
    <row r="1443" spans="16:16" x14ac:dyDescent="0.4">
      <c r="P1443" s="5"/>
    </row>
    <row r="1444" spans="16:16" x14ac:dyDescent="0.4">
      <c r="P1444" s="5"/>
    </row>
    <row r="1445" spans="16:16" x14ac:dyDescent="0.4">
      <c r="P1445" s="5"/>
    </row>
    <row r="1446" spans="16:16" x14ac:dyDescent="0.4">
      <c r="P1446" s="5"/>
    </row>
    <row r="1447" spans="16:16" x14ac:dyDescent="0.4">
      <c r="P1447" s="5"/>
    </row>
    <row r="1448" spans="16:16" x14ac:dyDescent="0.4">
      <c r="P1448" s="5"/>
    </row>
    <row r="1449" spans="16:16" x14ac:dyDescent="0.4">
      <c r="P1449" s="5"/>
    </row>
    <row r="1450" spans="16:16" x14ac:dyDescent="0.4">
      <c r="P1450" s="5"/>
    </row>
    <row r="1451" spans="16:16" x14ac:dyDescent="0.4">
      <c r="P1451" s="5"/>
    </row>
    <row r="1452" spans="16:16" x14ac:dyDescent="0.4">
      <c r="P1452" s="5"/>
    </row>
    <row r="1453" spans="16:16" x14ac:dyDescent="0.4">
      <c r="P1453" s="5"/>
    </row>
    <row r="1454" spans="16:16" x14ac:dyDescent="0.4">
      <c r="P1454" s="5"/>
    </row>
    <row r="1455" spans="16:16" x14ac:dyDescent="0.4">
      <c r="P1455" s="5"/>
    </row>
    <row r="1456" spans="16:16" x14ac:dyDescent="0.4">
      <c r="P1456" s="5"/>
    </row>
    <row r="1457" spans="16:16" x14ac:dyDescent="0.4">
      <c r="P1457" s="5"/>
    </row>
    <row r="1458" spans="16:16" x14ac:dyDescent="0.4">
      <c r="P1458" s="5"/>
    </row>
    <row r="1459" spans="16:16" x14ac:dyDescent="0.4">
      <c r="P1459" s="5"/>
    </row>
    <row r="1460" spans="16:16" x14ac:dyDescent="0.4">
      <c r="P1460" s="5"/>
    </row>
    <row r="1461" spans="16:16" x14ac:dyDescent="0.4">
      <c r="P1461" s="5"/>
    </row>
    <row r="1462" spans="16:16" x14ac:dyDescent="0.4">
      <c r="P1462" s="5"/>
    </row>
    <row r="1463" spans="16:16" x14ac:dyDescent="0.4">
      <c r="P1463" s="5"/>
    </row>
    <row r="1464" spans="16:16" x14ac:dyDescent="0.4">
      <c r="P1464" s="5"/>
    </row>
    <row r="1465" spans="16:16" x14ac:dyDescent="0.4">
      <c r="P1465" s="5"/>
    </row>
    <row r="1466" spans="16:16" x14ac:dyDescent="0.4">
      <c r="P1466" s="5"/>
    </row>
    <row r="1467" spans="16:16" x14ac:dyDescent="0.4">
      <c r="P1467" s="5"/>
    </row>
    <row r="1468" spans="16:16" x14ac:dyDescent="0.4">
      <c r="P1468" s="5"/>
    </row>
    <row r="1469" spans="16:16" x14ac:dyDescent="0.4">
      <c r="P1469" s="5"/>
    </row>
    <row r="1470" spans="16:16" x14ac:dyDescent="0.4">
      <c r="P1470" s="5"/>
    </row>
    <row r="1471" spans="16:16" x14ac:dyDescent="0.4">
      <c r="P1471" s="5"/>
    </row>
    <row r="1472" spans="16:16" x14ac:dyDescent="0.4">
      <c r="P1472" s="5"/>
    </row>
    <row r="1473" spans="16:16" x14ac:dyDescent="0.4">
      <c r="P1473" s="5"/>
    </row>
    <row r="1474" spans="16:16" x14ac:dyDescent="0.4">
      <c r="P1474" s="5"/>
    </row>
    <row r="1475" spans="16:16" x14ac:dyDescent="0.4">
      <c r="P1475" s="5"/>
    </row>
    <row r="1476" spans="16:16" x14ac:dyDescent="0.4">
      <c r="P1476" s="5"/>
    </row>
    <row r="1477" spans="16:16" x14ac:dyDescent="0.4">
      <c r="P1477" s="5"/>
    </row>
    <row r="1478" spans="16:16" x14ac:dyDescent="0.4">
      <c r="P1478" s="5"/>
    </row>
    <row r="1479" spans="16:16" x14ac:dyDescent="0.4">
      <c r="P1479" s="5"/>
    </row>
    <row r="1480" spans="16:16" x14ac:dyDescent="0.4">
      <c r="P1480" s="5"/>
    </row>
    <row r="1481" spans="16:16" x14ac:dyDescent="0.4">
      <c r="P1481" s="5"/>
    </row>
    <row r="1482" spans="16:16" x14ac:dyDescent="0.4">
      <c r="P1482" s="5"/>
    </row>
    <row r="1483" spans="16:16" x14ac:dyDescent="0.4">
      <c r="P1483" s="5"/>
    </row>
    <row r="1484" spans="16:16" x14ac:dyDescent="0.4">
      <c r="P1484" s="5"/>
    </row>
    <row r="1485" spans="16:16" x14ac:dyDescent="0.4">
      <c r="P1485" s="5"/>
    </row>
    <row r="1486" spans="16:16" x14ac:dyDescent="0.4">
      <c r="P1486" s="5"/>
    </row>
    <row r="1487" spans="16:16" x14ac:dyDescent="0.4">
      <c r="P1487" s="5"/>
    </row>
    <row r="1488" spans="16:16" x14ac:dyDescent="0.4">
      <c r="P1488" s="5"/>
    </row>
    <row r="1489" spans="16:16" x14ac:dyDescent="0.4">
      <c r="P1489" s="5"/>
    </row>
    <row r="1490" spans="16:16" x14ac:dyDescent="0.4">
      <c r="P1490" s="5"/>
    </row>
    <row r="1491" spans="16:16" x14ac:dyDescent="0.4">
      <c r="P1491" s="5"/>
    </row>
    <row r="1492" spans="16:16" x14ac:dyDescent="0.4">
      <c r="P1492" s="5"/>
    </row>
    <row r="1493" spans="16:16" x14ac:dyDescent="0.4">
      <c r="P1493" s="5"/>
    </row>
    <row r="1494" spans="16:16" x14ac:dyDescent="0.4">
      <c r="P1494" s="5"/>
    </row>
    <row r="1495" spans="16:16" x14ac:dyDescent="0.4">
      <c r="P1495" s="5"/>
    </row>
    <row r="1496" spans="16:16" x14ac:dyDescent="0.4">
      <c r="P1496" s="5"/>
    </row>
    <row r="1497" spans="16:16" x14ac:dyDescent="0.4">
      <c r="P1497" s="5"/>
    </row>
    <row r="1498" spans="16:16" x14ac:dyDescent="0.4">
      <c r="P1498" s="5"/>
    </row>
    <row r="1499" spans="16:16" x14ac:dyDescent="0.4">
      <c r="P1499" s="5"/>
    </row>
    <row r="1500" spans="16:16" x14ac:dyDescent="0.4">
      <c r="P1500" s="5"/>
    </row>
    <row r="1501" spans="16:16" x14ac:dyDescent="0.4">
      <c r="P1501" s="5"/>
    </row>
    <row r="1502" spans="16:16" x14ac:dyDescent="0.4">
      <c r="P1502" s="5"/>
    </row>
    <row r="1503" spans="16:16" x14ac:dyDescent="0.4">
      <c r="P1503" s="5"/>
    </row>
    <row r="1504" spans="16:16" x14ac:dyDescent="0.4">
      <c r="P1504" s="5"/>
    </row>
    <row r="1505" spans="16:16" x14ac:dyDescent="0.4">
      <c r="P1505" s="5"/>
    </row>
    <row r="1506" spans="16:16" x14ac:dyDescent="0.4">
      <c r="P1506" s="5"/>
    </row>
    <row r="1507" spans="16:16" x14ac:dyDescent="0.4">
      <c r="P1507" s="5"/>
    </row>
    <row r="1508" spans="16:16" x14ac:dyDescent="0.4">
      <c r="P1508" s="5"/>
    </row>
    <row r="1509" spans="16:16" x14ac:dyDescent="0.4">
      <c r="P1509" s="5"/>
    </row>
    <row r="1510" spans="16:16" x14ac:dyDescent="0.4">
      <c r="P1510" s="5"/>
    </row>
    <row r="1511" spans="16:16" x14ac:dyDescent="0.4">
      <c r="P1511" s="5"/>
    </row>
    <row r="1512" spans="16:16" x14ac:dyDescent="0.4">
      <c r="P1512" s="5"/>
    </row>
    <row r="1513" spans="16:16" x14ac:dyDescent="0.4">
      <c r="P1513" s="5"/>
    </row>
    <row r="1514" spans="16:16" x14ac:dyDescent="0.4">
      <c r="P1514" s="5"/>
    </row>
    <row r="1515" spans="16:16" x14ac:dyDescent="0.4">
      <c r="P1515" s="5"/>
    </row>
    <row r="1516" spans="16:16" x14ac:dyDescent="0.4">
      <c r="P1516" s="5"/>
    </row>
    <row r="1517" spans="16:16" x14ac:dyDescent="0.4">
      <c r="P1517" s="5"/>
    </row>
    <row r="1518" spans="16:16" x14ac:dyDescent="0.4">
      <c r="P1518" s="5"/>
    </row>
    <row r="1519" spans="16:16" x14ac:dyDescent="0.4">
      <c r="P1519" s="5"/>
    </row>
    <row r="1520" spans="16:16" x14ac:dyDescent="0.4">
      <c r="P1520" s="5"/>
    </row>
    <row r="1521" spans="16:16" x14ac:dyDescent="0.4">
      <c r="P1521" s="5"/>
    </row>
    <row r="1522" spans="16:16" x14ac:dyDescent="0.4">
      <c r="P1522" s="5"/>
    </row>
    <row r="1523" spans="16:16" x14ac:dyDescent="0.4">
      <c r="P1523" s="5"/>
    </row>
    <row r="1524" spans="16:16" x14ac:dyDescent="0.4">
      <c r="P1524" s="5"/>
    </row>
    <row r="1525" spans="16:16" x14ac:dyDescent="0.4">
      <c r="P1525" s="5"/>
    </row>
    <row r="1526" spans="16:16" x14ac:dyDescent="0.4">
      <c r="P1526" s="5"/>
    </row>
    <row r="1527" spans="16:16" x14ac:dyDescent="0.4">
      <c r="P1527" s="5"/>
    </row>
    <row r="1528" spans="16:16" x14ac:dyDescent="0.4">
      <c r="P1528" s="5"/>
    </row>
    <row r="1529" spans="16:16" x14ac:dyDescent="0.4">
      <c r="P1529" s="5"/>
    </row>
    <row r="1530" spans="16:16" x14ac:dyDescent="0.4">
      <c r="P1530" s="5"/>
    </row>
    <row r="1531" spans="16:16" x14ac:dyDescent="0.4">
      <c r="P1531" s="5"/>
    </row>
    <row r="1532" spans="16:16" x14ac:dyDescent="0.4">
      <c r="P1532" s="5"/>
    </row>
    <row r="1533" spans="16:16" x14ac:dyDescent="0.4">
      <c r="P1533" s="5"/>
    </row>
    <row r="1534" spans="16:16" x14ac:dyDescent="0.4">
      <c r="P1534" s="5"/>
    </row>
    <row r="1535" spans="16:16" x14ac:dyDescent="0.4">
      <c r="P1535" s="5"/>
    </row>
    <row r="1536" spans="16:16" x14ac:dyDescent="0.4">
      <c r="P1536" s="5"/>
    </row>
    <row r="1537" spans="16:16" x14ac:dyDescent="0.4">
      <c r="P1537" s="5"/>
    </row>
    <row r="1538" spans="16:16" x14ac:dyDescent="0.4">
      <c r="P1538" s="5"/>
    </row>
    <row r="1539" spans="16:16" x14ac:dyDescent="0.4">
      <c r="P1539" s="5"/>
    </row>
    <row r="1540" spans="16:16" x14ac:dyDescent="0.4">
      <c r="P1540" s="5"/>
    </row>
    <row r="1541" spans="16:16" x14ac:dyDescent="0.4">
      <c r="P1541" s="5"/>
    </row>
    <row r="1542" spans="16:16" x14ac:dyDescent="0.4">
      <c r="P1542" s="5"/>
    </row>
    <row r="1543" spans="16:16" x14ac:dyDescent="0.4">
      <c r="P1543" s="5"/>
    </row>
    <row r="1544" spans="16:16" x14ac:dyDescent="0.4">
      <c r="P1544" s="5"/>
    </row>
    <row r="1545" spans="16:16" x14ac:dyDescent="0.4">
      <c r="P1545" s="5"/>
    </row>
    <row r="1546" spans="16:16" x14ac:dyDescent="0.4">
      <c r="P1546" s="5"/>
    </row>
    <row r="1547" spans="16:16" x14ac:dyDescent="0.4">
      <c r="P1547" s="5"/>
    </row>
    <row r="1548" spans="16:16" x14ac:dyDescent="0.4">
      <c r="P1548" s="5"/>
    </row>
    <row r="1549" spans="16:16" x14ac:dyDescent="0.4">
      <c r="P1549" s="5"/>
    </row>
    <row r="1550" spans="16:16" x14ac:dyDescent="0.4">
      <c r="P1550" s="5"/>
    </row>
    <row r="1551" spans="16:16" x14ac:dyDescent="0.4">
      <c r="P1551" s="5"/>
    </row>
    <row r="1552" spans="16:16" x14ac:dyDescent="0.4">
      <c r="P1552" s="5"/>
    </row>
    <row r="1553" spans="16:16" x14ac:dyDescent="0.4">
      <c r="P1553" s="5"/>
    </row>
    <row r="1554" spans="16:16" x14ac:dyDescent="0.4">
      <c r="P1554" s="5"/>
    </row>
    <row r="1555" spans="16:16" x14ac:dyDescent="0.4">
      <c r="P1555" s="5"/>
    </row>
    <row r="1556" spans="16:16" x14ac:dyDescent="0.4">
      <c r="P1556" s="5"/>
    </row>
    <row r="1557" spans="16:16" x14ac:dyDescent="0.4">
      <c r="P1557" s="5"/>
    </row>
    <row r="1558" spans="16:16" x14ac:dyDescent="0.4">
      <c r="P1558" s="5"/>
    </row>
    <row r="1559" spans="16:16" x14ac:dyDescent="0.4">
      <c r="P1559" s="5"/>
    </row>
    <row r="1560" spans="16:16" x14ac:dyDescent="0.4">
      <c r="P1560" s="5"/>
    </row>
    <row r="1561" spans="16:16" x14ac:dyDescent="0.4">
      <c r="P1561" s="5"/>
    </row>
    <row r="1562" spans="16:16" x14ac:dyDescent="0.4">
      <c r="P1562" s="5"/>
    </row>
    <row r="1563" spans="16:16" x14ac:dyDescent="0.4">
      <c r="P1563" s="5"/>
    </row>
    <row r="1564" spans="16:16" x14ac:dyDescent="0.4">
      <c r="P1564" s="5"/>
    </row>
    <row r="1565" spans="16:16" x14ac:dyDescent="0.4">
      <c r="P1565" s="5"/>
    </row>
    <row r="1566" spans="16:16" x14ac:dyDescent="0.4">
      <c r="P1566" s="5"/>
    </row>
    <row r="1567" spans="16:16" x14ac:dyDescent="0.4">
      <c r="P1567" s="5"/>
    </row>
    <row r="1568" spans="16:16" x14ac:dyDescent="0.4">
      <c r="P1568" s="5"/>
    </row>
    <row r="1569" spans="16:16" x14ac:dyDescent="0.4">
      <c r="P1569" s="5"/>
    </row>
    <row r="1570" spans="16:16" x14ac:dyDescent="0.4">
      <c r="P1570" s="5"/>
    </row>
    <row r="1571" spans="16:16" x14ac:dyDescent="0.4">
      <c r="P1571" s="5"/>
    </row>
    <row r="1572" spans="16:16" x14ac:dyDescent="0.4">
      <c r="P1572" s="5"/>
    </row>
    <row r="1573" spans="16:16" x14ac:dyDescent="0.4">
      <c r="P1573" s="5"/>
    </row>
    <row r="1574" spans="16:16" x14ac:dyDescent="0.4">
      <c r="P1574" s="5"/>
    </row>
    <row r="1575" spans="16:16" x14ac:dyDescent="0.4">
      <c r="P1575" s="5"/>
    </row>
    <row r="1576" spans="16:16" x14ac:dyDescent="0.4">
      <c r="P1576" s="5"/>
    </row>
    <row r="1577" spans="16:16" x14ac:dyDescent="0.4">
      <c r="P1577" s="5"/>
    </row>
    <row r="1578" spans="16:16" x14ac:dyDescent="0.4">
      <c r="P1578" s="5"/>
    </row>
    <row r="1579" spans="16:16" x14ac:dyDescent="0.4">
      <c r="P1579" s="5"/>
    </row>
    <row r="1580" spans="16:16" x14ac:dyDescent="0.4">
      <c r="P1580" s="5"/>
    </row>
    <row r="1581" spans="16:16" x14ac:dyDescent="0.4">
      <c r="P1581" s="5"/>
    </row>
    <row r="1582" spans="16:16" x14ac:dyDescent="0.4">
      <c r="P1582" s="5"/>
    </row>
    <row r="1583" spans="16:16" x14ac:dyDescent="0.4">
      <c r="P1583" s="5"/>
    </row>
    <row r="1584" spans="16:16" x14ac:dyDescent="0.4">
      <c r="P1584" s="5"/>
    </row>
    <row r="1585" spans="16:16" x14ac:dyDescent="0.4">
      <c r="P1585" s="5"/>
    </row>
    <row r="1586" spans="16:16" x14ac:dyDescent="0.4">
      <c r="P1586" s="5"/>
    </row>
    <row r="1587" spans="16:16" x14ac:dyDescent="0.4">
      <c r="P1587" s="5"/>
    </row>
    <row r="1588" spans="16:16" x14ac:dyDescent="0.4">
      <c r="P1588" s="5"/>
    </row>
    <row r="1589" spans="16:16" x14ac:dyDescent="0.4">
      <c r="P1589" s="5"/>
    </row>
    <row r="1590" spans="16:16" x14ac:dyDescent="0.4">
      <c r="P1590" s="5"/>
    </row>
    <row r="1591" spans="16:16" x14ac:dyDescent="0.4">
      <c r="P1591" s="5"/>
    </row>
    <row r="1592" spans="16:16" x14ac:dyDescent="0.4">
      <c r="P1592" s="5"/>
    </row>
    <row r="1593" spans="16:16" x14ac:dyDescent="0.4">
      <c r="P1593" s="5"/>
    </row>
    <row r="1594" spans="16:16" x14ac:dyDescent="0.4">
      <c r="P1594" s="5"/>
    </row>
    <row r="1595" spans="16:16" x14ac:dyDescent="0.4">
      <c r="P1595" s="5"/>
    </row>
    <row r="1596" spans="16:16" x14ac:dyDescent="0.4">
      <c r="P1596" s="5"/>
    </row>
    <row r="1597" spans="16:16" x14ac:dyDescent="0.4">
      <c r="P1597" s="5"/>
    </row>
    <row r="1598" spans="16:16" x14ac:dyDescent="0.4">
      <c r="P1598" s="5"/>
    </row>
    <row r="1599" spans="16:16" x14ac:dyDescent="0.4">
      <c r="P1599" s="5"/>
    </row>
    <row r="1600" spans="16:16" x14ac:dyDescent="0.4">
      <c r="P1600" s="5"/>
    </row>
    <row r="1601" spans="16:16" x14ac:dyDescent="0.4">
      <c r="P1601" s="5"/>
    </row>
    <row r="1602" spans="16:16" x14ac:dyDescent="0.4">
      <c r="P1602" s="5"/>
    </row>
    <row r="1603" spans="16:16" x14ac:dyDescent="0.4">
      <c r="P1603" s="5"/>
    </row>
    <row r="1604" spans="16:16" x14ac:dyDescent="0.4">
      <c r="P1604" s="5"/>
    </row>
    <row r="1605" spans="16:16" x14ac:dyDescent="0.4">
      <c r="P1605" s="5"/>
    </row>
    <row r="1606" spans="16:16" x14ac:dyDescent="0.4">
      <c r="P1606" s="5"/>
    </row>
    <row r="1607" spans="16:16" x14ac:dyDescent="0.4">
      <c r="P1607" s="5"/>
    </row>
    <row r="1608" spans="16:16" x14ac:dyDescent="0.4">
      <c r="P1608" s="5"/>
    </row>
    <row r="1609" spans="16:16" x14ac:dyDescent="0.4">
      <c r="P1609" s="5"/>
    </row>
    <row r="1610" spans="16:16" x14ac:dyDescent="0.4">
      <c r="P1610" s="5"/>
    </row>
    <row r="1611" spans="16:16" x14ac:dyDescent="0.4">
      <c r="P1611" s="5"/>
    </row>
    <row r="1612" spans="16:16" x14ac:dyDescent="0.4">
      <c r="P1612" s="5"/>
    </row>
    <row r="1613" spans="16:16" x14ac:dyDescent="0.4">
      <c r="P1613" s="5"/>
    </row>
    <row r="1614" spans="16:16" x14ac:dyDescent="0.4">
      <c r="P1614" s="5"/>
    </row>
    <row r="1615" spans="16:16" x14ac:dyDescent="0.4">
      <c r="P1615" s="5"/>
    </row>
    <row r="1616" spans="16:16" x14ac:dyDescent="0.4">
      <c r="P1616" s="5"/>
    </row>
    <row r="1617" spans="16:16" x14ac:dyDescent="0.4">
      <c r="P1617" s="5"/>
    </row>
    <row r="1618" spans="16:16" x14ac:dyDescent="0.4">
      <c r="P1618" s="5"/>
    </row>
    <row r="1619" spans="16:16" x14ac:dyDescent="0.4">
      <c r="P1619" s="5"/>
    </row>
    <row r="1620" spans="16:16" x14ac:dyDescent="0.4">
      <c r="P1620" s="5"/>
    </row>
    <row r="1621" spans="16:16" x14ac:dyDescent="0.4">
      <c r="P1621" s="5"/>
    </row>
    <row r="1622" spans="16:16" x14ac:dyDescent="0.4">
      <c r="P1622" s="5"/>
    </row>
    <row r="1623" spans="16:16" x14ac:dyDescent="0.4">
      <c r="P1623" s="5"/>
    </row>
    <row r="1624" spans="16:16" x14ac:dyDescent="0.4">
      <c r="P1624" s="5"/>
    </row>
    <row r="1625" spans="16:16" x14ac:dyDescent="0.4">
      <c r="P1625" s="5"/>
    </row>
    <row r="1626" spans="16:16" x14ac:dyDescent="0.4">
      <c r="P1626" s="5"/>
    </row>
    <row r="1627" spans="16:16" x14ac:dyDescent="0.4">
      <c r="P1627" s="5"/>
    </row>
    <row r="1628" spans="16:16" x14ac:dyDescent="0.4">
      <c r="P1628" s="5"/>
    </row>
    <row r="1629" spans="16:16" x14ac:dyDescent="0.4">
      <c r="P1629" s="5"/>
    </row>
    <row r="1630" spans="16:16" x14ac:dyDescent="0.4">
      <c r="P1630" s="5"/>
    </row>
    <row r="1631" spans="16:16" x14ac:dyDescent="0.4">
      <c r="P1631" s="5"/>
    </row>
    <row r="1632" spans="16:16" x14ac:dyDescent="0.4">
      <c r="P1632" s="5"/>
    </row>
    <row r="1633" spans="16:16" x14ac:dyDescent="0.4">
      <c r="P1633" s="5"/>
    </row>
    <row r="1634" spans="16:16" x14ac:dyDescent="0.4">
      <c r="P1634" s="5"/>
    </row>
    <row r="1635" spans="16:16" x14ac:dyDescent="0.4">
      <c r="P1635" s="5"/>
    </row>
    <row r="1636" spans="16:16" x14ac:dyDescent="0.4">
      <c r="P1636" s="5"/>
    </row>
    <row r="1637" spans="16:16" x14ac:dyDescent="0.4">
      <c r="P1637" s="5"/>
    </row>
    <row r="1638" spans="16:16" x14ac:dyDescent="0.4">
      <c r="P1638" s="5"/>
    </row>
    <row r="1639" spans="16:16" x14ac:dyDescent="0.4">
      <c r="P1639" s="5"/>
    </row>
    <row r="1640" spans="16:16" x14ac:dyDescent="0.4">
      <c r="P1640" s="5"/>
    </row>
    <row r="1641" spans="16:16" x14ac:dyDescent="0.4">
      <c r="P1641" s="5"/>
    </row>
    <row r="1642" spans="16:16" x14ac:dyDescent="0.4">
      <c r="P1642" s="5"/>
    </row>
    <row r="1643" spans="16:16" x14ac:dyDescent="0.4">
      <c r="P1643" s="5"/>
    </row>
    <row r="1644" spans="16:16" x14ac:dyDescent="0.4">
      <c r="P1644" s="5"/>
    </row>
    <row r="1645" spans="16:16" x14ac:dyDescent="0.4">
      <c r="P1645" s="5"/>
    </row>
    <row r="1646" spans="16:16" x14ac:dyDescent="0.4">
      <c r="P1646" s="5"/>
    </row>
    <row r="1647" spans="16:16" x14ac:dyDescent="0.4">
      <c r="P1647" s="5"/>
    </row>
    <row r="1648" spans="16:16" x14ac:dyDescent="0.4">
      <c r="P1648" s="5"/>
    </row>
    <row r="1649" spans="16:16" x14ac:dyDescent="0.4">
      <c r="P1649" s="5"/>
    </row>
    <row r="1650" spans="16:16" x14ac:dyDescent="0.4">
      <c r="P1650" s="5"/>
    </row>
    <row r="1651" spans="16:16" x14ac:dyDescent="0.4">
      <c r="P1651" s="5"/>
    </row>
    <row r="1652" spans="16:16" x14ac:dyDescent="0.4">
      <c r="P1652" s="5"/>
    </row>
    <row r="1653" spans="16:16" x14ac:dyDescent="0.4">
      <c r="P1653" s="5"/>
    </row>
    <row r="1654" spans="16:16" x14ac:dyDescent="0.4">
      <c r="P1654" s="5"/>
    </row>
    <row r="1655" spans="16:16" x14ac:dyDescent="0.4">
      <c r="P1655" s="5"/>
    </row>
    <row r="1656" spans="16:16" x14ac:dyDescent="0.4">
      <c r="P1656" s="5"/>
    </row>
    <row r="1657" spans="16:16" x14ac:dyDescent="0.4">
      <c r="P1657" s="5"/>
    </row>
    <row r="1658" spans="16:16" x14ac:dyDescent="0.4">
      <c r="P1658" s="5"/>
    </row>
    <row r="1659" spans="16:16" x14ac:dyDescent="0.4">
      <c r="P1659" s="5"/>
    </row>
    <row r="1660" spans="16:16" x14ac:dyDescent="0.4">
      <c r="P1660" s="5"/>
    </row>
    <row r="1661" spans="16:16" x14ac:dyDescent="0.4">
      <c r="P1661" s="5"/>
    </row>
    <row r="1662" spans="16:16" x14ac:dyDescent="0.4">
      <c r="P1662" s="5"/>
    </row>
    <row r="1663" spans="16:16" x14ac:dyDescent="0.4">
      <c r="P1663" s="5"/>
    </row>
    <row r="1664" spans="16:16" x14ac:dyDescent="0.4">
      <c r="P1664" s="5"/>
    </row>
    <row r="1665" spans="16:16" x14ac:dyDescent="0.4">
      <c r="P1665" s="5"/>
    </row>
    <row r="1666" spans="16:16" x14ac:dyDescent="0.4">
      <c r="P1666" s="5"/>
    </row>
    <row r="1667" spans="16:16" x14ac:dyDescent="0.4">
      <c r="P1667" s="5"/>
    </row>
    <row r="1668" spans="16:16" x14ac:dyDescent="0.4">
      <c r="P1668" s="5"/>
    </row>
    <row r="1669" spans="16:16" x14ac:dyDescent="0.4">
      <c r="P1669" s="5"/>
    </row>
    <row r="1670" spans="16:16" x14ac:dyDescent="0.4">
      <c r="P1670" s="5"/>
    </row>
    <row r="1671" spans="16:16" x14ac:dyDescent="0.4">
      <c r="P1671" s="5"/>
    </row>
    <row r="1672" spans="16:16" x14ac:dyDescent="0.4">
      <c r="P1672" s="5"/>
    </row>
    <row r="1673" spans="16:16" x14ac:dyDescent="0.4">
      <c r="P1673" s="5"/>
    </row>
    <row r="1674" spans="16:16" x14ac:dyDescent="0.4">
      <c r="P1674" s="5"/>
    </row>
    <row r="1675" spans="16:16" x14ac:dyDescent="0.4">
      <c r="P1675" s="5"/>
    </row>
    <row r="1676" spans="16:16" x14ac:dyDescent="0.4">
      <c r="P1676" s="5"/>
    </row>
    <row r="1677" spans="16:16" x14ac:dyDescent="0.4">
      <c r="P1677" s="5"/>
    </row>
    <row r="1678" spans="16:16" x14ac:dyDescent="0.4">
      <c r="P1678" s="5"/>
    </row>
    <row r="1679" spans="16:16" x14ac:dyDescent="0.4">
      <c r="P1679" s="5"/>
    </row>
    <row r="1680" spans="16:16" x14ac:dyDescent="0.4">
      <c r="P1680" s="5"/>
    </row>
    <row r="1681" spans="16:16" x14ac:dyDescent="0.4">
      <c r="P1681" s="5"/>
    </row>
    <row r="1682" spans="16:16" x14ac:dyDescent="0.4">
      <c r="P1682" s="5"/>
    </row>
    <row r="1683" spans="16:16" x14ac:dyDescent="0.4">
      <c r="P1683" s="5"/>
    </row>
    <row r="1684" spans="16:16" x14ac:dyDescent="0.4">
      <c r="P1684" s="5"/>
    </row>
    <row r="1685" spans="16:16" x14ac:dyDescent="0.4">
      <c r="P1685" s="5"/>
    </row>
    <row r="1686" spans="16:16" x14ac:dyDescent="0.4">
      <c r="P1686" s="5"/>
    </row>
    <row r="1687" spans="16:16" x14ac:dyDescent="0.4">
      <c r="P1687" s="5"/>
    </row>
    <row r="1688" spans="16:16" x14ac:dyDescent="0.4">
      <c r="P1688" s="5"/>
    </row>
    <row r="1689" spans="16:16" x14ac:dyDescent="0.4">
      <c r="P1689" s="5"/>
    </row>
    <row r="1690" spans="16:16" x14ac:dyDescent="0.4">
      <c r="P1690" s="5"/>
    </row>
    <row r="1691" spans="16:16" x14ac:dyDescent="0.4">
      <c r="P1691" s="5"/>
    </row>
    <row r="1692" spans="16:16" x14ac:dyDescent="0.4">
      <c r="P1692" s="5"/>
    </row>
    <row r="1693" spans="16:16" x14ac:dyDescent="0.4">
      <c r="P1693" s="5"/>
    </row>
    <row r="1694" spans="16:16" x14ac:dyDescent="0.4">
      <c r="P1694" s="5"/>
    </row>
    <row r="1695" spans="16:16" x14ac:dyDescent="0.4">
      <c r="P1695" s="5"/>
    </row>
    <row r="1696" spans="16:16" x14ac:dyDescent="0.4">
      <c r="P1696" s="5"/>
    </row>
    <row r="1697" spans="16:16" x14ac:dyDescent="0.4">
      <c r="P1697" s="5"/>
    </row>
    <row r="1698" spans="16:16" x14ac:dyDescent="0.4">
      <c r="P1698" s="5"/>
    </row>
    <row r="1699" spans="16:16" x14ac:dyDescent="0.4">
      <c r="P1699" s="5"/>
    </row>
    <row r="1700" spans="16:16" x14ac:dyDescent="0.4">
      <c r="P1700" s="5"/>
    </row>
    <row r="1701" spans="16:16" x14ac:dyDescent="0.4">
      <c r="P1701" s="5"/>
    </row>
    <row r="1702" spans="16:16" x14ac:dyDescent="0.4">
      <c r="P1702" s="5"/>
    </row>
    <row r="1703" spans="16:16" x14ac:dyDescent="0.4">
      <c r="P1703" s="5"/>
    </row>
    <row r="1704" spans="16:16" x14ac:dyDescent="0.4">
      <c r="P1704" s="5"/>
    </row>
    <row r="1705" spans="16:16" x14ac:dyDescent="0.4">
      <c r="P1705" s="5"/>
    </row>
    <row r="1706" spans="16:16" x14ac:dyDescent="0.4">
      <c r="P1706" s="5"/>
    </row>
    <row r="1707" spans="16:16" x14ac:dyDescent="0.4">
      <c r="P1707" s="5"/>
    </row>
    <row r="1708" spans="16:16" x14ac:dyDescent="0.4">
      <c r="P1708" s="5"/>
    </row>
    <row r="1709" spans="16:16" x14ac:dyDescent="0.4">
      <c r="P1709" s="5"/>
    </row>
    <row r="1710" spans="16:16" x14ac:dyDescent="0.4">
      <c r="P1710" s="5"/>
    </row>
    <row r="1711" spans="16:16" x14ac:dyDescent="0.4">
      <c r="P1711" s="5"/>
    </row>
    <row r="1712" spans="16:16" x14ac:dyDescent="0.4">
      <c r="P1712" s="5"/>
    </row>
    <row r="1713" spans="16:16" x14ac:dyDescent="0.4">
      <c r="P1713" s="5"/>
    </row>
    <row r="1714" spans="16:16" x14ac:dyDescent="0.4">
      <c r="P1714" s="5"/>
    </row>
    <row r="1715" spans="16:16" x14ac:dyDescent="0.4">
      <c r="P1715" s="5"/>
    </row>
    <row r="1716" spans="16:16" x14ac:dyDescent="0.4">
      <c r="P1716" s="5"/>
    </row>
    <row r="1717" spans="16:16" x14ac:dyDescent="0.4">
      <c r="P1717" s="5"/>
    </row>
    <row r="1718" spans="16:16" x14ac:dyDescent="0.4">
      <c r="P1718" s="5"/>
    </row>
    <row r="1719" spans="16:16" x14ac:dyDescent="0.4">
      <c r="P1719" s="5"/>
    </row>
    <row r="1720" spans="16:16" x14ac:dyDescent="0.4">
      <c r="P1720" s="5"/>
    </row>
    <row r="1721" spans="16:16" x14ac:dyDescent="0.4">
      <c r="P1721" s="5"/>
    </row>
    <row r="1722" spans="16:16" x14ac:dyDescent="0.4">
      <c r="P1722" s="5"/>
    </row>
    <row r="1723" spans="16:16" x14ac:dyDescent="0.4">
      <c r="P1723" s="5"/>
    </row>
    <row r="1724" spans="16:16" x14ac:dyDescent="0.4">
      <c r="P1724" s="5"/>
    </row>
    <row r="1725" spans="16:16" x14ac:dyDescent="0.4">
      <c r="P1725" s="5"/>
    </row>
    <row r="1726" spans="16:16" x14ac:dyDescent="0.4">
      <c r="P1726" s="5"/>
    </row>
    <row r="1727" spans="16:16" x14ac:dyDescent="0.4">
      <c r="P1727" s="5"/>
    </row>
    <row r="1728" spans="16:16" x14ac:dyDescent="0.4">
      <c r="P1728" s="5"/>
    </row>
    <row r="1729" spans="16:16" x14ac:dyDescent="0.4">
      <c r="P1729" s="5"/>
    </row>
    <row r="1730" spans="16:16" x14ac:dyDescent="0.4">
      <c r="P1730" s="5"/>
    </row>
    <row r="1731" spans="16:16" x14ac:dyDescent="0.4">
      <c r="P1731" s="5"/>
    </row>
    <row r="1732" spans="16:16" x14ac:dyDescent="0.4">
      <c r="P1732" s="5"/>
    </row>
    <row r="1733" spans="16:16" x14ac:dyDescent="0.4">
      <c r="P1733" s="5"/>
    </row>
    <row r="1734" spans="16:16" x14ac:dyDescent="0.4">
      <c r="P1734" s="5"/>
    </row>
    <row r="1735" spans="16:16" x14ac:dyDescent="0.4">
      <c r="P1735" s="5"/>
    </row>
    <row r="1736" spans="16:16" x14ac:dyDescent="0.4">
      <c r="P1736" s="5"/>
    </row>
    <row r="1737" spans="16:16" x14ac:dyDescent="0.4">
      <c r="P1737" s="5"/>
    </row>
    <row r="1738" spans="16:16" x14ac:dyDescent="0.4">
      <c r="P1738" s="5"/>
    </row>
    <row r="1739" spans="16:16" x14ac:dyDescent="0.4">
      <c r="P1739" s="5"/>
    </row>
    <row r="1740" spans="16:16" x14ac:dyDescent="0.4">
      <c r="P1740" s="5"/>
    </row>
    <row r="1741" spans="16:16" x14ac:dyDescent="0.4">
      <c r="P1741" s="5"/>
    </row>
    <row r="1742" spans="16:16" x14ac:dyDescent="0.4">
      <c r="P1742" s="5"/>
    </row>
    <row r="1743" spans="16:16" x14ac:dyDescent="0.4">
      <c r="P1743" s="5"/>
    </row>
    <row r="1744" spans="16:16" x14ac:dyDescent="0.4">
      <c r="P1744" s="5"/>
    </row>
    <row r="1745" spans="16:16" x14ac:dyDescent="0.4">
      <c r="P1745" s="5"/>
    </row>
    <row r="1746" spans="16:16" x14ac:dyDescent="0.4">
      <c r="P1746" s="5"/>
    </row>
    <row r="1747" spans="16:16" x14ac:dyDescent="0.4">
      <c r="P1747" s="5"/>
    </row>
    <row r="1748" spans="16:16" x14ac:dyDescent="0.4">
      <c r="P1748" s="5"/>
    </row>
    <row r="1749" spans="16:16" x14ac:dyDescent="0.4">
      <c r="P1749" s="5"/>
    </row>
    <row r="1750" spans="16:16" x14ac:dyDescent="0.4">
      <c r="P1750" s="5"/>
    </row>
    <row r="1751" spans="16:16" x14ac:dyDescent="0.4">
      <c r="P1751" s="5"/>
    </row>
    <row r="1752" spans="16:16" x14ac:dyDescent="0.4">
      <c r="P1752" s="5"/>
    </row>
    <row r="1753" spans="16:16" x14ac:dyDescent="0.4">
      <c r="P1753" s="5"/>
    </row>
    <row r="1754" spans="16:16" x14ac:dyDescent="0.4">
      <c r="P1754" s="5"/>
    </row>
    <row r="1755" spans="16:16" x14ac:dyDescent="0.4">
      <c r="P1755" s="5"/>
    </row>
    <row r="1756" spans="16:16" x14ac:dyDescent="0.4">
      <c r="P1756" s="5"/>
    </row>
    <row r="1757" spans="16:16" x14ac:dyDescent="0.4">
      <c r="P1757" s="5"/>
    </row>
    <row r="1758" spans="16:16" x14ac:dyDescent="0.4">
      <c r="P1758" s="5"/>
    </row>
    <row r="1759" spans="16:16" x14ac:dyDescent="0.4">
      <c r="P1759" s="5"/>
    </row>
    <row r="1760" spans="16:16" x14ac:dyDescent="0.4">
      <c r="P1760" s="5"/>
    </row>
    <row r="1761" spans="16:16" x14ac:dyDescent="0.4">
      <c r="P1761" s="5"/>
    </row>
    <row r="1762" spans="16:16" x14ac:dyDescent="0.4">
      <c r="P1762" s="5"/>
    </row>
    <row r="1763" spans="16:16" x14ac:dyDescent="0.4">
      <c r="P1763" s="5"/>
    </row>
    <row r="1764" spans="16:16" x14ac:dyDescent="0.4">
      <c r="P1764" s="5"/>
    </row>
    <row r="1765" spans="16:16" x14ac:dyDescent="0.4">
      <c r="P1765" s="5"/>
    </row>
    <row r="1766" spans="16:16" x14ac:dyDescent="0.4">
      <c r="P1766" s="5"/>
    </row>
    <row r="1767" spans="16:16" x14ac:dyDescent="0.4">
      <c r="P1767" s="5"/>
    </row>
    <row r="1768" spans="16:16" x14ac:dyDescent="0.4">
      <c r="P1768" s="5"/>
    </row>
    <row r="1769" spans="16:16" x14ac:dyDescent="0.4">
      <c r="P1769" s="5"/>
    </row>
    <row r="1770" spans="16:16" x14ac:dyDescent="0.4">
      <c r="P1770" s="5"/>
    </row>
    <row r="1771" spans="16:16" x14ac:dyDescent="0.4">
      <c r="P1771" s="5"/>
    </row>
    <row r="1772" spans="16:16" x14ac:dyDescent="0.4">
      <c r="P1772" s="5"/>
    </row>
    <row r="1773" spans="16:16" x14ac:dyDescent="0.4">
      <c r="P1773" s="5"/>
    </row>
    <row r="1774" spans="16:16" x14ac:dyDescent="0.4">
      <c r="P1774" s="5"/>
    </row>
    <row r="1775" spans="16:16" x14ac:dyDescent="0.4">
      <c r="P1775" s="5"/>
    </row>
    <row r="1776" spans="16:16" x14ac:dyDescent="0.4">
      <c r="P1776" s="5"/>
    </row>
    <row r="1777" spans="16:16" x14ac:dyDescent="0.4">
      <c r="P1777" s="5"/>
    </row>
    <row r="1778" spans="16:16" x14ac:dyDescent="0.4">
      <c r="P1778" s="5"/>
    </row>
    <row r="1779" spans="16:16" x14ac:dyDescent="0.4">
      <c r="P1779" s="5"/>
    </row>
    <row r="1780" spans="16:16" x14ac:dyDescent="0.4">
      <c r="P1780" s="5"/>
    </row>
    <row r="1781" spans="16:16" x14ac:dyDescent="0.4">
      <c r="P1781" s="5"/>
    </row>
    <row r="1782" spans="16:16" x14ac:dyDescent="0.4">
      <c r="P1782" s="5"/>
    </row>
    <row r="1783" spans="16:16" x14ac:dyDescent="0.4">
      <c r="P1783" s="5"/>
    </row>
    <row r="1784" spans="16:16" x14ac:dyDescent="0.4">
      <c r="P1784" s="5"/>
    </row>
    <row r="1785" spans="16:16" x14ac:dyDescent="0.4">
      <c r="P1785" s="5"/>
    </row>
  </sheetData>
  <mergeCells count="33">
    <mergeCell ref="Q1:Q43"/>
    <mergeCell ref="Q45:Q83"/>
    <mergeCell ref="Q91:Q120"/>
    <mergeCell ref="Q121:Q226"/>
    <mergeCell ref="Q227:Q268"/>
    <mergeCell ref="Q470:Q480"/>
    <mergeCell ref="Q415:Q463"/>
    <mergeCell ref="Q358:Q410"/>
    <mergeCell ref="A11:P11"/>
    <mergeCell ref="M14:N14"/>
    <mergeCell ref="O14:O15"/>
    <mergeCell ref="F14:F15"/>
    <mergeCell ref="E13:I13"/>
    <mergeCell ref="L14:L15"/>
    <mergeCell ref="I14:I15"/>
    <mergeCell ref="P13:P15"/>
    <mergeCell ref="J14:J15"/>
    <mergeCell ref="J13:O13"/>
    <mergeCell ref="E14:E15"/>
    <mergeCell ref="O479:P479"/>
    <mergeCell ref="L479:N479"/>
    <mergeCell ref="K14:K15"/>
    <mergeCell ref="G14:H14"/>
    <mergeCell ref="A10:P10"/>
    <mergeCell ref="A479:E480"/>
    <mergeCell ref="K4:P4"/>
    <mergeCell ref="K5:P5"/>
    <mergeCell ref="K7:P7"/>
    <mergeCell ref="A9:P9"/>
    <mergeCell ref="A13:A15"/>
    <mergeCell ref="C13:C15"/>
    <mergeCell ref="B13:B15"/>
    <mergeCell ref="D13:D15"/>
  </mergeCells>
  <phoneticPr fontId="3" type="noConversion"/>
  <printOptions horizontalCentered="1"/>
  <pageMargins left="0.19685039370078741" right="0" top="1.0236220472440944" bottom="0.39370078740157483" header="0.74803149606299213" footer="0.11811023622047245"/>
  <pageSetup paperSize="9" scale="43" fitToHeight="10000" orientation="landscape" useFirstPageNumber="1" r:id="rId1"/>
  <headerFooter scaleWithDoc="0" alignWithMargins="0">
    <oddFooter>&amp;R&amp;8Сторінка &amp;P</oddFooter>
  </headerFooter>
  <rowBreaks count="2" manualBreakCount="2">
    <brk id="130" max="15" man="1"/>
    <brk id="186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7"/>
  <sheetViews>
    <sheetView showGridLines="0" showZeros="0" tabSelected="1" view="pageBreakPreview" zoomScale="50" zoomScaleNormal="87" zoomScaleSheetLayoutView="50" workbookViewId="0">
      <selection activeCell="J5" sqref="J5"/>
    </sheetView>
  </sheetViews>
  <sheetFormatPr defaultColWidth="9.140625" defaultRowHeight="15.4" x14ac:dyDescent="0.45"/>
  <cols>
    <col min="1" max="1" width="19.140625" style="87" customWidth="1"/>
    <col min="2" max="2" width="22.140625" style="88" customWidth="1"/>
    <col min="3" max="3" width="74.140625" style="89" customWidth="1"/>
    <col min="4" max="4" width="23.140625" style="90" customWidth="1"/>
    <col min="5" max="5" width="23.85546875" style="90" customWidth="1"/>
    <col min="6" max="6" width="23.640625" style="90" customWidth="1"/>
    <col min="7" max="7" width="20.85546875" style="90" customWidth="1"/>
    <col min="8" max="8" width="21.140625" style="90" customWidth="1"/>
    <col min="9" max="9" width="22.5" style="90" customWidth="1"/>
    <col min="10" max="10" width="21.140625" style="90" customWidth="1"/>
    <col min="11" max="11" width="21.35546875" style="90" customWidth="1"/>
    <col min="12" max="12" width="19.140625" style="90" customWidth="1"/>
    <col min="13" max="13" width="18.85546875" style="90" customWidth="1"/>
    <col min="14" max="14" width="23" style="90" customWidth="1"/>
    <col min="15" max="15" width="22.85546875" style="90" customWidth="1"/>
    <col min="16" max="16" width="7.640625" style="132" customWidth="1"/>
    <col min="17" max="17" width="0.140625" style="88" customWidth="1"/>
    <col min="18" max="18" width="23" style="88" customWidth="1"/>
    <col min="19" max="19" width="12.140625" style="88" customWidth="1"/>
    <col min="20" max="20" width="11.35546875" style="88" customWidth="1"/>
    <col min="21" max="21" width="10.85546875" style="88" customWidth="1"/>
    <col min="22" max="16384" width="9.140625" style="88"/>
  </cols>
  <sheetData>
    <row r="1" spans="1:17" ht="27.75" customHeight="1" x14ac:dyDescent="0.85">
      <c r="J1" s="86" t="s">
        <v>754</v>
      </c>
      <c r="K1" s="86"/>
      <c r="L1" s="86"/>
      <c r="M1" s="86"/>
      <c r="N1" s="86"/>
      <c r="O1" s="86"/>
      <c r="P1" s="174"/>
      <c r="Q1" s="174"/>
    </row>
    <row r="2" spans="1:17" ht="24" customHeight="1" x14ac:dyDescent="0.45">
      <c r="J2" s="8" t="s">
        <v>652</v>
      </c>
      <c r="K2" s="8"/>
      <c r="L2" s="8"/>
      <c r="M2" s="8"/>
      <c r="N2" s="8"/>
      <c r="O2" s="8"/>
      <c r="P2" s="174"/>
      <c r="Q2" s="174"/>
    </row>
    <row r="3" spans="1:17" ht="26.25" customHeight="1" x14ac:dyDescent="0.45">
      <c r="J3" s="8" t="s">
        <v>653</v>
      </c>
      <c r="K3" s="8"/>
      <c r="L3" s="8"/>
      <c r="M3" s="8"/>
      <c r="N3" s="8"/>
      <c r="O3" s="8"/>
      <c r="P3" s="174"/>
      <c r="Q3" s="174"/>
    </row>
    <row r="4" spans="1:17" ht="26.25" customHeight="1" x14ac:dyDescent="0.85">
      <c r="J4" s="162" t="s">
        <v>756</v>
      </c>
      <c r="K4" s="162"/>
      <c r="L4" s="162"/>
      <c r="M4" s="162"/>
      <c r="N4" s="162"/>
      <c r="O4" s="162"/>
      <c r="P4" s="174"/>
      <c r="Q4" s="174"/>
    </row>
    <row r="5" spans="1:17" ht="26.25" customHeight="1" x14ac:dyDescent="0.85">
      <c r="J5" s="86"/>
      <c r="K5" s="86"/>
      <c r="L5" s="86"/>
      <c r="M5" s="86"/>
      <c r="N5" s="86"/>
      <c r="O5" s="86"/>
      <c r="P5" s="174"/>
      <c r="Q5" s="174"/>
    </row>
    <row r="6" spans="1:17" ht="26.25" customHeight="1" x14ac:dyDescent="0.85">
      <c r="J6" s="86"/>
      <c r="K6" s="86"/>
      <c r="L6" s="86"/>
      <c r="M6" s="86"/>
      <c r="N6" s="86"/>
      <c r="O6" s="86"/>
      <c r="P6" s="174"/>
      <c r="Q6" s="174"/>
    </row>
    <row r="7" spans="1:17" ht="105.75" customHeight="1" x14ac:dyDescent="0.45">
      <c r="A7" s="177" t="s">
        <v>655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4"/>
      <c r="Q7" s="174"/>
    </row>
    <row r="8" spans="1:17" ht="23.25" customHeight="1" x14ac:dyDescent="0.45">
      <c r="A8" s="176" t="s">
        <v>623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4"/>
      <c r="Q8" s="174"/>
    </row>
    <row r="9" spans="1:17" ht="21" customHeight="1" x14ac:dyDescent="0.45">
      <c r="A9" s="169" t="s">
        <v>520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74"/>
      <c r="Q9" s="174"/>
    </row>
    <row r="10" spans="1:17" s="95" customFormat="1" ht="20.25" customHeight="1" x14ac:dyDescent="0.55000000000000004">
      <c r="A10" s="91"/>
      <c r="B10" s="9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14" t="s">
        <v>345</v>
      </c>
      <c r="P10" s="174"/>
      <c r="Q10" s="174"/>
    </row>
    <row r="11" spans="1:17" s="96" customFormat="1" ht="21.75" customHeight="1" x14ac:dyDescent="0.4">
      <c r="A11" s="178" t="s">
        <v>324</v>
      </c>
      <c r="B11" s="178" t="s">
        <v>314</v>
      </c>
      <c r="C11" s="178" t="s">
        <v>326</v>
      </c>
      <c r="D11" s="170" t="s">
        <v>216</v>
      </c>
      <c r="E11" s="170"/>
      <c r="F11" s="170"/>
      <c r="G11" s="170"/>
      <c r="H11" s="170"/>
      <c r="I11" s="170" t="s">
        <v>217</v>
      </c>
      <c r="J11" s="170"/>
      <c r="K11" s="170"/>
      <c r="L11" s="170"/>
      <c r="M11" s="170"/>
      <c r="N11" s="170"/>
      <c r="O11" s="170" t="s">
        <v>218</v>
      </c>
      <c r="P11" s="174"/>
      <c r="Q11" s="174"/>
    </row>
    <row r="12" spans="1:17" s="96" customFormat="1" ht="29.25" customHeight="1" x14ac:dyDescent="0.4">
      <c r="A12" s="178"/>
      <c r="B12" s="178"/>
      <c r="C12" s="178"/>
      <c r="D12" s="175" t="s">
        <v>315</v>
      </c>
      <c r="E12" s="175" t="s">
        <v>219</v>
      </c>
      <c r="F12" s="159" t="s">
        <v>220</v>
      </c>
      <c r="G12" s="159"/>
      <c r="H12" s="175" t="s">
        <v>221</v>
      </c>
      <c r="I12" s="175" t="s">
        <v>315</v>
      </c>
      <c r="J12" s="175" t="s">
        <v>316</v>
      </c>
      <c r="K12" s="175" t="s">
        <v>219</v>
      </c>
      <c r="L12" s="159" t="s">
        <v>220</v>
      </c>
      <c r="M12" s="159"/>
      <c r="N12" s="175" t="s">
        <v>221</v>
      </c>
      <c r="O12" s="170"/>
      <c r="P12" s="174"/>
      <c r="Q12" s="174"/>
    </row>
    <row r="13" spans="1:17" s="96" customFormat="1" ht="60.75" customHeight="1" x14ac:dyDescent="0.4">
      <c r="A13" s="178"/>
      <c r="B13" s="178"/>
      <c r="C13" s="178"/>
      <c r="D13" s="175"/>
      <c r="E13" s="175"/>
      <c r="F13" s="134" t="s">
        <v>222</v>
      </c>
      <c r="G13" s="134" t="s">
        <v>223</v>
      </c>
      <c r="H13" s="175"/>
      <c r="I13" s="175"/>
      <c r="J13" s="175"/>
      <c r="K13" s="175"/>
      <c r="L13" s="134" t="s">
        <v>222</v>
      </c>
      <c r="M13" s="134" t="s">
        <v>223</v>
      </c>
      <c r="N13" s="175"/>
      <c r="O13" s="170"/>
      <c r="P13" s="174"/>
      <c r="Q13" s="174"/>
    </row>
    <row r="14" spans="1:17" s="96" customFormat="1" ht="21" customHeight="1" x14ac:dyDescent="0.4">
      <c r="A14" s="97" t="s">
        <v>42</v>
      </c>
      <c r="B14" s="98"/>
      <c r="C14" s="99" t="s">
        <v>755</v>
      </c>
      <c r="D14" s="100">
        <f>D16+D18+D19+D21</f>
        <v>346205696.56</v>
      </c>
      <c r="E14" s="100">
        <f t="shared" ref="E14:O14" si="0">E16+E18+E19+E21</f>
        <v>346205696.56</v>
      </c>
      <c r="F14" s="100">
        <f>F16+F18+F19+F21</f>
        <v>259133969</v>
      </c>
      <c r="G14" s="100">
        <f t="shared" si="0"/>
        <v>11293600</v>
      </c>
      <c r="H14" s="100">
        <f t="shared" si="0"/>
        <v>0</v>
      </c>
      <c r="I14" s="100">
        <f t="shared" si="0"/>
        <v>15666509</v>
      </c>
      <c r="J14" s="100">
        <f t="shared" si="0"/>
        <v>15297509</v>
      </c>
      <c r="K14" s="100">
        <f t="shared" si="0"/>
        <v>369000</v>
      </c>
      <c r="L14" s="100">
        <f t="shared" si="0"/>
        <v>0</v>
      </c>
      <c r="M14" s="100">
        <f t="shared" si="0"/>
        <v>208200</v>
      </c>
      <c r="N14" s="100">
        <f t="shared" si="0"/>
        <v>15297509</v>
      </c>
      <c r="O14" s="100">
        <f t="shared" si="0"/>
        <v>361872205.56</v>
      </c>
      <c r="P14" s="174"/>
      <c r="Q14" s="174"/>
    </row>
    <row r="15" spans="1:17" s="96" customFormat="1" ht="83.45" customHeight="1" x14ac:dyDescent="0.4">
      <c r="A15" s="97"/>
      <c r="B15" s="98"/>
      <c r="C15" s="66" t="s">
        <v>624</v>
      </c>
      <c r="D15" s="101">
        <f>D17+D20</f>
        <v>3426052</v>
      </c>
      <c r="E15" s="101">
        <f t="shared" ref="E15:O15" si="1">E17+E20</f>
        <v>3426052</v>
      </c>
      <c r="F15" s="101">
        <f t="shared" si="1"/>
        <v>2531101</v>
      </c>
      <c r="G15" s="101">
        <f t="shared" si="1"/>
        <v>0</v>
      </c>
      <c r="H15" s="101">
        <f t="shared" si="1"/>
        <v>0</v>
      </c>
      <c r="I15" s="101">
        <f t="shared" si="1"/>
        <v>312000</v>
      </c>
      <c r="J15" s="101">
        <f t="shared" si="1"/>
        <v>312000</v>
      </c>
      <c r="K15" s="101">
        <f t="shared" si="1"/>
        <v>0</v>
      </c>
      <c r="L15" s="101">
        <f t="shared" si="1"/>
        <v>0</v>
      </c>
      <c r="M15" s="101">
        <f t="shared" si="1"/>
        <v>0</v>
      </c>
      <c r="N15" s="101">
        <f t="shared" si="1"/>
        <v>312000</v>
      </c>
      <c r="O15" s="101">
        <f t="shared" si="1"/>
        <v>3738052</v>
      </c>
      <c r="P15" s="174"/>
      <c r="Q15" s="174"/>
    </row>
    <row r="16" spans="1:17" ht="37.5" customHeight="1" x14ac:dyDescent="0.45">
      <c r="A16" s="52" t="s">
        <v>114</v>
      </c>
      <c r="B16" s="52" t="s">
        <v>44</v>
      </c>
      <c r="C16" s="41" t="s">
        <v>715</v>
      </c>
      <c r="D16" s="102">
        <f>'дод 3'!E22+'дод 3'!E91+'дод 3'!E186+'дод 3'!E224+'дод 3'!E268+'дод 3'!E277+'дод 3'!E302+'дод 3'!E367+'дод 3'!E379+'дод 3'!E409+'дод 3'!E417+'дод 3'!E424+'дод 3'!E454+'дод 3'!E370+'дод 3'!E433+'дод 3'!E442+'дод 3'!E420+'дод 3'!E468</f>
        <v>343887096.56</v>
      </c>
      <c r="E16" s="102">
        <f>'дод 3'!F22+'дод 3'!F91+'дод 3'!F186+'дод 3'!F224+'дод 3'!F268+'дод 3'!F277+'дод 3'!F302+'дод 3'!F367+'дод 3'!F379+'дод 3'!F409+'дод 3'!F417+'дод 3'!F424+'дод 3'!F454+'дод 3'!F370+'дод 3'!F433+'дод 3'!F442+'дод 3'!F420+'дод 3'!F468</f>
        <v>343887096.56</v>
      </c>
      <c r="F16" s="102">
        <f>'дод 3'!G22+'дод 3'!G91+'дод 3'!G186+'дод 3'!G224+'дод 3'!G268+'дод 3'!G277+'дод 3'!G302+'дод 3'!G367+'дод 3'!G379+'дод 3'!G409+'дод 3'!G417+'дод 3'!G424+'дод 3'!G454+'дод 3'!G370+'дод 3'!G433+'дод 3'!G442+'дод 3'!G420+'дод 3'!G468</f>
        <v>259133969</v>
      </c>
      <c r="G16" s="102">
        <f>'дод 3'!H22+'дод 3'!H91+'дод 3'!H186+'дод 3'!H224+'дод 3'!H268+'дод 3'!H277+'дод 3'!H302+'дод 3'!H367+'дод 3'!H379+'дод 3'!H409+'дод 3'!H417+'дод 3'!H424+'дод 3'!H454+'дод 3'!H370+'дод 3'!H433+'дод 3'!H442+'дод 3'!H420+'дод 3'!H468</f>
        <v>11293600</v>
      </c>
      <c r="H16" s="102">
        <f>'дод 3'!I22+'дод 3'!I91+'дод 3'!I186+'дод 3'!I224+'дод 3'!I268+'дод 3'!I277+'дод 3'!I302+'дод 3'!I367+'дод 3'!I379+'дод 3'!I409+'дод 3'!I417+'дод 3'!I424+'дод 3'!I454+'дод 3'!I370+'дод 3'!I433+'дод 3'!I442+'дод 3'!I420+'дод 3'!I468</f>
        <v>0</v>
      </c>
      <c r="I16" s="102">
        <f>'дод 3'!J22+'дод 3'!J91+'дод 3'!J186+'дод 3'!J224+'дод 3'!J268+'дод 3'!J277+'дод 3'!J302+'дод 3'!J367+'дод 3'!J379+'дод 3'!J409+'дод 3'!J417+'дод 3'!J424+'дод 3'!J454+'дод 3'!J370+'дод 3'!J433+'дод 3'!J442+'дод 3'!J420+'дод 3'!J468</f>
        <v>15666509</v>
      </c>
      <c r="J16" s="102">
        <f>'дод 3'!K22+'дод 3'!K91+'дод 3'!K186+'дод 3'!K224+'дод 3'!K268+'дод 3'!K277+'дод 3'!K302+'дод 3'!K367+'дод 3'!K379+'дод 3'!K409+'дод 3'!K417+'дод 3'!K424+'дод 3'!K454+'дод 3'!K370+'дод 3'!K433+'дод 3'!K442+'дод 3'!K420+'дод 3'!K468</f>
        <v>15297509</v>
      </c>
      <c r="K16" s="102">
        <f>'дод 3'!L22+'дод 3'!L91+'дод 3'!L186+'дод 3'!L224+'дод 3'!L268+'дод 3'!L277+'дод 3'!L302+'дод 3'!L367+'дод 3'!L379+'дод 3'!L409+'дод 3'!L417+'дод 3'!L424+'дод 3'!L454+'дод 3'!L370+'дод 3'!L433+'дод 3'!L442+'дод 3'!L420+'дод 3'!L468</f>
        <v>369000</v>
      </c>
      <c r="L16" s="102">
        <f>'дод 3'!M22+'дод 3'!M91+'дод 3'!M186+'дод 3'!M224+'дод 3'!M268+'дод 3'!M277+'дод 3'!M302+'дод 3'!M367+'дод 3'!M379+'дод 3'!M409+'дод 3'!M417+'дод 3'!M424+'дод 3'!M454+'дод 3'!M370+'дод 3'!M433+'дод 3'!M442+'дод 3'!M420+'дод 3'!M468</f>
        <v>0</v>
      </c>
      <c r="M16" s="102">
        <f>'дод 3'!N22+'дод 3'!N91+'дод 3'!N186+'дод 3'!N224+'дод 3'!N268+'дод 3'!N277+'дод 3'!N302+'дод 3'!N367+'дод 3'!N379+'дод 3'!N409+'дод 3'!N417+'дод 3'!N424+'дод 3'!N454+'дод 3'!N370+'дод 3'!N433+'дод 3'!N442+'дод 3'!N420+'дод 3'!N468</f>
        <v>208200</v>
      </c>
      <c r="N16" s="102">
        <f>'дод 3'!O22+'дод 3'!O91+'дод 3'!O186+'дод 3'!O224+'дод 3'!O268+'дод 3'!O277+'дод 3'!O302+'дод 3'!O367+'дод 3'!O379+'дод 3'!O409+'дод 3'!O417+'дод 3'!O424+'дод 3'!O454+'дод 3'!O370+'дод 3'!O433+'дод 3'!O442+'дод 3'!O420+'дод 3'!O468</f>
        <v>15297509</v>
      </c>
      <c r="O16" s="102">
        <f>'дод 3'!P22+'дод 3'!P91+'дод 3'!P186+'дод 3'!P224+'дод 3'!P268+'дод 3'!P277+'дод 3'!P302+'дод 3'!P367+'дод 3'!P379+'дод 3'!P409+'дод 3'!P417+'дод 3'!P424+'дод 3'!P454+'дод 3'!P370+'дод 3'!P433+'дод 3'!P442+'дод 3'!P420+'дод 3'!P468</f>
        <v>359553605.56</v>
      </c>
      <c r="P16" s="174"/>
      <c r="Q16" s="174"/>
    </row>
    <row r="17" spans="1:17" ht="78.400000000000006" customHeight="1" x14ac:dyDescent="0.45">
      <c r="A17" s="52"/>
      <c r="B17" s="52"/>
      <c r="C17" s="55" t="s">
        <v>624</v>
      </c>
      <c r="D17" s="103">
        <f>'дод 3'!E455+'дод 3'!E469+'дод 3'!E303</f>
        <v>3126052</v>
      </c>
      <c r="E17" s="103">
        <f>'дод 3'!F455+'дод 3'!F469+'дод 3'!F303</f>
        <v>3126052</v>
      </c>
      <c r="F17" s="103">
        <f>'дод 3'!G455+'дод 3'!G469+'дод 3'!G303</f>
        <v>2531101</v>
      </c>
      <c r="G17" s="103">
        <f>'дод 3'!H455+'дод 3'!H469+'дод 3'!H303</f>
        <v>0</v>
      </c>
      <c r="H17" s="103">
        <f>'дод 3'!I455+'дод 3'!I469+'дод 3'!I303</f>
        <v>0</v>
      </c>
      <c r="I17" s="103">
        <f>'дод 3'!J455+'дод 3'!J469+'дод 3'!J303</f>
        <v>312000</v>
      </c>
      <c r="J17" s="103">
        <f>'дод 3'!K455+'дод 3'!K469+'дод 3'!K303</f>
        <v>312000</v>
      </c>
      <c r="K17" s="103">
        <f>'дод 3'!L455+'дод 3'!L469+'дод 3'!L303</f>
        <v>0</v>
      </c>
      <c r="L17" s="103">
        <f>'дод 3'!M455+'дод 3'!M469+'дод 3'!M303</f>
        <v>0</v>
      </c>
      <c r="M17" s="103">
        <f>'дод 3'!N455+'дод 3'!N469+'дод 3'!N303</f>
        <v>0</v>
      </c>
      <c r="N17" s="103">
        <f>'дод 3'!O455+'дод 3'!O469+'дод 3'!O303</f>
        <v>312000</v>
      </c>
      <c r="O17" s="103">
        <f>'дод 3'!P455+'дод 3'!P469+'дод 3'!P303</f>
        <v>3438052</v>
      </c>
      <c r="P17" s="174"/>
      <c r="Q17" s="174"/>
    </row>
    <row r="18" spans="1:17" ht="33" hidden="1" customHeight="1" x14ac:dyDescent="0.45">
      <c r="A18" s="40" t="s">
        <v>86</v>
      </c>
      <c r="B18" s="40" t="s">
        <v>433</v>
      </c>
      <c r="C18" s="41" t="s">
        <v>424</v>
      </c>
      <c r="D18" s="102">
        <f>'дод 3'!E23</f>
        <v>0</v>
      </c>
      <c r="E18" s="102">
        <f>'дод 3'!F23</f>
        <v>0</v>
      </c>
      <c r="F18" s="102">
        <f>'дод 3'!G23</f>
        <v>0</v>
      </c>
      <c r="G18" s="102">
        <f>'дод 3'!H23</f>
        <v>0</v>
      </c>
      <c r="H18" s="102">
        <f>'дод 3'!I23</f>
        <v>0</v>
      </c>
      <c r="I18" s="102">
        <f>'дод 3'!J23</f>
        <v>0</v>
      </c>
      <c r="J18" s="102">
        <f>'дод 3'!K23</f>
        <v>0</v>
      </c>
      <c r="K18" s="102">
        <f>'дод 3'!L23</f>
        <v>0</v>
      </c>
      <c r="L18" s="102">
        <f>'дод 3'!M23</f>
        <v>0</v>
      </c>
      <c r="M18" s="102">
        <f>'дод 3'!N23</f>
        <v>0</v>
      </c>
      <c r="N18" s="102">
        <f>'дод 3'!O23</f>
        <v>0</v>
      </c>
      <c r="O18" s="102">
        <f>'дод 3'!P23</f>
        <v>0</v>
      </c>
      <c r="P18" s="174"/>
      <c r="Q18" s="174"/>
    </row>
    <row r="19" spans="1:17" ht="22.5" customHeight="1" x14ac:dyDescent="0.45">
      <c r="A19" s="52" t="s">
        <v>43</v>
      </c>
      <c r="B19" s="52" t="s">
        <v>89</v>
      </c>
      <c r="C19" s="41" t="s">
        <v>720</v>
      </c>
      <c r="D19" s="102">
        <f>'дод 3'!E24+'дод 3'!E225+'дод 3'!E304</f>
        <v>2318600</v>
      </c>
      <c r="E19" s="102">
        <f>'дод 3'!F24+'дод 3'!F225+'дод 3'!F304</f>
        <v>2318600</v>
      </c>
      <c r="F19" s="102">
        <f>'дод 3'!G24+'дод 3'!G225+'дод 3'!G304</f>
        <v>0</v>
      </c>
      <c r="G19" s="102">
        <f>'дод 3'!H24+'дод 3'!H225+'дод 3'!H304</f>
        <v>0</v>
      </c>
      <c r="H19" s="102">
        <f>'дод 3'!I24+'дод 3'!I225+'дод 3'!I304</f>
        <v>0</v>
      </c>
      <c r="I19" s="102">
        <f>'дод 3'!J24+'дод 3'!J225+'дод 3'!J304</f>
        <v>0</v>
      </c>
      <c r="J19" s="102">
        <f>'дод 3'!K24+'дод 3'!K225+'дод 3'!K304</f>
        <v>0</v>
      </c>
      <c r="K19" s="102">
        <f>'дод 3'!L24+'дод 3'!L225+'дод 3'!L304</f>
        <v>0</v>
      </c>
      <c r="L19" s="102">
        <f>'дод 3'!M24+'дод 3'!M225+'дод 3'!M304</f>
        <v>0</v>
      </c>
      <c r="M19" s="102">
        <f>'дод 3'!N24+'дод 3'!N225+'дод 3'!N304</f>
        <v>0</v>
      </c>
      <c r="N19" s="102">
        <f>'дод 3'!O24+'дод 3'!O225+'дод 3'!O304</f>
        <v>0</v>
      </c>
      <c r="O19" s="102">
        <f>'дод 3'!P24+'дод 3'!P225+'дод 3'!P304</f>
        <v>2318600</v>
      </c>
      <c r="P19" s="174"/>
      <c r="Q19" s="174"/>
    </row>
    <row r="20" spans="1:17" ht="95.25" customHeight="1" x14ac:dyDescent="0.45">
      <c r="A20" s="52"/>
      <c r="B20" s="52"/>
      <c r="C20" s="55" t="s">
        <v>624</v>
      </c>
      <c r="D20" s="103">
        <f>'дод 3'!E25</f>
        <v>300000</v>
      </c>
      <c r="E20" s="103">
        <f>'дод 3'!F25</f>
        <v>300000</v>
      </c>
      <c r="F20" s="103">
        <f>'дод 3'!G25</f>
        <v>0</v>
      </c>
      <c r="G20" s="103">
        <f>'дод 3'!H25</f>
        <v>0</v>
      </c>
      <c r="H20" s="103">
        <f>'дод 3'!I25</f>
        <v>0</v>
      </c>
      <c r="I20" s="103">
        <f>'дод 3'!J25</f>
        <v>0</v>
      </c>
      <c r="J20" s="103">
        <f>'дод 3'!K25</f>
        <v>0</v>
      </c>
      <c r="K20" s="103">
        <f>'дод 3'!L25</f>
        <v>0</v>
      </c>
      <c r="L20" s="103">
        <f>'дод 3'!M25</f>
        <v>0</v>
      </c>
      <c r="M20" s="103">
        <f>'дод 3'!N25</f>
        <v>0</v>
      </c>
      <c r="N20" s="103">
        <f>'дод 3'!O25</f>
        <v>0</v>
      </c>
      <c r="O20" s="103">
        <f>'дод 3'!P25</f>
        <v>300000</v>
      </c>
      <c r="P20" s="174"/>
      <c r="Q20" s="174"/>
    </row>
    <row r="21" spans="1:17" ht="27" hidden="1" customHeight="1" x14ac:dyDescent="0.45">
      <c r="A21" s="40" t="s">
        <v>412</v>
      </c>
      <c r="B21" s="40" t="s">
        <v>114</v>
      </c>
      <c r="C21" s="41" t="s">
        <v>413</v>
      </c>
      <c r="D21" s="102">
        <f>'дод 3'!E26</f>
        <v>0</v>
      </c>
      <c r="E21" s="102">
        <f>'дод 3'!F26</f>
        <v>0</v>
      </c>
      <c r="F21" s="102">
        <f>'дод 3'!G26</f>
        <v>0</v>
      </c>
      <c r="G21" s="102">
        <f>'дод 3'!H26</f>
        <v>0</v>
      </c>
      <c r="H21" s="102">
        <f>'дод 3'!I26</f>
        <v>0</v>
      </c>
      <c r="I21" s="102">
        <f>'дод 3'!J26</f>
        <v>0</v>
      </c>
      <c r="J21" s="102">
        <f>'дод 3'!K26</f>
        <v>0</v>
      </c>
      <c r="K21" s="102">
        <f>'дод 3'!L26</f>
        <v>0</v>
      </c>
      <c r="L21" s="102">
        <f>'дод 3'!M26</f>
        <v>0</v>
      </c>
      <c r="M21" s="102">
        <f>'дод 3'!N26</f>
        <v>0</v>
      </c>
      <c r="N21" s="102">
        <f>'дод 3'!O26</f>
        <v>0</v>
      </c>
      <c r="O21" s="102">
        <f>'дод 3'!P26</f>
        <v>0</v>
      </c>
      <c r="P21" s="174"/>
      <c r="Q21" s="174"/>
    </row>
    <row r="22" spans="1:17" s="105" customFormat="1" ht="63" hidden="1" customHeight="1" x14ac:dyDescent="0.45">
      <c r="A22" s="104"/>
      <c r="B22" s="34"/>
      <c r="C22" s="55" t="s">
        <v>416</v>
      </c>
      <c r="D22" s="103">
        <f>'дод 3'!E27</f>
        <v>0</v>
      </c>
      <c r="E22" s="103">
        <f>'дод 3'!F27</f>
        <v>0</v>
      </c>
      <c r="F22" s="103">
        <f>'дод 3'!G27</f>
        <v>0</v>
      </c>
      <c r="G22" s="103">
        <f>'дод 3'!H27</f>
        <v>0</v>
      </c>
      <c r="H22" s="103">
        <f>'дод 3'!I27</f>
        <v>0</v>
      </c>
      <c r="I22" s="103">
        <f>'дод 3'!J27</f>
        <v>0</v>
      </c>
      <c r="J22" s="103">
        <f>'дод 3'!K27</f>
        <v>0</v>
      </c>
      <c r="K22" s="103">
        <f>'дод 3'!L27</f>
        <v>0</v>
      </c>
      <c r="L22" s="103">
        <f>'дод 3'!M27</f>
        <v>0</v>
      </c>
      <c r="M22" s="103">
        <f>'дод 3'!N27</f>
        <v>0</v>
      </c>
      <c r="N22" s="103">
        <f>'дод 3'!O27</f>
        <v>0</v>
      </c>
      <c r="O22" s="103">
        <f>'дод 3'!P27</f>
        <v>0</v>
      </c>
      <c r="P22" s="174"/>
      <c r="Q22" s="174"/>
    </row>
    <row r="23" spans="1:17" s="96" customFormat="1" ht="18.75" customHeight="1" x14ac:dyDescent="0.4">
      <c r="A23" s="106" t="s">
        <v>45</v>
      </c>
      <c r="B23" s="44"/>
      <c r="C23" s="99" t="s">
        <v>607</v>
      </c>
      <c r="D23" s="100">
        <f>D39+D41+D50+D53+D54+D57+D59+D61+D64+D66+D67+D74+D75+D76+D77+D79+D80+D81+D83+D85+D87+D89+D68+D70+D97+D98+D102+D100+D92+D91+D94+D72+D95+D104</f>
        <v>1559062763.1300001</v>
      </c>
      <c r="E23" s="100">
        <f t="shared" ref="E23:O23" si="2">E39+E41+E50+E53+E54+E57+E59+E61+E64+E66+E67+E74+E75+E76+E77+E79+E80+E81+E83+E85+E87+E89+E68+E70+E97+E98+E102+E100+E92+E91+E94+E72+E95+E104</f>
        <v>1559062763.1300001</v>
      </c>
      <c r="F23" s="100">
        <f t="shared" si="2"/>
        <v>1060861508</v>
      </c>
      <c r="G23" s="100">
        <f t="shared" si="2"/>
        <v>144516165</v>
      </c>
      <c r="H23" s="100">
        <f t="shared" si="2"/>
        <v>0</v>
      </c>
      <c r="I23" s="100">
        <f t="shared" si="2"/>
        <v>551703074</v>
      </c>
      <c r="J23" s="100">
        <f t="shared" si="2"/>
        <v>424059925.64999998</v>
      </c>
      <c r="K23" s="100">
        <f t="shared" si="2"/>
        <v>114952219</v>
      </c>
      <c r="L23" s="100">
        <f t="shared" si="2"/>
        <v>9759935</v>
      </c>
      <c r="M23" s="100">
        <f t="shared" si="2"/>
        <v>5594400</v>
      </c>
      <c r="N23" s="100">
        <f t="shared" si="2"/>
        <v>436750855</v>
      </c>
      <c r="O23" s="100">
        <f t="shared" si="2"/>
        <v>2110765837.1300001</v>
      </c>
      <c r="P23" s="174"/>
      <c r="Q23" s="174"/>
    </row>
    <row r="24" spans="1:17" s="108" customFormat="1" ht="30.75" customHeight="1" x14ac:dyDescent="0.4">
      <c r="A24" s="107"/>
      <c r="B24" s="46"/>
      <c r="C24" s="66" t="s">
        <v>376</v>
      </c>
      <c r="D24" s="101">
        <f>D55+D58+D60+D71</f>
        <v>551078300</v>
      </c>
      <c r="E24" s="101">
        <f t="shared" ref="E24:O24" si="3">E55+E58+E60+E71</f>
        <v>551078300</v>
      </c>
      <c r="F24" s="101">
        <f t="shared" si="3"/>
        <v>452384600</v>
      </c>
      <c r="G24" s="101">
        <f t="shared" si="3"/>
        <v>0</v>
      </c>
      <c r="H24" s="101">
        <f t="shared" si="3"/>
        <v>0</v>
      </c>
      <c r="I24" s="101">
        <f t="shared" si="3"/>
        <v>0</v>
      </c>
      <c r="J24" s="101">
        <f t="shared" si="3"/>
        <v>0</v>
      </c>
      <c r="K24" s="101">
        <f t="shared" si="3"/>
        <v>0</v>
      </c>
      <c r="L24" s="101">
        <f t="shared" si="3"/>
        <v>0</v>
      </c>
      <c r="M24" s="101">
        <f t="shared" si="3"/>
        <v>0</v>
      </c>
      <c r="N24" s="101">
        <f t="shared" si="3"/>
        <v>0</v>
      </c>
      <c r="O24" s="101">
        <f t="shared" si="3"/>
        <v>551078300</v>
      </c>
      <c r="P24" s="174"/>
      <c r="Q24" s="174"/>
    </row>
    <row r="25" spans="1:17" s="108" customFormat="1" ht="31.5" customHeight="1" x14ac:dyDescent="0.4">
      <c r="A25" s="107"/>
      <c r="B25" s="46"/>
      <c r="C25" s="25" t="s">
        <v>580</v>
      </c>
      <c r="D25" s="101">
        <f>D63</f>
        <v>351767.89</v>
      </c>
      <c r="E25" s="101">
        <f t="shared" ref="E25:O25" si="4">E63</f>
        <v>351767.89</v>
      </c>
      <c r="F25" s="101">
        <f t="shared" si="4"/>
        <v>290000</v>
      </c>
      <c r="G25" s="101">
        <f t="shared" si="4"/>
        <v>0</v>
      </c>
      <c r="H25" s="101">
        <f t="shared" si="4"/>
        <v>0</v>
      </c>
      <c r="I25" s="101">
        <f t="shared" si="4"/>
        <v>0</v>
      </c>
      <c r="J25" s="101">
        <f t="shared" si="4"/>
        <v>0</v>
      </c>
      <c r="K25" s="101">
        <f t="shared" si="4"/>
        <v>0</v>
      </c>
      <c r="L25" s="101">
        <f t="shared" si="4"/>
        <v>0</v>
      </c>
      <c r="M25" s="101">
        <f t="shared" si="4"/>
        <v>0</v>
      </c>
      <c r="N25" s="101">
        <f t="shared" si="4"/>
        <v>0</v>
      </c>
      <c r="O25" s="101">
        <f t="shared" si="4"/>
        <v>351767.89</v>
      </c>
      <c r="P25" s="174"/>
      <c r="Q25" s="174"/>
    </row>
    <row r="26" spans="1:17" s="108" customFormat="1" ht="54.4" customHeight="1" x14ac:dyDescent="0.4">
      <c r="A26" s="107"/>
      <c r="B26" s="46"/>
      <c r="C26" s="25" t="s">
        <v>686</v>
      </c>
      <c r="D26" s="101">
        <f>D93</f>
        <v>2843700</v>
      </c>
      <c r="E26" s="101">
        <f t="shared" ref="E26:O26" si="5">E93</f>
        <v>2843700</v>
      </c>
      <c r="F26" s="101">
        <f t="shared" si="5"/>
        <v>0</v>
      </c>
      <c r="G26" s="101">
        <f t="shared" si="5"/>
        <v>0</v>
      </c>
      <c r="H26" s="101">
        <f t="shared" si="5"/>
        <v>0</v>
      </c>
      <c r="I26" s="101">
        <f t="shared" si="5"/>
        <v>5556300</v>
      </c>
      <c r="J26" s="101">
        <f t="shared" si="5"/>
        <v>5556300</v>
      </c>
      <c r="K26" s="101">
        <f t="shared" si="5"/>
        <v>0</v>
      </c>
      <c r="L26" s="101">
        <f t="shared" si="5"/>
        <v>0</v>
      </c>
      <c r="M26" s="101">
        <f t="shared" si="5"/>
        <v>0</v>
      </c>
      <c r="N26" s="101">
        <f t="shared" si="5"/>
        <v>5556300</v>
      </c>
      <c r="O26" s="101">
        <f t="shared" si="5"/>
        <v>8400000</v>
      </c>
      <c r="P26" s="174"/>
      <c r="Q26" s="174"/>
    </row>
    <row r="27" spans="1:17" s="108" customFormat="1" ht="75.400000000000006" customHeight="1" x14ac:dyDescent="0.4">
      <c r="A27" s="107"/>
      <c r="B27" s="46"/>
      <c r="C27" s="25" t="str">
        <f>C96</f>
        <v>субвенції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v>
      </c>
      <c r="D27" s="101">
        <f>D96</f>
        <v>0</v>
      </c>
      <c r="E27" s="101">
        <f t="shared" ref="E27:O27" si="6">E96</f>
        <v>0</v>
      </c>
      <c r="F27" s="101">
        <f t="shared" si="6"/>
        <v>0</v>
      </c>
      <c r="G27" s="101">
        <f t="shared" si="6"/>
        <v>0</v>
      </c>
      <c r="H27" s="101">
        <f t="shared" si="6"/>
        <v>0</v>
      </c>
      <c r="I27" s="101">
        <f t="shared" si="6"/>
        <v>82600800</v>
      </c>
      <c r="J27" s="101">
        <f t="shared" si="6"/>
        <v>82600800</v>
      </c>
      <c r="K27" s="101">
        <f t="shared" si="6"/>
        <v>0</v>
      </c>
      <c r="L27" s="101">
        <f t="shared" si="6"/>
        <v>0</v>
      </c>
      <c r="M27" s="101">
        <f t="shared" si="6"/>
        <v>0</v>
      </c>
      <c r="N27" s="101">
        <f t="shared" si="6"/>
        <v>82600800</v>
      </c>
      <c r="O27" s="101">
        <f t="shared" si="6"/>
        <v>82600800</v>
      </c>
      <c r="P27" s="174"/>
      <c r="Q27" s="174"/>
    </row>
    <row r="28" spans="1:17" s="108" customFormat="1" ht="58.5" customHeight="1" x14ac:dyDescent="0.4">
      <c r="A28" s="107"/>
      <c r="B28" s="46"/>
      <c r="C28" s="25" t="str">
        <f>C105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D28" s="101">
        <f>D105</f>
        <v>19506700</v>
      </c>
      <c r="E28" s="101">
        <f t="shared" ref="E28:O28" si="7">E105</f>
        <v>19506700</v>
      </c>
      <c r="F28" s="101">
        <f t="shared" si="7"/>
        <v>0</v>
      </c>
      <c r="G28" s="101">
        <f t="shared" si="7"/>
        <v>0</v>
      </c>
      <c r="H28" s="101">
        <f t="shared" si="7"/>
        <v>0</v>
      </c>
      <c r="I28" s="101">
        <f t="shared" si="7"/>
        <v>0</v>
      </c>
      <c r="J28" s="101">
        <f t="shared" si="7"/>
        <v>0</v>
      </c>
      <c r="K28" s="101">
        <f t="shared" si="7"/>
        <v>0</v>
      </c>
      <c r="L28" s="101">
        <f t="shared" si="7"/>
        <v>0</v>
      </c>
      <c r="M28" s="101">
        <f t="shared" si="7"/>
        <v>0</v>
      </c>
      <c r="N28" s="101">
        <f t="shared" si="7"/>
        <v>0</v>
      </c>
      <c r="O28" s="101">
        <f t="shared" si="7"/>
        <v>19506700</v>
      </c>
      <c r="P28" s="174"/>
      <c r="Q28" s="174"/>
    </row>
    <row r="29" spans="1:17" s="108" customFormat="1" ht="75.400000000000006" customHeight="1" x14ac:dyDescent="0.4">
      <c r="A29" s="107"/>
      <c r="B29" s="46"/>
      <c r="C29" s="25" t="str">
        <f>C69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D29" s="101">
        <f>D69+D42+D101+D51</f>
        <v>1686473</v>
      </c>
      <c r="E29" s="101">
        <f t="shared" ref="E29:O29" si="8">E69+E42+E101+E51</f>
        <v>1686473</v>
      </c>
      <c r="F29" s="101">
        <f t="shared" si="8"/>
        <v>0</v>
      </c>
      <c r="G29" s="101">
        <f t="shared" si="8"/>
        <v>0</v>
      </c>
      <c r="H29" s="101">
        <f t="shared" si="8"/>
        <v>0</v>
      </c>
      <c r="I29" s="101">
        <f t="shared" si="8"/>
        <v>39145989</v>
      </c>
      <c r="J29" s="101">
        <f t="shared" si="8"/>
        <v>39145989</v>
      </c>
      <c r="K29" s="101">
        <f t="shared" si="8"/>
        <v>0</v>
      </c>
      <c r="L29" s="101">
        <f t="shared" si="8"/>
        <v>0</v>
      </c>
      <c r="M29" s="101">
        <f t="shared" si="8"/>
        <v>0</v>
      </c>
      <c r="N29" s="101">
        <f t="shared" si="8"/>
        <v>39145989</v>
      </c>
      <c r="O29" s="101">
        <f t="shared" si="8"/>
        <v>40832462</v>
      </c>
      <c r="P29" s="174"/>
      <c r="Q29" s="174"/>
    </row>
    <row r="30" spans="1:17" s="108" customFormat="1" ht="30" x14ac:dyDescent="0.4">
      <c r="A30" s="107"/>
      <c r="B30" s="46"/>
      <c r="C30" s="66" t="s">
        <v>371</v>
      </c>
      <c r="D30" s="101">
        <f>D56+D78</f>
        <v>4320175</v>
      </c>
      <c r="E30" s="101">
        <f t="shared" ref="E30:O30" si="9">E56+E78</f>
        <v>4320175</v>
      </c>
      <c r="F30" s="101">
        <f t="shared" si="9"/>
        <v>1714570</v>
      </c>
      <c r="G30" s="101">
        <f t="shared" si="9"/>
        <v>0</v>
      </c>
      <c r="H30" s="101">
        <f t="shared" si="9"/>
        <v>0</v>
      </c>
      <c r="I30" s="101">
        <f t="shared" si="9"/>
        <v>0</v>
      </c>
      <c r="J30" s="101">
        <f t="shared" si="9"/>
        <v>0</v>
      </c>
      <c r="K30" s="101">
        <f t="shared" si="9"/>
        <v>0</v>
      </c>
      <c r="L30" s="101">
        <f t="shared" si="9"/>
        <v>0</v>
      </c>
      <c r="M30" s="101">
        <f t="shared" si="9"/>
        <v>0</v>
      </c>
      <c r="N30" s="101">
        <f t="shared" si="9"/>
        <v>0</v>
      </c>
      <c r="O30" s="101">
        <f t="shared" si="9"/>
        <v>4320175</v>
      </c>
      <c r="P30" s="174"/>
      <c r="Q30" s="174"/>
    </row>
    <row r="31" spans="1:17" s="108" customFormat="1" ht="47.25" customHeight="1" x14ac:dyDescent="0.4">
      <c r="A31" s="107"/>
      <c r="B31" s="46"/>
      <c r="C31" s="66" t="s">
        <v>373</v>
      </c>
      <c r="D31" s="101">
        <f t="shared" ref="D31:O31" si="10">D62+D103+D73</f>
        <v>0</v>
      </c>
      <c r="E31" s="101">
        <f t="shared" si="10"/>
        <v>0</v>
      </c>
      <c r="F31" s="101">
        <f t="shared" si="10"/>
        <v>0</v>
      </c>
      <c r="G31" s="101">
        <f t="shared" si="10"/>
        <v>0</v>
      </c>
      <c r="H31" s="101">
        <f t="shared" si="10"/>
        <v>0</v>
      </c>
      <c r="I31" s="101">
        <f t="shared" si="10"/>
        <v>23087751</v>
      </c>
      <c r="J31" s="101">
        <f t="shared" si="10"/>
        <v>7819500</v>
      </c>
      <c r="K31" s="101">
        <f t="shared" si="10"/>
        <v>3562863</v>
      </c>
      <c r="L31" s="101">
        <f t="shared" si="10"/>
        <v>0</v>
      </c>
      <c r="M31" s="101">
        <f t="shared" si="10"/>
        <v>0</v>
      </c>
      <c r="N31" s="101">
        <f t="shared" si="10"/>
        <v>19524888</v>
      </c>
      <c r="O31" s="101">
        <f t="shared" si="10"/>
        <v>23087751</v>
      </c>
      <c r="P31" s="174"/>
      <c r="Q31" s="174"/>
    </row>
    <row r="32" spans="1:17" s="108" customFormat="1" ht="53.25" customHeight="1" x14ac:dyDescent="0.4">
      <c r="A32" s="107"/>
      <c r="B32" s="46"/>
      <c r="C32" s="25" t="s">
        <v>681</v>
      </c>
      <c r="D32" s="101">
        <f>D88</f>
        <v>1331125</v>
      </c>
      <c r="E32" s="101">
        <f t="shared" ref="E32:O32" si="11">E88</f>
        <v>1331125</v>
      </c>
      <c r="F32" s="101">
        <f t="shared" si="11"/>
        <v>1091086</v>
      </c>
      <c r="G32" s="101">
        <f t="shared" si="11"/>
        <v>0</v>
      </c>
      <c r="H32" s="101">
        <f t="shared" si="11"/>
        <v>0</v>
      </c>
      <c r="I32" s="101">
        <f t="shared" si="11"/>
        <v>0</v>
      </c>
      <c r="J32" s="101">
        <f t="shared" si="11"/>
        <v>0</v>
      </c>
      <c r="K32" s="101">
        <f t="shared" si="11"/>
        <v>0</v>
      </c>
      <c r="L32" s="101">
        <f t="shared" si="11"/>
        <v>0</v>
      </c>
      <c r="M32" s="101">
        <f t="shared" si="11"/>
        <v>0</v>
      </c>
      <c r="N32" s="101">
        <f t="shared" si="11"/>
        <v>0</v>
      </c>
      <c r="O32" s="101">
        <f t="shared" si="11"/>
        <v>1331125</v>
      </c>
      <c r="P32" s="174"/>
      <c r="Q32" s="174"/>
    </row>
    <row r="33" spans="1:17" s="108" customFormat="1" ht="63" customHeight="1" x14ac:dyDescent="0.4">
      <c r="A33" s="107"/>
      <c r="B33" s="46"/>
      <c r="C33" s="25" t="str">
        <f>C86</f>
        <v>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v>
      </c>
      <c r="D33" s="101">
        <f>D86</f>
        <v>473167</v>
      </c>
      <c r="E33" s="101">
        <f t="shared" ref="E33:O33" si="12">E86</f>
        <v>473167</v>
      </c>
      <c r="F33" s="101">
        <f t="shared" si="12"/>
        <v>0</v>
      </c>
      <c r="G33" s="101">
        <f t="shared" si="12"/>
        <v>0</v>
      </c>
      <c r="H33" s="101">
        <f t="shared" si="12"/>
        <v>0</v>
      </c>
      <c r="I33" s="101">
        <f t="shared" si="12"/>
        <v>10261489</v>
      </c>
      <c r="J33" s="101">
        <f t="shared" si="12"/>
        <v>10261489</v>
      </c>
      <c r="K33" s="101">
        <f t="shared" si="12"/>
        <v>0</v>
      </c>
      <c r="L33" s="101">
        <f t="shared" si="12"/>
        <v>0</v>
      </c>
      <c r="M33" s="101">
        <f t="shared" si="12"/>
        <v>0</v>
      </c>
      <c r="N33" s="101">
        <f t="shared" si="12"/>
        <v>10261489</v>
      </c>
      <c r="O33" s="101">
        <f t="shared" si="12"/>
        <v>10734656</v>
      </c>
      <c r="P33" s="174"/>
      <c r="Q33" s="174"/>
    </row>
    <row r="34" spans="1:17" s="108" customFormat="1" ht="63" customHeight="1" x14ac:dyDescent="0.4">
      <c r="A34" s="107"/>
      <c r="B34" s="107"/>
      <c r="C34" s="25" t="s">
        <v>682</v>
      </c>
      <c r="D34" s="101">
        <f>D90</f>
        <v>714100.24</v>
      </c>
      <c r="E34" s="101">
        <f t="shared" ref="E34:O34" si="13">E90</f>
        <v>714100.24</v>
      </c>
      <c r="F34" s="101">
        <f t="shared" si="13"/>
        <v>585328</v>
      </c>
      <c r="G34" s="101">
        <f t="shared" si="13"/>
        <v>0</v>
      </c>
      <c r="H34" s="101">
        <f t="shared" si="13"/>
        <v>0</v>
      </c>
      <c r="I34" s="101">
        <f t="shared" si="13"/>
        <v>0</v>
      </c>
      <c r="J34" s="101">
        <f t="shared" si="13"/>
        <v>0</v>
      </c>
      <c r="K34" s="101">
        <f t="shared" si="13"/>
        <v>0</v>
      </c>
      <c r="L34" s="101">
        <f t="shared" si="13"/>
        <v>0</v>
      </c>
      <c r="M34" s="101">
        <f t="shared" si="13"/>
        <v>0</v>
      </c>
      <c r="N34" s="101">
        <f t="shared" si="13"/>
        <v>0</v>
      </c>
      <c r="O34" s="101">
        <f t="shared" si="13"/>
        <v>714100.24</v>
      </c>
      <c r="P34" s="174"/>
      <c r="Q34" s="174"/>
    </row>
    <row r="35" spans="1:17" s="108" customFormat="1" ht="55.5" hidden="1" customHeight="1" x14ac:dyDescent="0.4">
      <c r="A35" s="107"/>
      <c r="B35" s="107"/>
      <c r="C35" s="25" t="s">
        <v>527</v>
      </c>
      <c r="D35" s="101">
        <f>D82</f>
        <v>0</v>
      </c>
      <c r="E35" s="101">
        <f t="shared" ref="E35:O35" si="14">E82</f>
        <v>0</v>
      </c>
      <c r="F35" s="101">
        <f t="shared" si="14"/>
        <v>0</v>
      </c>
      <c r="G35" s="101">
        <f t="shared" si="14"/>
        <v>0</v>
      </c>
      <c r="H35" s="101">
        <f t="shared" si="14"/>
        <v>0</v>
      </c>
      <c r="I35" s="101">
        <f t="shared" si="14"/>
        <v>0</v>
      </c>
      <c r="J35" s="101">
        <f t="shared" si="14"/>
        <v>0</v>
      </c>
      <c r="K35" s="101">
        <f t="shared" si="14"/>
        <v>0</v>
      </c>
      <c r="L35" s="101">
        <f t="shared" si="14"/>
        <v>0</v>
      </c>
      <c r="M35" s="101">
        <f t="shared" si="14"/>
        <v>0</v>
      </c>
      <c r="N35" s="101">
        <f t="shared" si="14"/>
        <v>0</v>
      </c>
      <c r="O35" s="101">
        <f t="shared" si="14"/>
        <v>0</v>
      </c>
      <c r="P35" s="174"/>
      <c r="Q35" s="174"/>
    </row>
    <row r="36" spans="1:17" s="108" customFormat="1" ht="63" hidden="1" customHeight="1" x14ac:dyDescent="0.4">
      <c r="A36" s="107"/>
      <c r="B36" s="107"/>
      <c r="C36" s="25" t="s">
        <v>508</v>
      </c>
      <c r="D36" s="101">
        <f>D86</f>
        <v>473167</v>
      </c>
      <c r="E36" s="101">
        <f t="shared" ref="E36:O36" si="15">E86</f>
        <v>473167</v>
      </c>
      <c r="F36" s="101">
        <f t="shared" si="15"/>
        <v>0</v>
      </c>
      <c r="G36" s="101">
        <f t="shared" si="15"/>
        <v>0</v>
      </c>
      <c r="H36" s="101">
        <f t="shared" si="15"/>
        <v>0</v>
      </c>
      <c r="I36" s="101">
        <f t="shared" si="15"/>
        <v>10261489</v>
      </c>
      <c r="J36" s="101">
        <f t="shared" si="15"/>
        <v>10261489</v>
      </c>
      <c r="K36" s="101">
        <f t="shared" si="15"/>
        <v>0</v>
      </c>
      <c r="L36" s="101">
        <f t="shared" si="15"/>
        <v>0</v>
      </c>
      <c r="M36" s="101">
        <f t="shared" si="15"/>
        <v>0</v>
      </c>
      <c r="N36" s="101">
        <f t="shared" si="15"/>
        <v>10261489</v>
      </c>
      <c r="O36" s="101">
        <f t="shared" si="15"/>
        <v>10734656</v>
      </c>
      <c r="P36" s="174"/>
      <c r="Q36" s="174"/>
    </row>
    <row r="37" spans="1:17" s="108" customFormat="1" ht="15.75" customHeight="1" x14ac:dyDescent="0.4">
      <c r="A37" s="107"/>
      <c r="B37" s="107"/>
      <c r="C37" s="25" t="s">
        <v>381</v>
      </c>
      <c r="D37" s="101">
        <f>D43</f>
        <v>0</v>
      </c>
      <c r="E37" s="101">
        <f t="shared" ref="E37:O37" si="16">E43</f>
        <v>0</v>
      </c>
      <c r="F37" s="101">
        <f t="shared" si="16"/>
        <v>0</v>
      </c>
      <c r="G37" s="101">
        <f t="shared" si="16"/>
        <v>0</v>
      </c>
      <c r="H37" s="101">
        <f t="shared" si="16"/>
        <v>0</v>
      </c>
      <c r="I37" s="101">
        <f t="shared" si="16"/>
        <v>6564196</v>
      </c>
      <c r="J37" s="101">
        <f t="shared" si="16"/>
        <v>0</v>
      </c>
      <c r="K37" s="101">
        <f t="shared" si="16"/>
        <v>6564196</v>
      </c>
      <c r="L37" s="101">
        <f t="shared" si="16"/>
        <v>0</v>
      </c>
      <c r="M37" s="101">
        <f t="shared" si="16"/>
        <v>0</v>
      </c>
      <c r="N37" s="101">
        <f t="shared" si="16"/>
        <v>0</v>
      </c>
      <c r="O37" s="101">
        <f t="shared" si="16"/>
        <v>6564196</v>
      </c>
      <c r="P37" s="174"/>
      <c r="Q37" s="174"/>
    </row>
    <row r="38" spans="1:17" s="108" customFormat="1" ht="48.75" customHeight="1" x14ac:dyDescent="0.4">
      <c r="A38" s="107"/>
      <c r="B38" s="107"/>
      <c r="C38" s="25" t="s">
        <v>692</v>
      </c>
      <c r="D38" s="101">
        <f>D99</f>
        <v>0</v>
      </c>
      <c r="E38" s="101">
        <f t="shared" ref="E38:O38" si="17">E99</f>
        <v>0</v>
      </c>
      <c r="F38" s="101">
        <f t="shared" si="17"/>
        <v>0</v>
      </c>
      <c r="G38" s="101">
        <f t="shared" si="17"/>
        <v>0</v>
      </c>
      <c r="H38" s="101">
        <f t="shared" si="17"/>
        <v>0</v>
      </c>
      <c r="I38" s="101">
        <f>I99</f>
        <v>73585211</v>
      </c>
      <c r="J38" s="101">
        <f t="shared" si="17"/>
        <v>73585211</v>
      </c>
      <c r="K38" s="101">
        <f t="shared" si="17"/>
        <v>0</v>
      </c>
      <c r="L38" s="101">
        <f t="shared" si="17"/>
        <v>0</v>
      </c>
      <c r="M38" s="101">
        <f t="shared" si="17"/>
        <v>0</v>
      </c>
      <c r="N38" s="101">
        <f t="shared" si="17"/>
        <v>73585211</v>
      </c>
      <c r="O38" s="101">
        <f t="shared" si="17"/>
        <v>73585211</v>
      </c>
      <c r="P38" s="174"/>
      <c r="Q38" s="174"/>
    </row>
    <row r="39" spans="1:17" ht="17.25" customHeight="1" x14ac:dyDescent="0.45">
      <c r="A39" s="52" t="s">
        <v>46</v>
      </c>
      <c r="B39" s="52" t="s">
        <v>47</v>
      </c>
      <c r="C39" s="41" t="s">
        <v>469</v>
      </c>
      <c r="D39" s="102">
        <f>'дод 3'!E92+'дод 3'!E380</f>
        <v>379530776</v>
      </c>
      <c r="E39" s="102">
        <f>'дод 3'!F92+'дод 3'!F380</f>
        <v>379530776</v>
      </c>
      <c r="F39" s="102">
        <f>'дод 3'!G92+'дод 3'!G380</f>
        <v>256988780</v>
      </c>
      <c r="G39" s="102">
        <f>'дод 3'!H92+'дод 3'!H380</f>
        <v>46095800</v>
      </c>
      <c r="H39" s="102">
        <f>'дод 3'!I92+'дод 3'!I380</f>
        <v>0</v>
      </c>
      <c r="I39" s="102">
        <f>'дод 3'!J92+'дод 3'!J380</f>
        <v>112222359</v>
      </c>
      <c r="J39" s="102">
        <f>'дод 3'!K92+'дод 3'!K380</f>
        <v>81469867.650000006</v>
      </c>
      <c r="K39" s="102">
        <f>'дод 3'!L92+'дод 3'!L380</f>
        <v>29919150</v>
      </c>
      <c r="L39" s="102">
        <f>'дод 3'!M92+'дод 3'!M380</f>
        <v>0</v>
      </c>
      <c r="M39" s="102">
        <f>'дод 3'!N92+'дод 3'!N380</f>
        <v>0</v>
      </c>
      <c r="N39" s="102">
        <f>'дод 3'!O92+'дод 3'!O380</f>
        <v>82303209</v>
      </c>
      <c r="O39" s="102">
        <f>'дод 3'!P92+'дод 3'!P380</f>
        <v>491753135</v>
      </c>
      <c r="P39" s="174"/>
      <c r="Q39" s="174"/>
    </row>
    <row r="40" spans="1:17" s="105" customFormat="1" ht="47.25" hidden="1" customHeight="1" x14ac:dyDescent="0.45">
      <c r="A40" s="104"/>
      <c r="B40" s="104"/>
      <c r="C40" s="55" t="s">
        <v>370</v>
      </c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74"/>
      <c r="Q40" s="174"/>
    </row>
    <row r="41" spans="1:17" ht="38.25" customHeight="1" x14ac:dyDescent="0.45">
      <c r="A41" s="52">
        <v>1021</v>
      </c>
      <c r="B41" s="52" t="s">
        <v>49</v>
      </c>
      <c r="C41" s="30" t="s">
        <v>676</v>
      </c>
      <c r="D41" s="102">
        <f>'дод 3'!E93+'дод 3'!E381</f>
        <v>265532822</v>
      </c>
      <c r="E41" s="102">
        <f>'дод 3'!F93+'дод 3'!F381</f>
        <v>265532822</v>
      </c>
      <c r="F41" s="102">
        <f>'дод 3'!G93+'дод 3'!G381</f>
        <v>141075250</v>
      </c>
      <c r="G41" s="102">
        <f>'дод 3'!H93+'дод 3'!H381</f>
        <v>63753300</v>
      </c>
      <c r="H41" s="102">
        <f>'дод 3'!I93+'дод 3'!I381</f>
        <v>0</v>
      </c>
      <c r="I41" s="102">
        <f>'дод 3'!J93+'дод 3'!J381</f>
        <v>84505320</v>
      </c>
      <c r="J41" s="102">
        <f>'дод 3'!K93+'дод 3'!K381</f>
        <v>21156374</v>
      </c>
      <c r="K41" s="102">
        <f>'дод 3'!L93+'дод 3'!L381</f>
        <v>63348946</v>
      </c>
      <c r="L41" s="102">
        <f>'дод 3'!M93+'дод 3'!M381</f>
        <v>2197510</v>
      </c>
      <c r="M41" s="102">
        <f>'дод 3'!N93+'дод 3'!N381</f>
        <v>276700</v>
      </c>
      <c r="N41" s="102">
        <f>'дод 3'!O93+'дод 3'!O381</f>
        <v>21156374</v>
      </c>
      <c r="O41" s="102">
        <f>'дод 3'!P93+'дод 3'!P381</f>
        <v>350038142</v>
      </c>
      <c r="P41" s="174"/>
      <c r="Q41" s="174"/>
    </row>
    <row r="42" spans="1:17" s="105" customFormat="1" ht="76.900000000000006" x14ac:dyDescent="0.45">
      <c r="A42" s="104"/>
      <c r="B42" s="104"/>
      <c r="C42" s="55" t="s">
        <v>624</v>
      </c>
      <c r="D42" s="103">
        <f>'дод 3'!E95</f>
        <v>325568</v>
      </c>
      <c r="E42" s="103">
        <f>'дод 3'!F95</f>
        <v>325568</v>
      </c>
      <c r="F42" s="103">
        <f>'дод 3'!G95</f>
        <v>0</v>
      </c>
      <c r="G42" s="103">
        <f>'дод 3'!H95</f>
        <v>0</v>
      </c>
      <c r="H42" s="103">
        <f>'дод 3'!I95</f>
        <v>0</v>
      </c>
      <c r="I42" s="103">
        <f>'дод 3'!J95</f>
        <v>30000</v>
      </c>
      <c r="J42" s="103">
        <f>'дод 3'!K95</f>
        <v>30000</v>
      </c>
      <c r="K42" s="103">
        <f>'дод 3'!L95</f>
        <v>0</v>
      </c>
      <c r="L42" s="103">
        <f>'дод 3'!M95</f>
        <v>0</v>
      </c>
      <c r="M42" s="103">
        <f>'дод 3'!N95</f>
        <v>0</v>
      </c>
      <c r="N42" s="103">
        <f>'дод 3'!O95</f>
        <v>30000</v>
      </c>
      <c r="O42" s="103">
        <f>'дод 3'!P95</f>
        <v>355568</v>
      </c>
      <c r="P42" s="174"/>
      <c r="Q42" s="174"/>
    </row>
    <row r="43" spans="1:17" s="105" customFormat="1" ht="20.65" customHeight="1" x14ac:dyDescent="0.45">
      <c r="A43" s="104"/>
      <c r="B43" s="104"/>
      <c r="C43" s="35" t="s">
        <v>380</v>
      </c>
      <c r="D43" s="103">
        <f>'дод 3'!E94</f>
        <v>0</v>
      </c>
      <c r="E43" s="103">
        <f>'дод 3'!F94</f>
        <v>0</v>
      </c>
      <c r="F43" s="103">
        <f>'дод 3'!G94</f>
        <v>0</v>
      </c>
      <c r="G43" s="103">
        <f>'дод 3'!H94</f>
        <v>0</v>
      </c>
      <c r="H43" s="103">
        <f>'дод 3'!I94</f>
        <v>0</v>
      </c>
      <c r="I43" s="103">
        <f>'дод 3'!J94</f>
        <v>6564196</v>
      </c>
      <c r="J43" s="103">
        <f>'дод 3'!K94</f>
        <v>0</v>
      </c>
      <c r="K43" s="103">
        <f>'дод 3'!L94</f>
        <v>6564196</v>
      </c>
      <c r="L43" s="103">
        <f>'дод 3'!M94</f>
        <v>0</v>
      </c>
      <c r="M43" s="103">
        <f>'дод 3'!N94</f>
        <v>0</v>
      </c>
      <c r="N43" s="103">
        <f>'дод 3'!O94</f>
        <v>0</v>
      </c>
      <c r="O43" s="103">
        <f>'дод 3'!P94</f>
        <v>6564196</v>
      </c>
      <c r="P43" s="174"/>
      <c r="Q43" s="174"/>
    </row>
    <row r="44" spans="1:17" s="105" customFormat="1" ht="50.25" hidden="1" customHeight="1" x14ac:dyDescent="0.45">
      <c r="A44" s="104"/>
      <c r="B44" s="104"/>
      <c r="C44" s="35" t="str">
        <f>'дод 3'!D94</f>
        <v>іншої субвенції з місцевого бюджету</v>
      </c>
      <c r="D44" s="103">
        <f>'дод 3'!E94</f>
        <v>0</v>
      </c>
      <c r="E44" s="103">
        <f>'дод 3'!F94</f>
        <v>0</v>
      </c>
      <c r="F44" s="103">
        <f>'дод 3'!G94</f>
        <v>0</v>
      </c>
      <c r="G44" s="103">
        <f>'дод 3'!H94</f>
        <v>0</v>
      </c>
      <c r="H44" s="103">
        <f>'дод 3'!I94</f>
        <v>0</v>
      </c>
      <c r="I44" s="103">
        <f>'дод 3'!J94</f>
        <v>6564196</v>
      </c>
      <c r="J44" s="103">
        <f>'дод 3'!K94</f>
        <v>0</v>
      </c>
      <c r="K44" s="103">
        <f>'дод 3'!L94</f>
        <v>6564196</v>
      </c>
      <c r="L44" s="103">
        <f>'дод 3'!M94</f>
        <v>0</v>
      </c>
      <c r="M44" s="103">
        <f>'дод 3'!N94</f>
        <v>0</v>
      </c>
      <c r="N44" s="103">
        <f>'дод 3'!O94</f>
        <v>0</v>
      </c>
      <c r="O44" s="103">
        <f>'дод 3'!P94</f>
        <v>6564196</v>
      </c>
      <c r="P44" s="174"/>
      <c r="Q44" s="174"/>
    </row>
    <row r="45" spans="1:17" s="105" customFormat="1" ht="47.25" hidden="1" customHeight="1" x14ac:dyDescent="0.45">
      <c r="A45" s="104"/>
      <c r="B45" s="104"/>
      <c r="C45" s="55" t="s">
        <v>371</v>
      </c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74"/>
      <c r="Q45" s="174"/>
    </row>
    <row r="46" spans="1:17" s="105" customFormat="1" ht="47.25" hidden="1" customHeight="1" x14ac:dyDescent="0.45">
      <c r="A46" s="104"/>
      <c r="B46" s="104"/>
      <c r="C46" s="55" t="s">
        <v>373</v>
      </c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74"/>
      <c r="Q46" s="174"/>
    </row>
    <row r="47" spans="1:17" s="105" customFormat="1" ht="58.5" hidden="1" customHeight="1" x14ac:dyDescent="0.45">
      <c r="A47" s="104"/>
      <c r="B47" s="104"/>
      <c r="C47" s="55" t="s">
        <v>370</v>
      </c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74"/>
      <c r="Q47" s="174"/>
    </row>
    <row r="48" spans="1:17" s="105" customFormat="1" ht="31.5" hidden="1" customHeight="1" x14ac:dyDescent="0.45">
      <c r="A48" s="104"/>
      <c r="B48" s="104"/>
      <c r="C48" s="55" t="s">
        <v>376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74"/>
      <c r="Q48" s="174"/>
    </row>
    <row r="49" spans="1:17" s="105" customFormat="1" ht="63" hidden="1" customHeight="1" x14ac:dyDescent="0.45">
      <c r="A49" s="104"/>
      <c r="B49" s="104"/>
      <c r="C49" s="55" t="s">
        <v>372</v>
      </c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74"/>
      <c r="Q49" s="174"/>
    </row>
    <row r="50" spans="1:17" ht="64.150000000000006" customHeight="1" x14ac:dyDescent="0.45">
      <c r="A50" s="52">
        <v>1022</v>
      </c>
      <c r="B50" s="28" t="s">
        <v>53</v>
      </c>
      <c r="C50" s="30" t="s">
        <v>608</v>
      </c>
      <c r="D50" s="102">
        <f>'дод 3'!E96+'дод 3'!E382</f>
        <v>19731241</v>
      </c>
      <c r="E50" s="102">
        <f>'дод 3'!F96+'дод 3'!F382</f>
        <v>19731241</v>
      </c>
      <c r="F50" s="102">
        <f>'дод 3'!G96+'дод 3'!G382</f>
        <v>11250800</v>
      </c>
      <c r="G50" s="102">
        <f>'дод 3'!H96+'дод 3'!H382</f>
        <v>2736500</v>
      </c>
      <c r="H50" s="102">
        <f>'дод 3'!I96+'дод 3'!I382</f>
        <v>0</v>
      </c>
      <c r="I50" s="102">
        <f>'дод 3'!J96+'дод 3'!J382</f>
        <v>0</v>
      </c>
      <c r="J50" s="102">
        <f>'дод 3'!K96+'дод 3'!K382</f>
        <v>0</v>
      </c>
      <c r="K50" s="102">
        <f>'дод 3'!L96+'дод 3'!L382</f>
        <v>0</v>
      </c>
      <c r="L50" s="102">
        <f>'дод 3'!M96+'дод 3'!M382</f>
        <v>0</v>
      </c>
      <c r="M50" s="102">
        <f>'дод 3'!N96+'дод 3'!N382</f>
        <v>0</v>
      </c>
      <c r="N50" s="102">
        <f>'дод 3'!O96+'дод 3'!O382</f>
        <v>0</v>
      </c>
      <c r="O50" s="102">
        <f>'дод 3'!P96+'дод 3'!P382</f>
        <v>19731241</v>
      </c>
      <c r="P50" s="174"/>
      <c r="Q50" s="174"/>
    </row>
    <row r="51" spans="1:17" ht="76.900000000000006" x14ac:dyDescent="0.45">
      <c r="A51" s="52"/>
      <c r="B51" s="28"/>
      <c r="C51" s="55" t="s">
        <v>624</v>
      </c>
      <c r="D51" s="103">
        <f>'дод 3'!E97</f>
        <v>21541</v>
      </c>
      <c r="E51" s="103">
        <f>'дод 3'!F97</f>
        <v>21541</v>
      </c>
      <c r="F51" s="103">
        <f>'дод 3'!G97</f>
        <v>0</v>
      </c>
      <c r="G51" s="103">
        <f>'дод 3'!H97</f>
        <v>0</v>
      </c>
      <c r="H51" s="103">
        <f>'дод 3'!I97</f>
        <v>0</v>
      </c>
      <c r="I51" s="103">
        <f>'дод 3'!J97</f>
        <v>0</v>
      </c>
      <c r="J51" s="103">
        <f>'дод 3'!K97</f>
        <v>0</v>
      </c>
      <c r="K51" s="103">
        <f>'дод 3'!L97</f>
        <v>0</v>
      </c>
      <c r="L51" s="103">
        <f>'дод 3'!M97</f>
        <v>0</v>
      </c>
      <c r="M51" s="103">
        <f>'дод 3'!N97</f>
        <v>0</v>
      </c>
      <c r="N51" s="103">
        <f>'дод 3'!O97</f>
        <v>0</v>
      </c>
      <c r="O51" s="103">
        <f>'дод 3'!P97</f>
        <v>21541</v>
      </c>
      <c r="P51" s="174"/>
      <c r="Q51" s="174"/>
    </row>
    <row r="52" spans="1:17" ht="78.75" hidden="1" customHeight="1" x14ac:dyDescent="0.45">
      <c r="A52" s="52"/>
      <c r="B52" s="52"/>
      <c r="C52" s="55" t="s">
        <v>374</v>
      </c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74"/>
      <c r="Q52" s="174"/>
    </row>
    <row r="53" spans="1:17" ht="64.5" customHeight="1" x14ac:dyDescent="0.45">
      <c r="A53" s="52">
        <v>1025</v>
      </c>
      <c r="B53" s="52" t="s">
        <v>53</v>
      </c>
      <c r="C53" s="39" t="s">
        <v>609</v>
      </c>
      <c r="D53" s="102">
        <f>'дод 3'!E98</f>
        <v>14028100</v>
      </c>
      <c r="E53" s="102">
        <f>'дод 3'!F98</f>
        <v>14028100</v>
      </c>
      <c r="F53" s="102">
        <f>'дод 3'!G98</f>
        <v>9815000</v>
      </c>
      <c r="G53" s="102">
        <f>'дод 3'!H98</f>
        <v>1219000</v>
      </c>
      <c r="H53" s="102">
        <f>'дод 3'!I98</f>
        <v>0</v>
      </c>
      <c r="I53" s="102">
        <f>'дод 3'!J98</f>
        <v>0</v>
      </c>
      <c r="J53" s="102">
        <f>'дод 3'!K98</f>
        <v>0</v>
      </c>
      <c r="K53" s="102">
        <f>'дод 3'!L98</f>
        <v>0</v>
      </c>
      <c r="L53" s="102">
        <f>'дод 3'!M98</f>
        <v>0</v>
      </c>
      <c r="M53" s="102">
        <f>'дод 3'!N98</f>
        <v>0</v>
      </c>
      <c r="N53" s="102">
        <f>'дод 3'!O98</f>
        <v>0</v>
      </c>
      <c r="O53" s="102">
        <f>'дод 3'!P98</f>
        <v>14028100</v>
      </c>
      <c r="P53" s="174"/>
      <c r="Q53" s="174"/>
    </row>
    <row r="54" spans="1:17" s="105" customFormat="1" ht="30.75" x14ac:dyDescent="0.45">
      <c r="A54" s="29">
        <v>1031</v>
      </c>
      <c r="B54" s="28" t="s">
        <v>49</v>
      </c>
      <c r="C54" s="30" t="s">
        <v>610</v>
      </c>
      <c r="D54" s="102">
        <f>'дод 3'!E99</f>
        <v>508400300</v>
      </c>
      <c r="E54" s="102">
        <f>'дод 3'!F99</f>
        <v>508400300</v>
      </c>
      <c r="F54" s="102">
        <f>'дод 3'!G99</f>
        <v>415576000</v>
      </c>
      <c r="G54" s="102">
        <f>'дод 3'!H99</f>
        <v>0</v>
      </c>
      <c r="H54" s="102">
        <f>'дод 3'!I99</f>
        <v>0</v>
      </c>
      <c r="I54" s="102">
        <f>'дод 3'!J99</f>
        <v>0</v>
      </c>
      <c r="J54" s="102">
        <f>'дод 3'!K99</f>
        <v>0</v>
      </c>
      <c r="K54" s="102">
        <f>'дод 3'!L99</f>
        <v>0</v>
      </c>
      <c r="L54" s="102">
        <f>'дод 3'!M99</f>
        <v>0</v>
      </c>
      <c r="M54" s="102">
        <f>'дод 3'!N99</f>
        <v>0</v>
      </c>
      <c r="N54" s="102">
        <f>'дод 3'!O99</f>
        <v>0</v>
      </c>
      <c r="O54" s="102">
        <f>'дод 3'!P99</f>
        <v>508400300</v>
      </c>
      <c r="P54" s="174"/>
      <c r="Q54" s="174"/>
    </row>
    <row r="55" spans="1:17" s="105" customFormat="1" ht="18.75" customHeight="1" x14ac:dyDescent="0.45">
      <c r="A55" s="104"/>
      <c r="B55" s="104"/>
      <c r="C55" s="35" t="s">
        <v>376</v>
      </c>
      <c r="D55" s="103">
        <f>'дод 3'!E100</f>
        <v>506171900</v>
      </c>
      <c r="E55" s="103">
        <f>'дод 3'!F100</f>
        <v>506171900</v>
      </c>
      <c r="F55" s="103">
        <f>'дод 3'!G100</f>
        <v>415576000</v>
      </c>
      <c r="G55" s="103">
        <f>'дод 3'!H100</f>
        <v>0</v>
      </c>
      <c r="H55" s="103">
        <f>'дод 3'!I100</f>
        <v>0</v>
      </c>
      <c r="I55" s="103">
        <f>'дод 3'!J100</f>
        <v>0</v>
      </c>
      <c r="J55" s="103">
        <f>'дод 3'!K100</f>
        <v>0</v>
      </c>
      <c r="K55" s="103">
        <f>'дод 3'!L100</f>
        <v>0</v>
      </c>
      <c r="L55" s="103">
        <f>'дод 3'!M100</f>
        <v>0</v>
      </c>
      <c r="M55" s="103">
        <f>'дод 3'!N100</f>
        <v>0</v>
      </c>
      <c r="N55" s="103">
        <f>'дод 3'!O100</f>
        <v>0</v>
      </c>
      <c r="O55" s="103">
        <f>'дод 3'!P100</f>
        <v>506171900</v>
      </c>
      <c r="P55" s="174"/>
      <c r="Q55" s="174"/>
    </row>
    <row r="56" spans="1:17" ht="36" customHeight="1" x14ac:dyDescent="0.45">
      <c r="A56" s="52"/>
      <c r="B56" s="52"/>
      <c r="C56" s="35" t="s">
        <v>371</v>
      </c>
      <c r="D56" s="103">
        <f>'дод 3'!E101</f>
        <v>2228400</v>
      </c>
      <c r="E56" s="103">
        <f>'дод 3'!F101</f>
        <v>2228400</v>
      </c>
      <c r="F56" s="103">
        <f>'дод 3'!G101</f>
        <v>0</v>
      </c>
      <c r="G56" s="103">
        <f>'дод 3'!H101</f>
        <v>0</v>
      </c>
      <c r="H56" s="103">
        <f>'дод 3'!I101</f>
        <v>0</v>
      </c>
      <c r="I56" s="103">
        <f>'дод 3'!J101</f>
        <v>0</v>
      </c>
      <c r="J56" s="103">
        <f>'дод 3'!K101</f>
        <v>0</v>
      </c>
      <c r="K56" s="103">
        <f>'дод 3'!L101</f>
        <v>0</v>
      </c>
      <c r="L56" s="103">
        <f>'дод 3'!M101</f>
        <v>0</v>
      </c>
      <c r="M56" s="103">
        <f>'дод 3'!N101</f>
        <v>0</v>
      </c>
      <c r="N56" s="103">
        <f>'дод 3'!O101</f>
        <v>0</v>
      </c>
      <c r="O56" s="103">
        <f>'дод 3'!P101</f>
        <v>2228400</v>
      </c>
      <c r="P56" s="174"/>
      <c r="Q56" s="174"/>
    </row>
    <row r="57" spans="1:17" ht="52.5" customHeight="1" x14ac:dyDescent="0.45">
      <c r="A57" s="28" t="s">
        <v>444</v>
      </c>
      <c r="B57" s="28" t="s">
        <v>53</v>
      </c>
      <c r="C57" s="30" t="s">
        <v>611</v>
      </c>
      <c r="D57" s="102">
        <f>'дод 3'!E102</f>
        <v>20154300</v>
      </c>
      <c r="E57" s="102">
        <f>'дод 3'!F102</f>
        <v>20154300</v>
      </c>
      <c r="F57" s="102">
        <f>'дод 3'!G102</f>
        <v>16520000</v>
      </c>
      <c r="G57" s="102">
        <f>'дод 3'!H102</f>
        <v>0</v>
      </c>
      <c r="H57" s="102">
        <f>'дод 3'!I102</f>
        <v>0</v>
      </c>
      <c r="I57" s="102">
        <f>'дод 3'!J102</f>
        <v>0</v>
      </c>
      <c r="J57" s="102">
        <f>'дод 3'!K102</f>
        <v>0</v>
      </c>
      <c r="K57" s="102">
        <f>'дод 3'!L102</f>
        <v>0</v>
      </c>
      <c r="L57" s="102">
        <f>'дод 3'!M102</f>
        <v>0</v>
      </c>
      <c r="M57" s="102">
        <f>'дод 3'!N102</f>
        <v>0</v>
      </c>
      <c r="N57" s="102">
        <f>'дод 3'!O102</f>
        <v>0</v>
      </c>
      <c r="O57" s="102">
        <f>'дод 3'!P102</f>
        <v>20154300</v>
      </c>
      <c r="P57" s="174"/>
      <c r="Q57" s="174"/>
    </row>
    <row r="58" spans="1:17" ht="31.5" customHeight="1" x14ac:dyDescent="0.45">
      <c r="A58" s="52"/>
      <c r="B58" s="52"/>
      <c r="C58" s="35" t="s">
        <v>376</v>
      </c>
      <c r="D58" s="103">
        <f>'дод 3'!E103</f>
        <v>20154300</v>
      </c>
      <c r="E58" s="103">
        <f>'дод 3'!F103</f>
        <v>20154300</v>
      </c>
      <c r="F58" s="103">
        <f>'дод 3'!G103</f>
        <v>16520000</v>
      </c>
      <c r="G58" s="103">
        <f>'дод 3'!H103</f>
        <v>0</v>
      </c>
      <c r="H58" s="103">
        <f>'дод 3'!I103</f>
        <v>0</v>
      </c>
      <c r="I58" s="103">
        <f>'дод 3'!J103</f>
        <v>0</v>
      </c>
      <c r="J58" s="103">
        <f>'дод 3'!K103</f>
        <v>0</v>
      </c>
      <c r="K58" s="103">
        <f>'дод 3'!L103</f>
        <v>0</v>
      </c>
      <c r="L58" s="103">
        <f>'дод 3'!M103</f>
        <v>0</v>
      </c>
      <c r="M58" s="103">
        <f>'дод 3'!N103</f>
        <v>0</v>
      </c>
      <c r="N58" s="103">
        <f>'дод 3'!O103</f>
        <v>0</v>
      </c>
      <c r="O58" s="103">
        <f>'дод 3'!P103</f>
        <v>20154300</v>
      </c>
      <c r="P58" s="173"/>
      <c r="Q58" s="174"/>
    </row>
    <row r="59" spans="1:17" ht="69.400000000000006" customHeight="1" x14ac:dyDescent="0.45">
      <c r="A59" s="52">
        <v>1035</v>
      </c>
      <c r="B59" s="52" t="s">
        <v>53</v>
      </c>
      <c r="C59" s="30" t="s">
        <v>612</v>
      </c>
      <c r="D59" s="102">
        <f>'дод 3'!E104</f>
        <v>1773800</v>
      </c>
      <c r="E59" s="102">
        <f>'дод 3'!F104</f>
        <v>1773800</v>
      </c>
      <c r="F59" s="102">
        <f>'дод 3'!G104</f>
        <v>1454000</v>
      </c>
      <c r="G59" s="102">
        <f>'дод 3'!H104</f>
        <v>0</v>
      </c>
      <c r="H59" s="102">
        <f>'дод 3'!I104</f>
        <v>0</v>
      </c>
      <c r="I59" s="102">
        <f>'дод 3'!J104</f>
        <v>0</v>
      </c>
      <c r="J59" s="102">
        <f>'дод 3'!K104</f>
        <v>0</v>
      </c>
      <c r="K59" s="102">
        <f>'дод 3'!L104</f>
        <v>0</v>
      </c>
      <c r="L59" s="102">
        <f>'дод 3'!M104</f>
        <v>0</v>
      </c>
      <c r="M59" s="102">
        <f>'дод 3'!N104</f>
        <v>0</v>
      </c>
      <c r="N59" s="102">
        <f>'дод 3'!O104</f>
        <v>0</v>
      </c>
      <c r="O59" s="102">
        <f>'дод 3'!P104</f>
        <v>1773800</v>
      </c>
      <c r="P59" s="173"/>
      <c r="Q59" s="174"/>
    </row>
    <row r="60" spans="1:17" ht="31.5" customHeight="1" x14ac:dyDescent="0.45">
      <c r="A60" s="52"/>
      <c r="B60" s="52"/>
      <c r="C60" s="35" t="s">
        <v>376</v>
      </c>
      <c r="D60" s="103">
        <f>'дод 3'!E105</f>
        <v>1773800</v>
      </c>
      <c r="E60" s="103">
        <f>'дод 3'!F105</f>
        <v>1773800</v>
      </c>
      <c r="F60" s="103">
        <f>'дод 3'!G105</f>
        <v>1454000</v>
      </c>
      <c r="G60" s="103">
        <f>'дод 3'!H105</f>
        <v>0</v>
      </c>
      <c r="H60" s="103">
        <f>'дод 3'!I105</f>
        <v>0</v>
      </c>
      <c r="I60" s="103">
        <f>'дод 3'!J105</f>
        <v>0</v>
      </c>
      <c r="J60" s="103">
        <f>'дод 3'!K105</f>
        <v>0</v>
      </c>
      <c r="K60" s="103">
        <f>'дод 3'!L105</f>
        <v>0</v>
      </c>
      <c r="L60" s="103">
        <f>'дод 3'!M105</f>
        <v>0</v>
      </c>
      <c r="M60" s="103">
        <f>'дод 3'!N105</f>
        <v>0</v>
      </c>
      <c r="N60" s="103">
        <f>'дод 3'!O105</f>
        <v>0</v>
      </c>
      <c r="O60" s="103">
        <f>'дод 3'!P105</f>
        <v>1773800</v>
      </c>
      <c r="P60" s="173"/>
      <c r="Q60" s="174"/>
    </row>
    <row r="61" spans="1:17" ht="31.5" customHeight="1" x14ac:dyDescent="0.45">
      <c r="A61" s="52">
        <v>1061</v>
      </c>
      <c r="B61" s="28" t="s">
        <v>49</v>
      </c>
      <c r="C61" s="30" t="s">
        <v>486</v>
      </c>
      <c r="D61" s="102">
        <f>'дод 3'!E106</f>
        <v>351767.89</v>
      </c>
      <c r="E61" s="102">
        <f>'дод 3'!F106</f>
        <v>351767.89</v>
      </c>
      <c r="F61" s="102">
        <f>'дод 3'!G106</f>
        <v>290000</v>
      </c>
      <c r="G61" s="102">
        <f>'дод 3'!H106</f>
        <v>0</v>
      </c>
      <c r="H61" s="102">
        <f>'дод 3'!I106</f>
        <v>0</v>
      </c>
      <c r="I61" s="102">
        <f>'дод 3'!J106</f>
        <v>0</v>
      </c>
      <c r="J61" s="102">
        <f>'дод 3'!K106</f>
        <v>0</v>
      </c>
      <c r="K61" s="102">
        <f>'дод 3'!L106</f>
        <v>0</v>
      </c>
      <c r="L61" s="102">
        <f>'дод 3'!M106</f>
        <v>0</v>
      </c>
      <c r="M61" s="102">
        <f>'дод 3'!N106</f>
        <v>0</v>
      </c>
      <c r="N61" s="102">
        <f>'дод 3'!O106</f>
        <v>0</v>
      </c>
      <c r="O61" s="102">
        <f>'дод 3'!P106</f>
        <v>351767.89</v>
      </c>
      <c r="P61" s="173"/>
      <c r="Q61" s="174"/>
    </row>
    <row r="62" spans="1:17" ht="47.25" hidden="1" customHeight="1" x14ac:dyDescent="0.45">
      <c r="A62" s="52"/>
      <c r="B62" s="28"/>
      <c r="C62" s="35" t="s">
        <v>496</v>
      </c>
      <c r="D62" s="103">
        <f>'дод 3'!E107</f>
        <v>0</v>
      </c>
      <c r="E62" s="103">
        <f>'дод 3'!F107</f>
        <v>0</v>
      </c>
      <c r="F62" s="103">
        <f>'дод 3'!G107</f>
        <v>0</v>
      </c>
      <c r="G62" s="103">
        <f>'дод 3'!H107</f>
        <v>0</v>
      </c>
      <c r="H62" s="103">
        <f>'дод 3'!I107</f>
        <v>0</v>
      </c>
      <c r="I62" s="103">
        <f>'дод 3'!J107</f>
        <v>0</v>
      </c>
      <c r="J62" s="103">
        <f>'дод 3'!K107</f>
        <v>0</v>
      </c>
      <c r="K62" s="103">
        <f>'дод 3'!L107</f>
        <v>0</v>
      </c>
      <c r="L62" s="103">
        <f>'дод 3'!M107</f>
        <v>0</v>
      </c>
      <c r="M62" s="103">
        <f>'дод 3'!N107</f>
        <v>0</v>
      </c>
      <c r="N62" s="103">
        <f>'дод 3'!O107</f>
        <v>0</v>
      </c>
      <c r="O62" s="103">
        <f>'дод 3'!P107</f>
        <v>0</v>
      </c>
      <c r="P62" s="173"/>
      <c r="Q62" s="174"/>
    </row>
    <row r="63" spans="1:17" s="105" customFormat="1" ht="31.5" customHeight="1" x14ac:dyDescent="0.45">
      <c r="A63" s="104"/>
      <c r="B63" s="33"/>
      <c r="C63" s="35" t="s">
        <v>493</v>
      </c>
      <c r="D63" s="103">
        <f>'дод 3'!E108</f>
        <v>351767.89</v>
      </c>
      <c r="E63" s="103">
        <f>'дод 3'!F108</f>
        <v>351767.89</v>
      </c>
      <c r="F63" s="103">
        <f>'дод 3'!G108</f>
        <v>290000</v>
      </c>
      <c r="G63" s="103">
        <f>'дод 3'!H108</f>
        <v>0</v>
      </c>
      <c r="H63" s="103">
        <f>'дод 3'!I108</f>
        <v>0</v>
      </c>
      <c r="I63" s="103">
        <f>'дод 3'!J108</f>
        <v>0</v>
      </c>
      <c r="J63" s="103">
        <f>'дод 3'!K108</f>
        <v>0</v>
      </c>
      <c r="K63" s="103">
        <f>'дод 3'!L108</f>
        <v>0</v>
      </c>
      <c r="L63" s="103">
        <f>'дод 3'!M108</f>
        <v>0</v>
      </c>
      <c r="M63" s="103">
        <f>'дод 3'!N108</f>
        <v>0</v>
      </c>
      <c r="N63" s="103">
        <f>'дод 3'!O108</f>
        <v>0</v>
      </c>
      <c r="O63" s="103">
        <f>'дод 3'!P108</f>
        <v>351767.89</v>
      </c>
      <c r="P63" s="173"/>
      <c r="Q63" s="174"/>
    </row>
    <row r="64" spans="1:17" s="105" customFormat="1" ht="63" hidden="1" customHeight="1" x14ac:dyDescent="0.45">
      <c r="A64" s="52">
        <v>1062</v>
      </c>
      <c r="B64" s="28" t="s">
        <v>53</v>
      </c>
      <c r="C64" s="30" t="s">
        <v>470</v>
      </c>
      <c r="D64" s="102">
        <f>'дод 3'!E109</f>
        <v>0</v>
      </c>
      <c r="E64" s="102">
        <f>'дод 3'!F109</f>
        <v>0</v>
      </c>
      <c r="F64" s="102">
        <f>'дод 3'!G109</f>
        <v>0</v>
      </c>
      <c r="G64" s="102">
        <f>'дод 3'!H109</f>
        <v>0</v>
      </c>
      <c r="H64" s="102">
        <f>'дод 3'!I109</f>
        <v>0</v>
      </c>
      <c r="I64" s="102">
        <f>'дод 3'!J109</f>
        <v>0</v>
      </c>
      <c r="J64" s="102">
        <f>'дод 3'!K109</f>
        <v>0</v>
      </c>
      <c r="K64" s="102">
        <f>'дод 3'!L109</f>
        <v>0</v>
      </c>
      <c r="L64" s="102">
        <f>'дод 3'!M109</f>
        <v>0</v>
      </c>
      <c r="M64" s="102">
        <f>'дод 3'!N109</f>
        <v>0</v>
      </c>
      <c r="N64" s="102">
        <f>'дод 3'!O109</f>
        <v>0</v>
      </c>
      <c r="O64" s="102">
        <f>'дод 3'!P109</f>
        <v>0</v>
      </c>
      <c r="P64" s="173"/>
      <c r="Q64" s="174"/>
    </row>
    <row r="65" spans="1:17" s="105" customFormat="1" ht="31.5" hidden="1" customHeight="1" x14ac:dyDescent="0.45">
      <c r="A65" s="104"/>
      <c r="B65" s="33"/>
      <c r="C65" s="35" t="str">
        <f>'дод 3'!D110</f>
        <v>залишку коштів освітньої субвенції , що утворився на початок бюджетного періоду</v>
      </c>
      <c r="D65" s="103">
        <f>'дод 3'!E110</f>
        <v>0</v>
      </c>
      <c r="E65" s="103">
        <f>'дод 3'!F110</f>
        <v>0</v>
      </c>
      <c r="F65" s="103">
        <f>'дод 3'!G110</f>
        <v>0</v>
      </c>
      <c r="G65" s="103">
        <f>'дод 3'!H110</f>
        <v>0</v>
      </c>
      <c r="H65" s="103">
        <f>'дод 3'!I110</f>
        <v>0</v>
      </c>
      <c r="I65" s="103">
        <f>'дод 3'!J110</f>
        <v>0</v>
      </c>
      <c r="J65" s="103">
        <f>'дод 3'!K110</f>
        <v>0</v>
      </c>
      <c r="K65" s="103">
        <f>'дод 3'!L110</f>
        <v>0</v>
      </c>
      <c r="L65" s="103">
        <f>'дод 3'!M110</f>
        <v>0</v>
      </c>
      <c r="M65" s="103">
        <f>'дод 3'!N110</f>
        <v>0</v>
      </c>
      <c r="N65" s="103">
        <f>'дод 3'!O110</f>
        <v>0</v>
      </c>
      <c r="O65" s="103">
        <f>'дод 3'!P110</f>
        <v>0</v>
      </c>
      <c r="P65" s="173"/>
      <c r="Q65" s="174"/>
    </row>
    <row r="66" spans="1:17" s="105" customFormat="1" ht="38.25" customHeight="1" x14ac:dyDescent="0.45">
      <c r="A66" s="28" t="s">
        <v>52</v>
      </c>
      <c r="B66" s="28" t="s">
        <v>55</v>
      </c>
      <c r="C66" s="30" t="s">
        <v>352</v>
      </c>
      <c r="D66" s="102">
        <f>'дод 3'!E111</f>
        <v>49233900</v>
      </c>
      <c r="E66" s="102">
        <f>'дод 3'!F111</f>
        <v>49233900</v>
      </c>
      <c r="F66" s="102">
        <f>'дод 3'!G111</f>
        <v>34430200</v>
      </c>
      <c r="G66" s="102">
        <f>'дод 3'!H111</f>
        <v>6479900</v>
      </c>
      <c r="H66" s="102">
        <f>'дод 3'!I111</f>
        <v>0</v>
      </c>
      <c r="I66" s="102">
        <f>'дод 3'!J111</f>
        <v>4231500</v>
      </c>
      <c r="J66" s="102">
        <f>'дод 3'!K111</f>
        <v>4231500</v>
      </c>
      <c r="K66" s="102">
        <f>'дод 3'!L111</f>
        <v>0</v>
      </c>
      <c r="L66" s="102">
        <f>'дод 3'!M111</f>
        <v>0</v>
      </c>
      <c r="M66" s="102">
        <f>'дод 3'!N111</f>
        <v>0</v>
      </c>
      <c r="N66" s="102">
        <f>'дод 3'!O111</f>
        <v>4231500</v>
      </c>
      <c r="O66" s="102">
        <f>'дод 3'!P111</f>
        <v>53465400</v>
      </c>
      <c r="P66" s="173"/>
      <c r="Q66" s="174"/>
    </row>
    <row r="67" spans="1:17" s="105" customFormat="1" ht="30" customHeight="1" x14ac:dyDescent="0.45">
      <c r="A67" s="29">
        <v>1080</v>
      </c>
      <c r="B67" s="28" t="s">
        <v>55</v>
      </c>
      <c r="C67" s="30" t="s">
        <v>534</v>
      </c>
      <c r="D67" s="102">
        <f>'дод 3'!E278</f>
        <v>63714300</v>
      </c>
      <c r="E67" s="102">
        <f>'дод 3'!F278</f>
        <v>63714300</v>
      </c>
      <c r="F67" s="102">
        <f>'дод 3'!G278</f>
        <v>49963100</v>
      </c>
      <c r="G67" s="102">
        <f>'дод 3'!H278</f>
        <v>1633100</v>
      </c>
      <c r="H67" s="102">
        <f>'дод 3'!I278</f>
        <v>0</v>
      </c>
      <c r="I67" s="102">
        <f>'дод 3'!J278</f>
        <v>3692735</v>
      </c>
      <c r="J67" s="102">
        <f>'дод 3'!K278</f>
        <v>0</v>
      </c>
      <c r="K67" s="102">
        <f>'дод 3'!L278</f>
        <v>3690535</v>
      </c>
      <c r="L67" s="102">
        <f>'дод 3'!M278</f>
        <v>3020273</v>
      </c>
      <c r="M67" s="102">
        <f>'дод 3'!N278</f>
        <v>0</v>
      </c>
      <c r="N67" s="102">
        <f>'дод 3'!O278</f>
        <v>2200</v>
      </c>
      <c r="O67" s="102">
        <f>'дод 3'!P278</f>
        <v>67407035</v>
      </c>
      <c r="P67" s="173"/>
      <c r="Q67" s="174"/>
    </row>
    <row r="68" spans="1:17" s="105" customFormat="1" ht="54.4" customHeight="1" x14ac:dyDescent="0.45">
      <c r="A68" s="29">
        <v>1091</v>
      </c>
      <c r="B68" s="28" t="s">
        <v>553</v>
      </c>
      <c r="C68" s="30" t="s">
        <v>711</v>
      </c>
      <c r="D68" s="102">
        <f>'дод 3'!E112</f>
        <v>164761300</v>
      </c>
      <c r="E68" s="102">
        <f>'дод 3'!F112</f>
        <v>164761300</v>
      </c>
      <c r="F68" s="102">
        <f>'дод 3'!G112</f>
        <v>88885794</v>
      </c>
      <c r="G68" s="102">
        <f>'дод 3'!H112</f>
        <v>20871665</v>
      </c>
      <c r="H68" s="102">
        <f>'дод 3'!I112</f>
        <v>0</v>
      </c>
      <c r="I68" s="102">
        <f>'дод 3'!J112</f>
        <v>51702725</v>
      </c>
      <c r="J68" s="102">
        <f>'дод 3'!K112</f>
        <v>37122000</v>
      </c>
      <c r="K68" s="102">
        <f>'дод 3'!L112</f>
        <v>14430725</v>
      </c>
      <c r="L68" s="102">
        <f>'дод 3'!M112</f>
        <v>4542152</v>
      </c>
      <c r="M68" s="102">
        <f>'дод 3'!N112</f>
        <v>5317700</v>
      </c>
      <c r="N68" s="102">
        <f>'дод 3'!O112</f>
        <v>37272000</v>
      </c>
      <c r="O68" s="102">
        <f>'дод 3'!P112</f>
        <v>216464025</v>
      </c>
      <c r="P68" s="173"/>
      <c r="Q68" s="174"/>
    </row>
    <row r="69" spans="1:17" s="105" customFormat="1" ht="76.900000000000006" x14ac:dyDescent="0.45">
      <c r="A69" s="34"/>
      <c r="B69" s="33"/>
      <c r="C69" s="35" t="s">
        <v>624</v>
      </c>
      <c r="D69" s="103">
        <f>'дод 3'!E113</f>
        <v>0</v>
      </c>
      <c r="E69" s="103">
        <f>'дод 3'!F113</f>
        <v>0</v>
      </c>
      <c r="F69" s="103">
        <f>'дод 3'!G113</f>
        <v>0</v>
      </c>
      <c r="G69" s="103">
        <f>'дод 3'!H113</f>
        <v>0</v>
      </c>
      <c r="H69" s="103">
        <f>'дод 3'!I113</f>
        <v>0</v>
      </c>
      <c r="I69" s="103">
        <f>'дод 3'!J113</f>
        <v>37122000</v>
      </c>
      <c r="J69" s="103">
        <f>'дод 3'!K113</f>
        <v>37122000</v>
      </c>
      <c r="K69" s="103">
        <f>'дод 3'!L113</f>
        <v>0</v>
      </c>
      <c r="L69" s="103">
        <f>'дод 3'!M113</f>
        <v>0</v>
      </c>
      <c r="M69" s="103">
        <f>'дод 3'!N113</f>
        <v>0</v>
      </c>
      <c r="N69" s="103">
        <f>'дод 3'!O113</f>
        <v>37122000</v>
      </c>
      <c r="O69" s="103">
        <f>'дод 3'!P113</f>
        <v>37122000</v>
      </c>
      <c r="P69" s="173"/>
      <c r="Q69" s="174"/>
    </row>
    <row r="70" spans="1:17" s="105" customFormat="1" ht="45.75" customHeight="1" x14ac:dyDescent="0.45">
      <c r="A70" s="29">
        <v>1092</v>
      </c>
      <c r="B70" s="28" t="s">
        <v>553</v>
      </c>
      <c r="C70" s="30" t="s">
        <v>555</v>
      </c>
      <c r="D70" s="102">
        <f>'дод 3'!E114</f>
        <v>22978300</v>
      </c>
      <c r="E70" s="102">
        <f>'дод 3'!F114</f>
        <v>22978300</v>
      </c>
      <c r="F70" s="102">
        <f>'дод 3'!G114</f>
        <v>18834600</v>
      </c>
      <c r="G70" s="102">
        <f>'дод 3'!H114</f>
        <v>0</v>
      </c>
      <c r="H70" s="102">
        <f>'дод 3'!I114</f>
        <v>0</v>
      </c>
      <c r="I70" s="102">
        <f>'дод 3'!J114</f>
        <v>0</v>
      </c>
      <c r="J70" s="102">
        <f>'дод 3'!K114</f>
        <v>0</v>
      </c>
      <c r="K70" s="102">
        <f>'дод 3'!L114</f>
        <v>0</v>
      </c>
      <c r="L70" s="102">
        <f>'дод 3'!M114</f>
        <v>0</v>
      </c>
      <c r="M70" s="102">
        <f>'дод 3'!N114</f>
        <v>0</v>
      </c>
      <c r="N70" s="102">
        <f>'дод 3'!O114</f>
        <v>0</v>
      </c>
      <c r="O70" s="102">
        <f>'дод 3'!P114</f>
        <v>22978300</v>
      </c>
      <c r="P70" s="173"/>
      <c r="Q70" s="174"/>
    </row>
    <row r="71" spans="1:17" s="105" customFormat="1" ht="31.5" customHeight="1" x14ac:dyDescent="0.45">
      <c r="A71" s="34"/>
      <c r="B71" s="33"/>
      <c r="C71" s="35" t="s">
        <v>376</v>
      </c>
      <c r="D71" s="103">
        <f>'дод 3'!E115</f>
        <v>22978300</v>
      </c>
      <c r="E71" s="103">
        <f>'дод 3'!F115</f>
        <v>22978300</v>
      </c>
      <c r="F71" s="103">
        <f>'дод 3'!G115</f>
        <v>18834600</v>
      </c>
      <c r="G71" s="103">
        <f>'дод 3'!H115</f>
        <v>0</v>
      </c>
      <c r="H71" s="103">
        <f>'дод 3'!I115</f>
        <v>0</v>
      </c>
      <c r="I71" s="103">
        <f>'дод 3'!J115</f>
        <v>0</v>
      </c>
      <c r="J71" s="103">
        <f>'дод 3'!K115</f>
        <v>0</v>
      </c>
      <c r="K71" s="103">
        <f>'дод 3'!L115</f>
        <v>0</v>
      </c>
      <c r="L71" s="103">
        <f>'дод 3'!M115</f>
        <v>0</v>
      </c>
      <c r="M71" s="103">
        <f>'дод 3'!N115</f>
        <v>0</v>
      </c>
      <c r="N71" s="103">
        <f>'дод 3'!O115</f>
        <v>0</v>
      </c>
      <c r="O71" s="103">
        <f>'дод 3'!P115</f>
        <v>22978300</v>
      </c>
      <c r="P71" s="173"/>
      <c r="Q71" s="174"/>
    </row>
    <row r="72" spans="1:17" s="105" customFormat="1" ht="91.9" customHeight="1" x14ac:dyDescent="0.45">
      <c r="A72" s="29">
        <v>1094</v>
      </c>
      <c r="B72" s="28" t="s">
        <v>553</v>
      </c>
      <c r="C72" s="30" t="s">
        <v>700</v>
      </c>
      <c r="D72" s="102">
        <f>'дод 3'!E116</f>
        <v>0</v>
      </c>
      <c r="E72" s="102">
        <f>'дод 3'!F116</f>
        <v>0</v>
      </c>
      <c r="F72" s="102">
        <f>'дод 3'!G116</f>
        <v>0</v>
      </c>
      <c r="G72" s="102">
        <f>'дод 3'!H116</f>
        <v>0</v>
      </c>
      <c r="H72" s="102">
        <f>'дод 3'!I116</f>
        <v>0</v>
      </c>
      <c r="I72" s="102">
        <f>'дод 3'!J116</f>
        <v>7819500</v>
      </c>
      <c r="J72" s="102">
        <f>'дод 3'!K116</f>
        <v>7819500</v>
      </c>
      <c r="K72" s="102">
        <f>'дод 3'!L116</f>
        <v>0</v>
      </c>
      <c r="L72" s="102">
        <f>'дод 3'!M116</f>
        <v>0</v>
      </c>
      <c r="M72" s="102">
        <f>'дод 3'!N116</f>
        <v>0</v>
      </c>
      <c r="N72" s="102">
        <f>'дод 3'!O116</f>
        <v>7819500</v>
      </c>
      <c r="O72" s="102">
        <f>'дод 3'!P116</f>
        <v>7819500</v>
      </c>
      <c r="P72" s="173"/>
      <c r="Q72" s="174"/>
    </row>
    <row r="73" spans="1:17" s="105" customFormat="1" ht="38.25" customHeight="1" x14ac:dyDescent="0.45">
      <c r="A73" s="34"/>
      <c r="B73" s="33"/>
      <c r="C73" s="35" t="s">
        <v>496</v>
      </c>
      <c r="D73" s="103">
        <f>'дод 3'!E117</f>
        <v>0</v>
      </c>
      <c r="E73" s="103">
        <f>'дод 3'!F117</f>
        <v>0</v>
      </c>
      <c r="F73" s="103">
        <f>'дод 3'!G117</f>
        <v>0</v>
      </c>
      <c r="G73" s="103">
        <f>'дод 3'!H117</f>
        <v>0</v>
      </c>
      <c r="H73" s="103">
        <f>'дод 3'!I117</f>
        <v>0</v>
      </c>
      <c r="I73" s="103">
        <f>'дод 3'!J117</f>
        <v>7819500</v>
      </c>
      <c r="J73" s="103">
        <f>'дод 3'!K117</f>
        <v>7819500</v>
      </c>
      <c r="K73" s="103">
        <f>'дод 3'!L117</f>
        <v>0</v>
      </c>
      <c r="L73" s="103">
        <f>'дод 3'!M117</f>
        <v>0</v>
      </c>
      <c r="M73" s="103">
        <f>'дод 3'!N117</f>
        <v>0</v>
      </c>
      <c r="N73" s="103">
        <f>'дод 3'!O117</f>
        <v>7819500</v>
      </c>
      <c r="O73" s="103">
        <f>'дод 3'!P117</f>
        <v>7819500</v>
      </c>
      <c r="P73" s="173"/>
      <c r="Q73" s="174"/>
    </row>
    <row r="74" spans="1:17" s="105" customFormat="1" ht="24.75" customHeight="1" x14ac:dyDescent="0.45">
      <c r="A74" s="28" t="s">
        <v>447</v>
      </c>
      <c r="B74" s="28" t="s">
        <v>56</v>
      </c>
      <c r="C74" s="30" t="s">
        <v>473</v>
      </c>
      <c r="D74" s="102">
        <f>'дод 3'!E118</f>
        <v>13653300</v>
      </c>
      <c r="E74" s="102">
        <f>'дод 3'!F118</f>
        <v>13653300</v>
      </c>
      <c r="F74" s="102">
        <f>'дод 3'!G118</f>
        <v>9562000</v>
      </c>
      <c r="G74" s="102">
        <f>'дод 3'!H118</f>
        <v>1300700</v>
      </c>
      <c r="H74" s="102">
        <f>'дод 3'!I118</f>
        <v>0</v>
      </c>
      <c r="I74" s="102">
        <f>'дод 3'!J118</f>
        <v>0</v>
      </c>
      <c r="J74" s="102">
        <f>'дод 3'!K118</f>
        <v>0</v>
      </c>
      <c r="K74" s="102">
        <f>'дод 3'!L118</f>
        <v>0</v>
      </c>
      <c r="L74" s="102">
        <f>'дод 3'!M118</f>
        <v>0</v>
      </c>
      <c r="M74" s="102">
        <f>'дод 3'!N118</f>
        <v>0</v>
      </c>
      <c r="N74" s="102">
        <f>'дод 3'!O118</f>
        <v>0</v>
      </c>
      <c r="O74" s="102">
        <f>'дод 3'!P118</f>
        <v>13653300</v>
      </c>
      <c r="P74" s="173"/>
      <c r="Q74" s="174"/>
    </row>
    <row r="75" spans="1:17" ht="24" customHeight="1" x14ac:dyDescent="0.45">
      <c r="A75" s="28" t="s">
        <v>449</v>
      </c>
      <c r="B75" s="28" t="s">
        <v>56</v>
      </c>
      <c r="C75" s="30" t="s">
        <v>273</v>
      </c>
      <c r="D75" s="102">
        <f>'дод 3'!E119</f>
        <v>134000</v>
      </c>
      <c r="E75" s="102">
        <f>'дод 3'!F119</f>
        <v>134000</v>
      </c>
      <c r="F75" s="102">
        <f>'дод 3'!G119</f>
        <v>0</v>
      </c>
      <c r="G75" s="102">
        <f>'дод 3'!H119</f>
        <v>0</v>
      </c>
      <c r="H75" s="102">
        <f>'дод 3'!I119</f>
        <v>0</v>
      </c>
      <c r="I75" s="102">
        <f>'дод 3'!J119</f>
        <v>0</v>
      </c>
      <c r="J75" s="102">
        <f>'дод 3'!K119</f>
        <v>0</v>
      </c>
      <c r="K75" s="102">
        <f>'дод 3'!L119</f>
        <v>0</v>
      </c>
      <c r="L75" s="102">
        <f>'дод 3'!M119</f>
        <v>0</v>
      </c>
      <c r="M75" s="102">
        <f>'дод 3'!N119</f>
        <v>0</v>
      </c>
      <c r="N75" s="102">
        <f>'дод 3'!O119</f>
        <v>0</v>
      </c>
      <c r="O75" s="102">
        <f>'дод 3'!P119</f>
        <v>134000</v>
      </c>
      <c r="P75" s="173"/>
      <c r="Q75" s="174"/>
    </row>
    <row r="76" spans="1:17" ht="30.75" x14ac:dyDescent="0.45">
      <c r="A76" s="28" t="s">
        <v>451</v>
      </c>
      <c r="B76" s="28" t="s">
        <v>56</v>
      </c>
      <c r="C76" s="30" t="s">
        <v>452</v>
      </c>
      <c r="D76" s="102">
        <f>'дод 3'!E120</f>
        <v>174700</v>
      </c>
      <c r="E76" s="102">
        <f>'дод 3'!F120</f>
        <v>174700</v>
      </c>
      <c r="F76" s="102">
        <f>'дод 3'!G120</f>
        <v>0</v>
      </c>
      <c r="G76" s="102">
        <f>'дод 3'!H120</f>
        <v>122400</v>
      </c>
      <c r="H76" s="102">
        <f>'дод 3'!I120</f>
        <v>0</v>
      </c>
      <c r="I76" s="102">
        <f>'дод 3'!J120</f>
        <v>0</v>
      </c>
      <c r="J76" s="102">
        <f>'дод 3'!K120</f>
        <v>0</v>
      </c>
      <c r="K76" s="102">
        <f>'дод 3'!L120</f>
        <v>0</v>
      </c>
      <c r="L76" s="102">
        <f>'дод 3'!M120</f>
        <v>0</v>
      </c>
      <c r="M76" s="102">
        <f>'дод 3'!N120</f>
        <v>0</v>
      </c>
      <c r="N76" s="102">
        <f>'дод 3'!O120</f>
        <v>0</v>
      </c>
      <c r="O76" s="102">
        <f>'дод 3'!P120</f>
        <v>174700</v>
      </c>
      <c r="P76" s="173"/>
      <c r="Q76" s="174"/>
    </row>
    <row r="77" spans="1:17" ht="45" customHeight="1" x14ac:dyDescent="0.45">
      <c r="A77" s="28" t="s">
        <v>454</v>
      </c>
      <c r="B77" s="28" t="s">
        <v>56</v>
      </c>
      <c r="C77" s="30" t="s">
        <v>474</v>
      </c>
      <c r="D77" s="102">
        <f>'дод 3'!E121</f>
        <v>2091775</v>
      </c>
      <c r="E77" s="102">
        <f>'дод 3'!F121</f>
        <v>2091775</v>
      </c>
      <c r="F77" s="102">
        <f>'дод 3'!G121</f>
        <v>1714570</v>
      </c>
      <c r="G77" s="102">
        <f>'дод 3'!H121</f>
        <v>0</v>
      </c>
      <c r="H77" s="102">
        <f>'дод 3'!I121</f>
        <v>0</v>
      </c>
      <c r="I77" s="102">
        <f>'дод 3'!J121</f>
        <v>0</v>
      </c>
      <c r="J77" s="102">
        <f>'дод 3'!K121</f>
        <v>0</v>
      </c>
      <c r="K77" s="102">
        <f>'дод 3'!L121</f>
        <v>0</v>
      </c>
      <c r="L77" s="102">
        <f>'дод 3'!M121</f>
        <v>0</v>
      </c>
      <c r="M77" s="102">
        <f>'дод 3'!N121</f>
        <v>0</v>
      </c>
      <c r="N77" s="102">
        <f>'дод 3'!O121</f>
        <v>0</v>
      </c>
      <c r="O77" s="102">
        <f>'дод 3'!P121</f>
        <v>2091775</v>
      </c>
      <c r="P77" s="173"/>
      <c r="Q77" s="174"/>
    </row>
    <row r="78" spans="1:17" ht="39" customHeight="1" x14ac:dyDescent="0.45">
      <c r="A78" s="52"/>
      <c r="B78" s="52"/>
      <c r="C78" s="35" t="s">
        <v>371</v>
      </c>
      <c r="D78" s="103">
        <f>'дод 3'!E122</f>
        <v>2091775</v>
      </c>
      <c r="E78" s="103">
        <f>'дод 3'!F122</f>
        <v>2091775</v>
      </c>
      <c r="F78" s="103">
        <f>'дод 3'!G122</f>
        <v>1714570</v>
      </c>
      <c r="G78" s="103">
        <f>'дод 3'!H122</f>
        <v>0</v>
      </c>
      <c r="H78" s="103">
        <f>'дод 3'!I122</f>
        <v>0</v>
      </c>
      <c r="I78" s="103">
        <f>'дод 3'!J122</f>
        <v>0</v>
      </c>
      <c r="J78" s="103">
        <f>'дод 3'!K122</f>
        <v>0</v>
      </c>
      <c r="K78" s="103">
        <f>'дод 3'!L122</f>
        <v>0</v>
      </c>
      <c r="L78" s="103">
        <f>'дод 3'!M122</f>
        <v>0</v>
      </c>
      <c r="M78" s="103">
        <f>'дод 3'!N122</f>
        <v>0</v>
      </c>
      <c r="N78" s="103">
        <f>'дод 3'!O122</f>
        <v>0</v>
      </c>
      <c r="O78" s="103">
        <f>'дод 3'!P122</f>
        <v>2091775</v>
      </c>
      <c r="P78" s="173"/>
      <c r="Q78" s="174"/>
    </row>
    <row r="79" spans="1:17" s="105" customFormat="1" ht="30.75" x14ac:dyDescent="0.45">
      <c r="A79" s="28" t="s">
        <v>456</v>
      </c>
      <c r="B79" s="28" t="str">
        <f>'дод 9'!A16</f>
        <v>0160</v>
      </c>
      <c r="C79" s="30" t="s">
        <v>457</v>
      </c>
      <c r="D79" s="102">
        <f>'дод 3'!E123</f>
        <v>3905000</v>
      </c>
      <c r="E79" s="102">
        <f>'дод 3'!F123</f>
        <v>3905000</v>
      </c>
      <c r="F79" s="102">
        <f>'дод 3'!G123</f>
        <v>2825000</v>
      </c>
      <c r="G79" s="102">
        <f>'дод 3'!H123</f>
        <v>303800</v>
      </c>
      <c r="H79" s="102">
        <f>'дод 3'!I123</f>
        <v>0</v>
      </c>
      <c r="I79" s="102">
        <f>'дод 3'!J123</f>
        <v>0</v>
      </c>
      <c r="J79" s="102">
        <f>'дод 3'!K123</f>
        <v>0</v>
      </c>
      <c r="K79" s="102">
        <f>'дод 3'!L123</f>
        <v>0</v>
      </c>
      <c r="L79" s="102">
        <f>'дод 3'!M123</f>
        <v>0</v>
      </c>
      <c r="M79" s="102">
        <f>'дод 3'!N123</f>
        <v>0</v>
      </c>
      <c r="N79" s="102">
        <f>'дод 3'!O123</f>
        <v>0</v>
      </c>
      <c r="O79" s="102">
        <f>'дод 3'!P123</f>
        <v>3905000</v>
      </c>
      <c r="P79" s="173"/>
      <c r="Q79" s="174"/>
    </row>
    <row r="80" spans="1:17" s="105" customFormat="1" ht="66" hidden="1" customHeight="1" x14ac:dyDescent="0.45">
      <c r="A80" s="28" t="s">
        <v>514</v>
      </c>
      <c r="B80" s="28" t="s">
        <v>56</v>
      </c>
      <c r="C80" s="30" t="s">
        <v>517</v>
      </c>
      <c r="D80" s="102">
        <f>'дод 3'!E124</f>
        <v>0</v>
      </c>
      <c r="E80" s="102">
        <f>'дод 3'!F124</f>
        <v>0</v>
      </c>
      <c r="F80" s="102">
        <f>'дод 3'!G124</f>
        <v>0</v>
      </c>
      <c r="G80" s="102">
        <f>'дод 3'!H124</f>
        <v>0</v>
      </c>
      <c r="H80" s="102">
        <f>'дод 3'!I124</f>
        <v>0</v>
      </c>
      <c r="I80" s="102">
        <f>'дод 3'!J124</f>
        <v>0</v>
      </c>
      <c r="J80" s="102">
        <f>'дод 3'!K124</f>
        <v>0</v>
      </c>
      <c r="K80" s="102">
        <f>'дод 3'!L124</f>
        <v>0</v>
      </c>
      <c r="L80" s="102">
        <f>'дод 3'!M124</f>
        <v>0</v>
      </c>
      <c r="M80" s="102">
        <f>'дод 3'!N124</f>
        <v>0</v>
      </c>
      <c r="N80" s="102">
        <f>'дод 3'!O124</f>
        <v>0</v>
      </c>
      <c r="O80" s="102">
        <f>'дод 3'!P124</f>
        <v>0</v>
      </c>
      <c r="P80" s="173"/>
      <c r="Q80" s="174"/>
    </row>
    <row r="81" spans="1:17" s="105" customFormat="1" ht="65.25" hidden="1" customHeight="1" x14ac:dyDescent="0.45">
      <c r="A81" s="28" t="s">
        <v>506</v>
      </c>
      <c r="B81" s="28" t="s">
        <v>56</v>
      </c>
      <c r="C81" s="30" t="s">
        <v>532</v>
      </c>
      <c r="D81" s="31">
        <f>'дод 3'!E125</f>
        <v>0</v>
      </c>
      <c r="E81" s="31">
        <f>'дод 3'!F125</f>
        <v>0</v>
      </c>
      <c r="F81" s="31">
        <f>'дод 3'!G125</f>
        <v>0</v>
      </c>
      <c r="G81" s="31">
        <f>'дод 3'!H125</f>
        <v>0</v>
      </c>
      <c r="H81" s="31">
        <f>'дод 3'!I125</f>
        <v>0</v>
      </c>
      <c r="I81" s="31">
        <f>'дод 3'!J125</f>
        <v>0</v>
      </c>
      <c r="J81" s="31">
        <f>'дод 3'!K125</f>
        <v>0</v>
      </c>
      <c r="K81" s="31">
        <f>'дод 3'!L125</f>
        <v>0</v>
      </c>
      <c r="L81" s="31">
        <f>'дод 3'!M125</f>
        <v>0</v>
      </c>
      <c r="M81" s="31">
        <f>'дод 3'!N125</f>
        <v>0</v>
      </c>
      <c r="N81" s="31">
        <f>'дод 3'!O125</f>
        <v>0</v>
      </c>
      <c r="O81" s="31">
        <f>'дод 3'!P125</f>
        <v>0</v>
      </c>
      <c r="P81" s="173"/>
      <c r="Q81" s="174"/>
    </row>
    <row r="82" spans="1:17" s="105" customFormat="1" ht="47.25" hidden="1" customHeight="1" x14ac:dyDescent="0.45">
      <c r="A82" s="33"/>
      <c r="B82" s="33"/>
      <c r="C82" s="35" t="s">
        <v>527</v>
      </c>
      <c r="D82" s="36">
        <f>'дод 3'!E126</f>
        <v>0</v>
      </c>
      <c r="E82" s="36">
        <f>'дод 3'!F126</f>
        <v>0</v>
      </c>
      <c r="F82" s="36">
        <f>'дод 3'!G126</f>
        <v>0</v>
      </c>
      <c r="G82" s="36">
        <f>'дод 3'!H126</f>
        <v>0</v>
      </c>
      <c r="H82" s="36">
        <f>'дод 3'!I126</f>
        <v>0</v>
      </c>
      <c r="I82" s="36">
        <f>'дод 3'!J126</f>
        <v>0</v>
      </c>
      <c r="J82" s="36">
        <f>'дод 3'!K126</f>
        <v>0</v>
      </c>
      <c r="K82" s="36">
        <f>'дод 3'!L126</f>
        <v>0</v>
      </c>
      <c r="L82" s="36">
        <f>'дод 3'!M126</f>
        <v>0</v>
      </c>
      <c r="M82" s="36">
        <f>'дод 3'!N126</f>
        <v>0</v>
      </c>
      <c r="N82" s="36">
        <f>'дод 3'!O126</f>
        <v>0</v>
      </c>
      <c r="O82" s="36">
        <f>'дод 3'!P126</f>
        <v>0</v>
      </c>
      <c r="P82" s="173"/>
      <c r="Q82" s="174"/>
    </row>
    <row r="83" spans="1:17" s="105" customFormat="1" ht="63" customHeight="1" x14ac:dyDescent="0.45">
      <c r="A83" s="28" t="s">
        <v>516</v>
      </c>
      <c r="B83" s="28" t="s">
        <v>56</v>
      </c>
      <c r="C83" s="30" t="s">
        <v>544</v>
      </c>
      <c r="D83" s="31">
        <f>'дод 3'!E127</f>
        <v>202786</v>
      </c>
      <c r="E83" s="31">
        <f>'дод 3'!F127</f>
        <v>202786</v>
      </c>
      <c r="F83" s="31">
        <f>'дод 3'!G127</f>
        <v>0</v>
      </c>
      <c r="G83" s="31">
        <f>'дод 3'!H127</f>
        <v>0</v>
      </c>
      <c r="H83" s="31">
        <f>'дод 3'!I127</f>
        <v>0</v>
      </c>
      <c r="I83" s="31">
        <f>'дод 3'!J127</f>
        <v>4397776</v>
      </c>
      <c r="J83" s="31">
        <f>'дод 3'!K127</f>
        <v>4397776</v>
      </c>
      <c r="K83" s="31">
        <f>'дод 3'!L127</f>
        <v>0</v>
      </c>
      <c r="L83" s="31">
        <f>'дод 3'!M127</f>
        <v>0</v>
      </c>
      <c r="M83" s="31">
        <f>'дод 3'!N127</f>
        <v>0</v>
      </c>
      <c r="N83" s="31">
        <f>'дод 3'!O127</f>
        <v>4397776</v>
      </c>
      <c r="O83" s="31">
        <f>'дод 3'!P127</f>
        <v>4600562</v>
      </c>
      <c r="P83" s="173"/>
      <c r="Q83" s="174"/>
    </row>
    <row r="84" spans="1:17" s="105" customFormat="1" ht="15.75" hidden="1" customHeight="1" x14ac:dyDescent="0.45">
      <c r="A84" s="33"/>
      <c r="B84" s="33"/>
      <c r="C84" s="35" t="s">
        <v>381</v>
      </c>
      <c r="D84" s="36">
        <f>'дод 3'!E128</f>
        <v>0</v>
      </c>
      <c r="E84" s="36">
        <f>'дод 3'!F128</f>
        <v>0</v>
      </c>
      <c r="F84" s="36">
        <f>'дод 3'!G128</f>
        <v>0</v>
      </c>
      <c r="G84" s="36">
        <f>'дод 3'!H128</f>
        <v>0</v>
      </c>
      <c r="H84" s="36">
        <f>'дод 3'!I128</f>
        <v>0</v>
      </c>
      <c r="I84" s="36">
        <f>'дод 3'!J128</f>
        <v>0</v>
      </c>
      <c r="J84" s="36">
        <f>'дод 3'!K128</f>
        <v>0</v>
      </c>
      <c r="K84" s="36">
        <f>'дод 3'!L128</f>
        <v>0</v>
      </c>
      <c r="L84" s="36">
        <f>'дод 3'!M128</f>
        <v>0</v>
      </c>
      <c r="M84" s="36">
        <f>'дод 3'!N128</f>
        <v>0</v>
      </c>
      <c r="N84" s="36">
        <f>'дод 3'!O128</f>
        <v>0</v>
      </c>
      <c r="O84" s="36">
        <f>'дод 3'!P128</f>
        <v>0</v>
      </c>
      <c r="P84" s="173"/>
      <c r="Q84" s="174"/>
    </row>
    <row r="85" spans="1:17" s="105" customFormat="1" ht="78.75" customHeight="1" x14ac:dyDescent="0.45">
      <c r="A85" s="28" t="s">
        <v>507</v>
      </c>
      <c r="B85" s="28" t="s">
        <v>56</v>
      </c>
      <c r="C85" s="30" t="s">
        <v>528</v>
      </c>
      <c r="D85" s="102">
        <f>'дод 3'!E129</f>
        <v>473167</v>
      </c>
      <c r="E85" s="102">
        <f>'дод 3'!F129</f>
        <v>473167</v>
      </c>
      <c r="F85" s="102">
        <f>'дод 3'!G129</f>
        <v>0</v>
      </c>
      <c r="G85" s="102">
        <f>'дод 3'!H129</f>
        <v>0</v>
      </c>
      <c r="H85" s="102">
        <f>'дод 3'!I129</f>
        <v>0</v>
      </c>
      <c r="I85" s="102">
        <f>'дод 3'!J129</f>
        <v>10261489</v>
      </c>
      <c r="J85" s="102">
        <f>'дод 3'!K129</f>
        <v>10261489</v>
      </c>
      <c r="K85" s="102">
        <f>'дод 3'!L129</f>
        <v>0</v>
      </c>
      <c r="L85" s="102">
        <f>'дод 3'!M129</f>
        <v>0</v>
      </c>
      <c r="M85" s="102">
        <f>'дод 3'!N129</f>
        <v>0</v>
      </c>
      <c r="N85" s="102">
        <f>'дод 3'!O129</f>
        <v>10261489</v>
      </c>
      <c r="O85" s="102">
        <f>'дод 3'!P129</f>
        <v>10734656</v>
      </c>
      <c r="P85" s="173"/>
      <c r="Q85" s="174"/>
    </row>
    <row r="86" spans="1:17" s="105" customFormat="1" ht="62.25" customHeight="1" x14ac:dyDescent="0.45">
      <c r="A86" s="33"/>
      <c r="B86" s="33"/>
      <c r="C86" s="35" t="s">
        <v>508</v>
      </c>
      <c r="D86" s="103">
        <f>'дод 3'!E130</f>
        <v>473167</v>
      </c>
      <c r="E86" s="103">
        <f>'дод 3'!F130</f>
        <v>473167</v>
      </c>
      <c r="F86" s="103">
        <f>'дод 3'!G130</f>
        <v>0</v>
      </c>
      <c r="G86" s="103">
        <f>'дод 3'!H130</f>
        <v>0</v>
      </c>
      <c r="H86" s="103">
        <f>'дод 3'!I130</f>
        <v>0</v>
      </c>
      <c r="I86" s="103">
        <f>'дод 3'!J130</f>
        <v>10261489</v>
      </c>
      <c r="J86" s="103">
        <f>'дод 3'!K130</f>
        <v>10261489</v>
      </c>
      <c r="K86" s="103">
        <f>'дод 3'!L130</f>
        <v>0</v>
      </c>
      <c r="L86" s="103">
        <f>'дод 3'!M130</f>
        <v>0</v>
      </c>
      <c r="M86" s="103">
        <f>'дод 3'!N130</f>
        <v>0</v>
      </c>
      <c r="N86" s="103">
        <f>'дод 3'!O130</f>
        <v>10261489</v>
      </c>
      <c r="O86" s="103">
        <f>'дод 3'!P130</f>
        <v>10734656</v>
      </c>
      <c r="P86" s="173"/>
      <c r="Q86" s="174"/>
    </row>
    <row r="87" spans="1:17" s="105" customFormat="1" ht="63" customHeight="1" x14ac:dyDescent="0.45">
      <c r="A87" s="28" t="s">
        <v>459</v>
      </c>
      <c r="B87" s="28" t="s">
        <v>56</v>
      </c>
      <c r="C87" s="49" t="s">
        <v>475</v>
      </c>
      <c r="D87" s="102">
        <f>'дод 3'!E131</f>
        <v>1331125</v>
      </c>
      <c r="E87" s="102">
        <f>'дод 3'!F131</f>
        <v>1331125</v>
      </c>
      <c r="F87" s="102">
        <f>'дод 3'!G131</f>
        <v>1091086</v>
      </c>
      <c r="G87" s="102">
        <f>'дод 3'!H131</f>
        <v>0</v>
      </c>
      <c r="H87" s="102">
        <f>'дод 3'!I131</f>
        <v>0</v>
      </c>
      <c r="I87" s="102">
        <f>'дод 3'!J131</f>
        <v>0</v>
      </c>
      <c r="J87" s="102">
        <f>'дод 3'!K131</f>
        <v>0</v>
      </c>
      <c r="K87" s="102">
        <f>'дод 3'!L131</f>
        <v>0</v>
      </c>
      <c r="L87" s="102">
        <f>'дод 3'!M131</f>
        <v>0</v>
      </c>
      <c r="M87" s="102">
        <f>'дод 3'!N131</f>
        <v>0</v>
      </c>
      <c r="N87" s="102">
        <f>'дод 3'!O131</f>
        <v>0</v>
      </c>
      <c r="O87" s="102">
        <f>'дод 3'!P131</f>
        <v>1331125</v>
      </c>
      <c r="P87" s="173"/>
      <c r="Q87" s="174"/>
    </row>
    <row r="88" spans="1:17" s="105" customFormat="1" ht="65.25" customHeight="1" x14ac:dyDescent="0.45">
      <c r="A88" s="28"/>
      <c r="B88" s="28"/>
      <c r="C88" s="35" t="s">
        <v>681</v>
      </c>
      <c r="D88" s="103">
        <f>'дод 3'!E132</f>
        <v>1331125</v>
      </c>
      <c r="E88" s="103">
        <f>'дод 3'!F132</f>
        <v>1331125</v>
      </c>
      <c r="F88" s="103">
        <f>'дод 3'!G132</f>
        <v>1091086</v>
      </c>
      <c r="G88" s="103">
        <f>'дод 3'!H132</f>
        <v>0</v>
      </c>
      <c r="H88" s="103">
        <f>'дод 3'!I132</f>
        <v>0</v>
      </c>
      <c r="I88" s="103">
        <f>'дод 3'!J132</f>
        <v>0</v>
      </c>
      <c r="J88" s="103">
        <f>'дод 3'!K132</f>
        <v>0</v>
      </c>
      <c r="K88" s="103">
        <f>'дод 3'!L132</f>
        <v>0</v>
      </c>
      <c r="L88" s="103">
        <f>'дод 3'!M132</f>
        <v>0</v>
      </c>
      <c r="M88" s="103">
        <f>'дод 3'!N132</f>
        <v>0</v>
      </c>
      <c r="N88" s="103">
        <f>'дод 3'!O132</f>
        <v>0</v>
      </c>
      <c r="O88" s="103">
        <f>'дод 3'!P132</f>
        <v>1331125</v>
      </c>
      <c r="P88" s="173"/>
      <c r="Q88" s="174"/>
    </row>
    <row r="89" spans="1:17" s="105" customFormat="1" ht="63" customHeight="1" x14ac:dyDescent="0.45">
      <c r="A89" s="28" t="s">
        <v>480</v>
      </c>
      <c r="B89" s="28" t="s">
        <v>56</v>
      </c>
      <c r="C89" s="30" t="s">
        <v>479</v>
      </c>
      <c r="D89" s="102">
        <f>'дод 3'!E133</f>
        <v>714100.24</v>
      </c>
      <c r="E89" s="102">
        <f>'дод 3'!F133</f>
        <v>714100.24</v>
      </c>
      <c r="F89" s="102">
        <f>'дод 3'!G133</f>
        <v>585328</v>
      </c>
      <c r="G89" s="102">
        <f>'дод 3'!H133</f>
        <v>0</v>
      </c>
      <c r="H89" s="102">
        <f>'дод 3'!I133</f>
        <v>0</v>
      </c>
      <c r="I89" s="102">
        <f>'дод 3'!J133</f>
        <v>0</v>
      </c>
      <c r="J89" s="102">
        <f>'дод 3'!K133</f>
        <v>0</v>
      </c>
      <c r="K89" s="102">
        <f>'дод 3'!L133</f>
        <v>0</v>
      </c>
      <c r="L89" s="102">
        <f>'дод 3'!M133</f>
        <v>0</v>
      </c>
      <c r="M89" s="102">
        <f>'дод 3'!N133</f>
        <v>0</v>
      </c>
      <c r="N89" s="102">
        <f>'дод 3'!O133</f>
        <v>0</v>
      </c>
      <c r="O89" s="102">
        <f>'дод 3'!P133</f>
        <v>714100.24</v>
      </c>
      <c r="P89" s="173"/>
      <c r="Q89" s="174"/>
    </row>
    <row r="90" spans="1:17" s="105" customFormat="1" ht="59.25" customHeight="1" x14ac:dyDescent="0.45">
      <c r="A90" s="28"/>
      <c r="B90" s="28"/>
      <c r="C90" s="35" t="s">
        <v>682</v>
      </c>
      <c r="D90" s="103">
        <f>'дод 3'!E134</f>
        <v>714100.24</v>
      </c>
      <c r="E90" s="103">
        <f>'дод 3'!F134</f>
        <v>714100.24</v>
      </c>
      <c r="F90" s="103">
        <f>'дод 3'!G134</f>
        <v>585328</v>
      </c>
      <c r="G90" s="103">
        <f>'дод 3'!H134</f>
        <v>0</v>
      </c>
      <c r="H90" s="103">
        <f>'дод 3'!I134</f>
        <v>0</v>
      </c>
      <c r="I90" s="103">
        <f>'дод 3'!J134</f>
        <v>0</v>
      </c>
      <c r="J90" s="103">
        <f>'дод 3'!K134</f>
        <v>0</v>
      </c>
      <c r="K90" s="103">
        <f>'дод 3'!L134</f>
        <v>0</v>
      </c>
      <c r="L90" s="103">
        <f>'дод 3'!M134</f>
        <v>0</v>
      </c>
      <c r="M90" s="103">
        <f>'дод 3'!N134</f>
        <v>0</v>
      </c>
      <c r="N90" s="103">
        <f>'дод 3'!O134</f>
        <v>0</v>
      </c>
      <c r="O90" s="103">
        <f>'дод 3'!P134</f>
        <v>714100.24</v>
      </c>
      <c r="P90" s="173"/>
      <c r="Q90" s="174"/>
    </row>
    <row r="91" spans="1:17" s="105" customFormat="1" ht="63" customHeight="1" x14ac:dyDescent="0.45">
      <c r="A91" s="28" t="s">
        <v>690</v>
      </c>
      <c r="B91" s="28" t="s">
        <v>56</v>
      </c>
      <c r="C91" s="30" t="s">
        <v>691</v>
      </c>
      <c r="D91" s="102">
        <f>'дод 3'!E136</f>
        <v>2000000</v>
      </c>
      <c r="E91" s="102">
        <f>'дод 3'!F136</f>
        <v>2000000</v>
      </c>
      <c r="F91" s="102">
        <f>'дод 3'!G136</f>
        <v>0</v>
      </c>
      <c r="G91" s="102">
        <f>'дод 3'!H136</f>
        <v>0</v>
      </c>
      <c r="H91" s="102">
        <f>'дод 3'!I136</f>
        <v>0</v>
      </c>
      <c r="I91" s="102">
        <f>'дод 3'!J136</f>
        <v>0</v>
      </c>
      <c r="J91" s="102">
        <f>'дод 3'!K136</f>
        <v>0</v>
      </c>
      <c r="K91" s="102">
        <f>'дод 3'!L136</f>
        <v>0</v>
      </c>
      <c r="L91" s="102">
        <f>'дод 3'!M136</f>
        <v>0</v>
      </c>
      <c r="M91" s="102">
        <f>'дод 3'!N136</f>
        <v>0</v>
      </c>
      <c r="N91" s="102">
        <f>'дод 3'!O136</f>
        <v>0</v>
      </c>
      <c r="O91" s="102">
        <f>'дод 3'!P136</f>
        <v>2000000</v>
      </c>
      <c r="P91" s="173"/>
      <c r="Q91" s="174"/>
    </row>
    <row r="92" spans="1:17" ht="63" customHeight="1" x14ac:dyDescent="0.45">
      <c r="A92" s="28" t="s">
        <v>684</v>
      </c>
      <c r="B92" s="28" t="s">
        <v>56</v>
      </c>
      <c r="C92" s="30" t="s">
        <v>685</v>
      </c>
      <c r="D92" s="102">
        <f>'дод 3'!E137</f>
        <v>2843700</v>
      </c>
      <c r="E92" s="102">
        <f>'дод 3'!F137</f>
        <v>2843700</v>
      </c>
      <c r="F92" s="102">
        <f>'дод 3'!G137</f>
        <v>0</v>
      </c>
      <c r="G92" s="102">
        <f>'дод 3'!H137</f>
        <v>0</v>
      </c>
      <c r="H92" s="102">
        <f>'дод 3'!I137</f>
        <v>0</v>
      </c>
      <c r="I92" s="102">
        <f>'дод 3'!J137</f>
        <v>5556300</v>
      </c>
      <c r="J92" s="102">
        <f>'дод 3'!K137</f>
        <v>5556300</v>
      </c>
      <c r="K92" s="102">
        <f>'дод 3'!L137</f>
        <v>0</v>
      </c>
      <c r="L92" s="102">
        <f>'дод 3'!M137</f>
        <v>0</v>
      </c>
      <c r="M92" s="102">
        <f>'дод 3'!N137</f>
        <v>0</v>
      </c>
      <c r="N92" s="102">
        <f>'дод 3'!O137</f>
        <v>5556300</v>
      </c>
      <c r="O92" s="102">
        <f>'дод 3'!P137</f>
        <v>8400000</v>
      </c>
      <c r="P92" s="173"/>
      <c r="Q92" s="174"/>
    </row>
    <row r="93" spans="1:17" s="105" customFormat="1" ht="63" customHeight="1" x14ac:dyDescent="0.45">
      <c r="A93" s="33"/>
      <c r="B93" s="33"/>
      <c r="C93" s="35" t="s">
        <v>686</v>
      </c>
      <c r="D93" s="103">
        <f>'дод 3'!E138</f>
        <v>2843700</v>
      </c>
      <c r="E93" s="103">
        <f>'дод 3'!F138</f>
        <v>2843700</v>
      </c>
      <c r="F93" s="103">
        <f>'дод 3'!G138</f>
        <v>0</v>
      </c>
      <c r="G93" s="103">
        <f>'дод 3'!H138</f>
        <v>0</v>
      </c>
      <c r="H93" s="103">
        <f>'дод 3'!I138</f>
        <v>0</v>
      </c>
      <c r="I93" s="103">
        <f>'дод 3'!J138</f>
        <v>5556300</v>
      </c>
      <c r="J93" s="103">
        <f>'дод 3'!K138</f>
        <v>5556300</v>
      </c>
      <c r="K93" s="103">
        <f>'дод 3'!L138</f>
        <v>0</v>
      </c>
      <c r="L93" s="103">
        <f>'дод 3'!M138</f>
        <v>0</v>
      </c>
      <c r="M93" s="103">
        <f>'дод 3'!N138</f>
        <v>0</v>
      </c>
      <c r="N93" s="103">
        <f>'дод 3'!O138</f>
        <v>5556300</v>
      </c>
      <c r="O93" s="103">
        <f>'дод 3'!P138</f>
        <v>8400000</v>
      </c>
      <c r="P93" s="173"/>
      <c r="Q93" s="174"/>
    </row>
    <row r="94" spans="1:17" s="105" customFormat="1" ht="79.5" customHeight="1" x14ac:dyDescent="0.45">
      <c r="A94" s="28" t="s">
        <v>697</v>
      </c>
      <c r="B94" s="28" t="s">
        <v>56</v>
      </c>
      <c r="C94" s="42" t="s">
        <v>698</v>
      </c>
      <c r="D94" s="102">
        <f>'дод 3'!E139</f>
        <v>0</v>
      </c>
      <c r="E94" s="102">
        <f>'дод 3'!F139</f>
        <v>0</v>
      </c>
      <c r="F94" s="102">
        <f>'дод 3'!G139</f>
        <v>0</v>
      </c>
      <c r="G94" s="102">
        <f>'дод 3'!H139</f>
        <v>0</v>
      </c>
      <c r="H94" s="102">
        <f>'дод 3'!I139</f>
        <v>0</v>
      </c>
      <c r="I94" s="102">
        <f>'дод 3'!J139</f>
        <v>37015300</v>
      </c>
      <c r="J94" s="102">
        <f>'дод 3'!K139</f>
        <v>37015300</v>
      </c>
      <c r="K94" s="102">
        <f>'дод 3'!L139</f>
        <v>0</v>
      </c>
      <c r="L94" s="102">
        <f>'дод 3'!M139</f>
        <v>0</v>
      </c>
      <c r="M94" s="102">
        <f>'дод 3'!N139</f>
        <v>0</v>
      </c>
      <c r="N94" s="102">
        <f>'дод 3'!O139</f>
        <v>37015300</v>
      </c>
      <c r="O94" s="102">
        <f>'дод 3'!P139</f>
        <v>37015300</v>
      </c>
      <c r="P94" s="173"/>
      <c r="Q94" s="174"/>
    </row>
    <row r="95" spans="1:17" s="105" customFormat="1" ht="79.5" customHeight="1" x14ac:dyDescent="0.45">
      <c r="A95" s="28" t="s">
        <v>707</v>
      </c>
      <c r="B95" s="28" t="s">
        <v>56</v>
      </c>
      <c r="C95" s="42" t="s">
        <v>708</v>
      </c>
      <c r="D95" s="102">
        <f>'дод 3'!E140</f>
        <v>0</v>
      </c>
      <c r="E95" s="102">
        <f>'дод 3'!F140</f>
        <v>0</v>
      </c>
      <c r="F95" s="102">
        <f>'дод 3'!G140</f>
        <v>0</v>
      </c>
      <c r="G95" s="102">
        <f>'дод 3'!H140</f>
        <v>0</v>
      </c>
      <c r="H95" s="102">
        <f>'дод 3'!I140</f>
        <v>0</v>
      </c>
      <c r="I95" s="102">
        <f>'дод 3'!J140</f>
        <v>82600800</v>
      </c>
      <c r="J95" s="102">
        <f>'дод 3'!K140</f>
        <v>82600800</v>
      </c>
      <c r="K95" s="102">
        <f>'дод 3'!L140</f>
        <v>0</v>
      </c>
      <c r="L95" s="102">
        <f>'дод 3'!M140</f>
        <v>0</v>
      </c>
      <c r="M95" s="102">
        <f>'дод 3'!N140</f>
        <v>0</v>
      </c>
      <c r="N95" s="102">
        <f>'дод 3'!O140</f>
        <v>82600800</v>
      </c>
      <c r="O95" s="102">
        <f>'дод 3'!P140</f>
        <v>82600800</v>
      </c>
      <c r="P95" s="173"/>
      <c r="Q95" s="174"/>
    </row>
    <row r="96" spans="1:17" s="105" customFormat="1" ht="79.5" customHeight="1" x14ac:dyDescent="0.45">
      <c r="A96" s="28"/>
      <c r="B96" s="28"/>
      <c r="C96" s="50" t="s">
        <v>709</v>
      </c>
      <c r="D96" s="102">
        <f>'дод 3'!E141</f>
        <v>0</v>
      </c>
      <c r="E96" s="102">
        <f>'дод 3'!F141</f>
        <v>0</v>
      </c>
      <c r="F96" s="102">
        <f>'дод 3'!G141</f>
        <v>0</v>
      </c>
      <c r="G96" s="102">
        <f>'дод 3'!H141</f>
        <v>0</v>
      </c>
      <c r="H96" s="102">
        <f>'дод 3'!I141</f>
        <v>0</v>
      </c>
      <c r="I96" s="102">
        <f>'дод 3'!J141</f>
        <v>82600800</v>
      </c>
      <c r="J96" s="102">
        <f>'дод 3'!K141</f>
        <v>82600800</v>
      </c>
      <c r="K96" s="102">
        <f>'дод 3'!L141</f>
        <v>0</v>
      </c>
      <c r="L96" s="102">
        <f>'дод 3'!M141</f>
        <v>0</v>
      </c>
      <c r="M96" s="102">
        <f>'дод 3'!N141</f>
        <v>0</v>
      </c>
      <c r="N96" s="102">
        <f>'дод 3'!O141</f>
        <v>82600800</v>
      </c>
      <c r="O96" s="102">
        <f>'дод 3'!P141</f>
        <v>82600800</v>
      </c>
      <c r="P96" s="173"/>
      <c r="Q96" s="174"/>
    </row>
    <row r="97" spans="1:17" s="105" customFormat="1" ht="63" customHeight="1" x14ac:dyDescent="0.45">
      <c r="A97" s="28" t="s">
        <v>634</v>
      </c>
      <c r="B97" s="28" t="s">
        <v>56</v>
      </c>
      <c r="C97" s="30" t="s">
        <v>659</v>
      </c>
      <c r="D97" s="103">
        <f>'дод 3'!E142+'дод 3'!E385</f>
        <v>0</v>
      </c>
      <c r="E97" s="103">
        <f>'дод 3'!F142+'дод 3'!F385</f>
        <v>0</v>
      </c>
      <c r="F97" s="103">
        <f>'дод 3'!G142+'дод 3'!G385</f>
        <v>0</v>
      </c>
      <c r="G97" s="103">
        <f>'дод 3'!H142+'дод 3'!H385</f>
        <v>0</v>
      </c>
      <c r="H97" s="103">
        <f>'дод 3'!I142+'дод 3'!I385</f>
        <v>0</v>
      </c>
      <c r="I97" s="102">
        <f>'дод 3'!J142+'дод 3'!J385</f>
        <v>53054052</v>
      </c>
      <c r="J97" s="102">
        <f>'дод 3'!K142+'дод 3'!K385</f>
        <v>53054052</v>
      </c>
      <c r="K97" s="102">
        <f>'дод 3'!L142+'дод 3'!L385</f>
        <v>0</v>
      </c>
      <c r="L97" s="102">
        <f>'дод 3'!M142+'дод 3'!M385</f>
        <v>0</v>
      </c>
      <c r="M97" s="102">
        <f>'дод 3'!N142+'дод 3'!N385</f>
        <v>0</v>
      </c>
      <c r="N97" s="102">
        <f>'дод 3'!O142+'дод 3'!O385</f>
        <v>53054052</v>
      </c>
      <c r="O97" s="102">
        <f>'дод 3'!P142+'дод 3'!P385</f>
        <v>53054052</v>
      </c>
      <c r="P97" s="173"/>
      <c r="Q97" s="174"/>
    </row>
    <row r="98" spans="1:17" s="105" customFormat="1" ht="46.15" x14ac:dyDescent="0.45">
      <c r="A98" s="28" t="s">
        <v>635</v>
      </c>
      <c r="B98" s="28" t="s">
        <v>56</v>
      </c>
      <c r="C98" s="109" t="s">
        <v>694</v>
      </c>
      <c r="D98" s="103">
        <f>'дод 3'!E143+'дод 3'!E386</f>
        <v>0</v>
      </c>
      <c r="E98" s="103">
        <f>'дод 3'!F143+'дод 3'!F386</f>
        <v>0</v>
      </c>
      <c r="F98" s="103">
        <f>'дод 3'!G143+'дод 3'!G386</f>
        <v>0</v>
      </c>
      <c r="G98" s="103">
        <f>'дод 3'!H143+'дод 3'!H386</f>
        <v>0</v>
      </c>
      <c r="H98" s="103">
        <f>'дод 3'!I143+'дод 3'!I386</f>
        <v>0</v>
      </c>
      <c r="I98" s="102">
        <f>'дод 3'!J143+'дод 3'!J386</f>
        <v>73585211</v>
      </c>
      <c r="J98" s="102">
        <f>'дод 3'!K143+'дод 3'!K386</f>
        <v>73585211</v>
      </c>
      <c r="K98" s="102">
        <f>'дод 3'!L143+'дод 3'!L386</f>
        <v>0</v>
      </c>
      <c r="L98" s="102">
        <f>'дод 3'!M143+'дод 3'!M386</f>
        <v>0</v>
      </c>
      <c r="M98" s="102">
        <f>'дод 3'!N143+'дод 3'!N386</f>
        <v>0</v>
      </c>
      <c r="N98" s="102">
        <f>'дод 3'!O143+'дод 3'!O386</f>
        <v>73585211</v>
      </c>
      <c r="O98" s="102">
        <f>'дод 3'!P143+'дод 3'!P386</f>
        <v>73585211</v>
      </c>
      <c r="P98" s="173"/>
      <c r="Q98" s="174"/>
    </row>
    <row r="99" spans="1:17" s="105" customFormat="1" ht="50.25" customHeight="1" x14ac:dyDescent="0.45">
      <c r="A99" s="28"/>
      <c r="B99" s="28"/>
      <c r="C99" s="35" t="s">
        <v>692</v>
      </c>
      <c r="D99" s="103">
        <f>'дод 3'!E144+'дод 3'!E387</f>
        <v>0</v>
      </c>
      <c r="E99" s="103">
        <f>'дод 3'!F144+'дод 3'!F387</f>
        <v>0</v>
      </c>
      <c r="F99" s="103">
        <f>'дод 3'!G144+'дод 3'!G387</f>
        <v>0</v>
      </c>
      <c r="G99" s="103">
        <f>'дод 3'!H144+'дод 3'!H387</f>
        <v>0</v>
      </c>
      <c r="H99" s="103">
        <f>'дод 3'!I144+'дод 3'!I387</f>
        <v>0</v>
      </c>
      <c r="I99" s="103">
        <f>'дод 3'!J144+'дод 3'!J387</f>
        <v>73585211</v>
      </c>
      <c r="J99" s="103">
        <f>'дод 3'!K144+'дод 3'!K387</f>
        <v>73585211</v>
      </c>
      <c r="K99" s="103">
        <f>'дод 3'!L144+'дод 3'!L387</f>
        <v>0</v>
      </c>
      <c r="L99" s="103">
        <f>'дод 3'!M144+'дод 3'!M387</f>
        <v>0</v>
      </c>
      <c r="M99" s="103">
        <f>'дод 3'!N144+'дод 3'!N387</f>
        <v>0</v>
      </c>
      <c r="N99" s="103">
        <f>'дод 3'!O144+'дод 3'!O387</f>
        <v>73585211</v>
      </c>
      <c r="O99" s="103">
        <f>'дод 3'!P144+'дод 3'!P387</f>
        <v>73585211</v>
      </c>
      <c r="P99" s="173"/>
      <c r="Q99" s="174"/>
    </row>
    <row r="100" spans="1:17" s="105" customFormat="1" ht="94.5" customHeight="1" x14ac:dyDescent="0.45">
      <c r="A100" s="29">
        <v>1291</v>
      </c>
      <c r="B100" s="28" t="s">
        <v>56</v>
      </c>
      <c r="C100" s="41" t="s">
        <v>719</v>
      </c>
      <c r="D100" s="102">
        <f>'дод 3'!E145</f>
        <v>1841503</v>
      </c>
      <c r="E100" s="102">
        <f>'дод 3'!F145</f>
        <v>1841503</v>
      </c>
      <c r="F100" s="102">
        <f>'дод 3'!G145</f>
        <v>0</v>
      </c>
      <c r="G100" s="102">
        <f>'дод 3'!H145</f>
        <v>0</v>
      </c>
      <c r="H100" s="102">
        <f>'дод 3'!I145</f>
        <v>0</v>
      </c>
      <c r="I100" s="102">
        <f>'дод 3'!J145</f>
        <v>5789756</v>
      </c>
      <c r="J100" s="102">
        <f>'дод 3'!K145</f>
        <v>5789756</v>
      </c>
      <c r="K100" s="102">
        <f>'дод 3'!L145</f>
        <v>0</v>
      </c>
      <c r="L100" s="102">
        <f>'дод 3'!M145</f>
        <v>0</v>
      </c>
      <c r="M100" s="102">
        <f>'дод 3'!N145</f>
        <v>0</v>
      </c>
      <c r="N100" s="102">
        <f>'дод 3'!O145</f>
        <v>5789756</v>
      </c>
      <c r="O100" s="102">
        <f>'дод 3'!P145</f>
        <v>7631259</v>
      </c>
      <c r="P100" s="173"/>
      <c r="Q100" s="174"/>
    </row>
    <row r="101" spans="1:17" s="105" customFormat="1" ht="94.5" customHeight="1" x14ac:dyDescent="0.45">
      <c r="A101" s="29"/>
      <c r="B101" s="28"/>
      <c r="C101" s="55" t="s">
        <v>624</v>
      </c>
      <c r="D101" s="103">
        <f>'дод 3'!E146</f>
        <v>1339364</v>
      </c>
      <c r="E101" s="103">
        <f>'дод 3'!F146</f>
        <v>1339364</v>
      </c>
      <c r="F101" s="103">
        <f>'дод 3'!G146</f>
        <v>0</v>
      </c>
      <c r="G101" s="103">
        <f>'дод 3'!H146</f>
        <v>0</v>
      </c>
      <c r="H101" s="103">
        <f>'дод 3'!I146</f>
        <v>0</v>
      </c>
      <c r="I101" s="103">
        <f>'дод 3'!J146</f>
        <v>1993989</v>
      </c>
      <c r="J101" s="103">
        <f>'дод 3'!K146</f>
        <v>1993989</v>
      </c>
      <c r="K101" s="103">
        <f>'дод 3'!L146</f>
        <v>0</v>
      </c>
      <c r="L101" s="103">
        <f>'дод 3'!M146</f>
        <v>0</v>
      </c>
      <c r="M101" s="103">
        <f>'дод 3'!N146</f>
        <v>0</v>
      </c>
      <c r="N101" s="103">
        <f>'дод 3'!O146</f>
        <v>1993989</v>
      </c>
      <c r="O101" s="103">
        <f>'дод 3'!P146</f>
        <v>3333353</v>
      </c>
      <c r="P101" s="173"/>
      <c r="Q101" s="174"/>
    </row>
    <row r="102" spans="1:17" s="105" customFormat="1" ht="72" customHeight="1" x14ac:dyDescent="0.45">
      <c r="A102" s="28" t="s">
        <v>679</v>
      </c>
      <c r="B102" s="28" t="s">
        <v>56</v>
      </c>
      <c r="C102" s="30" t="s">
        <v>680</v>
      </c>
      <c r="D102" s="103">
        <f>'дод 3'!E147</f>
        <v>0</v>
      </c>
      <c r="E102" s="103">
        <f>'дод 3'!F147</f>
        <v>0</v>
      </c>
      <c r="F102" s="103">
        <f>'дод 3'!G147</f>
        <v>0</v>
      </c>
      <c r="G102" s="103">
        <f>'дод 3'!H147</f>
        <v>0</v>
      </c>
      <c r="H102" s="103">
        <f>'дод 3'!I147</f>
        <v>0</v>
      </c>
      <c r="I102" s="103">
        <f>'дод 3'!J147</f>
        <v>15268251</v>
      </c>
      <c r="J102" s="103">
        <f>'дод 3'!K147</f>
        <v>0</v>
      </c>
      <c r="K102" s="103">
        <f>'дод 3'!L147</f>
        <v>3562863</v>
      </c>
      <c r="L102" s="103">
        <f>'дод 3'!M147</f>
        <v>0</v>
      </c>
      <c r="M102" s="103">
        <f>'дод 3'!N147</f>
        <v>0</v>
      </c>
      <c r="N102" s="103">
        <f>'дод 3'!O147</f>
        <v>11705388</v>
      </c>
      <c r="O102" s="103">
        <f>'дод 3'!P147</f>
        <v>15268251</v>
      </c>
      <c r="P102" s="173"/>
      <c r="Q102" s="174"/>
    </row>
    <row r="103" spans="1:17" s="105" customFormat="1" ht="40.5" customHeight="1" x14ac:dyDescent="0.45">
      <c r="A103" s="28"/>
      <c r="B103" s="28"/>
      <c r="C103" s="35" t="s">
        <v>496</v>
      </c>
      <c r="D103" s="103">
        <f>'дод 3'!E148</f>
        <v>0</v>
      </c>
      <c r="E103" s="103">
        <f>'дод 3'!F148</f>
        <v>0</v>
      </c>
      <c r="F103" s="103">
        <f>'дод 3'!G148</f>
        <v>0</v>
      </c>
      <c r="G103" s="103">
        <f>'дод 3'!H148</f>
        <v>0</v>
      </c>
      <c r="H103" s="103">
        <f>'дод 3'!I148</f>
        <v>0</v>
      </c>
      <c r="I103" s="103">
        <f>'дод 3'!J148</f>
        <v>15268251</v>
      </c>
      <c r="J103" s="103">
        <f>'дод 3'!K148</f>
        <v>0</v>
      </c>
      <c r="K103" s="103">
        <f>'дод 3'!L148</f>
        <v>3562863</v>
      </c>
      <c r="L103" s="103">
        <f>'дод 3'!M148</f>
        <v>0</v>
      </c>
      <c r="M103" s="103">
        <f>'дод 3'!N148</f>
        <v>0</v>
      </c>
      <c r="N103" s="103">
        <f>'дод 3'!O148</f>
        <v>11705388</v>
      </c>
      <c r="O103" s="103">
        <f>'дод 3'!P148</f>
        <v>15268251</v>
      </c>
      <c r="P103" s="173"/>
      <c r="Q103" s="174"/>
    </row>
    <row r="104" spans="1:17" ht="46.9" customHeight="1" x14ac:dyDescent="0.45">
      <c r="A104" s="28" t="s">
        <v>737</v>
      </c>
      <c r="B104" s="28" t="s">
        <v>56</v>
      </c>
      <c r="C104" s="30" t="s">
        <v>738</v>
      </c>
      <c r="D104" s="102">
        <f>'дод 3'!E150</f>
        <v>19506700</v>
      </c>
      <c r="E104" s="102">
        <f>'дод 3'!F150</f>
        <v>19506700</v>
      </c>
      <c r="F104" s="102">
        <f>'дод 3'!G150</f>
        <v>0</v>
      </c>
      <c r="G104" s="102">
        <f>'дод 3'!H150</f>
        <v>0</v>
      </c>
      <c r="H104" s="102">
        <f>'дод 3'!I150</f>
        <v>0</v>
      </c>
      <c r="I104" s="102">
        <f>'дод 3'!J150</f>
        <v>0</v>
      </c>
      <c r="J104" s="102">
        <f>'дод 3'!K150</f>
        <v>0</v>
      </c>
      <c r="K104" s="102">
        <f>'дод 3'!L150</f>
        <v>0</v>
      </c>
      <c r="L104" s="102">
        <f>'дод 3'!M150</f>
        <v>0</v>
      </c>
      <c r="M104" s="102">
        <f>'дод 3'!N150</f>
        <v>0</v>
      </c>
      <c r="N104" s="102">
        <f>'дод 3'!O150</f>
        <v>0</v>
      </c>
      <c r="O104" s="102">
        <f>'дод 3'!P150</f>
        <v>19506700</v>
      </c>
      <c r="P104" s="173"/>
      <c r="Q104" s="174"/>
    </row>
    <row r="105" spans="1:17" s="105" customFormat="1" ht="40.5" customHeight="1" x14ac:dyDescent="0.45">
      <c r="A105" s="33"/>
      <c r="B105" s="33"/>
      <c r="C105" s="35" t="s">
        <v>739</v>
      </c>
      <c r="D105" s="103">
        <f>'дод 3'!E151</f>
        <v>19506700</v>
      </c>
      <c r="E105" s="103">
        <f>'дод 3'!F151</f>
        <v>19506700</v>
      </c>
      <c r="F105" s="103">
        <f>'дод 3'!G151</f>
        <v>0</v>
      </c>
      <c r="G105" s="103">
        <f>'дод 3'!H151</f>
        <v>0</v>
      </c>
      <c r="H105" s="103">
        <f>'дод 3'!I151</f>
        <v>0</v>
      </c>
      <c r="I105" s="103">
        <f>'дод 3'!J151</f>
        <v>0</v>
      </c>
      <c r="J105" s="103">
        <f>'дод 3'!K151</f>
        <v>0</v>
      </c>
      <c r="K105" s="103">
        <f>'дод 3'!L151</f>
        <v>0</v>
      </c>
      <c r="L105" s="103">
        <f>'дод 3'!M151</f>
        <v>0</v>
      </c>
      <c r="M105" s="103">
        <f>'дод 3'!N151</f>
        <v>0</v>
      </c>
      <c r="N105" s="103">
        <f>'дод 3'!O151</f>
        <v>0</v>
      </c>
      <c r="O105" s="103">
        <f>'дод 3'!P151</f>
        <v>19506700</v>
      </c>
      <c r="P105" s="173"/>
      <c r="Q105" s="174"/>
    </row>
    <row r="106" spans="1:17" s="96" customFormat="1" ht="19.5" customHeight="1" x14ac:dyDescent="0.4">
      <c r="A106" s="106" t="s">
        <v>57</v>
      </c>
      <c r="B106" s="44"/>
      <c r="C106" s="99" t="s">
        <v>705</v>
      </c>
      <c r="D106" s="100">
        <f t="shared" ref="D106:O106" si="18">D109+D112+D115+D117+D119+D122+D123+D111+D114+D124+D126</f>
        <v>125076534</v>
      </c>
      <c r="E106" s="100">
        <f t="shared" si="18"/>
        <v>125076534</v>
      </c>
      <c r="F106" s="100">
        <f t="shared" si="18"/>
        <v>3079800</v>
      </c>
      <c r="G106" s="100">
        <f t="shared" si="18"/>
        <v>154200</v>
      </c>
      <c r="H106" s="100">
        <f t="shared" si="18"/>
        <v>0</v>
      </c>
      <c r="I106" s="100">
        <f t="shared" si="18"/>
        <v>112285406</v>
      </c>
      <c r="J106" s="100">
        <f t="shared" si="18"/>
        <v>112285406</v>
      </c>
      <c r="K106" s="100">
        <f t="shared" si="18"/>
        <v>0</v>
      </c>
      <c r="L106" s="100">
        <f t="shared" si="18"/>
        <v>0</v>
      </c>
      <c r="M106" s="100">
        <f t="shared" si="18"/>
        <v>0</v>
      </c>
      <c r="N106" s="100">
        <f t="shared" si="18"/>
        <v>112285406</v>
      </c>
      <c r="O106" s="100">
        <f t="shared" si="18"/>
        <v>237361940</v>
      </c>
      <c r="P106" s="173"/>
      <c r="Q106" s="174"/>
    </row>
    <row r="107" spans="1:17" s="108" customFormat="1" ht="36.75" customHeight="1" x14ac:dyDescent="0.4">
      <c r="A107" s="107"/>
      <c r="B107" s="46"/>
      <c r="C107" s="25" t="str">
        <f>C127</f>
        <v>субвенції з державного бюджету місцевим бюджетам на облаштування безпечних умов у закладах охорони здоров'я</v>
      </c>
      <c r="D107" s="101">
        <f t="shared" ref="D107:O107" si="19">D127</f>
        <v>0</v>
      </c>
      <c r="E107" s="101">
        <f t="shared" si="19"/>
        <v>0</v>
      </c>
      <c r="F107" s="101">
        <f t="shared" si="19"/>
        <v>0</v>
      </c>
      <c r="G107" s="101">
        <f t="shared" si="19"/>
        <v>0</v>
      </c>
      <c r="H107" s="101">
        <f t="shared" si="19"/>
        <v>0</v>
      </c>
      <c r="I107" s="101">
        <f t="shared" si="19"/>
        <v>31936617</v>
      </c>
      <c r="J107" s="101">
        <f t="shared" si="19"/>
        <v>31936617</v>
      </c>
      <c r="K107" s="101">
        <f t="shared" si="19"/>
        <v>0</v>
      </c>
      <c r="L107" s="101">
        <f t="shared" si="19"/>
        <v>0</v>
      </c>
      <c r="M107" s="101">
        <f t="shared" si="19"/>
        <v>0</v>
      </c>
      <c r="N107" s="101">
        <f t="shared" si="19"/>
        <v>31936617</v>
      </c>
      <c r="O107" s="101">
        <f t="shared" si="19"/>
        <v>31936617</v>
      </c>
      <c r="P107" s="173"/>
      <c r="Q107" s="174"/>
    </row>
    <row r="108" spans="1:17" s="108" customFormat="1" ht="75" x14ac:dyDescent="0.4">
      <c r="A108" s="107"/>
      <c r="B108" s="46"/>
      <c r="C108" s="66" t="s">
        <v>624</v>
      </c>
      <c r="D108" s="101">
        <f>D110+D125</f>
        <v>1093294</v>
      </c>
      <c r="E108" s="101">
        <f t="shared" ref="E108:O108" si="20">E110+E125</f>
        <v>1093294</v>
      </c>
      <c r="F108" s="101">
        <f t="shared" si="20"/>
        <v>0</v>
      </c>
      <c r="G108" s="101">
        <f t="shared" si="20"/>
        <v>0</v>
      </c>
      <c r="H108" s="101">
        <f t="shared" si="20"/>
        <v>0</v>
      </c>
      <c r="I108" s="101">
        <f t="shared" si="20"/>
        <v>2459776</v>
      </c>
      <c r="J108" s="101">
        <f t="shared" si="20"/>
        <v>2459776</v>
      </c>
      <c r="K108" s="101">
        <f t="shared" si="20"/>
        <v>0</v>
      </c>
      <c r="L108" s="101">
        <f t="shared" si="20"/>
        <v>0</v>
      </c>
      <c r="M108" s="101">
        <f t="shared" si="20"/>
        <v>0</v>
      </c>
      <c r="N108" s="101">
        <f t="shared" si="20"/>
        <v>2459776</v>
      </c>
      <c r="O108" s="101">
        <f t="shared" si="20"/>
        <v>3553070</v>
      </c>
      <c r="P108" s="173"/>
      <c r="Q108" s="174"/>
    </row>
    <row r="109" spans="1:17" ht="33" customHeight="1" x14ac:dyDescent="0.45">
      <c r="A109" s="52" t="s">
        <v>58</v>
      </c>
      <c r="B109" s="52" t="s">
        <v>59</v>
      </c>
      <c r="C109" s="41" t="s">
        <v>718</v>
      </c>
      <c r="D109" s="102">
        <f>'дод 3'!E187+'дод 3'!E383</f>
        <v>72264094</v>
      </c>
      <c r="E109" s="102">
        <f>'дод 3'!F187+'дод 3'!F383</f>
        <v>72264094</v>
      </c>
      <c r="F109" s="102">
        <f>'дод 3'!G187+'дод 3'!G383</f>
        <v>0</v>
      </c>
      <c r="G109" s="102">
        <f>'дод 3'!H187+'дод 3'!H383</f>
        <v>0</v>
      </c>
      <c r="H109" s="102">
        <f>'дод 3'!I187+'дод 3'!I383</f>
        <v>0</v>
      </c>
      <c r="I109" s="102">
        <f>'дод 3'!J187+'дод 3'!J383</f>
        <v>19293187</v>
      </c>
      <c r="J109" s="102">
        <f>'дод 3'!K187+'дод 3'!K383</f>
        <v>19293187</v>
      </c>
      <c r="K109" s="102">
        <f>'дод 3'!L187+'дод 3'!L383</f>
        <v>0</v>
      </c>
      <c r="L109" s="102">
        <f>'дод 3'!M187+'дод 3'!M383</f>
        <v>0</v>
      </c>
      <c r="M109" s="102">
        <f>'дод 3'!N187+'дод 3'!N383</f>
        <v>0</v>
      </c>
      <c r="N109" s="102">
        <f>'дод 3'!O187+'дод 3'!O383</f>
        <v>19293187</v>
      </c>
      <c r="O109" s="102">
        <f>'дод 3'!P187+'дод 3'!P383</f>
        <v>91557281</v>
      </c>
      <c r="P109" s="173"/>
      <c r="Q109" s="174"/>
    </row>
    <row r="110" spans="1:17" s="105" customFormat="1" ht="76.900000000000006" x14ac:dyDescent="0.45">
      <c r="A110" s="104"/>
      <c r="B110" s="104"/>
      <c r="C110" s="55" t="s">
        <v>624</v>
      </c>
      <c r="D110" s="103">
        <f>'дод 3'!E188</f>
        <v>1093294</v>
      </c>
      <c r="E110" s="103">
        <f>'дод 3'!F188</f>
        <v>1093294</v>
      </c>
      <c r="F110" s="103">
        <f>'дод 3'!G188</f>
        <v>0</v>
      </c>
      <c r="G110" s="103">
        <f>'дод 3'!H188</f>
        <v>0</v>
      </c>
      <c r="H110" s="103">
        <f>'дод 3'!I188</f>
        <v>0</v>
      </c>
      <c r="I110" s="103">
        <f>'дод 3'!J188</f>
        <v>1638800</v>
      </c>
      <c r="J110" s="103">
        <f>'дод 3'!K188</f>
        <v>1638800</v>
      </c>
      <c r="K110" s="103">
        <f>'дод 3'!L188</f>
        <v>0</v>
      </c>
      <c r="L110" s="103">
        <f>'дод 3'!M188</f>
        <v>0</v>
      </c>
      <c r="M110" s="103">
        <f>'дод 3'!N188</f>
        <v>0</v>
      </c>
      <c r="N110" s="103">
        <f>'дод 3'!O188</f>
        <v>1638800</v>
      </c>
      <c r="O110" s="103">
        <f>'дод 3'!P188</f>
        <v>2732094</v>
      </c>
      <c r="P110" s="173"/>
      <c r="Q110" s="174"/>
    </row>
    <row r="111" spans="1:17" ht="31.5" customHeight="1" x14ac:dyDescent="0.45">
      <c r="A111" s="52">
        <v>2020</v>
      </c>
      <c r="B111" s="40" t="s">
        <v>421</v>
      </c>
      <c r="C111" s="41" t="s">
        <v>422</v>
      </c>
      <c r="D111" s="102">
        <f>'дод 3'!E189</f>
        <v>0</v>
      </c>
      <c r="E111" s="102">
        <f>'дод 3'!F189</f>
        <v>0</v>
      </c>
      <c r="F111" s="102">
        <f>'дод 3'!G189</f>
        <v>0</v>
      </c>
      <c r="G111" s="102">
        <f>'дод 3'!H189</f>
        <v>0</v>
      </c>
      <c r="H111" s="102">
        <f>'дод 3'!I189</f>
        <v>0</v>
      </c>
      <c r="I111" s="102">
        <f>'дод 3'!J189</f>
        <v>0</v>
      </c>
      <c r="J111" s="102">
        <f>'дод 3'!K189</f>
        <v>0</v>
      </c>
      <c r="K111" s="102">
        <f>'дод 3'!L189</f>
        <v>0</v>
      </c>
      <c r="L111" s="102">
        <f>'дод 3'!M189</f>
        <v>0</v>
      </c>
      <c r="M111" s="102">
        <f>'дод 3'!N189</f>
        <v>0</v>
      </c>
      <c r="N111" s="102">
        <f>'дод 3'!O189</f>
        <v>0</v>
      </c>
      <c r="O111" s="102">
        <f>'дод 3'!P189</f>
        <v>0</v>
      </c>
      <c r="P111" s="173"/>
      <c r="Q111" s="174"/>
    </row>
    <row r="112" spans="1:17" ht="36.75" customHeight="1" x14ac:dyDescent="0.45">
      <c r="A112" s="52" t="s">
        <v>115</v>
      </c>
      <c r="B112" s="52" t="s">
        <v>60</v>
      </c>
      <c r="C112" s="41" t="s">
        <v>435</v>
      </c>
      <c r="D112" s="102">
        <f>'дод 3'!E190</f>
        <v>6012400</v>
      </c>
      <c r="E112" s="102">
        <f>'дод 3'!F190</f>
        <v>6012400</v>
      </c>
      <c r="F112" s="102">
        <f>'дод 3'!G190</f>
        <v>0</v>
      </c>
      <c r="G112" s="102">
        <f>'дод 3'!H190</f>
        <v>0</v>
      </c>
      <c r="H112" s="102">
        <f>'дод 3'!I190</f>
        <v>0</v>
      </c>
      <c r="I112" s="102">
        <f>'дод 3'!J190</f>
        <v>0</v>
      </c>
      <c r="J112" s="102">
        <f>'дод 3'!K190</f>
        <v>0</v>
      </c>
      <c r="K112" s="102">
        <f>'дод 3'!L190</f>
        <v>0</v>
      </c>
      <c r="L112" s="102">
        <f>'дод 3'!M190</f>
        <v>0</v>
      </c>
      <c r="M112" s="102">
        <f>'дод 3'!N190</f>
        <v>0</v>
      </c>
      <c r="N112" s="102">
        <f>'дод 3'!O190</f>
        <v>0</v>
      </c>
      <c r="O112" s="102">
        <f>'дод 3'!P190</f>
        <v>6012400</v>
      </c>
      <c r="P112" s="173"/>
      <c r="Q112" s="174"/>
    </row>
    <row r="113" spans="1:17" s="105" customFormat="1" ht="31.5" hidden="1" customHeight="1" x14ac:dyDescent="0.45">
      <c r="A113" s="104"/>
      <c r="B113" s="104"/>
      <c r="C113" s="55" t="s">
        <v>377</v>
      </c>
      <c r="D113" s="103">
        <f>'дод 3'!E191</f>
        <v>0</v>
      </c>
      <c r="E113" s="103">
        <f>'дод 3'!F191</f>
        <v>0</v>
      </c>
      <c r="F113" s="103">
        <f>'дод 3'!G191</f>
        <v>0</v>
      </c>
      <c r="G113" s="103">
        <f>'дод 3'!H191</f>
        <v>0</v>
      </c>
      <c r="H113" s="103">
        <f>'дод 3'!I191</f>
        <v>0</v>
      </c>
      <c r="I113" s="103">
        <f>'дод 3'!J191</f>
        <v>0</v>
      </c>
      <c r="J113" s="103">
        <f>'дод 3'!K191</f>
        <v>0</v>
      </c>
      <c r="K113" s="103">
        <f>'дод 3'!L191</f>
        <v>0</v>
      </c>
      <c r="L113" s="103">
        <f>'дод 3'!M191</f>
        <v>0</v>
      </c>
      <c r="M113" s="103">
        <f>'дод 3'!N191</f>
        <v>0</v>
      </c>
      <c r="N113" s="103">
        <f>'дод 3'!O191</f>
        <v>0</v>
      </c>
      <c r="O113" s="103">
        <f>'дод 3'!P191</f>
        <v>0</v>
      </c>
      <c r="P113" s="173"/>
      <c r="Q113" s="174"/>
    </row>
    <row r="114" spans="1:17" ht="24" hidden="1" customHeight="1" x14ac:dyDescent="0.45">
      <c r="A114" s="52">
        <v>2070</v>
      </c>
      <c r="B114" s="52" t="s">
        <v>563</v>
      </c>
      <c r="C114" s="41" t="s">
        <v>564</v>
      </c>
      <c r="D114" s="102">
        <f>'дод 3'!E192</f>
        <v>0</v>
      </c>
      <c r="E114" s="102">
        <f>'дод 3'!F192</f>
        <v>0</v>
      </c>
      <c r="F114" s="102">
        <f>'дод 3'!G192</f>
        <v>0</v>
      </c>
      <c r="G114" s="102">
        <f>'дод 3'!H192</f>
        <v>0</v>
      </c>
      <c r="H114" s="102">
        <f>'дод 3'!I192</f>
        <v>0</v>
      </c>
      <c r="I114" s="102">
        <f>'дод 3'!J192</f>
        <v>0</v>
      </c>
      <c r="J114" s="102">
        <f>'дод 3'!K192</f>
        <v>0</v>
      </c>
      <c r="K114" s="102">
        <f>'дод 3'!L192</f>
        <v>0</v>
      </c>
      <c r="L114" s="102">
        <f>'дод 3'!M192</f>
        <v>0</v>
      </c>
      <c r="M114" s="102">
        <f>'дод 3'!N192</f>
        <v>0</v>
      </c>
      <c r="N114" s="102">
        <f>'дод 3'!O192</f>
        <v>0</v>
      </c>
      <c r="O114" s="102">
        <f>'дод 3'!P192</f>
        <v>0</v>
      </c>
      <c r="P114" s="173"/>
      <c r="Q114" s="174"/>
    </row>
    <row r="115" spans="1:17" ht="19.5" customHeight="1" x14ac:dyDescent="0.45">
      <c r="A115" s="52" t="s">
        <v>116</v>
      </c>
      <c r="B115" s="52" t="s">
        <v>61</v>
      </c>
      <c r="C115" s="41" t="s">
        <v>436</v>
      </c>
      <c r="D115" s="102">
        <f>'дод 3'!E193</f>
        <v>12460400</v>
      </c>
      <c r="E115" s="102">
        <f>'дод 3'!F193</f>
        <v>12460400</v>
      </c>
      <c r="F115" s="102">
        <f>'дод 3'!G193</f>
        <v>0</v>
      </c>
      <c r="G115" s="102">
        <f>'дод 3'!H193</f>
        <v>0</v>
      </c>
      <c r="H115" s="102">
        <f>'дод 3'!I193</f>
        <v>0</v>
      </c>
      <c r="I115" s="102">
        <f>'дод 3'!J193</f>
        <v>0</v>
      </c>
      <c r="J115" s="102">
        <f>'дод 3'!K193</f>
        <v>0</v>
      </c>
      <c r="K115" s="102">
        <f>'дод 3'!L193</f>
        <v>0</v>
      </c>
      <c r="L115" s="102">
        <f>'дод 3'!M193</f>
        <v>0</v>
      </c>
      <c r="M115" s="102">
        <f>'дод 3'!N193</f>
        <v>0</v>
      </c>
      <c r="N115" s="102">
        <f>'дод 3'!O193</f>
        <v>0</v>
      </c>
      <c r="O115" s="102">
        <f>'дод 3'!P193</f>
        <v>12460400</v>
      </c>
      <c r="P115" s="173"/>
      <c r="Q115" s="174"/>
    </row>
    <row r="116" spans="1:17" s="105" customFormat="1" ht="31.5" hidden="1" customHeight="1" x14ac:dyDescent="0.45">
      <c r="A116" s="104"/>
      <c r="B116" s="104"/>
      <c r="C116" s="55" t="s">
        <v>377</v>
      </c>
      <c r="D116" s="103">
        <f>'дод 3'!E194</f>
        <v>0</v>
      </c>
      <c r="E116" s="103">
        <f>'дод 3'!F194</f>
        <v>0</v>
      </c>
      <c r="F116" s="103">
        <f>'дод 3'!G194</f>
        <v>0</v>
      </c>
      <c r="G116" s="103">
        <f>'дод 3'!H194</f>
        <v>0</v>
      </c>
      <c r="H116" s="103">
        <f>'дод 3'!I194</f>
        <v>0</v>
      </c>
      <c r="I116" s="103">
        <f>'дод 3'!J194</f>
        <v>0</v>
      </c>
      <c r="J116" s="103">
        <f>'дод 3'!K194</f>
        <v>0</v>
      </c>
      <c r="K116" s="103">
        <f>'дод 3'!L194</f>
        <v>0</v>
      </c>
      <c r="L116" s="103">
        <f>'дод 3'!M194</f>
        <v>0</v>
      </c>
      <c r="M116" s="103">
        <f>'дод 3'!N194</f>
        <v>0</v>
      </c>
      <c r="N116" s="103">
        <f>'дод 3'!O194</f>
        <v>0</v>
      </c>
      <c r="O116" s="103">
        <f>'дод 3'!P194</f>
        <v>0</v>
      </c>
      <c r="P116" s="173"/>
      <c r="Q116" s="174"/>
    </row>
    <row r="117" spans="1:17" ht="48.75" customHeight="1" x14ac:dyDescent="0.45">
      <c r="A117" s="52" t="s">
        <v>117</v>
      </c>
      <c r="B117" s="52" t="s">
        <v>301</v>
      </c>
      <c r="C117" s="41" t="s">
        <v>437</v>
      </c>
      <c r="D117" s="102">
        <f>'дод 3'!E195</f>
        <v>5716100</v>
      </c>
      <c r="E117" s="102">
        <f>'дод 3'!F195</f>
        <v>5716100</v>
      </c>
      <c r="F117" s="102">
        <f>'дод 3'!G195</f>
        <v>0</v>
      </c>
      <c r="G117" s="102">
        <f>'дод 3'!H195</f>
        <v>0</v>
      </c>
      <c r="H117" s="102">
        <f>'дод 3'!I195</f>
        <v>0</v>
      </c>
      <c r="I117" s="102">
        <f>'дод 3'!J195</f>
        <v>1638127</v>
      </c>
      <c r="J117" s="102">
        <f>'дод 3'!K195</f>
        <v>1638127</v>
      </c>
      <c r="K117" s="102">
        <f>'дод 3'!L195</f>
        <v>0</v>
      </c>
      <c r="L117" s="102">
        <f>'дод 3'!M195</f>
        <v>0</v>
      </c>
      <c r="M117" s="102">
        <f>'дод 3'!N195</f>
        <v>0</v>
      </c>
      <c r="N117" s="102">
        <f>'дод 3'!O195</f>
        <v>1638127</v>
      </c>
      <c r="O117" s="102">
        <f>'дод 3'!P195</f>
        <v>7354227</v>
      </c>
      <c r="P117" s="173"/>
      <c r="Q117" s="174"/>
    </row>
    <row r="118" spans="1:17" s="105" customFormat="1" ht="47.25" hidden="1" customHeight="1" x14ac:dyDescent="0.45">
      <c r="A118" s="104"/>
      <c r="B118" s="104"/>
      <c r="C118" s="51" t="s">
        <v>379</v>
      </c>
      <c r="D118" s="103">
        <f>'дод 3'!E196</f>
        <v>0</v>
      </c>
      <c r="E118" s="103">
        <f>'дод 3'!F196</f>
        <v>0</v>
      </c>
      <c r="F118" s="103">
        <f>'дод 3'!G196</f>
        <v>0</v>
      </c>
      <c r="G118" s="103">
        <f>'дод 3'!H196</f>
        <v>0</v>
      </c>
      <c r="H118" s="103">
        <f>'дод 3'!I196</f>
        <v>0</v>
      </c>
      <c r="I118" s="103">
        <f>'дод 3'!J196</f>
        <v>0</v>
      </c>
      <c r="J118" s="103">
        <f>'дод 3'!K196</f>
        <v>0</v>
      </c>
      <c r="K118" s="103">
        <f>'дод 3'!L196</f>
        <v>0</v>
      </c>
      <c r="L118" s="103">
        <f>'дод 3'!M196</f>
        <v>0</v>
      </c>
      <c r="M118" s="103">
        <f>'дод 3'!N196</f>
        <v>0</v>
      </c>
      <c r="N118" s="103">
        <f>'дод 3'!O196</f>
        <v>0</v>
      </c>
      <c r="O118" s="103">
        <f>'дод 3'!P196</f>
        <v>0</v>
      </c>
      <c r="P118" s="173"/>
    </row>
    <row r="119" spans="1:17" ht="31.5" hidden="1" customHeight="1" x14ac:dyDescent="0.45">
      <c r="A119" s="52">
        <v>2144</v>
      </c>
      <c r="B119" s="52" t="s">
        <v>62</v>
      </c>
      <c r="C119" s="41" t="s">
        <v>386</v>
      </c>
      <c r="D119" s="102">
        <f>'дод 3'!E197</f>
        <v>0</v>
      </c>
      <c r="E119" s="102">
        <f>'дод 3'!F197</f>
        <v>0</v>
      </c>
      <c r="F119" s="102">
        <f>'дод 3'!G197</f>
        <v>0</v>
      </c>
      <c r="G119" s="102">
        <f>'дод 3'!H197</f>
        <v>0</v>
      </c>
      <c r="H119" s="102">
        <f>'дод 3'!I197</f>
        <v>0</v>
      </c>
      <c r="I119" s="102">
        <f>'дод 3'!J197</f>
        <v>0</v>
      </c>
      <c r="J119" s="102">
        <f>'дод 3'!K197</f>
        <v>0</v>
      </c>
      <c r="K119" s="102">
        <f>'дод 3'!L197</f>
        <v>0</v>
      </c>
      <c r="L119" s="102">
        <f>'дод 3'!M197</f>
        <v>0</v>
      </c>
      <c r="M119" s="102">
        <f>'дод 3'!N197</f>
        <v>0</v>
      </c>
      <c r="N119" s="102">
        <f>'дод 3'!O197</f>
        <v>0</v>
      </c>
      <c r="O119" s="102">
        <f>'дод 3'!P197</f>
        <v>0</v>
      </c>
      <c r="P119" s="173"/>
    </row>
    <row r="120" spans="1:17" s="105" customFormat="1" ht="47.25" hidden="1" customHeight="1" x14ac:dyDescent="0.45">
      <c r="A120" s="104"/>
      <c r="B120" s="104"/>
      <c r="C120" s="55" t="s">
        <v>378</v>
      </c>
      <c r="D120" s="103">
        <f>'дод 3'!E198</f>
        <v>0</v>
      </c>
      <c r="E120" s="103">
        <f>'дод 3'!F198</f>
        <v>0</v>
      </c>
      <c r="F120" s="103">
        <f>'дод 3'!G198</f>
        <v>0</v>
      </c>
      <c r="G120" s="103">
        <f>'дод 3'!H198</f>
        <v>0</v>
      </c>
      <c r="H120" s="103">
        <f>'дод 3'!I198</f>
        <v>0</v>
      </c>
      <c r="I120" s="103">
        <f>'дод 3'!J198</f>
        <v>0</v>
      </c>
      <c r="J120" s="103">
        <f>'дод 3'!K198</f>
        <v>0</v>
      </c>
      <c r="K120" s="103">
        <f>'дод 3'!L198</f>
        <v>0</v>
      </c>
      <c r="L120" s="103">
        <f>'дод 3'!M198</f>
        <v>0</v>
      </c>
      <c r="M120" s="103">
        <f>'дод 3'!N198</f>
        <v>0</v>
      </c>
      <c r="N120" s="103">
        <f>'дод 3'!O198</f>
        <v>0</v>
      </c>
      <c r="O120" s="103">
        <f>'дод 3'!P198</f>
        <v>0</v>
      </c>
      <c r="P120" s="173"/>
    </row>
    <row r="121" spans="1:17" s="105" customFormat="1" ht="63" hidden="1" customHeight="1" x14ac:dyDescent="0.45">
      <c r="A121" s="104"/>
      <c r="B121" s="104"/>
      <c r="C121" s="55" t="s">
        <v>379</v>
      </c>
      <c r="D121" s="103">
        <f>'дод 3'!E199</f>
        <v>0</v>
      </c>
      <c r="E121" s="103">
        <f>'дод 3'!F199</f>
        <v>0</v>
      </c>
      <c r="F121" s="103">
        <f>'дод 3'!G199</f>
        <v>0</v>
      </c>
      <c r="G121" s="103">
        <f>'дод 3'!H199</f>
        <v>0</v>
      </c>
      <c r="H121" s="103">
        <f>'дод 3'!I199</f>
        <v>0</v>
      </c>
      <c r="I121" s="103">
        <f>'дод 3'!J199</f>
        <v>0</v>
      </c>
      <c r="J121" s="103">
        <f>'дод 3'!K199</f>
        <v>0</v>
      </c>
      <c r="K121" s="103">
        <f>'дод 3'!L199</f>
        <v>0</v>
      </c>
      <c r="L121" s="103">
        <f>'дод 3'!M199</f>
        <v>0</v>
      </c>
      <c r="M121" s="103">
        <f>'дод 3'!N199</f>
        <v>0</v>
      </c>
      <c r="N121" s="103">
        <f>'дод 3'!O199</f>
        <v>0</v>
      </c>
      <c r="O121" s="103">
        <f>'дод 3'!P199</f>
        <v>0</v>
      </c>
      <c r="P121" s="173"/>
    </row>
    <row r="122" spans="1:17" ht="33.75" customHeight="1" x14ac:dyDescent="0.45">
      <c r="A122" s="52" t="s">
        <v>274</v>
      </c>
      <c r="B122" s="52" t="s">
        <v>62</v>
      </c>
      <c r="C122" s="39" t="s">
        <v>547</v>
      </c>
      <c r="D122" s="102">
        <f>'дод 3'!E200</f>
        <v>4113000</v>
      </c>
      <c r="E122" s="102">
        <f>'дод 3'!F200</f>
        <v>4113000</v>
      </c>
      <c r="F122" s="102">
        <f>'дод 3'!G200</f>
        <v>3079800</v>
      </c>
      <c r="G122" s="102">
        <f>'дод 3'!H200</f>
        <v>154200</v>
      </c>
      <c r="H122" s="102">
        <f>'дод 3'!I200</f>
        <v>0</v>
      </c>
      <c r="I122" s="102">
        <f>'дод 3'!J200</f>
        <v>0</v>
      </c>
      <c r="J122" s="102">
        <f>'дод 3'!K200</f>
        <v>0</v>
      </c>
      <c r="K122" s="102">
        <f>'дод 3'!L200</f>
        <v>0</v>
      </c>
      <c r="L122" s="102">
        <f>'дод 3'!M200</f>
        <v>0</v>
      </c>
      <c r="M122" s="102">
        <f>'дод 3'!N200</f>
        <v>0</v>
      </c>
      <c r="N122" s="102">
        <f>'дод 3'!O200</f>
        <v>0</v>
      </c>
      <c r="O122" s="102">
        <f>'дод 3'!P200</f>
        <v>4113000</v>
      </c>
      <c r="P122" s="173"/>
    </row>
    <row r="123" spans="1:17" ht="21.75" customHeight="1" x14ac:dyDescent="0.45">
      <c r="A123" s="52" t="s">
        <v>275</v>
      </c>
      <c r="B123" s="52" t="s">
        <v>62</v>
      </c>
      <c r="C123" s="39" t="s">
        <v>548</v>
      </c>
      <c r="D123" s="102">
        <f>'дод 3'!E201</f>
        <v>24510540</v>
      </c>
      <c r="E123" s="102">
        <f>'дод 3'!F201</f>
        <v>24510540</v>
      </c>
      <c r="F123" s="102">
        <f>'дод 3'!G201</f>
        <v>0</v>
      </c>
      <c r="G123" s="102">
        <f>'дод 3'!H201</f>
        <v>0</v>
      </c>
      <c r="H123" s="102">
        <f>'дод 3'!I201</f>
        <v>0</v>
      </c>
      <c r="I123" s="102">
        <f>'дод 3'!J201</f>
        <v>50000000</v>
      </c>
      <c r="J123" s="102">
        <f>'дод 3'!K201</f>
        <v>50000000</v>
      </c>
      <c r="K123" s="102">
        <f>'дод 3'!L201</f>
        <v>0</v>
      </c>
      <c r="L123" s="102">
        <f>'дод 3'!M201</f>
        <v>0</v>
      </c>
      <c r="M123" s="102">
        <f>'дод 3'!N201</f>
        <v>0</v>
      </c>
      <c r="N123" s="102">
        <f>'дод 3'!O201</f>
        <v>50000000</v>
      </c>
      <c r="O123" s="102">
        <f>'дод 3'!P201</f>
        <v>74510540</v>
      </c>
      <c r="P123" s="173"/>
    </row>
    <row r="124" spans="1:17" ht="46.15" x14ac:dyDescent="0.45">
      <c r="A124" s="29">
        <v>2161</v>
      </c>
      <c r="B124" s="28" t="s">
        <v>62</v>
      </c>
      <c r="C124" s="30" t="s">
        <v>751</v>
      </c>
      <c r="D124" s="102">
        <f>'дод 3'!E206</f>
        <v>0</v>
      </c>
      <c r="E124" s="102">
        <f>'дод 3'!F206</f>
        <v>0</v>
      </c>
      <c r="F124" s="102">
        <f>'дод 3'!G206</f>
        <v>0</v>
      </c>
      <c r="G124" s="102">
        <f>'дод 3'!H206</f>
        <v>0</v>
      </c>
      <c r="H124" s="102">
        <f>'дод 3'!I206</f>
        <v>0</v>
      </c>
      <c r="I124" s="102">
        <f>'дод 3'!J206</f>
        <v>9417475</v>
      </c>
      <c r="J124" s="102">
        <f>'дод 3'!K206</f>
        <v>9417475</v>
      </c>
      <c r="K124" s="102">
        <f>'дод 3'!L206</f>
        <v>0</v>
      </c>
      <c r="L124" s="102">
        <f>'дод 3'!M206</f>
        <v>0</v>
      </c>
      <c r="M124" s="102">
        <f>'дод 3'!N206</f>
        <v>0</v>
      </c>
      <c r="N124" s="102">
        <f>'дод 3'!O206</f>
        <v>9417475</v>
      </c>
      <c r="O124" s="102">
        <f>'дод 3'!P206</f>
        <v>9417475</v>
      </c>
      <c r="P124" s="173"/>
    </row>
    <row r="125" spans="1:17" ht="76.900000000000006" x14ac:dyDescent="0.45">
      <c r="A125" s="29"/>
      <c r="B125" s="28"/>
      <c r="C125" s="55" t="s">
        <v>624</v>
      </c>
      <c r="D125" s="103">
        <f>'дод 3'!E207</f>
        <v>0</v>
      </c>
      <c r="E125" s="103">
        <f>'дод 3'!F207</f>
        <v>0</v>
      </c>
      <c r="F125" s="103">
        <f>'дод 3'!G207</f>
        <v>0</v>
      </c>
      <c r="G125" s="103">
        <f>'дод 3'!H207</f>
        <v>0</v>
      </c>
      <c r="H125" s="103">
        <f>'дод 3'!I207</f>
        <v>0</v>
      </c>
      <c r="I125" s="103">
        <f>'дод 3'!J207</f>
        <v>820976</v>
      </c>
      <c r="J125" s="103">
        <f>'дод 3'!K207</f>
        <v>820976</v>
      </c>
      <c r="K125" s="103">
        <f>'дод 3'!L207</f>
        <v>0</v>
      </c>
      <c r="L125" s="103">
        <f>'дод 3'!M207</f>
        <v>0</v>
      </c>
      <c r="M125" s="103">
        <f>'дод 3'!N207</f>
        <v>0</v>
      </c>
      <c r="N125" s="103">
        <f>'дод 3'!O207</f>
        <v>820976</v>
      </c>
      <c r="O125" s="103">
        <f>'дод 3'!P207</f>
        <v>820976</v>
      </c>
      <c r="P125" s="173"/>
    </row>
    <row r="126" spans="1:17" ht="46.15" x14ac:dyDescent="0.45">
      <c r="A126" s="29">
        <v>2162</v>
      </c>
      <c r="B126" s="28" t="s">
        <v>62</v>
      </c>
      <c r="C126" s="30" t="s">
        <v>703</v>
      </c>
      <c r="D126" s="102">
        <f>'дод 3'!E208</f>
        <v>0</v>
      </c>
      <c r="E126" s="102">
        <f>'дод 3'!F208</f>
        <v>0</v>
      </c>
      <c r="F126" s="102">
        <f>'дод 3'!G208</f>
        <v>0</v>
      </c>
      <c r="G126" s="102">
        <f>'дод 3'!H208</f>
        <v>0</v>
      </c>
      <c r="H126" s="102">
        <f>'дод 3'!I208</f>
        <v>0</v>
      </c>
      <c r="I126" s="102">
        <f>'дод 3'!J208</f>
        <v>31936617</v>
      </c>
      <c r="J126" s="102">
        <f>'дод 3'!K208</f>
        <v>31936617</v>
      </c>
      <c r="K126" s="102">
        <f>'дод 3'!L208</f>
        <v>0</v>
      </c>
      <c r="L126" s="102">
        <f>'дод 3'!M208</f>
        <v>0</v>
      </c>
      <c r="M126" s="102">
        <f>'дод 3'!N208</f>
        <v>0</v>
      </c>
      <c r="N126" s="102">
        <f>'дод 3'!O208</f>
        <v>31936617</v>
      </c>
      <c r="O126" s="102">
        <f>'дод 3'!P208</f>
        <v>31936617</v>
      </c>
      <c r="P126" s="173"/>
    </row>
    <row r="127" spans="1:17" s="105" customFormat="1" ht="30.75" x14ac:dyDescent="0.45">
      <c r="A127" s="34"/>
      <c r="B127" s="34"/>
      <c r="C127" s="35" t="s">
        <v>704</v>
      </c>
      <c r="D127" s="103">
        <f>'дод 3'!E209</f>
        <v>0</v>
      </c>
      <c r="E127" s="103">
        <f>'дод 3'!F209</f>
        <v>0</v>
      </c>
      <c r="F127" s="103">
        <f>'дод 3'!G209</f>
        <v>0</v>
      </c>
      <c r="G127" s="103">
        <f>'дод 3'!H209</f>
        <v>0</v>
      </c>
      <c r="H127" s="103">
        <f>'дод 3'!I209</f>
        <v>0</v>
      </c>
      <c r="I127" s="103">
        <f>'дод 3'!J209</f>
        <v>31936617</v>
      </c>
      <c r="J127" s="103">
        <f>'дод 3'!K209</f>
        <v>31936617</v>
      </c>
      <c r="K127" s="103">
        <f>'дод 3'!L209</f>
        <v>0</v>
      </c>
      <c r="L127" s="103">
        <f>'дод 3'!M209</f>
        <v>0</v>
      </c>
      <c r="M127" s="103">
        <f>'дод 3'!N209</f>
        <v>0</v>
      </c>
      <c r="N127" s="103">
        <f>'дод 3'!O209</f>
        <v>31936617</v>
      </c>
      <c r="O127" s="103">
        <f>'дод 3'!P209</f>
        <v>31936617</v>
      </c>
      <c r="P127" s="173"/>
    </row>
    <row r="128" spans="1:17" s="96" customFormat="1" ht="33" customHeight="1" x14ac:dyDescent="0.4">
      <c r="A128" s="106" t="s">
        <v>63</v>
      </c>
      <c r="B128" s="110"/>
      <c r="C128" s="111" t="s">
        <v>600</v>
      </c>
      <c r="D128" s="100">
        <f>D137+D138+D139+D141+D142+D143+D145+D147+D148+D149+D150+D153+D155+D156+D159+D161+D163+D164+D165+D166+D167+D168+D170+D174+D175+D154+D151</f>
        <v>412467377.81</v>
      </c>
      <c r="E128" s="100">
        <f t="shared" ref="E128:O128" si="21">E137+E138+E139+E141+E142+E143+E145+E147+E148+E149+E150+E153+E155+E156+E159+E161+E163+E164+E165+E166+E167+E168+E170+E174+E175+E154+E151</f>
        <v>412467377.81</v>
      </c>
      <c r="F128" s="100">
        <f t="shared" si="21"/>
        <v>31221900</v>
      </c>
      <c r="G128" s="100">
        <f t="shared" si="21"/>
        <v>3074900</v>
      </c>
      <c r="H128" s="100">
        <f t="shared" si="21"/>
        <v>0</v>
      </c>
      <c r="I128" s="100">
        <f t="shared" si="21"/>
        <v>17452317.359999999</v>
      </c>
      <c r="J128" s="100">
        <f t="shared" si="21"/>
        <v>17373717.359999999</v>
      </c>
      <c r="K128" s="100">
        <f t="shared" si="21"/>
        <v>78600</v>
      </c>
      <c r="L128" s="100">
        <f t="shared" si="21"/>
        <v>56100</v>
      </c>
      <c r="M128" s="100">
        <f t="shared" si="21"/>
        <v>3500</v>
      </c>
      <c r="N128" s="100">
        <f t="shared" si="21"/>
        <v>17373717.359999999</v>
      </c>
      <c r="O128" s="100">
        <f t="shared" si="21"/>
        <v>429919695.16999996</v>
      </c>
      <c r="P128" s="173"/>
    </row>
    <row r="129" spans="1:16" s="108" customFormat="1" ht="262.5" hidden="1" customHeight="1" x14ac:dyDescent="0.4">
      <c r="A129" s="107"/>
      <c r="B129" s="112"/>
      <c r="C129" s="66" t="s">
        <v>641</v>
      </c>
      <c r="D129" s="101">
        <f>D169</f>
        <v>0</v>
      </c>
      <c r="E129" s="101">
        <f t="shared" ref="E129:O129" si="22">E169</f>
        <v>0</v>
      </c>
      <c r="F129" s="101">
        <f t="shared" si="22"/>
        <v>0</v>
      </c>
      <c r="G129" s="101">
        <f t="shared" si="22"/>
        <v>0</v>
      </c>
      <c r="H129" s="101">
        <f t="shared" si="22"/>
        <v>0</v>
      </c>
      <c r="I129" s="101">
        <f t="shared" si="22"/>
        <v>8260461.4100000001</v>
      </c>
      <c r="J129" s="101">
        <f t="shared" si="22"/>
        <v>8260461.4100000001</v>
      </c>
      <c r="K129" s="101">
        <f t="shared" si="22"/>
        <v>0</v>
      </c>
      <c r="L129" s="101">
        <f t="shared" si="22"/>
        <v>0</v>
      </c>
      <c r="M129" s="101">
        <f t="shared" si="22"/>
        <v>0</v>
      </c>
      <c r="N129" s="101">
        <f t="shared" si="22"/>
        <v>8260461.4100000001</v>
      </c>
      <c r="O129" s="101">
        <f t="shared" si="22"/>
        <v>8260461.4100000001</v>
      </c>
      <c r="P129" s="173"/>
    </row>
    <row r="130" spans="1:16" s="108" customFormat="1" ht="258" hidden="1" customHeight="1" x14ac:dyDescent="0.4">
      <c r="A130" s="107"/>
      <c r="B130" s="112"/>
      <c r="C130" s="113" t="s">
        <v>643</v>
      </c>
      <c r="D130" s="101" t="e">
        <f>'дод 3'!#REF!</f>
        <v>#REF!</v>
      </c>
      <c r="E130" s="101" t="e">
        <f>'дод 3'!#REF!</f>
        <v>#REF!</v>
      </c>
      <c r="F130" s="101" t="e">
        <f>'дод 3'!#REF!</f>
        <v>#REF!</v>
      </c>
      <c r="G130" s="101" t="e">
        <f>'дод 3'!#REF!</f>
        <v>#REF!</v>
      </c>
      <c r="H130" s="101" t="e">
        <f>'дод 3'!#REF!</f>
        <v>#REF!</v>
      </c>
      <c r="I130" s="101" t="e">
        <f>'дод 3'!#REF!</f>
        <v>#REF!</v>
      </c>
      <c r="J130" s="101" t="e">
        <f>'дод 3'!#REF!</f>
        <v>#REF!</v>
      </c>
      <c r="K130" s="101" t="e">
        <f>'дод 3'!#REF!</f>
        <v>#REF!</v>
      </c>
      <c r="L130" s="101" t="e">
        <f>'дод 3'!#REF!</f>
        <v>#REF!</v>
      </c>
      <c r="M130" s="101" t="e">
        <f>'дод 3'!#REF!</f>
        <v>#REF!</v>
      </c>
      <c r="N130" s="101" t="e">
        <f>'дод 3'!#REF!</f>
        <v>#REF!</v>
      </c>
      <c r="O130" s="101" t="e">
        <f>'дод 3'!#REF!</f>
        <v>#REF!</v>
      </c>
      <c r="P130" s="173"/>
    </row>
    <row r="131" spans="1:16" s="108" customFormat="1" ht="21" customHeight="1" x14ac:dyDescent="0.4">
      <c r="A131" s="107"/>
      <c r="B131" s="112"/>
      <c r="C131" s="66" t="s">
        <v>381</v>
      </c>
      <c r="D131" s="101">
        <f t="shared" ref="D131:O131" si="23">D140+D144+D146+D160+D162+D176</f>
        <v>3102862.81</v>
      </c>
      <c r="E131" s="101">
        <f t="shared" si="23"/>
        <v>3102862.81</v>
      </c>
      <c r="F131" s="101">
        <f t="shared" si="23"/>
        <v>0</v>
      </c>
      <c r="G131" s="101">
        <f t="shared" si="23"/>
        <v>0</v>
      </c>
      <c r="H131" s="101">
        <f t="shared" si="23"/>
        <v>0</v>
      </c>
      <c r="I131" s="101">
        <f t="shared" si="23"/>
        <v>0</v>
      </c>
      <c r="J131" s="101">
        <f t="shared" si="23"/>
        <v>0</v>
      </c>
      <c r="K131" s="101">
        <f t="shared" si="23"/>
        <v>0</v>
      </c>
      <c r="L131" s="101">
        <f t="shared" si="23"/>
        <v>0</v>
      </c>
      <c r="M131" s="101">
        <f t="shared" si="23"/>
        <v>0</v>
      </c>
      <c r="N131" s="101">
        <f t="shared" si="23"/>
        <v>0</v>
      </c>
      <c r="O131" s="101">
        <f t="shared" si="23"/>
        <v>3102862.81</v>
      </c>
      <c r="P131" s="173"/>
    </row>
    <row r="132" spans="1:16" s="108" customFormat="1" ht="97.15" customHeight="1" x14ac:dyDescent="0.4">
      <c r="A132" s="107"/>
      <c r="B132" s="112"/>
      <c r="C132" s="66" t="str">
        <f>C157</f>
        <v>залишку коштів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Федерації, що утворився станом на 01.01.2024 року</v>
      </c>
      <c r="D132" s="101">
        <f>D157</f>
        <v>1495257</v>
      </c>
      <c r="E132" s="101">
        <f t="shared" ref="E132:O132" si="24">E157</f>
        <v>1495257</v>
      </c>
      <c r="F132" s="101">
        <f t="shared" si="24"/>
        <v>0</v>
      </c>
      <c r="G132" s="101">
        <f t="shared" si="24"/>
        <v>0</v>
      </c>
      <c r="H132" s="101">
        <f t="shared" si="24"/>
        <v>0</v>
      </c>
      <c r="I132" s="101">
        <f t="shared" si="24"/>
        <v>0</v>
      </c>
      <c r="J132" s="101">
        <f t="shared" si="24"/>
        <v>0</v>
      </c>
      <c r="K132" s="101">
        <f t="shared" si="24"/>
        <v>0</v>
      </c>
      <c r="L132" s="101">
        <f t="shared" si="24"/>
        <v>0</v>
      </c>
      <c r="M132" s="101">
        <f t="shared" si="24"/>
        <v>0</v>
      </c>
      <c r="N132" s="101">
        <f t="shared" si="24"/>
        <v>0</v>
      </c>
      <c r="O132" s="101">
        <f t="shared" si="24"/>
        <v>1495257</v>
      </c>
      <c r="P132" s="173"/>
    </row>
    <row r="133" spans="1:16" s="108" customFormat="1" ht="86.65" customHeight="1" x14ac:dyDescent="0.4">
      <c r="A133" s="107"/>
      <c r="B133" s="112"/>
      <c r="C133" s="25" t="s">
        <v>624</v>
      </c>
      <c r="D133" s="101">
        <f>D158+D177</f>
        <v>75253000</v>
      </c>
      <c r="E133" s="101">
        <f t="shared" ref="E133:O133" si="25">E158+E177</f>
        <v>75253000</v>
      </c>
      <c r="F133" s="101">
        <f t="shared" si="25"/>
        <v>0</v>
      </c>
      <c r="G133" s="101">
        <f t="shared" si="25"/>
        <v>0</v>
      </c>
      <c r="H133" s="101">
        <f t="shared" si="25"/>
        <v>0</v>
      </c>
      <c r="I133" s="101">
        <f t="shared" si="25"/>
        <v>0</v>
      </c>
      <c r="J133" s="101">
        <f t="shared" si="25"/>
        <v>0</v>
      </c>
      <c r="K133" s="101">
        <f t="shared" si="25"/>
        <v>0</v>
      </c>
      <c r="L133" s="101">
        <f t="shared" si="25"/>
        <v>0</v>
      </c>
      <c r="M133" s="101">
        <f t="shared" si="25"/>
        <v>0</v>
      </c>
      <c r="N133" s="101">
        <f t="shared" si="25"/>
        <v>0</v>
      </c>
      <c r="O133" s="101">
        <f t="shared" si="25"/>
        <v>75253000</v>
      </c>
      <c r="P133" s="173"/>
    </row>
    <row r="134" spans="1:16" s="154" customFormat="1" ht="62.65" hidden="1" customHeight="1" x14ac:dyDescent="0.4">
      <c r="A134" s="150"/>
      <c r="B134" s="151"/>
      <c r="C134" s="152" t="s">
        <v>746</v>
      </c>
      <c r="D134" s="153">
        <f>D152</f>
        <v>0</v>
      </c>
      <c r="E134" s="153">
        <f t="shared" ref="E134:O134" si="26">E152</f>
        <v>0</v>
      </c>
      <c r="F134" s="153">
        <f t="shared" si="26"/>
        <v>0</v>
      </c>
      <c r="G134" s="153">
        <f t="shared" si="26"/>
        <v>0</v>
      </c>
      <c r="H134" s="153">
        <f t="shared" si="26"/>
        <v>0</v>
      </c>
      <c r="I134" s="153">
        <f t="shared" si="26"/>
        <v>0</v>
      </c>
      <c r="J134" s="153">
        <f t="shared" si="26"/>
        <v>0</v>
      </c>
      <c r="K134" s="153">
        <f t="shared" si="26"/>
        <v>0</v>
      </c>
      <c r="L134" s="153">
        <f t="shared" si="26"/>
        <v>0</v>
      </c>
      <c r="M134" s="153">
        <f t="shared" si="26"/>
        <v>0</v>
      </c>
      <c r="N134" s="153">
        <f t="shared" si="26"/>
        <v>0</v>
      </c>
      <c r="O134" s="153">
        <f t="shared" si="26"/>
        <v>0</v>
      </c>
      <c r="P134" s="173"/>
    </row>
    <row r="135" spans="1:16" s="108" customFormat="1" ht="262.5" customHeight="1" x14ac:dyDescent="0.4">
      <c r="A135" s="107"/>
      <c r="B135" s="112"/>
      <c r="C135" s="25" t="str">
        <f>C169</f>
        <v>субвенції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v>
      </c>
      <c r="D135" s="101">
        <f t="shared" ref="D135:O135" si="27">D169</f>
        <v>0</v>
      </c>
      <c r="E135" s="101">
        <f t="shared" si="27"/>
        <v>0</v>
      </c>
      <c r="F135" s="101">
        <f t="shared" si="27"/>
        <v>0</v>
      </c>
      <c r="G135" s="101">
        <f t="shared" si="27"/>
        <v>0</v>
      </c>
      <c r="H135" s="101">
        <f t="shared" si="27"/>
        <v>0</v>
      </c>
      <c r="I135" s="101">
        <f t="shared" si="27"/>
        <v>8260461.4100000001</v>
      </c>
      <c r="J135" s="101">
        <f t="shared" si="27"/>
        <v>8260461.4100000001</v>
      </c>
      <c r="K135" s="101">
        <f t="shared" si="27"/>
        <v>0</v>
      </c>
      <c r="L135" s="101">
        <f t="shared" si="27"/>
        <v>0</v>
      </c>
      <c r="M135" s="101">
        <f t="shared" si="27"/>
        <v>0</v>
      </c>
      <c r="N135" s="101">
        <f t="shared" si="27"/>
        <v>8260461.4100000001</v>
      </c>
      <c r="O135" s="101">
        <f t="shared" si="27"/>
        <v>8260461.4100000001</v>
      </c>
      <c r="P135" s="173"/>
    </row>
    <row r="136" spans="1:16" s="108" customFormat="1" ht="261.75" customHeight="1" x14ac:dyDescent="0.4">
      <c r="A136" s="107"/>
      <c r="B136" s="112"/>
      <c r="C136" s="25" t="str">
        <f>C171</f>
        <v>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v>
      </c>
      <c r="D136" s="101">
        <f t="shared" ref="D136:O136" si="28">D171</f>
        <v>0</v>
      </c>
      <c r="E136" s="101">
        <f t="shared" si="28"/>
        <v>0</v>
      </c>
      <c r="F136" s="101">
        <f t="shared" si="28"/>
        <v>0</v>
      </c>
      <c r="G136" s="101">
        <f t="shared" si="28"/>
        <v>0</v>
      </c>
      <c r="H136" s="101">
        <f t="shared" si="28"/>
        <v>0</v>
      </c>
      <c r="I136" s="101">
        <f t="shared" si="28"/>
        <v>8914255.9499999993</v>
      </c>
      <c r="J136" s="101">
        <f t="shared" si="28"/>
        <v>8914255.9499999993</v>
      </c>
      <c r="K136" s="101">
        <f t="shared" si="28"/>
        <v>0</v>
      </c>
      <c r="L136" s="101">
        <f t="shared" si="28"/>
        <v>0</v>
      </c>
      <c r="M136" s="101">
        <f t="shared" si="28"/>
        <v>0</v>
      </c>
      <c r="N136" s="101">
        <f t="shared" si="28"/>
        <v>8914255.9499999993</v>
      </c>
      <c r="O136" s="101">
        <f t="shared" si="28"/>
        <v>8914255.9499999993</v>
      </c>
      <c r="P136" s="173"/>
    </row>
    <row r="137" spans="1:16" ht="38.25" customHeight="1" x14ac:dyDescent="0.45">
      <c r="A137" s="52" t="s">
        <v>94</v>
      </c>
      <c r="B137" s="52" t="s">
        <v>50</v>
      </c>
      <c r="C137" s="39" t="s">
        <v>118</v>
      </c>
      <c r="D137" s="102">
        <f>'дод 3'!E226</f>
        <v>433000</v>
      </c>
      <c r="E137" s="102">
        <f>'дод 3'!F226</f>
        <v>433000</v>
      </c>
      <c r="F137" s="102">
        <f>'дод 3'!G226</f>
        <v>0</v>
      </c>
      <c r="G137" s="102">
        <f>'дод 3'!H226</f>
        <v>0</v>
      </c>
      <c r="H137" s="102">
        <f>'дод 3'!I226</f>
        <v>0</v>
      </c>
      <c r="I137" s="102">
        <f>'дод 3'!J226</f>
        <v>0</v>
      </c>
      <c r="J137" s="102">
        <f>'дод 3'!K226</f>
        <v>0</v>
      </c>
      <c r="K137" s="102">
        <f>'дод 3'!L226</f>
        <v>0</v>
      </c>
      <c r="L137" s="102">
        <f>'дод 3'!M226</f>
        <v>0</v>
      </c>
      <c r="M137" s="102">
        <f>'дод 3'!N226</f>
        <v>0</v>
      </c>
      <c r="N137" s="102">
        <f>'дод 3'!O226</f>
        <v>0</v>
      </c>
      <c r="O137" s="102">
        <f>'дод 3'!P226</f>
        <v>433000</v>
      </c>
      <c r="P137" s="173"/>
    </row>
    <row r="138" spans="1:16" ht="35.25" customHeight="1" x14ac:dyDescent="0.45">
      <c r="A138" s="52" t="s">
        <v>119</v>
      </c>
      <c r="B138" s="52" t="s">
        <v>52</v>
      </c>
      <c r="C138" s="39" t="s">
        <v>347</v>
      </c>
      <c r="D138" s="102">
        <f>'дод 3'!E227</f>
        <v>650450</v>
      </c>
      <c r="E138" s="102">
        <f>'дод 3'!F227</f>
        <v>650450</v>
      </c>
      <c r="F138" s="102">
        <f>'дод 3'!G227</f>
        <v>0</v>
      </c>
      <c r="G138" s="102">
        <f>'дод 3'!H227</f>
        <v>0</v>
      </c>
      <c r="H138" s="102">
        <f>'дод 3'!I227</f>
        <v>0</v>
      </c>
      <c r="I138" s="102">
        <f>'дод 3'!J227</f>
        <v>0</v>
      </c>
      <c r="J138" s="102">
        <f>'дод 3'!K227</f>
        <v>0</v>
      </c>
      <c r="K138" s="102">
        <f>'дод 3'!L227</f>
        <v>0</v>
      </c>
      <c r="L138" s="102">
        <f>'дод 3'!M227</f>
        <v>0</v>
      </c>
      <c r="M138" s="102">
        <f>'дод 3'!N227</f>
        <v>0</v>
      </c>
      <c r="N138" s="102">
        <f>'дод 3'!O227</f>
        <v>0</v>
      </c>
      <c r="O138" s="102">
        <f>'дод 3'!P227</f>
        <v>650450</v>
      </c>
      <c r="P138" s="173"/>
    </row>
    <row r="139" spans="1:16" ht="30.75" x14ac:dyDescent="0.45">
      <c r="A139" s="52" t="s">
        <v>95</v>
      </c>
      <c r="B139" s="52" t="s">
        <v>52</v>
      </c>
      <c r="C139" s="39" t="s">
        <v>392</v>
      </c>
      <c r="D139" s="102">
        <f>'дод 3'!E228+'дод 3'!E28</f>
        <v>20788379.810000002</v>
      </c>
      <c r="E139" s="102">
        <f>'дод 3'!F228+'дод 3'!F28</f>
        <v>20788379.810000002</v>
      </c>
      <c r="F139" s="102">
        <f>'дод 3'!G228+'дод 3'!G28</f>
        <v>0</v>
      </c>
      <c r="G139" s="102">
        <f>'дод 3'!H228+'дод 3'!H28</f>
        <v>0</v>
      </c>
      <c r="H139" s="102">
        <f>'дод 3'!I228+'дод 3'!I28</f>
        <v>0</v>
      </c>
      <c r="I139" s="102">
        <f>'дод 3'!J228+'дод 3'!J28</f>
        <v>0</v>
      </c>
      <c r="J139" s="102">
        <f>'дод 3'!K228+'дод 3'!K28</f>
        <v>0</v>
      </c>
      <c r="K139" s="102">
        <f>'дод 3'!L228+'дод 3'!L28</f>
        <v>0</v>
      </c>
      <c r="L139" s="102">
        <f>'дод 3'!M228+'дод 3'!M28</f>
        <v>0</v>
      </c>
      <c r="M139" s="102">
        <f>'дод 3'!N228+'дод 3'!N28</f>
        <v>0</v>
      </c>
      <c r="N139" s="102">
        <f>'дод 3'!O228+'дод 3'!O28</f>
        <v>0</v>
      </c>
      <c r="O139" s="102">
        <f>'дод 3'!P228+'дод 3'!P28</f>
        <v>20788379.810000002</v>
      </c>
      <c r="P139" s="173"/>
    </row>
    <row r="140" spans="1:16" s="105" customFormat="1" ht="21.75" customHeight="1" x14ac:dyDescent="0.45">
      <c r="A140" s="104"/>
      <c r="B140" s="104"/>
      <c r="C140" s="55" t="s">
        <v>380</v>
      </c>
      <c r="D140" s="103">
        <f>'дод 3'!E229</f>
        <v>1730679.81</v>
      </c>
      <c r="E140" s="103">
        <f>'дод 3'!F229</f>
        <v>1730679.81</v>
      </c>
      <c r="F140" s="103">
        <f>'дод 3'!G229</f>
        <v>0</v>
      </c>
      <c r="G140" s="103">
        <f>'дод 3'!H229</f>
        <v>0</v>
      </c>
      <c r="H140" s="103">
        <f>'дод 3'!I229</f>
        <v>0</v>
      </c>
      <c r="I140" s="103">
        <f>'дод 3'!J229</f>
        <v>0</v>
      </c>
      <c r="J140" s="103">
        <f>'дод 3'!K229</f>
        <v>0</v>
      </c>
      <c r="K140" s="103">
        <f>'дод 3'!L229</f>
        <v>0</v>
      </c>
      <c r="L140" s="103">
        <f>'дод 3'!M229</f>
        <v>0</v>
      </c>
      <c r="M140" s="103">
        <f>'дод 3'!N229</f>
        <v>0</v>
      </c>
      <c r="N140" s="103">
        <f>'дод 3'!O229</f>
        <v>0</v>
      </c>
      <c r="O140" s="103">
        <f>'дод 3'!P229</f>
        <v>1730679.81</v>
      </c>
      <c r="P140" s="173"/>
    </row>
    <row r="141" spans="1:16" ht="36" customHeight="1" x14ac:dyDescent="0.45">
      <c r="A141" s="52" t="s">
        <v>310</v>
      </c>
      <c r="B141" s="52" t="s">
        <v>52</v>
      </c>
      <c r="C141" s="39" t="s">
        <v>309</v>
      </c>
      <c r="D141" s="102">
        <f>'дод 3'!E230</f>
        <v>1000000</v>
      </c>
      <c r="E141" s="102">
        <f>'дод 3'!F230</f>
        <v>1000000</v>
      </c>
      <c r="F141" s="102">
        <f>'дод 3'!G230</f>
        <v>0</v>
      </c>
      <c r="G141" s="102">
        <f>'дод 3'!H230</f>
        <v>0</v>
      </c>
      <c r="H141" s="102">
        <f>'дод 3'!I230</f>
        <v>0</v>
      </c>
      <c r="I141" s="102">
        <f>'дод 3'!J230</f>
        <v>0</v>
      </c>
      <c r="J141" s="102">
        <f>'дод 3'!K230</f>
        <v>0</v>
      </c>
      <c r="K141" s="102">
        <f>'дод 3'!L230</f>
        <v>0</v>
      </c>
      <c r="L141" s="102">
        <f>'дод 3'!M230</f>
        <v>0</v>
      </c>
      <c r="M141" s="102">
        <f>'дод 3'!N230</f>
        <v>0</v>
      </c>
      <c r="N141" s="102">
        <f>'дод 3'!O230</f>
        <v>0</v>
      </c>
      <c r="O141" s="102">
        <f>'дод 3'!P230</f>
        <v>1000000</v>
      </c>
      <c r="P141" s="173"/>
    </row>
    <row r="142" spans="1:16" ht="34.5" customHeight="1" x14ac:dyDescent="0.45">
      <c r="A142" s="52" t="s">
        <v>120</v>
      </c>
      <c r="B142" s="52" t="s">
        <v>52</v>
      </c>
      <c r="C142" s="39" t="s">
        <v>19</v>
      </c>
      <c r="D142" s="102">
        <f>'дод 3'!E231+'дод 3'!E29</f>
        <v>45654300</v>
      </c>
      <c r="E142" s="102">
        <f>'дод 3'!F231+'дод 3'!F29</f>
        <v>45654300</v>
      </c>
      <c r="F142" s="102">
        <f>'дод 3'!G231+'дод 3'!G29</f>
        <v>0</v>
      </c>
      <c r="G142" s="102">
        <f>'дод 3'!H231+'дод 3'!H29</f>
        <v>0</v>
      </c>
      <c r="H142" s="102">
        <f>'дод 3'!I231+'дод 3'!I29</f>
        <v>0</v>
      </c>
      <c r="I142" s="102">
        <f>'дод 3'!J231+'дод 3'!J29</f>
        <v>0</v>
      </c>
      <c r="J142" s="102">
        <f>'дод 3'!K231+'дод 3'!K29</f>
        <v>0</v>
      </c>
      <c r="K142" s="102">
        <f>'дод 3'!L231+'дод 3'!L29</f>
        <v>0</v>
      </c>
      <c r="L142" s="102">
        <f>'дод 3'!M231+'дод 3'!M29</f>
        <v>0</v>
      </c>
      <c r="M142" s="102">
        <f>'дод 3'!N231+'дод 3'!N29</f>
        <v>0</v>
      </c>
      <c r="N142" s="102">
        <f>'дод 3'!O231+'дод 3'!O29</f>
        <v>0</v>
      </c>
      <c r="O142" s="102">
        <f>'дод 3'!P231+'дод 3'!P29</f>
        <v>45654300</v>
      </c>
      <c r="P142" s="173"/>
    </row>
    <row r="143" spans="1:16" ht="51.75" customHeight="1" x14ac:dyDescent="0.45">
      <c r="A143" s="52" t="s">
        <v>97</v>
      </c>
      <c r="B143" s="52" t="s">
        <v>52</v>
      </c>
      <c r="C143" s="39" t="s">
        <v>390</v>
      </c>
      <c r="D143" s="102">
        <f>'дод 3'!E232</f>
        <v>782300</v>
      </c>
      <c r="E143" s="102">
        <f>'дод 3'!F232</f>
        <v>782300</v>
      </c>
      <c r="F143" s="102">
        <f>'дод 3'!G232</f>
        <v>0</v>
      </c>
      <c r="G143" s="102">
        <f>'дод 3'!H232</f>
        <v>0</v>
      </c>
      <c r="H143" s="102">
        <f>'дод 3'!I232</f>
        <v>0</v>
      </c>
      <c r="I143" s="102">
        <f>'дод 3'!J232</f>
        <v>0</v>
      </c>
      <c r="J143" s="102">
        <f>'дод 3'!K232</f>
        <v>0</v>
      </c>
      <c r="K143" s="102">
        <f>'дод 3'!L232</f>
        <v>0</v>
      </c>
      <c r="L143" s="102">
        <f>'дод 3'!M232</f>
        <v>0</v>
      </c>
      <c r="M143" s="102">
        <f>'дод 3'!N232</f>
        <v>0</v>
      </c>
      <c r="N143" s="102">
        <f>'дод 3'!O232</f>
        <v>0</v>
      </c>
      <c r="O143" s="102">
        <f>'дод 3'!P232</f>
        <v>782300</v>
      </c>
      <c r="P143" s="173"/>
    </row>
    <row r="144" spans="1:16" s="105" customFormat="1" x14ac:dyDescent="0.45">
      <c r="A144" s="104"/>
      <c r="B144" s="104"/>
      <c r="C144" s="55" t="s">
        <v>380</v>
      </c>
      <c r="D144" s="103">
        <f>'дод 3'!E233</f>
        <v>782300</v>
      </c>
      <c r="E144" s="103">
        <f>'дод 3'!F233</f>
        <v>782300</v>
      </c>
      <c r="F144" s="103">
        <f>'дод 3'!G233</f>
        <v>0</v>
      </c>
      <c r="G144" s="103">
        <f>'дод 3'!H233</f>
        <v>0</v>
      </c>
      <c r="H144" s="103">
        <f>'дод 3'!I233</f>
        <v>0</v>
      </c>
      <c r="I144" s="103">
        <f>'дод 3'!J233</f>
        <v>0</v>
      </c>
      <c r="J144" s="103">
        <f>'дод 3'!K233</f>
        <v>0</v>
      </c>
      <c r="K144" s="103">
        <f>'дод 3'!L233</f>
        <v>0</v>
      </c>
      <c r="L144" s="103">
        <f>'дод 3'!M233</f>
        <v>0</v>
      </c>
      <c r="M144" s="103">
        <f>'дод 3'!N233</f>
        <v>0</v>
      </c>
      <c r="N144" s="103">
        <f>'дод 3'!O233</f>
        <v>0</v>
      </c>
      <c r="O144" s="103">
        <f>'дод 3'!P233</f>
        <v>782300</v>
      </c>
      <c r="P144" s="173"/>
    </row>
    <row r="145" spans="1:16" ht="40.5" customHeight="1" x14ac:dyDescent="0.45">
      <c r="A145" s="52" t="s">
        <v>303</v>
      </c>
      <c r="B145" s="52" t="s">
        <v>50</v>
      </c>
      <c r="C145" s="39" t="s">
        <v>391</v>
      </c>
      <c r="D145" s="102">
        <f>'дод 3'!E234</f>
        <v>113154</v>
      </c>
      <c r="E145" s="102">
        <f>'дод 3'!F234</f>
        <v>113154</v>
      </c>
      <c r="F145" s="102">
        <f>'дод 3'!G234</f>
        <v>0</v>
      </c>
      <c r="G145" s="102">
        <f>'дод 3'!H234</f>
        <v>0</v>
      </c>
      <c r="H145" s="102">
        <f>'дод 3'!I234</f>
        <v>0</v>
      </c>
      <c r="I145" s="102">
        <f>'дод 3'!J234</f>
        <v>0</v>
      </c>
      <c r="J145" s="102">
        <f>'дод 3'!K234</f>
        <v>0</v>
      </c>
      <c r="K145" s="102">
        <f>'дод 3'!L234</f>
        <v>0</v>
      </c>
      <c r="L145" s="102">
        <f>'дод 3'!M234</f>
        <v>0</v>
      </c>
      <c r="M145" s="102">
        <f>'дод 3'!N234</f>
        <v>0</v>
      </c>
      <c r="N145" s="102">
        <f>'дод 3'!O234</f>
        <v>0</v>
      </c>
      <c r="O145" s="102">
        <f>'дод 3'!P234</f>
        <v>113154</v>
      </c>
      <c r="P145" s="173"/>
    </row>
    <row r="146" spans="1:16" s="105" customFormat="1" x14ac:dyDescent="0.45">
      <c r="A146" s="104"/>
      <c r="B146" s="104"/>
      <c r="C146" s="55" t="s">
        <v>380</v>
      </c>
      <c r="D146" s="103">
        <f>'дод 3'!E235</f>
        <v>113154</v>
      </c>
      <c r="E146" s="103">
        <f>'дод 3'!F235</f>
        <v>113154</v>
      </c>
      <c r="F146" s="103">
        <f>'дод 3'!G235</f>
        <v>0</v>
      </c>
      <c r="G146" s="103">
        <f>'дод 3'!H235</f>
        <v>0</v>
      </c>
      <c r="H146" s="103">
        <f>'дод 3'!I235</f>
        <v>0</v>
      </c>
      <c r="I146" s="103">
        <f>'дод 3'!J235</f>
        <v>0</v>
      </c>
      <c r="J146" s="103">
        <f>'дод 3'!K235</f>
        <v>0</v>
      </c>
      <c r="K146" s="103">
        <f>'дод 3'!L235</f>
        <v>0</v>
      </c>
      <c r="L146" s="103">
        <f>'дод 3'!M235</f>
        <v>0</v>
      </c>
      <c r="M146" s="103">
        <f>'дод 3'!N235</f>
        <v>0</v>
      </c>
      <c r="N146" s="103">
        <f>'дод 3'!O235</f>
        <v>0</v>
      </c>
      <c r="O146" s="103">
        <f>'дод 3'!P235</f>
        <v>113154</v>
      </c>
      <c r="P146" s="173"/>
    </row>
    <row r="147" spans="1:16" ht="53.85" customHeight="1" x14ac:dyDescent="0.45">
      <c r="A147" s="52" t="s">
        <v>98</v>
      </c>
      <c r="B147" s="52" t="s">
        <v>48</v>
      </c>
      <c r="C147" s="39" t="s">
        <v>29</v>
      </c>
      <c r="D147" s="102">
        <f>'дод 3'!E236</f>
        <v>26125300</v>
      </c>
      <c r="E147" s="102">
        <f>'дод 3'!F236</f>
        <v>26125300</v>
      </c>
      <c r="F147" s="102">
        <f>'дод 3'!G236</f>
        <v>19405100</v>
      </c>
      <c r="G147" s="102">
        <f>'дод 3'!H236</f>
        <v>1117300</v>
      </c>
      <c r="H147" s="102">
        <f>'дод 3'!I236</f>
        <v>0</v>
      </c>
      <c r="I147" s="102">
        <f>'дод 3'!J236</f>
        <v>167600</v>
      </c>
      <c r="J147" s="102">
        <f>'дод 3'!K236</f>
        <v>99000</v>
      </c>
      <c r="K147" s="102">
        <f>'дод 3'!L236</f>
        <v>68600</v>
      </c>
      <c r="L147" s="102">
        <f>'дод 3'!M236</f>
        <v>56100</v>
      </c>
      <c r="M147" s="102">
        <f>'дод 3'!N236</f>
        <v>0</v>
      </c>
      <c r="N147" s="102">
        <f>'дод 3'!O236</f>
        <v>99000</v>
      </c>
      <c r="O147" s="102">
        <f>'дод 3'!P236</f>
        <v>26292900</v>
      </c>
      <c r="P147" s="173"/>
    </row>
    <row r="148" spans="1:16" ht="56.65" customHeight="1" x14ac:dyDescent="0.45">
      <c r="A148" s="52" t="s">
        <v>319</v>
      </c>
      <c r="B148" s="52" t="s">
        <v>96</v>
      </c>
      <c r="C148" s="30" t="s">
        <v>320</v>
      </c>
      <c r="D148" s="102">
        <f>SUM('дод 3'!E269)</f>
        <v>116300</v>
      </c>
      <c r="E148" s="102">
        <f>SUM('дод 3'!F269)</f>
        <v>116300</v>
      </c>
      <c r="F148" s="102">
        <f>SUM('дод 3'!G269)</f>
        <v>0</v>
      </c>
      <c r="G148" s="102">
        <f>SUM('дод 3'!H269)</f>
        <v>0</v>
      </c>
      <c r="H148" s="102">
        <f>SUM('дод 3'!I269)</f>
        <v>0</v>
      </c>
      <c r="I148" s="102">
        <f>SUM('дод 3'!J269)</f>
        <v>0</v>
      </c>
      <c r="J148" s="102">
        <f>SUM('дод 3'!K269)</f>
        <v>0</v>
      </c>
      <c r="K148" s="102">
        <f>SUM('дод 3'!L269)</f>
        <v>0</v>
      </c>
      <c r="L148" s="102">
        <f>SUM('дод 3'!M269)</f>
        <v>0</v>
      </c>
      <c r="M148" s="102">
        <f>SUM('дод 3'!N269)</f>
        <v>0</v>
      </c>
      <c r="N148" s="102">
        <f>SUM('дод 3'!O269)</f>
        <v>0</v>
      </c>
      <c r="O148" s="102">
        <f>SUM('дод 3'!P269)</f>
        <v>116300</v>
      </c>
      <c r="P148" s="173"/>
    </row>
    <row r="149" spans="1:16" s="105" customFormat="1" ht="31.35" customHeight="1" x14ac:dyDescent="0.45">
      <c r="A149" s="52" t="s">
        <v>99</v>
      </c>
      <c r="B149" s="52" t="s">
        <v>96</v>
      </c>
      <c r="C149" s="39" t="s">
        <v>30</v>
      </c>
      <c r="D149" s="102">
        <f>'дод 3'!E270</f>
        <v>170000</v>
      </c>
      <c r="E149" s="102">
        <f>'дод 3'!F270</f>
        <v>170000</v>
      </c>
      <c r="F149" s="102">
        <f>'дод 3'!G270</f>
        <v>0</v>
      </c>
      <c r="G149" s="102">
        <f>'дод 3'!H270</f>
        <v>0</v>
      </c>
      <c r="H149" s="102">
        <f>'дод 3'!I270</f>
        <v>0</v>
      </c>
      <c r="I149" s="102">
        <f>'дод 3'!J270</f>
        <v>0</v>
      </c>
      <c r="J149" s="102">
        <f>'дод 3'!K270</f>
        <v>0</v>
      </c>
      <c r="K149" s="102">
        <f>'дод 3'!L270</f>
        <v>0</v>
      </c>
      <c r="L149" s="102">
        <f>'дод 3'!M270</f>
        <v>0</v>
      </c>
      <c r="M149" s="102">
        <f>'дод 3'!N270</f>
        <v>0</v>
      </c>
      <c r="N149" s="102">
        <f>'дод 3'!O270</f>
        <v>0</v>
      </c>
      <c r="O149" s="102">
        <f>'дод 3'!P270</f>
        <v>170000</v>
      </c>
      <c r="P149" s="173"/>
    </row>
    <row r="150" spans="1:16" s="105" customFormat="1" ht="31.35" customHeight="1" x14ac:dyDescent="0.45">
      <c r="A150" s="52" t="s">
        <v>121</v>
      </c>
      <c r="B150" s="52" t="s">
        <v>96</v>
      </c>
      <c r="C150" s="39" t="s">
        <v>549</v>
      </c>
      <c r="D150" s="102">
        <f>'дод 3'!E30</f>
        <v>4383800</v>
      </c>
      <c r="E150" s="102">
        <f>'дод 3'!F30</f>
        <v>4383800</v>
      </c>
      <c r="F150" s="102">
        <f>'дод 3'!G30</f>
        <v>3236100</v>
      </c>
      <c r="G150" s="102">
        <f>'дод 3'!H30</f>
        <v>106600</v>
      </c>
      <c r="H150" s="102">
        <f>'дод 3'!I30</f>
        <v>0</v>
      </c>
      <c r="I150" s="102">
        <f>'дод 3'!J30</f>
        <v>100000</v>
      </c>
      <c r="J150" s="102">
        <f>'дод 3'!K30</f>
        <v>100000</v>
      </c>
      <c r="K150" s="102">
        <f>'дод 3'!L30</f>
        <v>0</v>
      </c>
      <c r="L150" s="102">
        <f>'дод 3'!M30</f>
        <v>0</v>
      </c>
      <c r="M150" s="102">
        <f>'дод 3'!N30</f>
        <v>0</v>
      </c>
      <c r="N150" s="102">
        <f>'дод 3'!O30</f>
        <v>100000</v>
      </c>
      <c r="O150" s="102">
        <f>'дод 3'!P30</f>
        <v>4483800</v>
      </c>
      <c r="P150" s="173"/>
    </row>
    <row r="151" spans="1:16" s="146" customFormat="1" ht="54.4" hidden="1" customHeight="1" x14ac:dyDescent="0.45">
      <c r="A151" s="143">
        <v>3124</v>
      </c>
      <c r="B151" s="143">
        <v>1040</v>
      </c>
      <c r="C151" s="144" t="s">
        <v>745</v>
      </c>
      <c r="D151" s="145">
        <f>'дод 3'!E31</f>
        <v>0</v>
      </c>
      <c r="E151" s="145">
        <f>'дод 3'!F31</f>
        <v>0</v>
      </c>
      <c r="F151" s="145">
        <f>'дод 3'!G31</f>
        <v>0</v>
      </c>
      <c r="G151" s="145">
        <f>'дод 3'!H31</f>
        <v>0</v>
      </c>
      <c r="H151" s="145">
        <f>'дод 3'!I31</f>
        <v>0</v>
      </c>
      <c r="I151" s="145">
        <f>'дод 3'!J31</f>
        <v>0</v>
      </c>
      <c r="J151" s="145">
        <f>'дод 3'!K31</f>
        <v>0</v>
      </c>
      <c r="K151" s="145">
        <f>'дод 3'!L31</f>
        <v>0</v>
      </c>
      <c r="L151" s="145">
        <f>'дод 3'!M31</f>
        <v>0</v>
      </c>
      <c r="M151" s="145">
        <f>'дод 3'!N31</f>
        <v>0</v>
      </c>
      <c r="N151" s="145">
        <f>'дод 3'!O31</f>
        <v>0</v>
      </c>
      <c r="O151" s="145">
        <f>'дод 3'!P31</f>
        <v>0</v>
      </c>
      <c r="P151" s="173"/>
    </row>
    <row r="152" spans="1:16" s="146" customFormat="1" ht="66" hidden="1" customHeight="1" x14ac:dyDescent="0.45">
      <c r="A152" s="147"/>
      <c r="B152" s="147"/>
      <c r="C152" s="148" t="s">
        <v>746</v>
      </c>
      <c r="D152" s="149">
        <f>'дод 3'!E32</f>
        <v>0</v>
      </c>
      <c r="E152" s="149">
        <f>'дод 3'!F32</f>
        <v>0</v>
      </c>
      <c r="F152" s="149">
        <f>'дод 3'!G32</f>
        <v>0</v>
      </c>
      <c r="G152" s="149">
        <f>'дод 3'!H32</f>
        <v>0</v>
      </c>
      <c r="H152" s="149">
        <f>'дод 3'!I32</f>
        <v>0</v>
      </c>
      <c r="I152" s="149">
        <f>'дод 3'!J32</f>
        <v>0</v>
      </c>
      <c r="J152" s="149">
        <f>'дод 3'!K32</f>
        <v>0</v>
      </c>
      <c r="K152" s="149">
        <f>'дод 3'!L32</f>
        <v>0</v>
      </c>
      <c r="L152" s="149">
        <f>'дод 3'!M32</f>
        <v>0</v>
      </c>
      <c r="M152" s="149">
        <f>'дод 3'!N32</f>
        <v>0</v>
      </c>
      <c r="N152" s="149">
        <f>'дод 3'!O32</f>
        <v>0</v>
      </c>
      <c r="O152" s="149">
        <f>'дод 3'!P32</f>
        <v>0</v>
      </c>
      <c r="P152" s="173"/>
    </row>
    <row r="153" spans="1:16" s="105" customFormat="1" ht="42" customHeight="1" x14ac:dyDescent="0.45">
      <c r="A153" s="52" t="s">
        <v>103</v>
      </c>
      <c r="B153" s="52" t="s">
        <v>96</v>
      </c>
      <c r="C153" s="39" t="s">
        <v>327</v>
      </c>
      <c r="D153" s="102">
        <f>'дод 3'!E33</f>
        <v>500000</v>
      </c>
      <c r="E153" s="102">
        <f>'дод 3'!F33</f>
        <v>500000</v>
      </c>
      <c r="F153" s="102">
        <f>'дод 3'!G33</f>
        <v>0</v>
      </c>
      <c r="G153" s="102">
        <f>'дод 3'!H33</f>
        <v>0</v>
      </c>
      <c r="H153" s="102">
        <f>'дод 3'!I33</f>
        <v>0</v>
      </c>
      <c r="I153" s="102">
        <f>'дод 3'!J33</f>
        <v>0</v>
      </c>
      <c r="J153" s="102">
        <f>'дод 3'!K33</f>
        <v>0</v>
      </c>
      <c r="K153" s="102">
        <f>'дод 3'!L33</f>
        <v>0</v>
      </c>
      <c r="L153" s="102">
        <f>'дод 3'!M33</f>
        <v>0</v>
      </c>
      <c r="M153" s="102">
        <f>'дод 3'!N33</f>
        <v>0</v>
      </c>
      <c r="N153" s="102">
        <f>'дод 3'!O33</f>
        <v>0</v>
      </c>
      <c r="O153" s="102">
        <f>'дод 3'!P33</f>
        <v>500000</v>
      </c>
      <c r="P153" s="173"/>
    </row>
    <row r="154" spans="1:16" s="105" customFormat="1" ht="26.25" customHeight="1" x14ac:dyDescent="0.45">
      <c r="A154" s="52">
        <v>3133</v>
      </c>
      <c r="B154" s="52">
        <v>1040</v>
      </c>
      <c r="C154" s="39" t="s">
        <v>537</v>
      </c>
      <c r="D154" s="102">
        <f>'дод 3'!E34</f>
        <v>6297600</v>
      </c>
      <c r="E154" s="102">
        <f>'дод 3'!F34</f>
        <v>6297600</v>
      </c>
      <c r="F154" s="102">
        <f>'дод 3'!G34</f>
        <v>3587200</v>
      </c>
      <c r="G154" s="102">
        <f>'дод 3'!H34</f>
        <v>1085700</v>
      </c>
      <c r="H154" s="102">
        <f>'дод 3'!I34</f>
        <v>0</v>
      </c>
      <c r="I154" s="102">
        <f>'дод 3'!J34</f>
        <v>10000</v>
      </c>
      <c r="J154" s="102">
        <f>'дод 3'!K34</f>
        <v>0</v>
      </c>
      <c r="K154" s="102">
        <f>'дод 3'!L34</f>
        <v>10000</v>
      </c>
      <c r="L154" s="102">
        <f>'дод 3'!M34</f>
        <v>0</v>
      </c>
      <c r="M154" s="102">
        <f>'дод 3'!N34</f>
        <v>3500</v>
      </c>
      <c r="N154" s="102">
        <f>'дод 3'!O34</f>
        <v>0</v>
      </c>
      <c r="O154" s="102">
        <f>'дод 3'!P34</f>
        <v>6307600</v>
      </c>
      <c r="P154" s="173"/>
    </row>
    <row r="155" spans="1:16" ht="69" customHeight="1" x14ac:dyDescent="0.45">
      <c r="A155" s="52" t="s">
        <v>104</v>
      </c>
      <c r="B155" s="52" t="s">
        <v>96</v>
      </c>
      <c r="C155" s="41" t="s">
        <v>20</v>
      </c>
      <c r="D155" s="102">
        <f>'дод 3'!E35+'дод 3'!E135+'дод 3'!E237+'дод 3'!E149</f>
        <v>1400000</v>
      </c>
      <c r="E155" s="102">
        <f>'дод 3'!F35+'дод 3'!F135+'дод 3'!F237+'дод 3'!F149</f>
        <v>1400000</v>
      </c>
      <c r="F155" s="102">
        <f>'дод 3'!G35+'дод 3'!G135+'дод 3'!G237+'дод 3'!G149</f>
        <v>0</v>
      </c>
      <c r="G155" s="102">
        <f>'дод 3'!H35+'дод 3'!H135+'дод 3'!H237+'дод 3'!H149</f>
        <v>0</v>
      </c>
      <c r="H155" s="102">
        <f>'дод 3'!I35+'дод 3'!I135+'дод 3'!I237+'дод 3'!I149</f>
        <v>0</v>
      </c>
      <c r="I155" s="102">
        <f>'дод 3'!J35+'дод 3'!J135+'дод 3'!J237+'дод 3'!J149</f>
        <v>0</v>
      </c>
      <c r="J155" s="102">
        <f>'дод 3'!K35+'дод 3'!K135+'дод 3'!K237+'дод 3'!K149</f>
        <v>0</v>
      </c>
      <c r="K155" s="102">
        <f>'дод 3'!L35+'дод 3'!L135+'дод 3'!L237+'дод 3'!L149</f>
        <v>0</v>
      </c>
      <c r="L155" s="102">
        <f>'дод 3'!M35+'дод 3'!M135+'дод 3'!M237+'дод 3'!M149</f>
        <v>0</v>
      </c>
      <c r="M155" s="102">
        <f>'дод 3'!N35+'дод 3'!N135+'дод 3'!N237+'дод 3'!N149</f>
        <v>0</v>
      </c>
      <c r="N155" s="102">
        <f>'дод 3'!O35+'дод 3'!O135+'дод 3'!O237+'дод 3'!O149</f>
        <v>0</v>
      </c>
      <c r="O155" s="102">
        <f>'дод 3'!P35+'дод 3'!P135+'дод 3'!P237+'дод 3'!P149</f>
        <v>1400000</v>
      </c>
      <c r="P155" s="173"/>
    </row>
    <row r="156" spans="1:16" ht="68.25" customHeight="1" x14ac:dyDescent="0.45">
      <c r="A156" s="52" t="s">
        <v>105</v>
      </c>
      <c r="B156" s="52">
        <v>1010</v>
      </c>
      <c r="C156" s="39" t="s">
        <v>674</v>
      </c>
      <c r="D156" s="102">
        <f>'дод 3'!E238</f>
        <v>19840100</v>
      </c>
      <c r="E156" s="102">
        <f>'дод 3'!F238</f>
        <v>19840100</v>
      </c>
      <c r="F156" s="102">
        <f>'дод 3'!G238</f>
        <v>0</v>
      </c>
      <c r="G156" s="102">
        <f>'дод 3'!H238</f>
        <v>0</v>
      </c>
      <c r="H156" s="102">
        <f>'дод 3'!I238</f>
        <v>0</v>
      </c>
      <c r="I156" s="102">
        <f>'дод 3'!J238</f>
        <v>0</v>
      </c>
      <c r="J156" s="102">
        <f>'дод 3'!K238</f>
        <v>0</v>
      </c>
      <c r="K156" s="102">
        <f>'дод 3'!L238</f>
        <v>0</v>
      </c>
      <c r="L156" s="102">
        <f>'дод 3'!M238</f>
        <v>0</v>
      </c>
      <c r="M156" s="102">
        <f>'дод 3'!N238</f>
        <v>0</v>
      </c>
      <c r="N156" s="102">
        <f>'дод 3'!O238</f>
        <v>0</v>
      </c>
      <c r="O156" s="102">
        <f>'дод 3'!P238</f>
        <v>19840100</v>
      </c>
      <c r="P156" s="173"/>
    </row>
    <row r="157" spans="1:16" s="105" customFormat="1" ht="92.25" x14ac:dyDescent="0.45">
      <c r="A157" s="104"/>
      <c r="B157" s="104"/>
      <c r="C157" s="55" t="s">
        <v>675</v>
      </c>
      <c r="D157" s="103">
        <f>'дод 3'!E239</f>
        <v>1495257</v>
      </c>
      <c r="E157" s="103">
        <f>'дод 3'!F239</f>
        <v>1495257</v>
      </c>
      <c r="F157" s="103">
        <f>'дод 3'!G239</f>
        <v>0</v>
      </c>
      <c r="G157" s="103">
        <f>'дод 3'!H239</f>
        <v>0</v>
      </c>
      <c r="H157" s="103">
        <f>'дод 3'!I239</f>
        <v>0</v>
      </c>
      <c r="I157" s="103">
        <f>'дод 3'!J239</f>
        <v>0</v>
      </c>
      <c r="J157" s="103">
        <f>'дод 3'!K239</f>
        <v>0</v>
      </c>
      <c r="K157" s="103">
        <f>'дод 3'!L239</f>
        <v>0</v>
      </c>
      <c r="L157" s="103">
        <f>'дод 3'!M239</f>
        <v>0</v>
      </c>
      <c r="M157" s="103">
        <f>'дод 3'!N239</f>
        <v>0</v>
      </c>
      <c r="N157" s="103">
        <f>'дод 3'!O239</f>
        <v>0</v>
      </c>
      <c r="O157" s="103">
        <f>'дод 3'!P239</f>
        <v>1495257</v>
      </c>
      <c r="P157" s="173"/>
    </row>
    <row r="158" spans="1:16" s="105" customFormat="1" ht="76.900000000000006" x14ac:dyDescent="0.45">
      <c r="A158" s="104"/>
      <c r="B158" s="104"/>
      <c r="C158" s="55" t="s">
        <v>624</v>
      </c>
      <c r="D158" s="103">
        <f>'дод 3'!E240</f>
        <v>9886200</v>
      </c>
      <c r="E158" s="103">
        <f>'дод 3'!F240</f>
        <v>9886200</v>
      </c>
      <c r="F158" s="103">
        <f>'дод 3'!G240</f>
        <v>0</v>
      </c>
      <c r="G158" s="103">
        <f>'дод 3'!H240</f>
        <v>0</v>
      </c>
      <c r="H158" s="103">
        <f>'дод 3'!I240</f>
        <v>0</v>
      </c>
      <c r="I158" s="103">
        <f>'дод 3'!J240</f>
        <v>0</v>
      </c>
      <c r="J158" s="103">
        <f>'дод 3'!K240</f>
        <v>0</v>
      </c>
      <c r="K158" s="103">
        <f>'дод 3'!L240</f>
        <v>0</v>
      </c>
      <c r="L158" s="103">
        <f>'дод 3'!M240</f>
        <v>0</v>
      </c>
      <c r="M158" s="103">
        <f>'дод 3'!N240</f>
        <v>0</v>
      </c>
      <c r="N158" s="103">
        <f>'дод 3'!O240</f>
        <v>0</v>
      </c>
      <c r="O158" s="103">
        <f>'дод 3'!P240</f>
        <v>9886200</v>
      </c>
      <c r="P158" s="173"/>
    </row>
    <row r="159" spans="1:16" s="105" customFormat="1" ht="63" customHeight="1" x14ac:dyDescent="0.45">
      <c r="A159" s="52" t="s">
        <v>304</v>
      </c>
      <c r="B159" s="52">
        <v>1010</v>
      </c>
      <c r="C159" s="39" t="s">
        <v>387</v>
      </c>
      <c r="D159" s="102">
        <f>'дод 3'!E241</f>
        <v>215129</v>
      </c>
      <c r="E159" s="102">
        <f>'дод 3'!F241</f>
        <v>215129</v>
      </c>
      <c r="F159" s="102">
        <f>'дод 3'!G241</f>
        <v>0</v>
      </c>
      <c r="G159" s="102">
        <f>'дод 3'!H241</f>
        <v>0</v>
      </c>
      <c r="H159" s="102">
        <f>'дод 3'!I241</f>
        <v>0</v>
      </c>
      <c r="I159" s="102">
        <f>'дод 3'!J241</f>
        <v>0</v>
      </c>
      <c r="J159" s="102">
        <f>'дод 3'!K241</f>
        <v>0</v>
      </c>
      <c r="K159" s="102">
        <f>'дод 3'!L241</f>
        <v>0</v>
      </c>
      <c r="L159" s="102">
        <f>'дод 3'!M241</f>
        <v>0</v>
      </c>
      <c r="M159" s="102">
        <f>'дод 3'!N241</f>
        <v>0</v>
      </c>
      <c r="N159" s="102">
        <f>'дод 3'!O241</f>
        <v>0</v>
      </c>
      <c r="O159" s="102">
        <f>'дод 3'!P241</f>
        <v>215129</v>
      </c>
      <c r="P159" s="173"/>
    </row>
    <row r="160" spans="1:16" s="105" customFormat="1" ht="15.75" customHeight="1" x14ac:dyDescent="0.45">
      <c r="A160" s="104"/>
      <c r="B160" s="104"/>
      <c r="C160" s="55" t="s">
        <v>380</v>
      </c>
      <c r="D160" s="103">
        <f>'дод 3'!E242</f>
        <v>215129</v>
      </c>
      <c r="E160" s="103">
        <f>'дод 3'!F242</f>
        <v>215129</v>
      </c>
      <c r="F160" s="103">
        <f>'дод 3'!G242</f>
        <v>0</v>
      </c>
      <c r="G160" s="103">
        <f>'дод 3'!H242</f>
        <v>0</v>
      </c>
      <c r="H160" s="103">
        <f>'дод 3'!I242</f>
        <v>0</v>
      </c>
      <c r="I160" s="103">
        <f>'дод 3'!J242</f>
        <v>0</v>
      </c>
      <c r="J160" s="103">
        <f>'дод 3'!K242</f>
        <v>0</v>
      </c>
      <c r="K160" s="103">
        <f>'дод 3'!L242</f>
        <v>0</v>
      </c>
      <c r="L160" s="103">
        <f>'дод 3'!M242</f>
        <v>0</v>
      </c>
      <c r="M160" s="103">
        <f>'дод 3'!N242</f>
        <v>0</v>
      </c>
      <c r="N160" s="103">
        <f>'дод 3'!O242</f>
        <v>0</v>
      </c>
      <c r="O160" s="103">
        <f>'дод 3'!P242</f>
        <v>215129</v>
      </c>
      <c r="P160" s="173"/>
    </row>
    <row r="161" spans="1:16" s="105" customFormat="1" ht="36" hidden="1" customHeight="1" x14ac:dyDescent="0.45">
      <c r="A161" s="52" t="s">
        <v>305</v>
      </c>
      <c r="B161" s="52">
        <v>1010</v>
      </c>
      <c r="C161" s="39" t="s">
        <v>388</v>
      </c>
      <c r="D161" s="102">
        <f>'дод 3'!E243</f>
        <v>0</v>
      </c>
      <c r="E161" s="102">
        <f>'дод 3'!F243</f>
        <v>0</v>
      </c>
      <c r="F161" s="102">
        <f>'дод 3'!G243</f>
        <v>0</v>
      </c>
      <c r="G161" s="102">
        <f>'дод 3'!H243</f>
        <v>0</v>
      </c>
      <c r="H161" s="102">
        <f>'дод 3'!I243</f>
        <v>0</v>
      </c>
      <c r="I161" s="102">
        <f>'дод 3'!J243</f>
        <v>0</v>
      </c>
      <c r="J161" s="102">
        <f>'дод 3'!K243</f>
        <v>0</v>
      </c>
      <c r="K161" s="102">
        <f>'дод 3'!L243</f>
        <v>0</v>
      </c>
      <c r="L161" s="102">
        <f>'дод 3'!M243</f>
        <v>0</v>
      </c>
      <c r="M161" s="102">
        <f>'дод 3'!N243</f>
        <v>0</v>
      </c>
      <c r="N161" s="102">
        <f>'дод 3'!O243</f>
        <v>0</v>
      </c>
      <c r="O161" s="102">
        <f>'дод 3'!P243</f>
        <v>0</v>
      </c>
      <c r="P161" s="173"/>
    </row>
    <row r="162" spans="1:16" s="105" customFormat="1" ht="15.75" hidden="1" customHeight="1" x14ac:dyDescent="0.45">
      <c r="A162" s="104"/>
      <c r="B162" s="104"/>
      <c r="C162" s="55" t="s">
        <v>380</v>
      </c>
      <c r="D162" s="103">
        <f>'дод 3'!E244</f>
        <v>0</v>
      </c>
      <c r="E162" s="103">
        <f>'дод 3'!F244</f>
        <v>0</v>
      </c>
      <c r="F162" s="103">
        <f>'дод 3'!G244</f>
        <v>0</v>
      </c>
      <c r="G162" s="103">
        <f>'дод 3'!H244</f>
        <v>0</v>
      </c>
      <c r="H162" s="103">
        <f>'дод 3'!I244</f>
        <v>0</v>
      </c>
      <c r="I162" s="103">
        <f>'дод 3'!J244</f>
        <v>0</v>
      </c>
      <c r="J162" s="103">
        <f>'дод 3'!K244</f>
        <v>0</v>
      </c>
      <c r="K162" s="103">
        <f>'дод 3'!L244</f>
        <v>0</v>
      </c>
      <c r="L162" s="103">
        <f>'дод 3'!M244</f>
        <v>0</v>
      </c>
      <c r="M162" s="103">
        <f>'дод 3'!N244</f>
        <v>0</v>
      </c>
      <c r="N162" s="103">
        <f>'дод 3'!O244</f>
        <v>0</v>
      </c>
      <c r="O162" s="103">
        <f>'дод 3'!P244</f>
        <v>0</v>
      </c>
      <c r="P162" s="173"/>
    </row>
    <row r="163" spans="1:16" ht="72.75" hidden="1" customHeight="1" x14ac:dyDescent="0.45">
      <c r="A163" s="52" t="s">
        <v>100</v>
      </c>
      <c r="B163" s="52" t="s">
        <v>51</v>
      </c>
      <c r="C163" s="39" t="s">
        <v>328</v>
      </c>
      <c r="D163" s="102">
        <f>'дод 3'!E245</f>
        <v>0</v>
      </c>
      <c r="E163" s="102">
        <f>'дод 3'!F245</f>
        <v>0</v>
      </c>
      <c r="F163" s="102">
        <f>'дод 3'!G245</f>
        <v>0</v>
      </c>
      <c r="G163" s="102">
        <f>'дод 3'!H245</f>
        <v>0</v>
      </c>
      <c r="H163" s="102">
        <f>'дод 3'!I245</f>
        <v>0</v>
      </c>
      <c r="I163" s="102">
        <f>'дод 3'!J245</f>
        <v>0</v>
      </c>
      <c r="J163" s="102">
        <f>'дод 3'!K245</f>
        <v>0</v>
      </c>
      <c r="K163" s="102">
        <f>'дод 3'!L245</f>
        <v>0</v>
      </c>
      <c r="L163" s="102">
        <f>'дод 3'!M245</f>
        <v>0</v>
      </c>
      <c r="M163" s="102">
        <f>'дод 3'!N245</f>
        <v>0</v>
      </c>
      <c r="N163" s="102">
        <f>'дод 3'!O245</f>
        <v>0</v>
      </c>
      <c r="O163" s="102">
        <f>'дод 3'!P245</f>
        <v>0</v>
      </c>
      <c r="P163" s="173"/>
    </row>
    <row r="164" spans="1:16" s="105" customFormat="1" ht="34.5" customHeight="1" x14ac:dyDescent="0.45">
      <c r="A164" s="52" t="s">
        <v>276</v>
      </c>
      <c r="B164" s="52" t="s">
        <v>50</v>
      </c>
      <c r="C164" s="39" t="s">
        <v>18</v>
      </c>
      <c r="D164" s="102">
        <f>'дод 3'!E246</f>
        <v>6724251</v>
      </c>
      <c r="E164" s="102">
        <f>'дод 3'!F246</f>
        <v>6724251</v>
      </c>
      <c r="F164" s="102">
        <f>'дод 3'!G246</f>
        <v>0</v>
      </c>
      <c r="G164" s="102">
        <f>'дод 3'!H246</f>
        <v>0</v>
      </c>
      <c r="H164" s="102">
        <f>'дод 3'!I246</f>
        <v>0</v>
      </c>
      <c r="I164" s="102">
        <f>'дод 3'!J246</f>
        <v>0</v>
      </c>
      <c r="J164" s="102">
        <f>'дод 3'!K246</f>
        <v>0</v>
      </c>
      <c r="K164" s="102">
        <f>'дод 3'!L246</f>
        <v>0</v>
      </c>
      <c r="L164" s="102">
        <f>'дод 3'!M246</f>
        <v>0</v>
      </c>
      <c r="M164" s="102">
        <f>'дод 3'!N246</f>
        <v>0</v>
      </c>
      <c r="N164" s="102">
        <f>'дод 3'!O246</f>
        <v>0</v>
      </c>
      <c r="O164" s="102">
        <f>'дод 3'!P246</f>
        <v>6724251</v>
      </c>
      <c r="P164" s="173"/>
    </row>
    <row r="165" spans="1:16" s="105" customFormat="1" ht="59.25" customHeight="1" x14ac:dyDescent="0.45">
      <c r="A165" s="52" t="s">
        <v>277</v>
      </c>
      <c r="B165" s="52" t="s">
        <v>50</v>
      </c>
      <c r="C165" s="30" t="s">
        <v>468</v>
      </c>
      <c r="D165" s="102">
        <f>'дод 3'!E247</f>
        <v>2036420</v>
      </c>
      <c r="E165" s="102">
        <f>'дод 3'!F247</f>
        <v>2036420</v>
      </c>
      <c r="F165" s="102">
        <f>'дод 3'!G247</f>
        <v>0</v>
      </c>
      <c r="G165" s="102">
        <f>'дод 3'!H247</f>
        <v>0</v>
      </c>
      <c r="H165" s="102">
        <f>'дод 3'!I247</f>
        <v>0</v>
      </c>
      <c r="I165" s="102">
        <f>'дод 3'!J247</f>
        <v>0</v>
      </c>
      <c r="J165" s="102">
        <f>'дод 3'!K247</f>
        <v>0</v>
      </c>
      <c r="K165" s="102">
        <f>'дод 3'!L247</f>
        <v>0</v>
      </c>
      <c r="L165" s="102">
        <f>'дод 3'!M247</f>
        <v>0</v>
      </c>
      <c r="M165" s="102">
        <f>'дод 3'!N247</f>
        <v>0</v>
      </c>
      <c r="N165" s="102">
        <f>'дод 3'!O247</f>
        <v>0</v>
      </c>
      <c r="O165" s="102">
        <f>'дод 3'!P247</f>
        <v>2036420</v>
      </c>
      <c r="P165" s="173"/>
    </row>
    <row r="166" spans="1:16" ht="36.75" customHeight="1" x14ac:dyDescent="0.45">
      <c r="A166" s="52" t="s">
        <v>101</v>
      </c>
      <c r="B166" s="52" t="s">
        <v>54</v>
      </c>
      <c r="C166" s="39" t="s">
        <v>329</v>
      </c>
      <c r="D166" s="102">
        <f>'дод 3'!E248</f>
        <v>107000</v>
      </c>
      <c r="E166" s="102">
        <f>'дод 3'!F248</f>
        <v>107000</v>
      </c>
      <c r="F166" s="102">
        <f>'дод 3'!G248</f>
        <v>0</v>
      </c>
      <c r="G166" s="102">
        <f>'дод 3'!H248</f>
        <v>0</v>
      </c>
      <c r="H166" s="102">
        <f>'дод 3'!I248</f>
        <v>0</v>
      </c>
      <c r="I166" s="102">
        <f>'дод 3'!J248</f>
        <v>0</v>
      </c>
      <c r="J166" s="102">
        <f>'дод 3'!K248</f>
        <v>0</v>
      </c>
      <c r="K166" s="102">
        <f>'дод 3'!L248</f>
        <v>0</v>
      </c>
      <c r="L166" s="102">
        <f>'дод 3'!M248</f>
        <v>0</v>
      </c>
      <c r="M166" s="102">
        <f>'дод 3'!N248</f>
        <v>0</v>
      </c>
      <c r="N166" s="102">
        <f>'дод 3'!O248</f>
        <v>0</v>
      </c>
      <c r="O166" s="102">
        <f>'дод 3'!P248</f>
        <v>107000</v>
      </c>
      <c r="P166" s="173"/>
    </row>
    <row r="167" spans="1:16" ht="20.25" customHeight="1" x14ac:dyDescent="0.45">
      <c r="A167" s="52" t="s">
        <v>278</v>
      </c>
      <c r="B167" s="52" t="s">
        <v>102</v>
      </c>
      <c r="C167" s="39" t="s">
        <v>36</v>
      </c>
      <c r="D167" s="102">
        <f>'дод 3'!E249+'дод 3'!E305</f>
        <v>0</v>
      </c>
      <c r="E167" s="102">
        <f>'дод 3'!F249+'дод 3'!F305</f>
        <v>0</v>
      </c>
      <c r="F167" s="102">
        <f>'дод 3'!G249+'дод 3'!G305</f>
        <v>0</v>
      </c>
      <c r="G167" s="102">
        <f>'дод 3'!H249+'дод 3'!H305</f>
        <v>0</v>
      </c>
      <c r="H167" s="102">
        <f>'дод 3'!I249+'дод 3'!I305</f>
        <v>0</v>
      </c>
      <c r="I167" s="102">
        <f>'дод 3'!J249+'дод 3'!J305</f>
        <v>0</v>
      </c>
      <c r="J167" s="102">
        <f>'дод 3'!K249+'дод 3'!K305</f>
        <v>0</v>
      </c>
      <c r="K167" s="102">
        <f>'дод 3'!L249+'дод 3'!L305</f>
        <v>0</v>
      </c>
      <c r="L167" s="102">
        <f>'дод 3'!M249+'дод 3'!M305</f>
        <v>0</v>
      </c>
      <c r="M167" s="102">
        <f>'дод 3'!N249+'дод 3'!N305</f>
        <v>0</v>
      </c>
      <c r="N167" s="102">
        <f>'дод 3'!O249+'дод 3'!O305</f>
        <v>0</v>
      </c>
      <c r="O167" s="102">
        <f>'дод 3'!P249+'дод 3'!P305</f>
        <v>0</v>
      </c>
      <c r="P167" s="173"/>
    </row>
    <row r="168" spans="1:16" ht="237.4" customHeight="1" x14ac:dyDescent="0.45">
      <c r="A168" s="29">
        <v>3221</v>
      </c>
      <c r="B168" s="28" t="s">
        <v>51</v>
      </c>
      <c r="C168" s="30" t="s">
        <v>638</v>
      </c>
      <c r="D168" s="102">
        <f>'дод 3'!E250</f>
        <v>0</v>
      </c>
      <c r="E168" s="102">
        <f>'дод 3'!F250</f>
        <v>0</v>
      </c>
      <c r="F168" s="114">
        <f>'дод 3'!G250</f>
        <v>0</v>
      </c>
      <c r="G168" s="114">
        <f>'дод 3'!H250</f>
        <v>0</v>
      </c>
      <c r="H168" s="114">
        <f>'дод 3'!I250</f>
        <v>0</v>
      </c>
      <c r="I168" s="102">
        <f>'дод 3'!J250</f>
        <v>8260461.4100000001</v>
      </c>
      <c r="J168" s="102">
        <f>'дод 3'!K250</f>
        <v>8260461.4100000001</v>
      </c>
      <c r="K168" s="102">
        <f>'дод 3'!L250</f>
        <v>0</v>
      </c>
      <c r="L168" s="102">
        <f>'дод 3'!M250</f>
        <v>0</v>
      </c>
      <c r="M168" s="102">
        <f>'дод 3'!N250</f>
        <v>0</v>
      </c>
      <c r="N168" s="102">
        <f>'дод 3'!O250</f>
        <v>8260461.4100000001</v>
      </c>
      <c r="O168" s="102">
        <f>'дод 3'!P250</f>
        <v>8260461.4100000001</v>
      </c>
      <c r="P168" s="173"/>
    </row>
    <row r="169" spans="1:16" s="105" customFormat="1" ht="260.64999999999998" customHeight="1" x14ac:dyDescent="0.45">
      <c r="A169" s="34"/>
      <c r="B169" s="33"/>
      <c r="C169" s="35" t="s">
        <v>641</v>
      </c>
      <c r="D169" s="103">
        <f>'дод 3'!E251</f>
        <v>0</v>
      </c>
      <c r="E169" s="103">
        <f>'дод 3'!F251</f>
        <v>0</v>
      </c>
      <c r="F169" s="115">
        <f>'дод 3'!G251</f>
        <v>0</v>
      </c>
      <c r="G169" s="115">
        <f>'дод 3'!H251</f>
        <v>0</v>
      </c>
      <c r="H169" s="115">
        <f>'дод 3'!I251</f>
        <v>0</v>
      </c>
      <c r="I169" s="103">
        <f>'дод 3'!J251</f>
        <v>8260461.4100000001</v>
      </c>
      <c r="J169" s="103">
        <f>'дод 3'!K251</f>
        <v>8260461.4100000001</v>
      </c>
      <c r="K169" s="103">
        <f>'дод 3'!L251</f>
        <v>0</v>
      </c>
      <c r="L169" s="103">
        <f>'дод 3'!M251</f>
        <v>0</v>
      </c>
      <c r="M169" s="103">
        <f>'дод 3'!N251</f>
        <v>0</v>
      </c>
      <c r="N169" s="103">
        <f>'дод 3'!O251</f>
        <v>8260461.4100000001</v>
      </c>
      <c r="O169" s="103">
        <f>'дод 3'!P251</f>
        <v>8260461.4100000001</v>
      </c>
      <c r="P169" s="173"/>
    </row>
    <row r="170" spans="1:16" s="105" customFormat="1" ht="215.25" x14ac:dyDescent="0.45">
      <c r="A170" s="29">
        <v>3222</v>
      </c>
      <c r="B170" s="28" t="s">
        <v>51</v>
      </c>
      <c r="C170" s="30" t="s">
        <v>639</v>
      </c>
      <c r="D170" s="102">
        <f>'дод 3'!E252</f>
        <v>0</v>
      </c>
      <c r="E170" s="102">
        <f>'дод 3'!F252</f>
        <v>0</v>
      </c>
      <c r="F170" s="102">
        <f>'дод 3'!G252</f>
        <v>0</v>
      </c>
      <c r="G170" s="102">
        <f>'дод 3'!H252</f>
        <v>0</v>
      </c>
      <c r="H170" s="102">
        <f>'дод 3'!I252</f>
        <v>0</v>
      </c>
      <c r="I170" s="102">
        <f>'дод 3'!J252</f>
        <v>8914255.9499999993</v>
      </c>
      <c r="J170" s="102">
        <f>'дод 3'!K252</f>
        <v>8914255.9499999993</v>
      </c>
      <c r="K170" s="102">
        <f>'дод 3'!L252</f>
        <v>0</v>
      </c>
      <c r="L170" s="102">
        <f>'дод 3'!M252</f>
        <v>0</v>
      </c>
      <c r="M170" s="102">
        <f>'дод 3'!N252</f>
        <v>0</v>
      </c>
      <c r="N170" s="102">
        <f>'дод 3'!O252</f>
        <v>8914255.9499999993</v>
      </c>
      <c r="O170" s="102">
        <f>'дод 3'!P252</f>
        <v>8914255.9499999993</v>
      </c>
      <c r="P170" s="173"/>
    </row>
    <row r="171" spans="1:16" s="105" customFormat="1" ht="259.5" customHeight="1" x14ac:dyDescent="0.45">
      <c r="A171" s="34"/>
      <c r="B171" s="33"/>
      <c r="C171" s="35" t="s">
        <v>643</v>
      </c>
      <c r="D171" s="103">
        <f>'дод 3'!E253</f>
        <v>0</v>
      </c>
      <c r="E171" s="103">
        <f>'дод 3'!F253</f>
        <v>0</v>
      </c>
      <c r="F171" s="103">
        <f>'дод 3'!G253</f>
        <v>0</v>
      </c>
      <c r="G171" s="103">
        <f>'дод 3'!H253</f>
        <v>0</v>
      </c>
      <c r="H171" s="103">
        <f>'дод 3'!I253</f>
        <v>0</v>
      </c>
      <c r="I171" s="103">
        <f>'дод 3'!J253</f>
        <v>8914255.9499999993</v>
      </c>
      <c r="J171" s="103">
        <f>'дод 3'!K253</f>
        <v>8914255.9499999993</v>
      </c>
      <c r="K171" s="103">
        <f>'дод 3'!L253</f>
        <v>0</v>
      </c>
      <c r="L171" s="103">
        <f>'дод 3'!M253</f>
        <v>0</v>
      </c>
      <c r="M171" s="103">
        <f>'дод 3'!N253</f>
        <v>0</v>
      </c>
      <c r="N171" s="103">
        <f>'дод 3'!O253</f>
        <v>8914255.9499999993</v>
      </c>
      <c r="O171" s="103">
        <f>'дод 3'!P253</f>
        <v>8914255.9499999993</v>
      </c>
      <c r="P171" s="173"/>
    </row>
    <row r="172" spans="1:16" ht="164.25" hidden="1" customHeight="1" x14ac:dyDescent="0.45">
      <c r="A172" s="52">
        <v>3223</v>
      </c>
      <c r="B172" s="40" t="s">
        <v>51</v>
      </c>
      <c r="C172" s="30" t="s">
        <v>640</v>
      </c>
      <c r="D172" s="102">
        <f>'дод 3'!E254</f>
        <v>0</v>
      </c>
      <c r="E172" s="102">
        <f>'дод 3'!F254</f>
        <v>0</v>
      </c>
      <c r="F172" s="102">
        <f>'дод 3'!G254</f>
        <v>0</v>
      </c>
      <c r="G172" s="102">
        <f>'дод 3'!H254</f>
        <v>0</v>
      </c>
      <c r="H172" s="102">
        <f>'дод 3'!I254</f>
        <v>0</v>
      </c>
      <c r="I172" s="102">
        <f>'дод 3'!J254</f>
        <v>0</v>
      </c>
      <c r="J172" s="102">
        <f>'дод 3'!K254</f>
        <v>0</v>
      </c>
      <c r="K172" s="102">
        <f>'дод 3'!L254</f>
        <v>0</v>
      </c>
      <c r="L172" s="102">
        <f>'дод 3'!M254</f>
        <v>0</v>
      </c>
      <c r="M172" s="102">
        <f>'дод 3'!N254</f>
        <v>0</v>
      </c>
      <c r="N172" s="102">
        <f>'дод 3'!O254</f>
        <v>0</v>
      </c>
      <c r="O172" s="102">
        <f>'дод 3'!P254</f>
        <v>0</v>
      </c>
      <c r="P172" s="173"/>
    </row>
    <row r="173" spans="1:16" s="105" customFormat="1" ht="181.5" hidden="1" customHeight="1" x14ac:dyDescent="0.45">
      <c r="A173" s="104"/>
      <c r="B173" s="116"/>
      <c r="C173" s="35" t="s">
        <v>642</v>
      </c>
      <c r="D173" s="103">
        <f>'дод 3'!E255</f>
        <v>0</v>
      </c>
      <c r="E173" s="103">
        <f>'дод 3'!F255</f>
        <v>0</v>
      </c>
      <c r="F173" s="103">
        <f>'дод 3'!G255</f>
        <v>0</v>
      </c>
      <c r="G173" s="103">
        <f>'дод 3'!H255</f>
        <v>0</v>
      </c>
      <c r="H173" s="103">
        <f>'дод 3'!I255</f>
        <v>0</v>
      </c>
      <c r="I173" s="103">
        <f>'дод 3'!J255</f>
        <v>0</v>
      </c>
      <c r="J173" s="103">
        <f>'дод 3'!K255</f>
        <v>0</v>
      </c>
      <c r="K173" s="103">
        <f>'дод 3'!L255</f>
        <v>0</v>
      </c>
      <c r="L173" s="103">
        <f>'дод 3'!M255</f>
        <v>0</v>
      </c>
      <c r="M173" s="103">
        <f>'дод 3'!N255</f>
        <v>0</v>
      </c>
      <c r="N173" s="103">
        <f>'дод 3'!O255</f>
        <v>0</v>
      </c>
      <c r="O173" s="103">
        <f>'дод 3'!P255</f>
        <v>0</v>
      </c>
      <c r="P173" s="173"/>
    </row>
    <row r="174" spans="1:16" s="105" customFormat="1" ht="39.75" customHeight="1" x14ac:dyDescent="0.45">
      <c r="A174" s="52" t="s">
        <v>279</v>
      </c>
      <c r="B174" s="52" t="s">
        <v>54</v>
      </c>
      <c r="C174" s="39" t="s">
        <v>281</v>
      </c>
      <c r="D174" s="102">
        <f>'дод 3'!E256+'дод 3'!E36</f>
        <v>8772100</v>
      </c>
      <c r="E174" s="102">
        <f>'дод 3'!F256+'дод 3'!F36</f>
        <v>8772100</v>
      </c>
      <c r="F174" s="102">
        <f>'дод 3'!G256+'дод 3'!G36</f>
        <v>4993500</v>
      </c>
      <c r="G174" s="102">
        <f>'дод 3'!H256+'дод 3'!H36</f>
        <v>765300</v>
      </c>
      <c r="H174" s="102">
        <f>'дод 3'!I256+'дод 3'!I36</f>
        <v>0</v>
      </c>
      <c r="I174" s="102">
        <f>'дод 3'!J256+'дод 3'!J36</f>
        <v>0</v>
      </c>
      <c r="J174" s="102">
        <f>'дод 3'!K256+'дод 3'!K36</f>
        <v>0</v>
      </c>
      <c r="K174" s="102">
        <f>'дод 3'!L256+'дод 3'!L36</f>
        <v>0</v>
      </c>
      <c r="L174" s="102">
        <f>'дод 3'!M256+'дод 3'!M36</f>
        <v>0</v>
      </c>
      <c r="M174" s="102">
        <f>'дод 3'!N256+'дод 3'!N36</f>
        <v>0</v>
      </c>
      <c r="N174" s="102">
        <f>'дод 3'!O256+'дод 3'!O36</f>
        <v>0</v>
      </c>
      <c r="O174" s="102">
        <f>'дод 3'!P256+'дод 3'!P36</f>
        <v>8772100</v>
      </c>
      <c r="P174" s="173"/>
    </row>
    <row r="175" spans="1:16" s="105" customFormat="1" ht="31.5" customHeight="1" x14ac:dyDescent="0.45">
      <c r="A175" s="52" t="s">
        <v>280</v>
      </c>
      <c r="B175" s="52" t="s">
        <v>54</v>
      </c>
      <c r="C175" s="39" t="s">
        <v>657</v>
      </c>
      <c r="D175" s="102">
        <f>'дод 3'!E37+'дод 3'!E152+'дод 3'!E257+'дод 3'!E271</f>
        <v>266357794</v>
      </c>
      <c r="E175" s="102">
        <f>'дод 3'!F37+'дод 3'!F152+'дод 3'!F257+'дод 3'!F271</f>
        <v>266357794</v>
      </c>
      <c r="F175" s="102">
        <f>'дод 3'!G37+'дод 3'!G152+'дод 3'!G257+'дод 3'!G271</f>
        <v>0</v>
      </c>
      <c r="G175" s="102">
        <f>'дод 3'!H37+'дод 3'!H152+'дод 3'!H257+'дод 3'!H271</f>
        <v>0</v>
      </c>
      <c r="H175" s="102">
        <f>'дод 3'!I37+'дод 3'!I152+'дод 3'!I257+'дод 3'!I271</f>
        <v>0</v>
      </c>
      <c r="I175" s="102">
        <f>'дод 3'!J37+'дод 3'!J152+'дод 3'!J257+'дод 3'!J271</f>
        <v>0</v>
      </c>
      <c r="J175" s="102">
        <f>'дод 3'!K37+'дод 3'!K152+'дод 3'!K257+'дод 3'!K271</f>
        <v>0</v>
      </c>
      <c r="K175" s="102">
        <f>'дод 3'!L37+'дод 3'!L152+'дод 3'!L257+'дод 3'!L271</f>
        <v>0</v>
      </c>
      <c r="L175" s="102">
        <f>'дод 3'!M37+'дод 3'!M152+'дод 3'!M257+'дод 3'!M271</f>
        <v>0</v>
      </c>
      <c r="M175" s="102">
        <f>'дод 3'!N37+'дод 3'!N152+'дод 3'!N257+'дод 3'!N271</f>
        <v>0</v>
      </c>
      <c r="N175" s="102">
        <f>'дод 3'!O37+'дод 3'!O152+'дод 3'!O257+'дод 3'!O271</f>
        <v>0</v>
      </c>
      <c r="O175" s="102">
        <f>'дод 3'!P37+'дод 3'!P152+'дод 3'!P257+'дод 3'!P271</f>
        <v>266357794</v>
      </c>
      <c r="P175" s="173"/>
    </row>
    <row r="176" spans="1:16" s="105" customFormat="1" ht="21.4" customHeight="1" x14ac:dyDescent="0.45">
      <c r="A176" s="104"/>
      <c r="B176" s="104"/>
      <c r="C176" s="55" t="s">
        <v>380</v>
      </c>
      <c r="D176" s="103">
        <f>'дод 3'!E258</f>
        <v>261600</v>
      </c>
      <c r="E176" s="103">
        <f>'дод 3'!F258</f>
        <v>261600</v>
      </c>
      <c r="F176" s="103">
        <f>'дод 3'!G258</f>
        <v>0</v>
      </c>
      <c r="G176" s="103">
        <f>'дод 3'!H258</f>
        <v>0</v>
      </c>
      <c r="H176" s="103">
        <f>'дод 3'!I258</f>
        <v>0</v>
      </c>
      <c r="I176" s="103">
        <f>'дод 3'!J258</f>
        <v>0</v>
      </c>
      <c r="J176" s="103">
        <f>'дод 3'!K258</f>
        <v>0</v>
      </c>
      <c r="K176" s="103">
        <f>'дод 3'!L258</f>
        <v>0</v>
      </c>
      <c r="L176" s="103">
        <f>'дод 3'!M258</f>
        <v>0</v>
      </c>
      <c r="M176" s="103">
        <f>'дод 3'!N258</f>
        <v>0</v>
      </c>
      <c r="N176" s="103">
        <f>'дод 3'!O258</f>
        <v>0</v>
      </c>
      <c r="O176" s="103">
        <f>'дод 3'!P258</f>
        <v>261600</v>
      </c>
      <c r="P176" s="173"/>
    </row>
    <row r="177" spans="1:16" s="105" customFormat="1" ht="81.95" customHeight="1" x14ac:dyDescent="0.45">
      <c r="A177" s="104"/>
      <c r="B177" s="104"/>
      <c r="C177" s="55" t="s">
        <v>624</v>
      </c>
      <c r="D177" s="103">
        <f>'дод 3'!E259</f>
        <v>65366800</v>
      </c>
      <c r="E177" s="103">
        <f>'дод 3'!F259</f>
        <v>65366800</v>
      </c>
      <c r="F177" s="103">
        <f>'дод 3'!G259</f>
        <v>0</v>
      </c>
      <c r="G177" s="103">
        <f>'дод 3'!H259</f>
        <v>0</v>
      </c>
      <c r="H177" s="103">
        <f>'дод 3'!I259</f>
        <v>0</v>
      </c>
      <c r="I177" s="103">
        <f>'дод 3'!J259</f>
        <v>0</v>
      </c>
      <c r="J177" s="103">
        <f>'дод 3'!K259</f>
        <v>0</v>
      </c>
      <c r="K177" s="103">
        <f>'дод 3'!L259</f>
        <v>0</v>
      </c>
      <c r="L177" s="103">
        <f>'дод 3'!M259</f>
        <v>0</v>
      </c>
      <c r="M177" s="103">
        <f>'дод 3'!N259</f>
        <v>0</v>
      </c>
      <c r="N177" s="103">
        <f>'дод 3'!O259</f>
        <v>0</v>
      </c>
      <c r="O177" s="103">
        <f>'дод 3'!P259</f>
        <v>65366800</v>
      </c>
      <c r="P177" s="173"/>
    </row>
    <row r="178" spans="1:16" s="96" customFormat="1" ht="19.5" customHeight="1" x14ac:dyDescent="0.4">
      <c r="A178" s="106" t="s">
        <v>68</v>
      </c>
      <c r="B178" s="110"/>
      <c r="C178" s="111" t="s">
        <v>728</v>
      </c>
      <c r="D178" s="100">
        <f t="shared" ref="D178:O178" si="29">D180+D181+D183+D184</f>
        <v>40398700</v>
      </c>
      <c r="E178" s="100">
        <f t="shared" si="29"/>
        <v>40398700</v>
      </c>
      <c r="F178" s="100">
        <f t="shared" si="29"/>
        <v>27811100</v>
      </c>
      <c r="G178" s="100">
        <f t="shared" si="29"/>
        <v>3330100</v>
      </c>
      <c r="H178" s="100">
        <f t="shared" si="29"/>
        <v>0</v>
      </c>
      <c r="I178" s="100">
        <f t="shared" si="29"/>
        <v>4865300</v>
      </c>
      <c r="J178" s="100">
        <f t="shared" si="29"/>
        <v>4860300</v>
      </c>
      <c r="K178" s="100">
        <f t="shared" si="29"/>
        <v>5000</v>
      </c>
      <c r="L178" s="100">
        <f t="shared" si="29"/>
        <v>0</v>
      </c>
      <c r="M178" s="100">
        <f t="shared" si="29"/>
        <v>0</v>
      </c>
      <c r="N178" s="100">
        <f t="shared" si="29"/>
        <v>4860300</v>
      </c>
      <c r="O178" s="100">
        <f t="shared" si="29"/>
        <v>45264000</v>
      </c>
      <c r="P178" s="173"/>
    </row>
    <row r="179" spans="1:16" s="96" customFormat="1" ht="75" x14ac:dyDescent="0.4">
      <c r="A179" s="106"/>
      <c r="B179" s="110"/>
      <c r="C179" s="66" t="s">
        <v>624</v>
      </c>
      <c r="D179" s="100">
        <f>D182</f>
        <v>100000</v>
      </c>
      <c r="E179" s="100">
        <f t="shared" ref="E179:O179" si="30">E182</f>
        <v>100000</v>
      </c>
      <c r="F179" s="100">
        <f t="shared" si="30"/>
        <v>0</v>
      </c>
      <c r="G179" s="100">
        <f t="shared" si="30"/>
        <v>0</v>
      </c>
      <c r="H179" s="100">
        <f t="shared" si="30"/>
        <v>0</v>
      </c>
      <c r="I179" s="100">
        <f t="shared" si="30"/>
        <v>0</v>
      </c>
      <c r="J179" s="100">
        <f t="shared" si="30"/>
        <v>0</v>
      </c>
      <c r="K179" s="100">
        <f t="shared" si="30"/>
        <v>0</v>
      </c>
      <c r="L179" s="100">
        <f t="shared" si="30"/>
        <v>0</v>
      </c>
      <c r="M179" s="100">
        <f t="shared" si="30"/>
        <v>0</v>
      </c>
      <c r="N179" s="100">
        <f t="shared" si="30"/>
        <v>0</v>
      </c>
      <c r="O179" s="100">
        <f t="shared" si="30"/>
        <v>100000</v>
      </c>
      <c r="P179" s="173"/>
    </row>
    <row r="180" spans="1:16" ht="22.5" customHeight="1" x14ac:dyDescent="0.45">
      <c r="A180" s="52" t="s">
        <v>69</v>
      </c>
      <c r="B180" s="52" t="s">
        <v>70</v>
      </c>
      <c r="C180" s="39" t="s">
        <v>15</v>
      </c>
      <c r="D180" s="102">
        <f>'дод 3'!E279</f>
        <v>27722400</v>
      </c>
      <c r="E180" s="102">
        <f>'дод 3'!F279</f>
        <v>27722400</v>
      </c>
      <c r="F180" s="102">
        <f>'дод 3'!G279</f>
        <v>19660500</v>
      </c>
      <c r="G180" s="102">
        <f>'дод 3'!H279</f>
        <v>2672200</v>
      </c>
      <c r="H180" s="102">
        <f>'дод 3'!I279</f>
        <v>0</v>
      </c>
      <c r="I180" s="102">
        <f>'дод 3'!J279</f>
        <v>4865300</v>
      </c>
      <c r="J180" s="102">
        <f>'дод 3'!K279</f>
        <v>4860300</v>
      </c>
      <c r="K180" s="102">
        <f>'дод 3'!L279</f>
        <v>5000</v>
      </c>
      <c r="L180" s="102">
        <f>'дод 3'!M279</f>
        <v>0</v>
      </c>
      <c r="M180" s="102">
        <f>'дод 3'!N279</f>
        <v>0</v>
      </c>
      <c r="N180" s="102">
        <f>'дод 3'!O279</f>
        <v>4860300</v>
      </c>
      <c r="O180" s="102">
        <f>'дод 3'!P279</f>
        <v>32587700</v>
      </c>
      <c r="P180" s="173"/>
    </row>
    <row r="181" spans="1:16" ht="33.75" customHeight="1" x14ac:dyDescent="0.45">
      <c r="A181" s="52" t="s">
        <v>307</v>
      </c>
      <c r="B181" s="52" t="s">
        <v>308</v>
      </c>
      <c r="C181" s="39" t="s">
        <v>727</v>
      </c>
      <c r="D181" s="102">
        <f>'дод 3'!E38+'дод 3'!E280</f>
        <v>6166500</v>
      </c>
      <c r="E181" s="102">
        <f>'дод 3'!F38+'дод 3'!F280</f>
        <v>6166500</v>
      </c>
      <c r="F181" s="102">
        <f>'дод 3'!G38+'дод 3'!G280</f>
        <v>3872000</v>
      </c>
      <c r="G181" s="102">
        <f>'дод 3'!H38+'дод 3'!H280</f>
        <v>370000</v>
      </c>
      <c r="H181" s="102">
        <f>'дод 3'!I38+'дод 3'!I280</f>
        <v>0</v>
      </c>
      <c r="I181" s="102">
        <f>'дод 3'!J38+'дод 3'!J280</f>
        <v>0</v>
      </c>
      <c r="J181" s="102">
        <f>'дод 3'!K38+'дод 3'!K280</f>
        <v>0</v>
      </c>
      <c r="K181" s="102">
        <f>'дод 3'!L38+'дод 3'!L280</f>
        <v>0</v>
      </c>
      <c r="L181" s="102">
        <f>'дод 3'!M38+'дод 3'!M280</f>
        <v>0</v>
      </c>
      <c r="M181" s="102">
        <f>'дод 3'!N38+'дод 3'!N280</f>
        <v>0</v>
      </c>
      <c r="N181" s="102">
        <f>'дод 3'!O38+'дод 3'!O280</f>
        <v>0</v>
      </c>
      <c r="O181" s="102">
        <f>'дод 3'!P38+'дод 3'!P280</f>
        <v>6166500</v>
      </c>
      <c r="P181" s="173"/>
    </row>
    <row r="182" spans="1:16" ht="76.900000000000006" x14ac:dyDescent="0.45">
      <c r="A182" s="52"/>
      <c r="B182" s="52"/>
      <c r="C182" s="55" t="s">
        <v>624</v>
      </c>
      <c r="D182" s="102">
        <f>'дод 3'!E281</f>
        <v>100000</v>
      </c>
      <c r="E182" s="102">
        <f>'дод 3'!F281</f>
        <v>100000</v>
      </c>
      <c r="F182" s="102">
        <f>'дод 3'!G281</f>
        <v>0</v>
      </c>
      <c r="G182" s="102">
        <f>'дод 3'!H281</f>
        <v>0</v>
      </c>
      <c r="H182" s="102">
        <f>'дод 3'!I281</f>
        <v>0</v>
      </c>
      <c r="I182" s="102">
        <f>'дод 3'!J281</f>
        <v>0</v>
      </c>
      <c r="J182" s="102">
        <f>'дод 3'!K281</f>
        <v>0</v>
      </c>
      <c r="K182" s="102">
        <f>'дод 3'!L281</f>
        <v>0</v>
      </c>
      <c r="L182" s="102">
        <f>'дод 3'!M281</f>
        <v>0</v>
      </c>
      <c r="M182" s="102">
        <f>'дод 3'!N281</f>
        <v>0</v>
      </c>
      <c r="N182" s="102">
        <f>'дод 3'!O281</f>
        <v>0</v>
      </c>
      <c r="O182" s="102">
        <f>'дод 3'!P281</f>
        <v>100000</v>
      </c>
      <c r="P182" s="173"/>
    </row>
    <row r="183" spans="1:16" s="105" customFormat="1" ht="37.5" customHeight="1" x14ac:dyDescent="0.45">
      <c r="A183" s="52" t="s">
        <v>282</v>
      </c>
      <c r="B183" s="52" t="s">
        <v>71</v>
      </c>
      <c r="C183" s="39" t="s">
        <v>330</v>
      </c>
      <c r="D183" s="102">
        <f>'дод 3'!E39+'дод 3'!E282</f>
        <v>6009800</v>
      </c>
      <c r="E183" s="102">
        <f>'дод 3'!F39+'дод 3'!F282</f>
        <v>6009800</v>
      </c>
      <c r="F183" s="102">
        <f>'дод 3'!G39+'дод 3'!G282</f>
        <v>4278600</v>
      </c>
      <c r="G183" s="102">
        <f>'дод 3'!H39+'дод 3'!H282</f>
        <v>287900</v>
      </c>
      <c r="H183" s="102">
        <f>'дод 3'!I39+'дод 3'!I282</f>
        <v>0</v>
      </c>
      <c r="I183" s="102">
        <f>'дод 3'!J39+'дод 3'!J282</f>
        <v>0</v>
      </c>
      <c r="J183" s="102">
        <f>'дод 3'!K39+'дод 3'!K282</f>
        <v>0</v>
      </c>
      <c r="K183" s="102">
        <f>'дод 3'!L39+'дод 3'!L282</f>
        <v>0</v>
      </c>
      <c r="L183" s="102">
        <f>'дод 3'!M39+'дод 3'!M282</f>
        <v>0</v>
      </c>
      <c r="M183" s="102">
        <f>'дод 3'!N39+'дод 3'!N282</f>
        <v>0</v>
      </c>
      <c r="N183" s="102">
        <f>'дод 3'!O39+'дод 3'!O282</f>
        <v>0</v>
      </c>
      <c r="O183" s="102">
        <f>'дод 3'!P39+'дод 3'!P282</f>
        <v>6009800</v>
      </c>
      <c r="P183" s="173"/>
    </row>
    <row r="184" spans="1:16" s="105" customFormat="1" ht="22.5" customHeight="1" x14ac:dyDescent="0.45">
      <c r="A184" s="52" t="s">
        <v>283</v>
      </c>
      <c r="B184" s="52" t="s">
        <v>71</v>
      </c>
      <c r="C184" s="39" t="s">
        <v>284</v>
      </c>
      <c r="D184" s="102">
        <f>'дод 3'!E40+'дод 3'!E283</f>
        <v>500000</v>
      </c>
      <c r="E184" s="102">
        <f>'дод 3'!F40+'дод 3'!F283</f>
        <v>500000</v>
      </c>
      <c r="F184" s="102">
        <f>'дод 3'!G40+'дод 3'!G283</f>
        <v>0</v>
      </c>
      <c r="G184" s="102">
        <f>'дод 3'!H40+'дод 3'!H283</f>
        <v>0</v>
      </c>
      <c r="H184" s="102">
        <f>'дод 3'!I40+'дод 3'!I283</f>
        <v>0</v>
      </c>
      <c r="I184" s="102">
        <f>'дод 3'!J40+'дод 3'!J283</f>
        <v>0</v>
      </c>
      <c r="J184" s="102">
        <f>'дод 3'!K40+'дод 3'!K283</f>
        <v>0</v>
      </c>
      <c r="K184" s="102">
        <f>'дод 3'!L40+'дод 3'!L283</f>
        <v>0</v>
      </c>
      <c r="L184" s="102">
        <f>'дод 3'!M40+'дод 3'!M283</f>
        <v>0</v>
      </c>
      <c r="M184" s="102">
        <f>'дод 3'!N40+'дод 3'!N283</f>
        <v>0</v>
      </c>
      <c r="N184" s="102">
        <f>'дод 3'!O40+'дод 3'!O283</f>
        <v>0</v>
      </c>
      <c r="O184" s="102">
        <f>'дод 3'!P40+'дод 3'!P283</f>
        <v>500000</v>
      </c>
      <c r="P184" s="173"/>
    </row>
    <row r="185" spans="1:16" s="96" customFormat="1" ht="21.75" customHeight="1" x14ac:dyDescent="0.4">
      <c r="A185" s="106" t="s">
        <v>74</v>
      </c>
      <c r="B185" s="110"/>
      <c r="C185" s="111" t="s">
        <v>750</v>
      </c>
      <c r="D185" s="100">
        <f t="shared" ref="D185:O185" si="31">D188+D189+D190+D193+D194+D195</f>
        <v>92465004</v>
      </c>
      <c r="E185" s="100">
        <f t="shared" si="31"/>
        <v>92465004</v>
      </c>
      <c r="F185" s="100">
        <f t="shared" si="31"/>
        <v>35666800</v>
      </c>
      <c r="G185" s="100">
        <f t="shared" si="31"/>
        <v>3201000</v>
      </c>
      <c r="H185" s="100">
        <f t="shared" si="31"/>
        <v>0</v>
      </c>
      <c r="I185" s="100">
        <f t="shared" si="31"/>
        <v>1140790</v>
      </c>
      <c r="J185" s="100">
        <f t="shared" si="31"/>
        <v>600350</v>
      </c>
      <c r="K185" s="100">
        <f t="shared" si="31"/>
        <v>540440</v>
      </c>
      <c r="L185" s="100">
        <f t="shared" si="31"/>
        <v>345344</v>
      </c>
      <c r="M185" s="100">
        <f t="shared" si="31"/>
        <v>98012</v>
      </c>
      <c r="N185" s="100">
        <f t="shared" si="31"/>
        <v>600350</v>
      </c>
      <c r="O185" s="100">
        <f t="shared" si="31"/>
        <v>93605794</v>
      </c>
      <c r="P185" s="173"/>
    </row>
    <row r="186" spans="1:16" s="96" customFormat="1" ht="21.75" hidden="1" customHeight="1" x14ac:dyDescent="0.4">
      <c r="A186" s="106"/>
      <c r="B186" s="110"/>
      <c r="C186" s="25" t="s">
        <v>381</v>
      </c>
      <c r="D186" s="101">
        <f>D192</f>
        <v>0</v>
      </c>
      <c r="E186" s="101">
        <f t="shared" ref="E186:O186" si="32">E192</f>
        <v>0</v>
      </c>
      <c r="F186" s="101">
        <f t="shared" si="32"/>
        <v>0</v>
      </c>
      <c r="G186" s="101">
        <f t="shared" si="32"/>
        <v>0</v>
      </c>
      <c r="H186" s="101">
        <f t="shared" si="32"/>
        <v>0</v>
      </c>
      <c r="I186" s="101">
        <f t="shared" si="32"/>
        <v>0</v>
      </c>
      <c r="J186" s="101">
        <f t="shared" si="32"/>
        <v>0</v>
      </c>
      <c r="K186" s="101">
        <f t="shared" si="32"/>
        <v>0</v>
      </c>
      <c r="L186" s="101">
        <f t="shared" si="32"/>
        <v>0</v>
      </c>
      <c r="M186" s="101">
        <f t="shared" si="32"/>
        <v>0</v>
      </c>
      <c r="N186" s="101">
        <f t="shared" si="32"/>
        <v>0</v>
      </c>
      <c r="O186" s="101">
        <f t="shared" si="32"/>
        <v>0</v>
      </c>
      <c r="P186" s="173"/>
    </row>
    <row r="187" spans="1:16" s="108" customFormat="1" ht="86.25" customHeight="1" x14ac:dyDescent="0.4">
      <c r="A187" s="107"/>
      <c r="B187" s="112"/>
      <c r="C187" s="66" t="s">
        <v>624</v>
      </c>
      <c r="D187" s="101">
        <f>D191</f>
        <v>0</v>
      </c>
      <c r="E187" s="101">
        <f t="shared" ref="E187:O187" si="33">E191</f>
        <v>0</v>
      </c>
      <c r="F187" s="101">
        <f t="shared" si="33"/>
        <v>0</v>
      </c>
      <c r="G187" s="101">
        <f t="shared" si="33"/>
        <v>0</v>
      </c>
      <c r="H187" s="101">
        <f t="shared" si="33"/>
        <v>0</v>
      </c>
      <c r="I187" s="101">
        <f t="shared" si="33"/>
        <v>20350</v>
      </c>
      <c r="J187" s="101">
        <f t="shared" si="33"/>
        <v>20350</v>
      </c>
      <c r="K187" s="101">
        <f t="shared" si="33"/>
        <v>0</v>
      </c>
      <c r="L187" s="101">
        <f t="shared" si="33"/>
        <v>0</v>
      </c>
      <c r="M187" s="101">
        <f t="shared" si="33"/>
        <v>0</v>
      </c>
      <c r="N187" s="101">
        <f t="shared" si="33"/>
        <v>20350</v>
      </c>
      <c r="O187" s="101">
        <f t="shared" si="33"/>
        <v>20350</v>
      </c>
      <c r="P187" s="173"/>
    </row>
    <row r="188" spans="1:16" s="105" customFormat="1" ht="37.5" customHeight="1" x14ac:dyDescent="0.45">
      <c r="A188" s="52" t="s">
        <v>75</v>
      </c>
      <c r="B188" s="52" t="s">
        <v>76</v>
      </c>
      <c r="C188" s="39" t="s">
        <v>21</v>
      </c>
      <c r="D188" s="102">
        <f>'дод 3'!E41</f>
        <v>1237920</v>
      </c>
      <c r="E188" s="102">
        <f>'дод 3'!F41</f>
        <v>1237920</v>
      </c>
      <c r="F188" s="102">
        <f>'дод 3'!G41</f>
        <v>0</v>
      </c>
      <c r="G188" s="102">
        <f>'дод 3'!H41</f>
        <v>0</v>
      </c>
      <c r="H188" s="102">
        <f>'дод 3'!I41</f>
        <v>0</v>
      </c>
      <c r="I188" s="102">
        <f>'дод 3'!J41</f>
        <v>0</v>
      </c>
      <c r="J188" s="102">
        <f>'дод 3'!K41</f>
        <v>0</v>
      </c>
      <c r="K188" s="102">
        <f>'дод 3'!L41</f>
        <v>0</v>
      </c>
      <c r="L188" s="102">
        <f>'дод 3'!M41</f>
        <v>0</v>
      </c>
      <c r="M188" s="102">
        <f>'дод 3'!N41</f>
        <v>0</v>
      </c>
      <c r="N188" s="102">
        <f>'дод 3'!O41</f>
        <v>0</v>
      </c>
      <c r="O188" s="102">
        <f>'дод 3'!P41</f>
        <v>1237920</v>
      </c>
      <c r="P188" s="173"/>
    </row>
    <row r="189" spans="1:16" s="105" customFormat="1" ht="34.5" customHeight="1" x14ac:dyDescent="0.45">
      <c r="A189" s="52" t="s">
        <v>77</v>
      </c>
      <c r="B189" s="52" t="s">
        <v>76</v>
      </c>
      <c r="C189" s="39" t="s">
        <v>16</v>
      </c>
      <c r="D189" s="102">
        <f>'дод 3'!E42</f>
        <v>1540000</v>
      </c>
      <c r="E189" s="102">
        <f>'дод 3'!F42</f>
        <v>1540000</v>
      </c>
      <c r="F189" s="102">
        <f>'дод 3'!G42</f>
        <v>0</v>
      </c>
      <c r="G189" s="102">
        <f>'дод 3'!H42</f>
        <v>0</v>
      </c>
      <c r="H189" s="102">
        <f>'дод 3'!I42</f>
        <v>0</v>
      </c>
      <c r="I189" s="102">
        <f>'дод 3'!J42</f>
        <v>0</v>
      </c>
      <c r="J189" s="102">
        <f>'дод 3'!K42</f>
        <v>0</v>
      </c>
      <c r="K189" s="102">
        <f>'дод 3'!L42</f>
        <v>0</v>
      </c>
      <c r="L189" s="102">
        <f>'дод 3'!M42</f>
        <v>0</v>
      </c>
      <c r="M189" s="102">
        <f>'дод 3'!N42</f>
        <v>0</v>
      </c>
      <c r="N189" s="102">
        <f>'дод 3'!O42</f>
        <v>0</v>
      </c>
      <c r="O189" s="102">
        <f>'дод 3'!P42</f>
        <v>1540000</v>
      </c>
      <c r="P189" s="173"/>
    </row>
    <row r="190" spans="1:16" s="105" customFormat="1" ht="36.75" customHeight="1" x14ac:dyDescent="0.45">
      <c r="A190" s="52" t="s">
        <v>111</v>
      </c>
      <c r="B190" s="52" t="s">
        <v>76</v>
      </c>
      <c r="C190" s="39" t="s">
        <v>749</v>
      </c>
      <c r="D190" s="102">
        <f>'дод 3'!E43+'дод 3'!E153</f>
        <v>44024170</v>
      </c>
      <c r="E190" s="102">
        <f>'дод 3'!F43+'дод 3'!F153</f>
        <v>44024170</v>
      </c>
      <c r="F190" s="102">
        <f>'дод 3'!G43+'дод 3'!G153</f>
        <v>31518800</v>
      </c>
      <c r="G190" s="102">
        <f>'дод 3'!H43+'дод 3'!H153</f>
        <v>2361600</v>
      </c>
      <c r="H190" s="102">
        <f>'дод 3'!I43+'дод 3'!I153</f>
        <v>0</v>
      </c>
      <c r="I190" s="102">
        <f>'дод 3'!J43+'дод 3'!J153</f>
        <v>150350</v>
      </c>
      <c r="J190" s="102">
        <f>'дод 3'!K43+'дод 3'!K153</f>
        <v>150350</v>
      </c>
      <c r="K190" s="102">
        <f>'дод 3'!L43+'дод 3'!L153</f>
        <v>0</v>
      </c>
      <c r="L190" s="102">
        <f>'дод 3'!M43+'дод 3'!M153</f>
        <v>0</v>
      </c>
      <c r="M190" s="102">
        <f>'дод 3'!N43+'дод 3'!N153</f>
        <v>0</v>
      </c>
      <c r="N190" s="102">
        <f>'дод 3'!O43+'дод 3'!O153</f>
        <v>150350</v>
      </c>
      <c r="O190" s="102">
        <f>'дод 3'!P43+'дод 3'!P153</f>
        <v>44174520</v>
      </c>
      <c r="P190" s="117"/>
    </row>
    <row r="191" spans="1:16" s="105" customFormat="1" ht="97.5" customHeight="1" x14ac:dyDescent="0.45">
      <c r="A191" s="52"/>
      <c r="B191" s="52"/>
      <c r="C191" s="55" t="s">
        <v>624</v>
      </c>
      <c r="D191" s="103">
        <f>'дод 3'!E44</f>
        <v>0</v>
      </c>
      <c r="E191" s="103">
        <f>'дод 3'!F44</f>
        <v>0</v>
      </c>
      <c r="F191" s="103">
        <f>'дод 3'!G44</f>
        <v>0</v>
      </c>
      <c r="G191" s="103">
        <f>'дод 3'!H44</f>
        <v>0</v>
      </c>
      <c r="H191" s="103">
        <f>'дод 3'!I44</f>
        <v>0</v>
      </c>
      <c r="I191" s="103">
        <f>'дод 3'!J44</f>
        <v>20350</v>
      </c>
      <c r="J191" s="103">
        <f>'дод 3'!K44</f>
        <v>20350</v>
      </c>
      <c r="K191" s="103">
        <f>'дод 3'!L44</f>
        <v>0</v>
      </c>
      <c r="L191" s="103">
        <f>'дод 3'!M44</f>
        <v>0</v>
      </c>
      <c r="M191" s="103">
        <f>'дод 3'!N44</f>
        <v>0</v>
      </c>
      <c r="N191" s="103">
        <f>'дод 3'!O44</f>
        <v>20350</v>
      </c>
      <c r="O191" s="103">
        <f>'дод 3'!P44</f>
        <v>20350</v>
      </c>
      <c r="P191" s="133"/>
    </row>
    <row r="192" spans="1:16" s="105" customFormat="1" ht="25.5" hidden="1" customHeight="1" x14ac:dyDescent="0.45">
      <c r="A192" s="52"/>
      <c r="B192" s="52"/>
      <c r="C192" s="35" t="s">
        <v>381</v>
      </c>
      <c r="D192" s="103">
        <f>'дод 3'!E154</f>
        <v>0</v>
      </c>
      <c r="E192" s="103">
        <f>'дод 3'!F154</f>
        <v>0</v>
      </c>
      <c r="F192" s="103">
        <f>'дод 3'!G154</f>
        <v>0</v>
      </c>
      <c r="G192" s="103">
        <f>'дод 3'!H154</f>
        <v>0</v>
      </c>
      <c r="H192" s="103">
        <f>'дод 3'!I154</f>
        <v>0</v>
      </c>
      <c r="I192" s="103">
        <f>'дод 3'!J154</f>
        <v>0</v>
      </c>
      <c r="J192" s="103">
        <f>'дод 3'!K154</f>
        <v>0</v>
      </c>
      <c r="K192" s="103">
        <f>'дод 3'!L154</f>
        <v>0</v>
      </c>
      <c r="L192" s="103">
        <f>'дод 3'!M154</f>
        <v>0</v>
      </c>
      <c r="M192" s="103">
        <f>'дод 3'!N154</f>
        <v>0</v>
      </c>
      <c r="N192" s="103">
        <f>'дод 3'!O154</f>
        <v>0</v>
      </c>
      <c r="O192" s="103">
        <f>'дод 3'!P154</f>
        <v>0</v>
      </c>
      <c r="P192" s="117"/>
    </row>
    <row r="193" spans="1:16" s="105" customFormat="1" ht="38.25" customHeight="1" x14ac:dyDescent="0.45">
      <c r="A193" s="52" t="s">
        <v>112</v>
      </c>
      <c r="B193" s="52" t="s">
        <v>76</v>
      </c>
      <c r="C193" s="39" t="s">
        <v>22</v>
      </c>
      <c r="D193" s="102">
        <f>'дод 3'!E45</f>
        <v>22762610</v>
      </c>
      <c r="E193" s="102">
        <f>'дод 3'!F45</f>
        <v>22762610</v>
      </c>
      <c r="F193" s="102">
        <f>'дод 3'!G45</f>
        <v>0</v>
      </c>
      <c r="G193" s="102">
        <f>'дод 3'!H45</f>
        <v>0</v>
      </c>
      <c r="H193" s="102">
        <f>'дод 3'!I45</f>
        <v>0</v>
      </c>
      <c r="I193" s="102">
        <f>'дод 3'!J45</f>
        <v>0</v>
      </c>
      <c r="J193" s="102">
        <f>'дод 3'!K45</f>
        <v>0</v>
      </c>
      <c r="K193" s="102">
        <f>'дод 3'!L45</f>
        <v>0</v>
      </c>
      <c r="L193" s="102">
        <f>'дод 3'!M45</f>
        <v>0</v>
      </c>
      <c r="M193" s="102">
        <f>'дод 3'!N45</f>
        <v>0</v>
      </c>
      <c r="N193" s="102">
        <f>'дод 3'!O45</f>
        <v>0</v>
      </c>
      <c r="O193" s="102">
        <f>'дод 3'!P45</f>
        <v>22762610</v>
      </c>
      <c r="P193" s="117"/>
    </row>
    <row r="194" spans="1:16" s="105" customFormat="1" ht="54" customHeight="1" x14ac:dyDescent="0.45">
      <c r="A194" s="52" t="s">
        <v>108</v>
      </c>
      <c r="B194" s="52" t="s">
        <v>76</v>
      </c>
      <c r="C194" s="39" t="s">
        <v>550</v>
      </c>
      <c r="D194" s="102">
        <f>'дод 3'!E46</f>
        <v>6952500</v>
      </c>
      <c r="E194" s="102">
        <f>'дод 3'!F46</f>
        <v>6952500</v>
      </c>
      <c r="F194" s="102">
        <f>'дод 3'!G46</f>
        <v>4148000</v>
      </c>
      <c r="G194" s="102">
        <f>'дод 3'!H46</f>
        <v>839400</v>
      </c>
      <c r="H194" s="102">
        <f>'дод 3'!I46</f>
        <v>0</v>
      </c>
      <c r="I194" s="102">
        <f>'дод 3'!J46</f>
        <v>990440</v>
      </c>
      <c r="J194" s="102">
        <f>'дод 3'!K46</f>
        <v>450000</v>
      </c>
      <c r="K194" s="102">
        <f>'дод 3'!L46</f>
        <v>540440</v>
      </c>
      <c r="L194" s="102">
        <f>'дод 3'!M46</f>
        <v>345344</v>
      </c>
      <c r="M194" s="102">
        <f>'дод 3'!N46</f>
        <v>98012</v>
      </c>
      <c r="N194" s="102">
        <f>'дод 3'!O46</f>
        <v>450000</v>
      </c>
      <c r="O194" s="102">
        <f>'дод 3'!P46</f>
        <v>7942940</v>
      </c>
      <c r="P194" s="117"/>
    </row>
    <row r="195" spans="1:16" s="105" customFormat="1" ht="46.5" customHeight="1" x14ac:dyDescent="0.45">
      <c r="A195" s="52" t="s">
        <v>110</v>
      </c>
      <c r="B195" s="52" t="s">
        <v>76</v>
      </c>
      <c r="C195" s="39" t="s">
        <v>109</v>
      </c>
      <c r="D195" s="102">
        <f>'дод 3'!E47</f>
        <v>15947804</v>
      </c>
      <c r="E195" s="102">
        <f>'дод 3'!F47</f>
        <v>15947804</v>
      </c>
      <c r="F195" s="102">
        <f>'дод 3'!G47</f>
        <v>0</v>
      </c>
      <c r="G195" s="102">
        <f>'дод 3'!H47</f>
        <v>0</v>
      </c>
      <c r="H195" s="102">
        <f>'дод 3'!I47</f>
        <v>0</v>
      </c>
      <c r="I195" s="102">
        <f>'дод 3'!J47</f>
        <v>0</v>
      </c>
      <c r="J195" s="102">
        <f>'дод 3'!K47</f>
        <v>0</v>
      </c>
      <c r="K195" s="102">
        <f>'дод 3'!L47</f>
        <v>0</v>
      </c>
      <c r="L195" s="102">
        <f>'дод 3'!M47</f>
        <v>0</v>
      </c>
      <c r="M195" s="102">
        <f>'дод 3'!N47</f>
        <v>0</v>
      </c>
      <c r="N195" s="102">
        <f>'дод 3'!O47</f>
        <v>0</v>
      </c>
      <c r="O195" s="102">
        <f>'дод 3'!P47</f>
        <v>15947804</v>
      </c>
      <c r="P195" s="117"/>
    </row>
    <row r="196" spans="1:16" s="96" customFormat="1" ht="26.25" customHeight="1" x14ac:dyDescent="0.4">
      <c r="A196" s="106" t="s">
        <v>64</v>
      </c>
      <c r="B196" s="110"/>
      <c r="C196" s="111" t="s">
        <v>730</v>
      </c>
      <c r="D196" s="100">
        <f>D199+D200+D203+D204+D205+D207+D209+D211+D212+D208+D202</f>
        <v>332471348</v>
      </c>
      <c r="E196" s="100">
        <f t="shared" ref="E196:O196" si="34">E199+E200+E203+E204+E205+E207+E209+E211+E212+E208+E202</f>
        <v>240707031.18000001</v>
      </c>
      <c r="F196" s="100">
        <f t="shared" si="34"/>
        <v>0</v>
      </c>
      <c r="G196" s="100">
        <f t="shared" si="34"/>
        <v>25465663</v>
      </c>
      <c r="H196" s="100">
        <f>H199+H200+H203+H204+H205+H207+H209+H211+H212+H208+H202</f>
        <v>91764316.820000008</v>
      </c>
      <c r="I196" s="100">
        <f t="shared" si="34"/>
        <v>6394893.4900000002</v>
      </c>
      <c r="J196" s="100">
        <f t="shared" si="34"/>
        <v>5948630</v>
      </c>
      <c r="K196" s="100">
        <f t="shared" si="34"/>
        <v>0</v>
      </c>
      <c r="L196" s="100">
        <f t="shared" si="34"/>
        <v>0</v>
      </c>
      <c r="M196" s="100">
        <f t="shared" si="34"/>
        <v>0</v>
      </c>
      <c r="N196" s="100">
        <f t="shared" si="34"/>
        <v>6394893.4900000002</v>
      </c>
      <c r="O196" s="100">
        <f t="shared" si="34"/>
        <v>338866241.49000001</v>
      </c>
      <c r="P196" s="117"/>
    </row>
    <row r="197" spans="1:16" s="96" customFormat="1" ht="75" x14ac:dyDescent="0.4">
      <c r="A197" s="106"/>
      <c r="B197" s="110"/>
      <c r="C197" s="66" t="s">
        <v>624</v>
      </c>
      <c r="D197" s="101">
        <f>D201+D206</f>
        <v>12104027</v>
      </c>
      <c r="E197" s="101">
        <f t="shared" ref="E197:O197" si="35">E201+E206</f>
        <v>0</v>
      </c>
      <c r="F197" s="101">
        <f t="shared" si="35"/>
        <v>0</v>
      </c>
      <c r="G197" s="101">
        <f t="shared" si="35"/>
        <v>0</v>
      </c>
      <c r="H197" s="101">
        <f t="shared" si="35"/>
        <v>12104027</v>
      </c>
      <c r="I197" s="101">
        <f t="shared" si="35"/>
        <v>1290870</v>
      </c>
      <c r="J197" s="101">
        <f t="shared" si="35"/>
        <v>1290870</v>
      </c>
      <c r="K197" s="101">
        <f t="shared" si="35"/>
        <v>0</v>
      </c>
      <c r="L197" s="101">
        <f t="shared" si="35"/>
        <v>0</v>
      </c>
      <c r="M197" s="101">
        <f t="shared" si="35"/>
        <v>0</v>
      </c>
      <c r="N197" s="101">
        <f t="shared" si="35"/>
        <v>1290870</v>
      </c>
      <c r="O197" s="101">
        <f t="shared" si="35"/>
        <v>13394897</v>
      </c>
      <c r="P197" s="117"/>
    </row>
    <row r="198" spans="1:16" s="108" customFormat="1" ht="113.25" hidden="1" customHeight="1" x14ac:dyDescent="0.4">
      <c r="A198" s="107"/>
      <c r="B198" s="112"/>
      <c r="C198" s="63" t="s">
        <v>533</v>
      </c>
      <c r="D198" s="101">
        <f>D210</f>
        <v>0</v>
      </c>
      <c r="E198" s="101">
        <f t="shared" ref="E198:O198" si="36">E210</f>
        <v>0</v>
      </c>
      <c r="F198" s="101">
        <f t="shared" si="36"/>
        <v>0</v>
      </c>
      <c r="G198" s="101">
        <f t="shared" si="36"/>
        <v>0</v>
      </c>
      <c r="H198" s="101">
        <f t="shared" si="36"/>
        <v>0</v>
      </c>
      <c r="I198" s="101">
        <f t="shared" si="36"/>
        <v>0</v>
      </c>
      <c r="J198" s="101">
        <f t="shared" si="36"/>
        <v>0</v>
      </c>
      <c r="K198" s="101">
        <f t="shared" si="36"/>
        <v>0</v>
      </c>
      <c r="L198" s="101">
        <f t="shared" si="36"/>
        <v>0</v>
      </c>
      <c r="M198" s="101">
        <f t="shared" si="36"/>
        <v>0</v>
      </c>
      <c r="N198" s="101">
        <f t="shared" si="36"/>
        <v>0</v>
      </c>
      <c r="O198" s="101">
        <f t="shared" si="36"/>
        <v>0</v>
      </c>
      <c r="P198" s="117"/>
    </row>
    <row r="199" spans="1:16" s="105" customFormat="1" ht="27.75" hidden="1" customHeight="1" x14ac:dyDescent="0.45">
      <c r="A199" s="52" t="s">
        <v>122</v>
      </c>
      <c r="B199" s="52" t="s">
        <v>65</v>
      </c>
      <c r="C199" s="39" t="s">
        <v>123</v>
      </c>
      <c r="D199" s="102">
        <f>'дод 3'!E306</f>
        <v>0</v>
      </c>
      <c r="E199" s="102">
        <f>'дод 3'!F306</f>
        <v>0</v>
      </c>
      <c r="F199" s="102">
        <f>'дод 3'!G306</f>
        <v>0</v>
      </c>
      <c r="G199" s="102">
        <f>'дод 3'!H306</f>
        <v>0</v>
      </c>
      <c r="H199" s="102">
        <f>'дод 3'!I306</f>
        <v>0</v>
      </c>
      <c r="I199" s="102">
        <f>'дод 3'!J306</f>
        <v>0</v>
      </c>
      <c r="J199" s="102">
        <f>'дод 3'!K306</f>
        <v>0</v>
      </c>
      <c r="K199" s="102">
        <f>'дод 3'!L306</f>
        <v>0</v>
      </c>
      <c r="L199" s="102">
        <f>'дод 3'!M306</f>
        <v>0</v>
      </c>
      <c r="M199" s="102">
        <f>'дод 3'!N306</f>
        <v>0</v>
      </c>
      <c r="N199" s="102">
        <f>'дод 3'!O306</f>
        <v>0</v>
      </c>
      <c r="O199" s="102">
        <f>'дод 3'!P306</f>
        <v>0</v>
      </c>
      <c r="P199" s="117"/>
    </row>
    <row r="200" spans="1:16" s="105" customFormat="1" ht="32.25" customHeight="1" x14ac:dyDescent="0.45">
      <c r="A200" s="52" t="s">
        <v>124</v>
      </c>
      <c r="B200" s="52" t="s">
        <v>67</v>
      </c>
      <c r="C200" s="39" t="s">
        <v>731</v>
      </c>
      <c r="D200" s="102">
        <f>'дод 3'!E307</f>
        <v>82200130</v>
      </c>
      <c r="E200" s="102">
        <f>'дод 3'!F307</f>
        <v>889000</v>
      </c>
      <c r="F200" s="102">
        <f>'дод 3'!G307</f>
        <v>0</v>
      </c>
      <c r="G200" s="102">
        <f>'дод 3'!H307</f>
        <v>0</v>
      </c>
      <c r="H200" s="102">
        <f>'дод 3'!I307</f>
        <v>81311130</v>
      </c>
      <c r="I200" s="102">
        <f>'дод 3'!J307</f>
        <v>1290870</v>
      </c>
      <c r="J200" s="102">
        <f>'дод 3'!K307</f>
        <v>1290870</v>
      </c>
      <c r="K200" s="102">
        <f>'дод 3'!L307</f>
        <v>0</v>
      </c>
      <c r="L200" s="102">
        <f>'дод 3'!M307</f>
        <v>0</v>
      </c>
      <c r="M200" s="102">
        <f>'дод 3'!N307</f>
        <v>0</v>
      </c>
      <c r="N200" s="102">
        <f>'дод 3'!O307</f>
        <v>1290870</v>
      </c>
      <c r="O200" s="102">
        <f>'дод 3'!P307</f>
        <v>83491000</v>
      </c>
      <c r="P200" s="117"/>
    </row>
    <row r="201" spans="1:16" s="105" customFormat="1" ht="76.900000000000006" x14ac:dyDescent="0.45">
      <c r="A201" s="104"/>
      <c r="B201" s="104"/>
      <c r="C201" s="55" t="s">
        <v>624</v>
      </c>
      <c r="D201" s="103">
        <f>'дод 3'!E308</f>
        <v>11562545</v>
      </c>
      <c r="E201" s="103">
        <f>'дод 3'!F308</f>
        <v>0</v>
      </c>
      <c r="F201" s="103">
        <f>'дод 3'!G308</f>
        <v>0</v>
      </c>
      <c r="G201" s="103">
        <f>'дод 3'!H308</f>
        <v>0</v>
      </c>
      <c r="H201" s="103">
        <f>'дод 3'!I308</f>
        <v>11562545</v>
      </c>
      <c r="I201" s="103">
        <f>'дод 3'!J308</f>
        <v>1290870</v>
      </c>
      <c r="J201" s="103">
        <f>'дод 3'!K308</f>
        <v>1290870</v>
      </c>
      <c r="K201" s="103">
        <f>'дод 3'!L308</f>
        <v>0</v>
      </c>
      <c r="L201" s="103">
        <f>'дод 3'!M308</f>
        <v>0</v>
      </c>
      <c r="M201" s="103">
        <f>'дод 3'!N308</f>
        <v>0</v>
      </c>
      <c r="N201" s="103">
        <f>'дод 3'!O308</f>
        <v>1290870</v>
      </c>
      <c r="O201" s="103">
        <f>'дод 3'!P308</f>
        <v>12853415</v>
      </c>
      <c r="P201" s="118"/>
    </row>
    <row r="202" spans="1:16" s="105" customFormat="1" ht="32.25" hidden="1" customHeight="1" x14ac:dyDescent="0.45">
      <c r="A202" s="52">
        <v>6014</v>
      </c>
      <c r="B202" s="52" t="s">
        <v>67</v>
      </c>
      <c r="C202" s="39" t="s">
        <v>573</v>
      </c>
      <c r="D202" s="102">
        <f>'дод 3'!E309</f>
        <v>0</v>
      </c>
      <c r="E202" s="102">
        <f>'дод 3'!F309</f>
        <v>0</v>
      </c>
      <c r="F202" s="102">
        <f>'дод 3'!G309</f>
        <v>0</v>
      </c>
      <c r="G202" s="102">
        <f>'дод 3'!H309</f>
        <v>0</v>
      </c>
      <c r="H202" s="102">
        <f>'дод 3'!I309</f>
        <v>0</v>
      </c>
      <c r="I202" s="102">
        <f>'дод 3'!J309</f>
        <v>0</v>
      </c>
      <c r="J202" s="102">
        <f>'дод 3'!K309</f>
        <v>0</v>
      </c>
      <c r="K202" s="102">
        <f>'дод 3'!L309</f>
        <v>0</v>
      </c>
      <c r="L202" s="102">
        <f>'дод 3'!M309</f>
        <v>0</v>
      </c>
      <c r="M202" s="102">
        <f>'дод 3'!N309</f>
        <v>0</v>
      </c>
      <c r="N202" s="102">
        <f>'дод 3'!O309</f>
        <v>0</v>
      </c>
      <c r="O202" s="102">
        <f>'дод 3'!P309</f>
        <v>0</v>
      </c>
      <c r="P202" s="117"/>
    </row>
    <row r="203" spans="1:16" s="105" customFormat="1" ht="32.25" hidden="1" customHeight="1" x14ac:dyDescent="0.45">
      <c r="A203" s="52" t="s">
        <v>252</v>
      </c>
      <c r="B203" s="52" t="s">
        <v>67</v>
      </c>
      <c r="C203" s="39" t="s">
        <v>253</v>
      </c>
      <c r="D203" s="102">
        <f>'дод 3'!E310</f>
        <v>0</v>
      </c>
      <c r="E203" s="102">
        <f>'дод 3'!F310</f>
        <v>0</v>
      </c>
      <c r="F203" s="102">
        <f>'дод 3'!G310</f>
        <v>0</v>
      </c>
      <c r="G203" s="102">
        <f>'дод 3'!H310</f>
        <v>0</v>
      </c>
      <c r="H203" s="102">
        <f>'дод 3'!I310</f>
        <v>0</v>
      </c>
      <c r="I203" s="102">
        <f>'дод 3'!J310</f>
        <v>0</v>
      </c>
      <c r="J203" s="102">
        <f>'дод 3'!K310</f>
        <v>0</v>
      </c>
      <c r="K203" s="102">
        <f>'дод 3'!L310</f>
        <v>0</v>
      </c>
      <c r="L203" s="102">
        <f>'дод 3'!M310</f>
        <v>0</v>
      </c>
      <c r="M203" s="102">
        <f>'дод 3'!N310</f>
        <v>0</v>
      </c>
      <c r="N203" s="102">
        <f>'дод 3'!O310</f>
        <v>0</v>
      </c>
      <c r="O203" s="102">
        <f>'дод 3'!P310</f>
        <v>0</v>
      </c>
      <c r="P203" s="117"/>
    </row>
    <row r="204" spans="1:16" s="105" customFormat="1" ht="33" customHeight="1" x14ac:dyDescent="0.45">
      <c r="A204" s="52" t="s">
        <v>255</v>
      </c>
      <c r="B204" s="52" t="s">
        <v>67</v>
      </c>
      <c r="C204" s="39" t="s">
        <v>331</v>
      </c>
      <c r="D204" s="102">
        <f>'дод 3'!E311</f>
        <v>400000</v>
      </c>
      <c r="E204" s="102">
        <f>'дод 3'!F311</f>
        <v>400000</v>
      </c>
      <c r="F204" s="102">
        <f>'дод 3'!G311</f>
        <v>0</v>
      </c>
      <c r="G204" s="102">
        <f>'дод 3'!H311</f>
        <v>0</v>
      </c>
      <c r="H204" s="102">
        <f>'дод 3'!I311</f>
        <v>0</v>
      </c>
      <c r="I204" s="102">
        <f>'дод 3'!J311</f>
        <v>0</v>
      </c>
      <c r="J204" s="102">
        <f>'дод 3'!K311</f>
        <v>0</v>
      </c>
      <c r="K204" s="102">
        <f>'дод 3'!L311</f>
        <v>0</v>
      </c>
      <c r="L204" s="102">
        <f>'дод 3'!M311</f>
        <v>0</v>
      </c>
      <c r="M204" s="102">
        <f>'дод 3'!N311</f>
        <v>0</v>
      </c>
      <c r="N204" s="102">
        <f>'дод 3'!O311</f>
        <v>0</v>
      </c>
      <c r="O204" s="102">
        <f>'дод 3'!P311</f>
        <v>400000</v>
      </c>
      <c r="P204" s="117"/>
    </row>
    <row r="205" spans="1:16" s="105" customFormat="1" ht="57.75" customHeight="1" x14ac:dyDescent="0.45">
      <c r="A205" s="52" t="s">
        <v>66</v>
      </c>
      <c r="B205" s="52" t="s">
        <v>67</v>
      </c>
      <c r="C205" s="39" t="s">
        <v>732</v>
      </c>
      <c r="D205" s="102">
        <f>'дод 3'!E312</f>
        <v>9163186.620000001</v>
      </c>
      <c r="E205" s="102">
        <f>'дод 3'!F312</f>
        <v>0</v>
      </c>
      <c r="F205" s="102">
        <f>'дод 3'!G312</f>
        <v>0</v>
      </c>
      <c r="G205" s="102">
        <f>'дод 3'!H312</f>
        <v>0</v>
      </c>
      <c r="H205" s="102">
        <f>'дод 3'!I312</f>
        <v>9163186.620000001</v>
      </c>
      <c r="I205" s="102">
        <f>'дод 3'!J312</f>
        <v>4295760</v>
      </c>
      <c r="J205" s="102">
        <f>'дод 3'!K312</f>
        <v>4295760</v>
      </c>
      <c r="K205" s="102">
        <f>'дод 3'!L312</f>
        <v>0</v>
      </c>
      <c r="L205" s="102">
        <f>'дод 3'!M312</f>
        <v>0</v>
      </c>
      <c r="M205" s="102">
        <f>'дод 3'!N312</f>
        <v>0</v>
      </c>
      <c r="N205" s="102">
        <f>'дод 3'!O312</f>
        <v>4295760</v>
      </c>
      <c r="O205" s="102">
        <f>'дод 3'!P312</f>
        <v>13458946.620000001</v>
      </c>
      <c r="P205" s="117"/>
    </row>
    <row r="206" spans="1:16" s="105" customFormat="1" ht="76.900000000000006" x14ac:dyDescent="0.45">
      <c r="A206" s="104"/>
      <c r="B206" s="104"/>
      <c r="C206" s="55" t="s">
        <v>624</v>
      </c>
      <c r="D206" s="103">
        <f>'дод 3'!E313</f>
        <v>541482</v>
      </c>
      <c r="E206" s="103">
        <f>'дод 3'!F313</f>
        <v>0</v>
      </c>
      <c r="F206" s="103">
        <f>'дод 3'!G313</f>
        <v>0</v>
      </c>
      <c r="G206" s="103">
        <f>'дод 3'!H313</f>
        <v>0</v>
      </c>
      <c r="H206" s="103">
        <f>'дод 3'!I313</f>
        <v>541482</v>
      </c>
      <c r="I206" s="103">
        <f>'дод 3'!J313</f>
        <v>0</v>
      </c>
      <c r="J206" s="103">
        <f>'дод 3'!K313</f>
        <v>0</v>
      </c>
      <c r="K206" s="103">
        <f>'дод 3'!L313</f>
        <v>0</v>
      </c>
      <c r="L206" s="103">
        <f>'дод 3'!M313</f>
        <v>0</v>
      </c>
      <c r="M206" s="103">
        <f>'дод 3'!N313</f>
        <v>0</v>
      </c>
      <c r="N206" s="103">
        <f>'дод 3'!O313</f>
        <v>0</v>
      </c>
      <c r="O206" s="103">
        <f>'дод 3'!P313</f>
        <v>541482</v>
      </c>
      <c r="P206" s="118"/>
    </row>
    <row r="207" spans="1:16" ht="24" customHeight="1" x14ac:dyDescent="0.45">
      <c r="A207" s="52" t="s">
        <v>125</v>
      </c>
      <c r="B207" s="52" t="s">
        <v>67</v>
      </c>
      <c r="C207" s="39" t="s">
        <v>126</v>
      </c>
      <c r="D207" s="102">
        <f>'дод 3'!E314+'дод 3'!E384</f>
        <v>234400493.19999999</v>
      </c>
      <c r="E207" s="102">
        <f>'дод 3'!F314+'дод 3'!F384</f>
        <v>234300493</v>
      </c>
      <c r="F207" s="102">
        <f>'дод 3'!G314+'дод 3'!G384</f>
        <v>0</v>
      </c>
      <c r="G207" s="102">
        <f>'дод 3'!H314+'дод 3'!H384</f>
        <v>25460663</v>
      </c>
      <c r="H207" s="102">
        <f>'дод 3'!I314+'дод 3'!I384</f>
        <v>100000.19999999995</v>
      </c>
      <c r="I207" s="102">
        <f>'дод 3'!J314+'дод 3'!J384</f>
        <v>362000</v>
      </c>
      <c r="J207" s="102">
        <f>'дод 3'!K314+'дод 3'!K384</f>
        <v>362000</v>
      </c>
      <c r="K207" s="102">
        <f>'дод 3'!L314+'дод 3'!L384</f>
        <v>0</v>
      </c>
      <c r="L207" s="102">
        <f>'дод 3'!M314+'дод 3'!M384</f>
        <v>0</v>
      </c>
      <c r="M207" s="102">
        <f>'дод 3'!N314+'дод 3'!N384</f>
        <v>0</v>
      </c>
      <c r="N207" s="102">
        <f>'дод 3'!O314+'дод 3'!O384</f>
        <v>362000</v>
      </c>
      <c r="O207" s="102">
        <f>'дод 3'!P314+'дод 3'!P384</f>
        <v>234762493.19999999</v>
      </c>
      <c r="P207" s="117"/>
    </row>
    <row r="208" spans="1:16" ht="94.5" hidden="1" customHeight="1" x14ac:dyDescent="0.45">
      <c r="A208" s="52">
        <v>6071</v>
      </c>
      <c r="B208" s="28" t="s">
        <v>300</v>
      </c>
      <c r="C208" s="49" t="s">
        <v>541</v>
      </c>
      <c r="D208" s="102">
        <f>'дод 3'!E317</f>
        <v>0</v>
      </c>
      <c r="E208" s="102">
        <f>'дод 3'!F317</f>
        <v>0</v>
      </c>
      <c r="F208" s="102">
        <f>'дод 3'!G317</f>
        <v>0</v>
      </c>
      <c r="G208" s="102">
        <f>'дод 3'!H317</f>
        <v>0</v>
      </c>
      <c r="H208" s="102">
        <f>'дод 3'!I317</f>
        <v>0</v>
      </c>
      <c r="I208" s="102">
        <f>'дод 3'!J317</f>
        <v>0</v>
      </c>
      <c r="J208" s="102">
        <f>'дод 3'!K317</f>
        <v>0</v>
      </c>
      <c r="K208" s="102">
        <f>'дод 3'!L317</f>
        <v>0</v>
      </c>
      <c r="L208" s="102">
        <f>'дод 3'!M317</f>
        <v>0</v>
      </c>
      <c r="M208" s="102">
        <f>'дод 3'!N317</f>
        <v>0</v>
      </c>
      <c r="N208" s="102">
        <f>'дод 3'!O317</f>
        <v>0</v>
      </c>
      <c r="O208" s="102">
        <f>'дод 3'!P317</f>
        <v>0</v>
      </c>
      <c r="P208" s="117"/>
    </row>
    <row r="209" spans="1:16" ht="83.25" hidden="1" customHeight="1" x14ac:dyDescent="0.45">
      <c r="A209" s="52">
        <v>6083</v>
      </c>
      <c r="B209" s="40" t="s">
        <v>65</v>
      </c>
      <c r="C209" s="49" t="s">
        <v>415</v>
      </c>
      <c r="D209" s="102">
        <f>'дод 3'!E272+'дод 3'!E315</f>
        <v>0</v>
      </c>
      <c r="E209" s="102">
        <f>'дод 3'!F272+'дод 3'!F315</f>
        <v>0</v>
      </c>
      <c r="F209" s="102">
        <f>'дод 3'!G272+'дод 3'!G315</f>
        <v>0</v>
      </c>
      <c r="G209" s="102">
        <f>'дод 3'!H272+'дод 3'!H315</f>
        <v>0</v>
      </c>
      <c r="H209" s="102">
        <f>'дод 3'!I272+'дод 3'!I315</f>
        <v>0</v>
      </c>
      <c r="I209" s="102">
        <f>'дод 3'!J272+'дод 3'!J315</f>
        <v>0</v>
      </c>
      <c r="J209" s="102">
        <f>'дод 3'!K272+'дод 3'!K315</f>
        <v>0</v>
      </c>
      <c r="K209" s="102">
        <f>'дод 3'!L272+'дод 3'!L315</f>
        <v>0</v>
      </c>
      <c r="L209" s="102">
        <f>'дод 3'!M272+'дод 3'!M315</f>
        <v>0</v>
      </c>
      <c r="M209" s="102">
        <f>'дод 3'!N272+'дод 3'!N315</f>
        <v>0</v>
      </c>
      <c r="N209" s="102">
        <f>'дод 3'!O272+'дод 3'!O315</f>
        <v>0</v>
      </c>
      <c r="O209" s="102">
        <f>'дод 3'!P272+'дод 3'!P315</f>
        <v>0</v>
      </c>
      <c r="P209" s="117"/>
    </row>
    <row r="210" spans="1:16" s="105" customFormat="1" ht="126" hidden="1" customHeight="1" x14ac:dyDescent="0.45">
      <c r="A210" s="104"/>
      <c r="B210" s="116"/>
      <c r="C210" s="65" t="s">
        <v>533</v>
      </c>
      <c r="D210" s="103">
        <f>'дод 3'!E273+'дод 3'!E316</f>
        <v>0</v>
      </c>
      <c r="E210" s="103">
        <f>'дод 3'!F273+'дод 3'!F316</f>
        <v>0</v>
      </c>
      <c r="F210" s="103">
        <f>'дод 3'!G273+'дод 3'!G316</f>
        <v>0</v>
      </c>
      <c r="G210" s="103">
        <f>'дод 3'!H273+'дод 3'!H316</f>
        <v>0</v>
      </c>
      <c r="H210" s="103">
        <f>'дод 3'!I273+'дод 3'!I316</f>
        <v>0</v>
      </c>
      <c r="I210" s="103">
        <f>'дод 3'!J273+'дод 3'!J316</f>
        <v>0</v>
      </c>
      <c r="J210" s="103">
        <f>'дод 3'!K273+'дод 3'!K316</f>
        <v>0</v>
      </c>
      <c r="K210" s="103">
        <f>'дод 3'!L273+'дод 3'!L316</f>
        <v>0</v>
      </c>
      <c r="L210" s="103">
        <f>'дод 3'!M273+'дод 3'!M316</f>
        <v>0</v>
      </c>
      <c r="M210" s="103">
        <f>'дод 3'!N273+'дод 3'!N316</f>
        <v>0</v>
      </c>
      <c r="N210" s="103">
        <f>'дод 3'!O273+'дод 3'!O316</f>
        <v>0</v>
      </c>
      <c r="O210" s="103">
        <f>'дод 3'!P273+'дод 3'!P316</f>
        <v>0</v>
      </c>
      <c r="P210" s="117"/>
    </row>
    <row r="211" spans="1:16" s="105" customFormat="1" ht="66" customHeight="1" x14ac:dyDescent="0.45">
      <c r="A211" s="52" t="s">
        <v>128</v>
      </c>
      <c r="B211" s="29" t="s">
        <v>65</v>
      </c>
      <c r="C211" s="39" t="s">
        <v>551</v>
      </c>
      <c r="D211" s="102">
        <f>'дод 3'!E388</f>
        <v>0</v>
      </c>
      <c r="E211" s="102">
        <f>'дод 3'!F388</f>
        <v>0</v>
      </c>
      <c r="F211" s="102">
        <f>'дод 3'!G388</f>
        <v>0</v>
      </c>
      <c r="G211" s="102">
        <f>'дод 3'!H388</f>
        <v>0</v>
      </c>
      <c r="H211" s="102">
        <f>'дод 3'!I388</f>
        <v>0</v>
      </c>
      <c r="I211" s="102">
        <f>'дод 3'!J388</f>
        <v>446263.49</v>
      </c>
      <c r="J211" s="102">
        <f>'дод 3'!K388</f>
        <v>0</v>
      </c>
      <c r="K211" s="102">
        <f>'дод 3'!L388</f>
        <v>0</v>
      </c>
      <c r="L211" s="102">
        <f>'дод 3'!M388</f>
        <v>0</v>
      </c>
      <c r="M211" s="102">
        <f>'дод 3'!N388</f>
        <v>0</v>
      </c>
      <c r="N211" s="102">
        <f>'дод 3'!O388</f>
        <v>446263.49</v>
      </c>
      <c r="O211" s="102">
        <f>'дод 3'!P388</f>
        <v>446263.49</v>
      </c>
      <c r="P211" s="117"/>
    </row>
    <row r="212" spans="1:16" ht="32.25" customHeight="1" x14ac:dyDescent="0.45">
      <c r="A212" s="52" t="s">
        <v>134</v>
      </c>
      <c r="B212" s="29" t="s">
        <v>300</v>
      </c>
      <c r="C212" s="39" t="s">
        <v>135</v>
      </c>
      <c r="D212" s="102">
        <f>'дод 3'!E318+'дод 3'!E410+'дод 3'!E443</f>
        <v>6307538.1799999997</v>
      </c>
      <c r="E212" s="102">
        <f>'дод 3'!F318+'дод 3'!F410+'дод 3'!F443</f>
        <v>5117538.18</v>
      </c>
      <c r="F212" s="102">
        <f>'дод 3'!G318+'дод 3'!G410+'дод 3'!G443</f>
        <v>0</v>
      </c>
      <c r="G212" s="102">
        <f>'дод 3'!H318+'дод 3'!H410+'дод 3'!H443</f>
        <v>5000</v>
      </c>
      <c r="H212" s="102">
        <f>'дод 3'!I318+'дод 3'!I410+'дод 3'!I443</f>
        <v>1190000</v>
      </c>
      <c r="I212" s="102">
        <f>'дод 3'!J318+'дод 3'!J410+'дод 3'!J443</f>
        <v>0</v>
      </c>
      <c r="J212" s="102">
        <f>'дод 3'!K318+'дод 3'!K410+'дод 3'!K443</f>
        <v>0</v>
      </c>
      <c r="K212" s="102">
        <f>'дод 3'!L318+'дод 3'!L410+'дод 3'!L443</f>
        <v>0</v>
      </c>
      <c r="L212" s="102">
        <f>'дод 3'!M318+'дод 3'!M410+'дод 3'!M443</f>
        <v>0</v>
      </c>
      <c r="M212" s="102">
        <f>'дод 3'!N318+'дод 3'!N410+'дод 3'!N443</f>
        <v>0</v>
      </c>
      <c r="N212" s="102">
        <f>'дод 3'!O318+'дод 3'!O410+'дод 3'!O443</f>
        <v>0</v>
      </c>
      <c r="O212" s="102">
        <f>'дод 3'!P318+'дод 3'!P410+'дод 3'!P443</f>
        <v>6307538.1799999997</v>
      </c>
      <c r="P212" s="117"/>
    </row>
    <row r="213" spans="1:16" s="96" customFormat="1" ht="21.75" customHeight="1" x14ac:dyDescent="0.4">
      <c r="A213" s="106" t="s">
        <v>129</v>
      </c>
      <c r="B213" s="110"/>
      <c r="C213" s="111" t="s">
        <v>603</v>
      </c>
      <c r="D213" s="100">
        <f>D223+D225+D255+D268+D270+D289</f>
        <v>106474391.34999999</v>
      </c>
      <c r="E213" s="100">
        <f t="shared" ref="E213:O213" si="37">E223+E225+E255+E268+E270+E289</f>
        <v>13248602</v>
      </c>
      <c r="F213" s="100">
        <f t="shared" si="37"/>
        <v>0</v>
      </c>
      <c r="G213" s="100">
        <f t="shared" si="37"/>
        <v>0</v>
      </c>
      <c r="H213" s="100">
        <f t="shared" si="37"/>
        <v>93225789.349999994</v>
      </c>
      <c r="I213" s="100">
        <f t="shared" si="37"/>
        <v>405613562.65999997</v>
      </c>
      <c r="J213" s="100">
        <f t="shared" si="37"/>
        <v>332448348</v>
      </c>
      <c r="K213" s="100">
        <f t="shared" si="37"/>
        <v>557641</v>
      </c>
      <c r="L213" s="100">
        <f t="shared" si="37"/>
        <v>0</v>
      </c>
      <c r="M213" s="100">
        <f t="shared" si="37"/>
        <v>0</v>
      </c>
      <c r="N213" s="100">
        <f t="shared" si="37"/>
        <v>405055921.65999997</v>
      </c>
      <c r="O213" s="100">
        <f t="shared" si="37"/>
        <v>512087954.00999999</v>
      </c>
      <c r="P213" s="117"/>
    </row>
    <row r="214" spans="1:16" s="108" customFormat="1" ht="47.25" hidden="1" customHeight="1" x14ac:dyDescent="0.4">
      <c r="A214" s="107"/>
      <c r="B214" s="112"/>
      <c r="C214" s="66" t="s">
        <v>375</v>
      </c>
      <c r="D214" s="101">
        <f>D226</f>
        <v>0</v>
      </c>
      <c r="E214" s="101">
        <f t="shared" ref="E214:O214" si="38">E226</f>
        <v>0</v>
      </c>
      <c r="F214" s="101">
        <f t="shared" si="38"/>
        <v>0</v>
      </c>
      <c r="G214" s="101">
        <f t="shared" si="38"/>
        <v>0</v>
      </c>
      <c r="H214" s="101">
        <f t="shared" si="38"/>
        <v>0</v>
      </c>
      <c r="I214" s="101">
        <f t="shared" si="38"/>
        <v>0</v>
      </c>
      <c r="J214" s="101">
        <f t="shared" si="38"/>
        <v>0</v>
      </c>
      <c r="K214" s="101">
        <f t="shared" si="38"/>
        <v>0</v>
      </c>
      <c r="L214" s="101">
        <f t="shared" si="38"/>
        <v>0</v>
      </c>
      <c r="M214" s="101">
        <f t="shared" si="38"/>
        <v>0</v>
      </c>
      <c r="N214" s="101">
        <f t="shared" si="38"/>
        <v>0</v>
      </c>
      <c r="O214" s="101">
        <f t="shared" si="38"/>
        <v>0</v>
      </c>
      <c r="P214" s="117"/>
    </row>
    <row r="215" spans="1:16" s="108" customFormat="1" ht="15.75" hidden="1" customHeight="1" x14ac:dyDescent="0.4">
      <c r="A215" s="107"/>
      <c r="B215" s="112"/>
      <c r="C215" s="25" t="s">
        <v>381</v>
      </c>
      <c r="D215" s="101">
        <f>D227</f>
        <v>0</v>
      </c>
      <c r="E215" s="101">
        <f t="shared" ref="E215:O215" si="39">E227</f>
        <v>0</v>
      </c>
      <c r="F215" s="101">
        <f t="shared" si="39"/>
        <v>0</v>
      </c>
      <c r="G215" s="101">
        <f t="shared" si="39"/>
        <v>0</v>
      </c>
      <c r="H215" s="101">
        <f t="shared" si="39"/>
        <v>0</v>
      </c>
      <c r="I215" s="101">
        <f t="shared" si="39"/>
        <v>0</v>
      </c>
      <c r="J215" s="101">
        <f t="shared" si="39"/>
        <v>0</v>
      </c>
      <c r="K215" s="101">
        <f t="shared" si="39"/>
        <v>0</v>
      </c>
      <c r="L215" s="101">
        <f t="shared" si="39"/>
        <v>0</v>
      </c>
      <c r="M215" s="101">
        <f t="shared" si="39"/>
        <v>0</v>
      </c>
      <c r="N215" s="101">
        <f t="shared" si="39"/>
        <v>0</v>
      </c>
      <c r="O215" s="101">
        <f t="shared" si="39"/>
        <v>0</v>
      </c>
      <c r="P215" s="117"/>
    </row>
    <row r="216" spans="1:16" s="108" customFormat="1" ht="101.25" hidden="1" customHeight="1" x14ac:dyDescent="0.4">
      <c r="A216" s="107"/>
      <c r="B216" s="112"/>
      <c r="C216" s="25" t="str">
        <f>'дод 3'!D296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D216" s="25">
        <f>'дод 3'!E296</f>
        <v>0</v>
      </c>
      <c r="E216" s="25">
        <f>'дод 3'!F296</f>
        <v>0</v>
      </c>
      <c r="F216" s="25">
        <f>'дод 3'!G296</f>
        <v>0</v>
      </c>
      <c r="G216" s="25">
        <f>'дод 3'!H296</f>
        <v>0</v>
      </c>
      <c r="H216" s="25">
        <f>'дод 3'!I296</f>
        <v>0</v>
      </c>
      <c r="I216" s="119">
        <f>'дод 3'!J296</f>
        <v>0</v>
      </c>
      <c r="J216" s="119">
        <f>'дод 3'!K296</f>
        <v>0</v>
      </c>
      <c r="K216" s="119">
        <f>'дод 3'!L296</f>
        <v>0</v>
      </c>
      <c r="L216" s="119">
        <f>'дод 3'!M296</f>
        <v>0</v>
      </c>
      <c r="M216" s="119">
        <f>'дод 3'!N296</f>
        <v>0</v>
      </c>
      <c r="N216" s="119">
        <f>'дод 3'!O296</f>
        <v>0</v>
      </c>
      <c r="O216" s="119">
        <f>'дод 3'!P296</f>
        <v>0</v>
      </c>
      <c r="P216" s="117"/>
    </row>
    <row r="217" spans="1:16" s="108" customFormat="1" ht="56.25" hidden="1" customHeight="1" x14ac:dyDescent="0.4">
      <c r="A217" s="107"/>
      <c r="B217" s="112"/>
      <c r="C217" s="25" t="str">
        <f>C252</f>
        <v>субвенції з державного бюджету місцевим бюджетам на реалізацію проектів (об'єктів, заходів), спрямованих на ліквідацію наслідків збройної агресії</v>
      </c>
      <c r="D217" s="25">
        <f>D252</f>
        <v>0</v>
      </c>
      <c r="E217" s="24">
        <f t="shared" ref="E217:O217" si="40">E252</f>
        <v>0</v>
      </c>
      <c r="F217" s="24">
        <f t="shared" si="40"/>
        <v>0</v>
      </c>
      <c r="G217" s="24">
        <f t="shared" si="40"/>
        <v>0</v>
      </c>
      <c r="H217" s="24">
        <f t="shared" si="40"/>
        <v>0</v>
      </c>
      <c r="I217" s="24">
        <f t="shared" si="40"/>
        <v>0</v>
      </c>
      <c r="J217" s="24">
        <f t="shared" si="40"/>
        <v>0</v>
      </c>
      <c r="K217" s="24">
        <f t="shared" si="40"/>
        <v>0</v>
      </c>
      <c r="L217" s="24">
        <f t="shared" si="40"/>
        <v>0</v>
      </c>
      <c r="M217" s="24">
        <f t="shared" si="40"/>
        <v>0</v>
      </c>
      <c r="N217" s="24">
        <f t="shared" si="40"/>
        <v>0</v>
      </c>
      <c r="O217" s="24">
        <f t="shared" si="40"/>
        <v>0</v>
      </c>
      <c r="P217" s="117"/>
    </row>
    <row r="218" spans="1:16" s="108" customFormat="1" ht="92.25" customHeight="1" x14ac:dyDescent="0.4">
      <c r="A218" s="107"/>
      <c r="B218" s="112"/>
      <c r="C218" s="120" t="s">
        <v>671</v>
      </c>
      <c r="D218" s="101">
        <f>D228</f>
        <v>0</v>
      </c>
      <c r="E218" s="101">
        <f t="shared" ref="E218:O218" si="41">E228</f>
        <v>0</v>
      </c>
      <c r="F218" s="101">
        <f t="shared" si="41"/>
        <v>0</v>
      </c>
      <c r="G218" s="101">
        <f t="shared" si="41"/>
        <v>0</v>
      </c>
      <c r="H218" s="101">
        <f t="shared" si="41"/>
        <v>0</v>
      </c>
      <c r="I218" s="101">
        <f t="shared" si="41"/>
        <v>67150626.659999996</v>
      </c>
      <c r="J218" s="101">
        <f t="shared" si="41"/>
        <v>0</v>
      </c>
      <c r="K218" s="101">
        <f t="shared" si="41"/>
        <v>0</v>
      </c>
      <c r="L218" s="101">
        <f t="shared" si="41"/>
        <v>0</v>
      </c>
      <c r="M218" s="101">
        <f t="shared" si="41"/>
        <v>0</v>
      </c>
      <c r="N218" s="101">
        <f t="shared" si="41"/>
        <v>67150626.659999996</v>
      </c>
      <c r="O218" s="101">
        <f t="shared" si="41"/>
        <v>67150626.659999996</v>
      </c>
      <c r="P218" s="121"/>
    </row>
    <row r="219" spans="1:16" s="108" customFormat="1" ht="92.25" customHeight="1" x14ac:dyDescent="0.4">
      <c r="A219" s="107"/>
      <c r="B219" s="112"/>
      <c r="C219" s="66" t="s">
        <v>624</v>
      </c>
      <c r="D219" s="101">
        <f>D229+D271</f>
        <v>163600</v>
      </c>
      <c r="E219" s="101">
        <f t="shared" ref="E219:O219" si="42">E229+E271</f>
        <v>163600</v>
      </c>
      <c r="F219" s="101">
        <f t="shared" si="42"/>
        <v>0</v>
      </c>
      <c r="G219" s="101">
        <f t="shared" si="42"/>
        <v>0</v>
      </c>
      <c r="H219" s="101">
        <f t="shared" si="42"/>
        <v>0</v>
      </c>
      <c r="I219" s="101">
        <f t="shared" si="42"/>
        <v>5971900</v>
      </c>
      <c r="J219" s="101">
        <f t="shared" si="42"/>
        <v>5971900</v>
      </c>
      <c r="K219" s="101">
        <f t="shared" si="42"/>
        <v>0</v>
      </c>
      <c r="L219" s="101">
        <f t="shared" si="42"/>
        <v>0</v>
      </c>
      <c r="M219" s="101">
        <f t="shared" si="42"/>
        <v>0</v>
      </c>
      <c r="N219" s="101">
        <f t="shared" si="42"/>
        <v>5971900</v>
      </c>
      <c r="O219" s="101">
        <f t="shared" si="42"/>
        <v>6135500</v>
      </c>
      <c r="P219" s="122"/>
    </row>
    <row r="220" spans="1:16" s="108" customFormat="1" ht="18" customHeight="1" x14ac:dyDescent="0.4">
      <c r="A220" s="107"/>
      <c r="B220" s="107"/>
      <c r="C220" s="25" t="s">
        <v>400</v>
      </c>
      <c r="D220" s="101">
        <f>D272</f>
        <v>0</v>
      </c>
      <c r="E220" s="101">
        <f t="shared" ref="E220:O220" si="43">E272</f>
        <v>0</v>
      </c>
      <c r="F220" s="101">
        <f t="shared" si="43"/>
        <v>0</v>
      </c>
      <c r="G220" s="101">
        <f t="shared" si="43"/>
        <v>0</v>
      </c>
      <c r="H220" s="101">
        <f t="shared" si="43"/>
        <v>0</v>
      </c>
      <c r="I220" s="101">
        <f t="shared" si="43"/>
        <v>61868709</v>
      </c>
      <c r="J220" s="101">
        <f t="shared" si="43"/>
        <v>61868709</v>
      </c>
      <c r="K220" s="101">
        <f t="shared" si="43"/>
        <v>0</v>
      </c>
      <c r="L220" s="101">
        <f t="shared" si="43"/>
        <v>0</v>
      </c>
      <c r="M220" s="101">
        <f t="shared" si="43"/>
        <v>0</v>
      </c>
      <c r="N220" s="101">
        <f t="shared" si="43"/>
        <v>61868709</v>
      </c>
      <c r="O220" s="101">
        <f t="shared" si="43"/>
        <v>61868709</v>
      </c>
      <c r="P220" s="117"/>
    </row>
    <row r="221" spans="1:16" s="108" customFormat="1" ht="18" customHeight="1" x14ac:dyDescent="0.4">
      <c r="A221" s="107"/>
      <c r="B221" s="107"/>
      <c r="C221" s="25" t="str">
        <f>C274</f>
        <v>грантів (дарунків)</v>
      </c>
      <c r="D221" s="101">
        <f>D274+D290</f>
        <v>0</v>
      </c>
      <c r="E221" s="101">
        <f t="shared" ref="E221:O221" si="44">E274+E290</f>
        <v>0</v>
      </c>
      <c r="F221" s="101">
        <f t="shared" si="44"/>
        <v>0</v>
      </c>
      <c r="G221" s="101">
        <f t="shared" si="44"/>
        <v>0</v>
      </c>
      <c r="H221" s="101">
        <f t="shared" si="44"/>
        <v>0</v>
      </c>
      <c r="I221" s="101">
        <f t="shared" si="44"/>
        <v>5904588</v>
      </c>
      <c r="J221" s="101">
        <f t="shared" si="44"/>
        <v>0</v>
      </c>
      <c r="K221" s="101">
        <f t="shared" si="44"/>
        <v>447641</v>
      </c>
      <c r="L221" s="101">
        <f t="shared" si="44"/>
        <v>0</v>
      </c>
      <c r="M221" s="101">
        <f t="shared" si="44"/>
        <v>0</v>
      </c>
      <c r="N221" s="101">
        <f t="shared" si="44"/>
        <v>5456947</v>
      </c>
      <c r="O221" s="101">
        <f t="shared" si="44"/>
        <v>5904588</v>
      </c>
      <c r="P221" s="117"/>
    </row>
    <row r="222" spans="1:16" s="108" customFormat="1" ht="45" x14ac:dyDescent="0.4">
      <c r="A222" s="107"/>
      <c r="B222" s="107"/>
      <c r="C222" s="25" t="str">
        <f>C273</f>
        <v xml:space="preserve">залишку коштів по запозиченню від ЄІБ «Підвищення енергоефективності в дошкільних закладах м. Суми», що склався станом на 01.01.2024 року </v>
      </c>
      <c r="D222" s="101">
        <f>D273</f>
        <v>0</v>
      </c>
      <c r="E222" s="101">
        <f t="shared" ref="E222:O222" si="45">E273</f>
        <v>0</v>
      </c>
      <c r="F222" s="101">
        <f t="shared" si="45"/>
        <v>0</v>
      </c>
      <c r="G222" s="101">
        <f t="shared" si="45"/>
        <v>0</v>
      </c>
      <c r="H222" s="101">
        <f t="shared" si="45"/>
        <v>0</v>
      </c>
      <c r="I222" s="101">
        <f t="shared" si="45"/>
        <v>42207900</v>
      </c>
      <c r="J222" s="101">
        <f t="shared" si="45"/>
        <v>42207900</v>
      </c>
      <c r="K222" s="101">
        <f t="shared" si="45"/>
        <v>0</v>
      </c>
      <c r="L222" s="101">
        <f t="shared" si="45"/>
        <v>0</v>
      </c>
      <c r="M222" s="101">
        <f t="shared" si="45"/>
        <v>0</v>
      </c>
      <c r="N222" s="101">
        <f t="shared" si="45"/>
        <v>42207900</v>
      </c>
      <c r="O222" s="101">
        <f t="shared" si="45"/>
        <v>42207900</v>
      </c>
      <c r="P222" s="117"/>
    </row>
    <row r="223" spans="1:16" s="96" customFormat="1" ht="15" x14ac:dyDescent="0.4">
      <c r="A223" s="106" t="s">
        <v>136</v>
      </c>
      <c r="B223" s="110"/>
      <c r="C223" s="111" t="s">
        <v>137</v>
      </c>
      <c r="D223" s="100">
        <f t="shared" ref="D223:O223" si="46">D224</f>
        <v>700000</v>
      </c>
      <c r="E223" s="100">
        <f t="shared" si="46"/>
        <v>600000</v>
      </c>
      <c r="F223" s="100">
        <f t="shared" si="46"/>
        <v>0</v>
      </c>
      <c r="G223" s="100">
        <f t="shared" si="46"/>
        <v>0</v>
      </c>
      <c r="H223" s="100">
        <f t="shared" si="46"/>
        <v>100000</v>
      </c>
      <c r="I223" s="100">
        <f t="shared" si="46"/>
        <v>0</v>
      </c>
      <c r="J223" s="100">
        <f t="shared" si="46"/>
        <v>0</v>
      </c>
      <c r="K223" s="100">
        <f t="shared" si="46"/>
        <v>0</v>
      </c>
      <c r="L223" s="100">
        <f t="shared" si="46"/>
        <v>0</v>
      </c>
      <c r="M223" s="100">
        <f t="shared" si="46"/>
        <v>0</v>
      </c>
      <c r="N223" s="100">
        <f t="shared" si="46"/>
        <v>0</v>
      </c>
      <c r="O223" s="100">
        <f t="shared" si="46"/>
        <v>700000</v>
      </c>
      <c r="P223" s="117"/>
    </row>
    <row r="224" spans="1:16" ht="24" customHeight="1" x14ac:dyDescent="0.45">
      <c r="A224" s="52" t="s">
        <v>130</v>
      </c>
      <c r="B224" s="52" t="s">
        <v>79</v>
      </c>
      <c r="C224" s="39" t="s">
        <v>332</v>
      </c>
      <c r="D224" s="102">
        <f>'дод 3'!E425+'дод 3'!E434+'дод 3'!E444+'дод 3'!E319</f>
        <v>700000</v>
      </c>
      <c r="E224" s="102">
        <f>'дод 3'!F425+'дод 3'!F434+'дод 3'!F444+'дод 3'!F319</f>
        <v>600000</v>
      </c>
      <c r="F224" s="102">
        <f>'дод 3'!G425+'дод 3'!G434+'дод 3'!G444+'дод 3'!G319</f>
        <v>0</v>
      </c>
      <c r="G224" s="102">
        <f>'дод 3'!H425+'дод 3'!H434+'дод 3'!H444+'дод 3'!H319</f>
        <v>0</v>
      </c>
      <c r="H224" s="102">
        <f>'дод 3'!I425+'дод 3'!I434+'дод 3'!I444+'дод 3'!I319</f>
        <v>100000</v>
      </c>
      <c r="I224" s="102">
        <f>'дод 3'!J425+'дод 3'!J434+'дод 3'!J444+'дод 3'!J319</f>
        <v>0</v>
      </c>
      <c r="J224" s="102">
        <f>'дод 3'!K425+'дод 3'!K434+'дод 3'!K444+'дод 3'!K319</f>
        <v>0</v>
      </c>
      <c r="K224" s="102">
        <f>'дод 3'!L425+'дод 3'!L434+'дод 3'!L444+'дод 3'!L319</f>
        <v>0</v>
      </c>
      <c r="L224" s="102">
        <f>'дод 3'!M425+'дод 3'!M434+'дод 3'!M444+'дод 3'!M319</f>
        <v>0</v>
      </c>
      <c r="M224" s="102">
        <f>'дод 3'!N425+'дод 3'!N434+'дод 3'!N444+'дод 3'!N319</f>
        <v>0</v>
      </c>
      <c r="N224" s="102">
        <f>'дод 3'!O425+'дод 3'!O434+'дод 3'!O444+'дод 3'!O319</f>
        <v>0</v>
      </c>
      <c r="O224" s="102">
        <f>'дод 3'!P425+'дод 3'!P434+'дод 3'!P444+'дод 3'!P319</f>
        <v>700000</v>
      </c>
      <c r="P224" s="117"/>
    </row>
    <row r="225" spans="1:16" s="96" customFormat="1" ht="32.25" customHeight="1" x14ac:dyDescent="0.4">
      <c r="A225" s="106" t="s">
        <v>93</v>
      </c>
      <c r="B225" s="106"/>
      <c r="C225" s="123" t="s">
        <v>670</v>
      </c>
      <c r="D225" s="100">
        <f t="shared" ref="D225:O225" si="47">D230+D232+D235+D236+D237+D238+D239+D241+D242+D243+D245+D247+D249+D251+D250+D253</f>
        <v>2045000</v>
      </c>
      <c r="E225" s="100">
        <f t="shared" si="47"/>
        <v>2045000</v>
      </c>
      <c r="F225" s="100">
        <f t="shared" si="47"/>
        <v>0</v>
      </c>
      <c r="G225" s="100">
        <f t="shared" si="47"/>
        <v>0</v>
      </c>
      <c r="H225" s="100">
        <f t="shared" si="47"/>
        <v>0</v>
      </c>
      <c r="I225" s="100">
        <f t="shared" si="47"/>
        <v>149678857.66</v>
      </c>
      <c r="J225" s="100">
        <f t="shared" si="47"/>
        <v>82528231</v>
      </c>
      <c r="K225" s="100">
        <f t="shared" si="47"/>
        <v>0</v>
      </c>
      <c r="L225" s="100">
        <f t="shared" si="47"/>
        <v>0</v>
      </c>
      <c r="M225" s="100">
        <f t="shared" si="47"/>
        <v>0</v>
      </c>
      <c r="N225" s="100">
        <f t="shared" si="47"/>
        <v>149678857.66</v>
      </c>
      <c r="O225" s="100">
        <f t="shared" si="47"/>
        <v>151723857.66</v>
      </c>
      <c r="P225" s="117"/>
    </row>
    <row r="226" spans="1:16" s="108" customFormat="1" ht="63" hidden="1" customHeight="1" x14ac:dyDescent="0.4">
      <c r="A226" s="107"/>
      <c r="B226" s="107"/>
      <c r="C226" s="66" t="s">
        <v>579</v>
      </c>
      <c r="D226" s="101">
        <f>D246</f>
        <v>0</v>
      </c>
      <c r="E226" s="101">
        <f t="shared" ref="E226:O226" si="48">E246</f>
        <v>0</v>
      </c>
      <c r="F226" s="101">
        <f t="shared" si="48"/>
        <v>0</v>
      </c>
      <c r="G226" s="101">
        <f t="shared" si="48"/>
        <v>0</v>
      </c>
      <c r="H226" s="101">
        <f t="shared" si="48"/>
        <v>0</v>
      </c>
      <c r="I226" s="101">
        <f t="shared" si="48"/>
        <v>0</v>
      </c>
      <c r="J226" s="101">
        <f t="shared" si="48"/>
        <v>0</v>
      </c>
      <c r="K226" s="101">
        <f t="shared" si="48"/>
        <v>0</v>
      </c>
      <c r="L226" s="101">
        <f t="shared" si="48"/>
        <v>0</v>
      </c>
      <c r="M226" s="101">
        <f t="shared" si="48"/>
        <v>0</v>
      </c>
      <c r="N226" s="101">
        <f t="shared" si="48"/>
        <v>0</v>
      </c>
      <c r="O226" s="101">
        <f t="shared" si="48"/>
        <v>0</v>
      </c>
      <c r="P226" s="117"/>
    </row>
    <row r="227" spans="1:16" s="108" customFormat="1" ht="15.75" hidden="1" customHeight="1" x14ac:dyDescent="0.4">
      <c r="A227" s="107"/>
      <c r="B227" s="107"/>
      <c r="C227" s="25" t="s">
        <v>381</v>
      </c>
      <c r="D227" s="101">
        <f t="shared" ref="D227:O227" si="49">D234+D248</f>
        <v>0</v>
      </c>
      <c r="E227" s="101">
        <f t="shared" si="49"/>
        <v>0</v>
      </c>
      <c r="F227" s="101">
        <f t="shared" si="49"/>
        <v>0</v>
      </c>
      <c r="G227" s="101">
        <f t="shared" si="49"/>
        <v>0</v>
      </c>
      <c r="H227" s="101">
        <f t="shared" si="49"/>
        <v>0</v>
      </c>
      <c r="I227" s="101">
        <f t="shared" si="49"/>
        <v>0</v>
      </c>
      <c r="J227" s="101">
        <f t="shared" si="49"/>
        <v>0</v>
      </c>
      <c r="K227" s="101">
        <f t="shared" si="49"/>
        <v>0</v>
      </c>
      <c r="L227" s="101">
        <f t="shared" si="49"/>
        <v>0</v>
      </c>
      <c r="M227" s="101">
        <f t="shared" si="49"/>
        <v>0</v>
      </c>
      <c r="N227" s="101">
        <f t="shared" si="49"/>
        <v>0</v>
      </c>
      <c r="O227" s="101">
        <f t="shared" si="49"/>
        <v>0</v>
      </c>
      <c r="P227" s="117"/>
    </row>
    <row r="228" spans="1:16" s="108" customFormat="1" ht="95.25" customHeight="1" x14ac:dyDescent="0.4">
      <c r="A228" s="107"/>
      <c r="B228" s="107"/>
      <c r="C228" s="120" t="s">
        <v>671</v>
      </c>
      <c r="D228" s="101">
        <f>D254</f>
        <v>0</v>
      </c>
      <c r="E228" s="101">
        <f t="shared" ref="E228:O228" si="50">E254</f>
        <v>0</v>
      </c>
      <c r="F228" s="101">
        <f t="shared" si="50"/>
        <v>0</v>
      </c>
      <c r="G228" s="101">
        <f t="shared" si="50"/>
        <v>0</v>
      </c>
      <c r="H228" s="101">
        <f t="shared" si="50"/>
        <v>0</v>
      </c>
      <c r="I228" s="101">
        <f t="shared" si="50"/>
        <v>67150626.659999996</v>
      </c>
      <c r="J228" s="101">
        <f t="shared" si="50"/>
        <v>0</v>
      </c>
      <c r="K228" s="101">
        <f t="shared" si="50"/>
        <v>0</v>
      </c>
      <c r="L228" s="101">
        <f t="shared" si="50"/>
        <v>0</v>
      </c>
      <c r="M228" s="101">
        <f t="shared" si="50"/>
        <v>0</v>
      </c>
      <c r="N228" s="101">
        <f t="shared" si="50"/>
        <v>67150626.659999996</v>
      </c>
      <c r="O228" s="101">
        <f t="shared" si="50"/>
        <v>67150626.659999996</v>
      </c>
      <c r="P228" s="117"/>
    </row>
    <row r="229" spans="1:16" s="108" customFormat="1" ht="95.25" customHeight="1" x14ac:dyDescent="0.4">
      <c r="A229" s="107"/>
      <c r="B229" s="107"/>
      <c r="C229" s="66" t="s">
        <v>624</v>
      </c>
      <c r="D229" s="101">
        <f>D240+D233</f>
        <v>0</v>
      </c>
      <c r="E229" s="101">
        <f t="shared" ref="E229:O229" si="51">E240+E233</f>
        <v>0</v>
      </c>
      <c r="F229" s="101">
        <f t="shared" si="51"/>
        <v>0</v>
      </c>
      <c r="G229" s="101">
        <f t="shared" si="51"/>
        <v>0</v>
      </c>
      <c r="H229" s="101">
        <f t="shared" si="51"/>
        <v>0</v>
      </c>
      <c r="I229" s="101">
        <f t="shared" si="51"/>
        <v>5600000</v>
      </c>
      <c r="J229" s="101">
        <f t="shared" si="51"/>
        <v>5600000</v>
      </c>
      <c r="K229" s="101">
        <f t="shared" si="51"/>
        <v>0</v>
      </c>
      <c r="L229" s="101">
        <f t="shared" si="51"/>
        <v>0</v>
      </c>
      <c r="M229" s="101">
        <f t="shared" si="51"/>
        <v>0</v>
      </c>
      <c r="N229" s="101">
        <f t="shared" si="51"/>
        <v>5600000</v>
      </c>
      <c r="O229" s="101">
        <f t="shared" si="51"/>
        <v>5600000</v>
      </c>
      <c r="P229" s="122"/>
    </row>
    <row r="230" spans="1:16" ht="24" customHeight="1" x14ac:dyDescent="0.45">
      <c r="A230" s="52" t="s">
        <v>264</v>
      </c>
      <c r="B230" s="52" t="s">
        <v>107</v>
      </c>
      <c r="C230" s="41" t="s">
        <v>656</v>
      </c>
      <c r="D230" s="102">
        <f>'дод 3'!E389+'дод 3'!E320</f>
        <v>0</v>
      </c>
      <c r="E230" s="102">
        <f>'дод 3'!F389+'дод 3'!F320</f>
        <v>0</v>
      </c>
      <c r="F230" s="102">
        <f>'дод 3'!G389+'дод 3'!G320</f>
        <v>0</v>
      </c>
      <c r="G230" s="102">
        <f>'дод 3'!H389+'дод 3'!H320</f>
        <v>0</v>
      </c>
      <c r="H230" s="102">
        <f>'дод 3'!I389+'дод 3'!I320</f>
        <v>0</v>
      </c>
      <c r="I230" s="102">
        <f>'дод 3'!J389+'дод 3'!J320</f>
        <v>26066724</v>
      </c>
      <c r="J230" s="102">
        <f>'дод 3'!K389+'дод 3'!K320</f>
        <v>26066724</v>
      </c>
      <c r="K230" s="102">
        <f>'дод 3'!L389+'дод 3'!L320</f>
        <v>0</v>
      </c>
      <c r="L230" s="102">
        <f>'дод 3'!M389+'дод 3'!M320</f>
        <v>0</v>
      </c>
      <c r="M230" s="102">
        <f>'дод 3'!N389+'дод 3'!N320</f>
        <v>0</v>
      </c>
      <c r="N230" s="102">
        <f>'дод 3'!O389+'дод 3'!O320</f>
        <v>26066724</v>
      </c>
      <c r="O230" s="102">
        <f>'дод 3'!P389+'дод 3'!P320</f>
        <v>26066724</v>
      </c>
      <c r="P230" s="117"/>
    </row>
    <row r="231" spans="1:16" ht="98.25" hidden="1" customHeight="1" x14ac:dyDescent="0.45">
      <c r="A231" s="52"/>
      <c r="B231" s="52"/>
      <c r="C231" s="55" t="str">
        <f>'дод 3'!D321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D231" s="55">
        <f>'дод 3'!E321</f>
        <v>0</v>
      </c>
      <c r="E231" s="55">
        <f>'дод 3'!F321</f>
        <v>0</v>
      </c>
      <c r="F231" s="55">
        <f>'дод 3'!G321</f>
        <v>0</v>
      </c>
      <c r="G231" s="55">
        <f>'дод 3'!H321</f>
        <v>0</v>
      </c>
      <c r="H231" s="55">
        <f>'дод 3'!I321</f>
        <v>0</v>
      </c>
      <c r="I231" s="124">
        <f>'дод 3'!J321</f>
        <v>0</v>
      </c>
      <c r="J231" s="124">
        <f>'дод 3'!K321</f>
        <v>0</v>
      </c>
      <c r="K231" s="124">
        <f>'дод 3'!L321</f>
        <v>0</v>
      </c>
      <c r="L231" s="124">
        <f>'дод 3'!M321</f>
        <v>0</v>
      </c>
      <c r="M231" s="124">
        <f>'дод 3'!N321</f>
        <v>0</v>
      </c>
      <c r="N231" s="124">
        <f>'дод 3'!O321</f>
        <v>0</v>
      </c>
      <c r="O231" s="124">
        <f>'дод 3'!P321</f>
        <v>0</v>
      </c>
      <c r="P231" s="117"/>
    </row>
    <row r="232" spans="1:16" s="105" customFormat="1" ht="17.649999999999999" x14ac:dyDescent="0.45">
      <c r="A232" s="52" t="s">
        <v>269</v>
      </c>
      <c r="B232" s="52" t="s">
        <v>107</v>
      </c>
      <c r="C232" s="41" t="s">
        <v>734</v>
      </c>
      <c r="D232" s="102">
        <f>'дод 3'!E155+'дод 3'!E390</f>
        <v>0</v>
      </c>
      <c r="E232" s="102">
        <f>'дод 3'!F155+'дод 3'!F390</f>
        <v>0</v>
      </c>
      <c r="F232" s="102">
        <f>'дод 3'!G155+'дод 3'!G390</f>
        <v>0</v>
      </c>
      <c r="G232" s="102">
        <f>'дод 3'!H155+'дод 3'!H390</f>
        <v>0</v>
      </c>
      <c r="H232" s="102">
        <f>'дод 3'!I155+'дод 3'!I390</f>
        <v>0</v>
      </c>
      <c r="I232" s="102">
        <f>'дод 3'!J155+'дод 3'!J390</f>
        <v>9452376</v>
      </c>
      <c r="J232" s="102">
        <f>'дод 3'!K155+'дод 3'!K390</f>
        <v>9452376</v>
      </c>
      <c r="K232" s="102">
        <f>'дод 3'!L155+'дод 3'!L390</f>
        <v>0</v>
      </c>
      <c r="L232" s="102">
        <f>'дод 3'!M155+'дод 3'!M390</f>
        <v>0</v>
      </c>
      <c r="M232" s="102">
        <f>'дод 3'!N155+'дод 3'!N390</f>
        <v>0</v>
      </c>
      <c r="N232" s="102">
        <f>'дод 3'!O155+'дод 3'!O390</f>
        <v>9452376</v>
      </c>
      <c r="O232" s="102">
        <f>'дод 3'!P155+'дод 3'!P390</f>
        <v>9452376</v>
      </c>
      <c r="P232" s="117"/>
    </row>
    <row r="233" spans="1:16" s="105" customFormat="1" ht="76.900000000000006" x14ac:dyDescent="0.45">
      <c r="A233" s="52"/>
      <c r="B233" s="52"/>
      <c r="C233" s="55" t="s">
        <v>624</v>
      </c>
      <c r="D233" s="103">
        <f>'дод 3'!E391</f>
        <v>0</v>
      </c>
      <c r="E233" s="103">
        <f>'дод 3'!F391</f>
        <v>0</v>
      </c>
      <c r="F233" s="103">
        <f>'дод 3'!G391</f>
        <v>0</v>
      </c>
      <c r="G233" s="103">
        <f>'дод 3'!H391</f>
        <v>0</v>
      </c>
      <c r="H233" s="103">
        <f>'дод 3'!I391</f>
        <v>0</v>
      </c>
      <c r="I233" s="103">
        <f>'дод 3'!J391</f>
        <v>550000</v>
      </c>
      <c r="J233" s="103">
        <f>'дод 3'!K391</f>
        <v>550000</v>
      </c>
      <c r="K233" s="103">
        <f>'дод 3'!L391</f>
        <v>0</v>
      </c>
      <c r="L233" s="103">
        <f>'дод 3'!M391</f>
        <v>0</v>
      </c>
      <c r="M233" s="103">
        <f>'дод 3'!N391</f>
        <v>0</v>
      </c>
      <c r="N233" s="103">
        <f>'дод 3'!O391</f>
        <v>550000</v>
      </c>
      <c r="O233" s="103">
        <f>'дод 3'!P391</f>
        <v>550000</v>
      </c>
      <c r="P233" s="117"/>
    </row>
    <row r="234" spans="1:16" s="105" customFormat="1" ht="21.75" hidden="1" customHeight="1" x14ac:dyDescent="0.45">
      <c r="A234" s="104"/>
      <c r="B234" s="104"/>
      <c r="C234" s="35" t="s">
        <v>381</v>
      </c>
      <c r="D234" s="103">
        <f>'дод 3'!E156</f>
        <v>0</v>
      </c>
      <c r="E234" s="103">
        <f>'дод 3'!F156</f>
        <v>0</v>
      </c>
      <c r="F234" s="103">
        <f>'дод 3'!G156</f>
        <v>0</v>
      </c>
      <c r="G234" s="103">
        <f>'дод 3'!H156</f>
        <v>0</v>
      </c>
      <c r="H234" s="103">
        <f>'дод 3'!I156</f>
        <v>0</v>
      </c>
      <c r="I234" s="103">
        <f>'дод 3'!J156</f>
        <v>0</v>
      </c>
      <c r="J234" s="103">
        <f>'дод 3'!K156</f>
        <v>0</v>
      </c>
      <c r="K234" s="103">
        <f>'дод 3'!L156</f>
        <v>0</v>
      </c>
      <c r="L234" s="103">
        <f>'дод 3'!M156</f>
        <v>0</v>
      </c>
      <c r="M234" s="103">
        <f>'дод 3'!N156</f>
        <v>0</v>
      </c>
      <c r="N234" s="103">
        <f>'дод 3'!O156</f>
        <v>0</v>
      </c>
      <c r="O234" s="103">
        <f>'дод 3'!P156</f>
        <v>0</v>
      </c>
      <c r="P234" s="117"/>
    </row>
    <row r="235" spans="1:16" s="105" customFormat="1" ht="24" customHeight="1" x14ac:dyDescent="0.45">
      <c r="A235" s="52" t="s">
        <v>271</v>
      </c>
      <c r="B235" s="52" t="s">
        <v>107</v>
      </c>
      <c r="C235" s="41" t="s">
        <v>498</v>
      </c>
      <c r="D235" s="102">
        <f>'дод 3'!E392+'дод 3'!E202</f>
        <v>0</v>
      </c>
      <c r="E235" s="102">
        <f>'дод 3'!F392+'дод 3'!F202</f>
        <v>0</v>
      </c>
      <c r="F235" s="102">
        <f>'дод 3'!G392+'дод 3'!G202</f>
        <v>0</v>
      </c>
      <c r="G235" s="102">
        <f>'дод 3'!H392+'дод 3'!H202</f>
        <v>0</v>
      </c>
      <c r="H235" s="102">
        <f>'дод 3'!I392+'дод 3'!I202</f>
        <v>0</v>
      </c>
      <c r="I235" s="102">
        <f>'дод 3'!J392+'дод 3'!J202</f>
        <v>11248612</v>
      </c>
      <c r="J235" s="102">
        <f>'дод 3'!K392+'дод 3'!K202</f>
        <v>11248612</v>
      </c>
      <c r="K235" s="102">
        <f>'дод 3'!L392+'дод 3'!L202</f>
        <v>0</v>
      </c>
      <c r="L235" s="102">
        <f>'дод 3'!M392+'дод 3'!M202</f>
        <v>0</v>
      </c>
      <c r="M235" s="102">
        <f>'дод 3'!N392+'дод 3'!N202</f>
        <v>0</v>
      </c>
      <c r="N235" s="102">
        <f>'дод 3'!O392+'дод 3'!O202</f>
        <v>11248612</v>
      </c>
      <c r="O235" s="102">
        <f>'дод 3'!P392+'дод 3'!P202</f>
        <v>11248612</v>
      </c>
      <c r="P235" s="117"/>
    </row>
    <row r="236" spans="1:16" s="105" customFormat="1" ht="22.5" hidden="1" customHeight="1" x14ac:dyDescent="0.45">
      <c r="A236" s="52">
        <v>7323</v>
      </c>
      <c r="B236" s="40" t="s">
        <v>107</v>
      </c>
      <c r="C236" s="125" t="s">
        <v>499</v>
      </c>
      <c r="D236" s="102">
        <f>'дод 3'!E260+'дод 3'!E48</f>
        <v>0</v>
      </c>
      <c r="E236" s="102">
        <f>'дод 3'!F260+'дод 3'!F48</f>
        <v>0</v>
      </c>
      <c r="F236" s="102">
        <f>'дод 3'!G260+'дод 3'!G48</f>
        <v>0</v>
      </c>
      <c r="G236" s="102">
        <f>'дод 3'!H260+'дод 3'!H48</f>
        <v>0</v>
      </c>
      <c r="H236" s="102">
        <f>'дод 3'!I260+'дод 3'!I48</f>
        <v>0</v>
      </c>
      <c r="I236" s="102">
        <f>'дод 3'!J260+'дод 3'!J48</f>
        <v>0</v>
      </c>
      <c r="J236" s="102">
        <f>'дод 3'!K260+'дод 3'!K48</f>
        <v>0</v>
      </c>
      <c r="K236" s="102">
        <f>'дод 3'!L260+'дод 3'!L48</f>
        <v>0</v>
      </c>
      <c r="L236" s="102">
        <f>'дод 3'!M260+'дод 3'!M48</f>
        <v>0</v>
      </c>
      <c r="M236" s="102">
        <f>'дод 3'!N260+'дод 3'!N48</f>
        <v>0</v>
      </c>
      <c r="N236" s="102">
        <f>'дод 3'!O260+'дод 3'!O48</f>
        <v>0</v>
      </c>
      <c r="O236" s="102">
        <f>'дод 3'!P260+'дод 3'!P48</f>
        <v>0</v>
      </c>
      <c r="P236" s="117"/>
    </row>
    <row r="237" spans="1:16" s="105" customFormat="1" ht="19.5" hidden="1" customHeight="1" x14ac:dyDescent="0.45">
      <c r="A237" s="52">
        <v>7324</v>
      </c>
      <c r="B237" s="40" t="s">
        <v>107</v>
      </c>
      <c r="C237" s="41" t="s">
        <v>500</v>
      </c>
      <c r="D237" s="102">
        <f>'дод 3'!E284+'дод 3'!E393</f>
        <v>0</v>
      </c>
      <c r="E237" s="102">
        <f>'дод 3'!F284+'дод 3'!F393</f>
        <v>0</v>
      </c>
      <c r="F237" s="102">
        <f>'дод 3'!G284+'дод 3'!G393</f>
        <v>0</v>
      </c>
      <c r="G237" s="102">
        <f>'дод 3'!H284+'дод 3'!H393</f>
        <v>0</v>
      </c>
      <c r="H237" s="102">
        <f>'дод 3'!I284+'дод 3'!I393</f>
        <v>0</v>
      </c>
      <c r="I237" s="102">
        <f>'дод 3'!J284+'дод 3'!J393</f>
        <v>0</v>
      </c>
      <c r="J237" s="102">
        <f>'дод 3'!K284+'дод 3'!K393</f>
        <v>0</v>
      </c>
      <c r="K237" s="102">
        <f>'дод 3'!L284+'дод 3'!L393</f>
        <v>0</v>
      </c>
      <c r="L237" s="102">
        <f>'дод 3'!M284+'дод 3'!M393</f>
        <v>0</v>
      </c>
      <c r="M237" s="102">
        <f>'дод 3'!N284+'дод 3'!N393</f>
        <v>0</v>
      </c>
      <c r="N237" s="102">
        <f>'дод 3'!O284+'дод 3'!O393</f>
        <v>0</v>
      </c>
      <c r="O237" s="102">
        <f>'дод 3'!P284+'дод 3'!P393</f>
        <v>0</v>
      </c>
      <c r="P237" s="117"/>
    </row>
    <row r="238" spans="1:16" s="105" customFormat="1" ht="35.25" customHeight="1" x14ac:dyDescent="0.45">
      <c r="A238" s="52">
        <v>7325</v>
      </c>
      <c r="B238" s="40" t="s">
        <v>107</v>
      </c>
      <c r="C238" s="41" t="s">
        <v>497</v>
      </c>
      <c r="D238" s="102">
        <f>'дод 3'!E394+'дод 3'!E49</f>
        <v>0</v>
      </c>
      <c r="E238" s="102">
        <f>'дод 3'!F394+'дод 3'!F49</f>
        <v>0</v>
      </c>
      <c r="F238" s="102">
        <f>'дод 3'!G394+'дод 3'!G49</f>
        <v>0</v>
      </c>
      <c r="G238" s="102">
        <f>'дод 3'!H394+'дод 3'!H49</f>
        <v>0</v>
      </c>
      <c r="H238" s="102">
        <f>'дод 3'!I394+'дод 3'!I49</f>
        <v>0</v>
      </c>
      <c r="I238" s="102">
        <f>'дод 3'!J394+'дод 3'!J49</f>
        <v>250000</v>
      </c>
      <c r="J238" s="102">
        <f>'дод 3'!K394+'дод 3'!K49</f>
        <v>250000</v>
      </c>
      <c r="K238" s="102">
        <f>'дод 3'!L394+'дод 3'!L49</f>
        <v>0</v>
      </c>
      <c r="L238" s="102">
        <f>'дод 3'!M394+'дод 3'!M49</f>
        <v>0</v>
      </c>
      <c r="M238" s="102">
        <f>'дод 3'!N394+'дод 3'!N49</f>
        <v>0</v>
      </c>
      <c r="N238" s="102">
        <f>'дод 3'!O394+'дод 3'!O49</f>
        <v>250000</v>
      </c>
      <c r="O238" s="102">
        <f>'дод 3'!P394+'дод 3'!P49</f>
        <v>250000</v>
      </c>
      <c r="P238" s="117"/>
    </row>
    <row r="239" spans="1:16" ht="21.75" customHeight="1" x14ac:dyDescent="0.45">
      <c r="A239" s="52" t="s">
        <v>266</v>
      </c>
      <c r="B239" s="52" t="s">
        <v>107</v>
      </c>
      <c r="C239" s="41" t="s">
        <v>716</v>
      </c>
      <c r="D239" s="102">
        <f>'дод 3'!E395+'дод 3'!E322+'дод 3'!E50</f>
        <v>0</v>
      </c>
      <c r="E239" s="102">
        <f>'дод 3'!F395+'дод 3'!F322+'дод 3'!F50</f>
        <v>0</v>
      </c>
      <c r="F239" s="102">
        <f>'дод 3'!G395+'дод 3'!G322+'дод 3'!G50</f>
        <v>0</v>
      </c>
      <c r="G239" s="102">
        <f>'дод 3'!H395+'дод 3'!H322+'дод 3'!H50</f>
        <v>0</v>
      </c>
      <c r="H239" s="102">
        <f>'дод 3'!I395+'дод 3'!I322+'дод 3'!I50</f>
        <v>0</v>
      </c>
      <c r="I239" s="102">
        <f>'дод 3'!J395+'дод 3'!J322+'дод 3'!J50</f>
        <v>24996145</v>
      </c>
      <c r="J239" s="102">
        <f>'дод 3'!K395+'дод 3'!K322+'дод 3'!K50</f>
        <v>24996145</v>
      </c>
      <c r="K239" s="102">
        <f>'дод 3'!L395+'дод 3'!L322+'дод 3'!L50</f>
        <v>0</v>
      </c>
      <c r="L239" s="102">
        <f>'дод 3'!M395+'дод 3'!M322+'дод 3'!M50</f>
        <v>0</v>
      </c>
      <c r="M239" s="102">
        <f>'дод 3'!N395+'дод 3'!N322+'дод 3'!N50</f>
        <v>0</v>
      </c>
      <c r="N239" s="102">
        <f>'дод 3'!O395+'дод 3'!O322+'дод 3'!O50</f>
        <v>24996145</v>
      </c>
      <c r="O239" s="102">
        <f>'дод 3'!P395+'дод 3'!P322+'дод 3'!P50</f>
        <v>24996145</v>
      </c>
      <c r="P239" s="117"/>
    </row>
    <row r="240" spans="1:16" ht="76.900000000000006" x14ac:dyDescent="0.45">
      <c r="A240" s="52"/>
      <c r="B240" s="52"/>
      <c r="C240" s="55" t="s">
        <v>624</v>
      </c>
      <c r="D240" s="102">
        <f>'дод 3'!E396</f>
        <v>0</v>
      </c>
      <c r="E240" s="102">
        <f>'дод 3'!F396</f>
        <v>0</v>
      </c>
      <c r="F240" s="102">
        <f>'дод 3'!G396</f>
        <v>0</v>
      </c>
      <c r="G240" s="102">
        <f>'дод 3'!H396</f>
        <v>0</v>
      </c>
      <c r="H240" s="102">
        <f>'дод 3'!I396</f>
        <v>0</v>
      </c>
      <c r="I240" s="102">
        <f>'дод 3'!J396</f>
        <v>5050000</v>
      </c>
      <c r="J240" s="102">
        <f>'дод 3'!K396</f>
        <v>5050000</v>
      </c>
      <c r="K240" s="102">
        <f>'дод 3'!L396</f>
        <v>0</v>
      </c>
      <c r="L240" s="102">
        <f>'дод 3'!M396</f>
        <v>0</v>
      </c>
      <c r="M240" s="102">
        <f>'дод 3'!N396</f>
        <v>0</v>
      </c>
      <c r="N240" s="102">
        <f>'дод 3'!O396</f>
        <v>5050000</v>
      </c>
      <c r="O240" s="102">
        <f>'дод 3'!P396</f>
        <v>5050000</v>
      </c>
      <c r="P240" s="117"/>
    </row>
    <row r="241" spans="1:16" ht="31.5" customHeight="1" x14ac:dyDescent="0.45">
      <c r="A241" s="52" t="s">
        <v>131</v>
      </c>
      <c r="B241" s="52" t="s">
        <v>107</v>
      </c>
      <c r="C241" s="39" t="s">
        <v>1</v>
      </c>
      <c r="D241" s="102">
        <f>'дод 3'!E323+'дод 3'!E397+'дод 3'!E411+'дод 3'!E445</f>
        <v>0</v>
      </c>
      <c r="E241" s="102">
        <f>'дод 3'!F323+'дод 3'!F397+'дод 3'!F411+'дод 3'!F445</f>
        <v>0</v>
      </c>
      <c r="F241" s="102">
        <f>'дод 3'!G323+'дод 3'!G397+'дод 3'!G411+'дод 3'!G445</f>
        <v>0</v>
      </c>
      <c r="G241" s="102">
        <f>'дод 3'!H323+'дод 3'!H397+'дод 3'!H411+'дод 3'!H445</f>
        <v>0</v>
      </c>
      <c r="H241" s="102">
        <f>'дод 3'!I323+'дод 3'!I397+'дод 3'!I411+'дод 3'!I445</f>
        <v>0</v>
      </c>
      <c r="I241" s="102">
        <f>'дод 3'!J323+'дод 3'!J397+'дод 3'!J411+'дод 3'!J445</f>
        <v>7496165</v>
      </c>
      <c r="J241" s="102">
        <f>'дод 3'!K323+'дод 3'!K397+'дод 3'!K411+'дод 3'!K445</f>
        <v>7496165</v>
      </c>
      <c r="K241" s="102">
        <f>'дод 3'!L323+'дод 3'!L397+'дод 3'!L411+'дод 3'!L445</f>
        <v>0</v>
      </c>
      <c r="L241" s="102">
        <f>'дод 3'!M323+'дод 3'!M397+'дод 3'!M411+'дод 3'!M445</f>
        <v>0</v>
      </c>
      <c r="M241" s="102">
        <f>'дод 3'!N323+'дод 3'!N397+'дод 3'!N411+'дод 3'!N445</f>
        <v>0</v>
      </c>
      <c r="N241" s="102">
        <f>'дод 3'!O323+'дод 3'!O397+'дод 3'!O411+'дод 3'!O445</f>
        <v>7496165</v>
      </c>
      <c r="O241" s="102">
        <f>'дод 3'!P323+'дод 3'!P397+'дод 3'!P411+'дод 3'!P445</f>
        <v>7496165</v>
      </c>
      <c r="P241" s="117"/>
    </row>
    <row r="242" spans="1:16" ht="35.25" hidden="1" customHeight="1" x14ac:dyDescent="0.45">
      <c r="A242" s="40" t="s">
        <v>430</v>
      </c>
      <c r="B242" s="40" t="s">
        <v>107</v>
      </c>
      <c r="C242" s="39" t="s">
        <v>431</v>
      </c>
      <c r="D242" s="102">
        <f>'дод 3'!E412</f>
        <v>0</v>
      </c>
      <c r="E242" s="102">
        <f>'дод 3'!F412</f>
        <v>0</v>
      </c>
      <c r="F242" s="102">
        <f>'дод 3'!G412</f>
        <v>0</v>
      </c>
      <c r="G242" s="102">
        <f>'дод 3'!H412</f>
        <v>0</v>
      </c>
      <c r="H242" s="102">
        <f>'дод 3'!I412</f>
        <v>0</v>
      </c>
      <c r="I242" s="102">
        <f>'дод 3'!J412</f>
        <v>0</v>
      </c>
      <c r="J242" s="102">
        <f>'дод 3'!K412</f>
        <v>0</v>
      </c>
      <c r="K242" s="102">
        <f>'дод 3'!L412</f>
        <v>0</v>
      </c>
      <c r="L242" s="102">
        <f>'дод 3'!M412</f>
        <v>0</v>
      </c>
      <c r="M242" s="102">
        <f>'дод 3'!N412</f>
        <v>0</v>
      </c>
      <c r="N242" s="102">
        <f>'дод 3'!O412</f>
        <v>0</v>
      </c>
      <c r="O242" s="102">
        <f>'дод 3'!P412</f>
        <v>0</v>
      </c>
      <c r="P242" s="117"/>
    </row>
    <row r="243" spans="1:16" ht="40.9" customHeight="1" x14ac:dyDescent="0.45">
      <c r="A243" s="52">
        <v>7361</v>
      </c>
      <c r="B243" s="52" t="s">
        <v>78</v>
      </c>
      <c r="C243" s="39" t="s">
        <v>359</v>
      </c>
      <c r="D243" s="102">
        <f>'дод 3'!E324+'дод 3'!E398+'дод 3'!E203</f>
        <v>0</v>
      </c>
      <c r="E243" s="102">
        <f>'дод 3'!F324+'дод 3'!F398+'дод 3'!F203</f>
        <v>0</v>
      </c>
      <c r="F243" s="102">
        <f>'дод 3'!G324+'дод 3'!G398+'дод 3'!G203</f>
        <v>0</v>
      </c>
      <c r="G243" s="102">
        <f>'дод 3'!H324+'дод 3'!H398+'дод 3'!H203</f>
        <v>0</v>
      </c>
      <c r="H243" s="102">
        <f>'дод 3'!I324+'дод 3'!I398+'дод 3'!I203</f>
        <v>0</v>
      </c>
      <c r="I243" s="102">
        <f>'дод 3'!J324+'дод 3'!J398+'дод 3'!J203</f>
        <v>68209</v>
      </c>
      <c r="J243" s="102">
        <f>'дод 3'!K324+'дод 3'!K398+'дод 3'!K203</f>
        <v>68209</v>
      </c>
      <c r="K243" s="102">
        <f>'дод 3'!L324+'дод 3'!L398+'дод 3'!L203</f>
        <v>0</v>
      </c>
      <c r="L243" s="102">
        <f>'дод 3'!M324+'дод 3'!M398+'дод 3'!M203</f>
        <v>0</v>
      </c>
      <c r="M243" s="102">
        <f>'дод 3'!N324+'дод 3'!N398+'дод 3'!N203</f>
        <v>0</v>
      </c>
      <c r="N243" s="102">
        <f>'дод 3'!O324+'дод 3'!O398+'дод 3'!O203</f>
        <v>68209</v>
      </c>
      <c r="O243" s="102">
        <f>'дод 3'!P324+'дод 3'!P398+'дод 3'!P203</f>
        <v>68209</v>
      </c>
      <c r="P243" s="117"/>
    </row>
    <row r="244" spans="1:16" s="105" customFormat="1" ht="46.5" hidden="1" customHeight="1" x14ac:dyDescent="0.45">
      <c r="A244" s="52">
        <v>7362</v>
      </c>
      <c r="B244" s="52" t="s">
        <v>78</v>
      </c>
      <c r="C244" s="39" t="s">
        <v>351</v>
      </c>
      <c r="D244" s="102">
        <f>'дод 3'!E325</f>
        <v>0</v>
      </c>
      <c r="E244" s="102">
        <f>'дод 3'!F325</f>
        <v>0</v>
      </c>
      <c r="F244" s="102">
        <f>'дод 3'!G325</f>
        <v>0</v>
      </c>
      <c r="G244" s="102">
        <f>'дод 3'!H325</f>
        <v>0</v>
      </c>
      <c r="H244" s="102">
        <f>'дод 3'!I325</f>
        <v>0</v>
      </c>
      <c r="I244" s="102">
        <f>'дод 3'!J325</f>
        <v>0</v>
      </c>
      <c r="J244" s="102">
        <f>'дод 3'!K325</f>
        <v>0</v>
      </c>
      <c r="K244" s="102">
        <f>'дод 3'!L325</f>
        <v>0</v>
      </c>
      <c r="L244" s="102">
        <f>'дод 3'!M325</f>
        <v>0</v>
      </c>
      <c r="M244" s="102">
        <f>'дод 3'!N325</f>
        <v>0</v>
      </c>
      <c r="N244" s="102">
        <f>'дод 3'!O325</f>
        <v>0</v>
      </c>
      <c r="O244" s="102">
        <f>'дод 3'!P325</f>
        <v>0</v>
      </c>
      <c r="P244" s="117"/>
    </row>
    <row r="245" spans="1:16" s="105" customFormat="1" ht="47.25" hidden="1" customHeight="1" x14ac:dyDescent="0.45">
      <c r="A245" s="52">
        <v>7363</v>
      </c>
      <c r="B245" s="28" t="s">
        <v>78</v>
      </c>
      <c r="C245" s="30" t="s">
        <v>556</v>
      </c>
      <c r="D245" s="102">
        <f>'дод 3'!E326+'дод 3'!E157+'дод 3'!E204+'дод 3'!E399</f>
        <v>0</v>
      </c>
      <c r="E245" s="102">
        <f>'дод 3'!F326+'дод 3'!F157+'дод 3'!F204+'дод 3'!F399</f>
        <v>0</v>
      </c>
      <c r="F245" s="102">
        <f>'дод 3'!G326+'дод 3'!G157+'дод 3'!G204+'дод 3'!G399</f>
        <v>0</v>
      </c>
      <c r="G245" s="102">
        <f>'дод 3'!H326+'дод 3'!H157+'дод 3'!H204+'дод 3'!H399</f>
        <v>0</v>
      </c>
      <c r="H245" s="102">
        <f>'дод 3'!I326+'дод 3'!I157+'дод 3'!I204+'дод 3'!I399</f>
        <v>0</v>
      </c>
      <c r="I245" s="102">
        <f>'дод 3'!J326+'дод 3'!J157+'дод 3'!J204+'дод 3'!J399</f>
        <v>0</v>
      </c>
      <c r="J245" s="102">
        <f>'дод 3'!K326+'дод 3'!K157+'дод 3'!K204+'дод 3'!K399</f>
        <v>0</v>
      </c>
      <c r="K245" s="102">
        <f>'дод 3'!L326+'дод 3'!L157+'дод 3'!L204+'дод 3'!L399</f>
        <v>0</v>
      </c>
      <c r="L245" s="102">
        <f>'дод 3'!M326+'дод 3'!M157+'дод 3'!M204+'дод 3'!M399</f>
        <v>0</v>
      </c>
      <c r="M245" s="102">
        <f>'дод 3'!N326+'дод 3'!N157+'дод 3'!N204+'дод 3'!N399</f>
        <v>0</v>
      </c>
      <c r="N245" s="102">
        <f>'дод 3'!O326+'дод 3'!O157+'дод 3'!O204+'дод 3'!O399</f>
        <v>0</v>
      </c>
      <c r="O245" s="102">
        <f>'дод 3'!P326+'дод 3'!P157+'дод 3'!P204+'дод 3'!P399</f>
        <v>0</v>
      </c>
      <c r="P245" s="117"/>
    </row>
    <row r="246" spans="1:16" s="105" customFormat="1" ht="47.25" hidden="1" customHeight="1" x14ac:dyDescent="0.45">
      <c r="A246" s="104"/>
      <c r="B246" s="33"/>
      <c r="C246" s="55" t="s">
        <v>579</v>
      </c>
      <c r="D246" s="103">
        <f>'дод 3'!E158+'дод 3'!E205+'дод 3'!E327+'дод 3'!E400</f>
        <v>0</v>
      </c>
      <c r="E246" s="103">
        <f>'дод 3'!F158+'дод 3'!F205+'дод 3'!F327+'дод 3'!F400</f>
        <v>0</v>
      </c>
      <c r="F246" s="103">
        <f>'дод 3'!G158+'дод 3'!G205+'дод 3'!G327+'дод 3'!G400</f>
        <v>0</v>
      </c>
      <c r="G246" s="103">
        <f>'дод 3'!H158+'дод 3'!H205+'дод 3'!H327+'дод 3'!H400</f>
        <v>0</v>
      </c>
      <c r="H246" s="103">
        <f>'дод 3'!I158+'дод 3'!I205+'дод 3'!I327+'дод 3'!I400</f>
        <v>0</v>
      </c>
      <c r="I246" s="103">
        <f>'дод 3'!J158+'дод 3'!J205+'дод 3'!J327+'дод 3'!J400</f>
        <v>0</v>
      </c>
      <c r="J246" s="103">
        <f>'дод 3'!K158+'дод 3'!K205+'дод 3'!K327+'дод 3'!K400</f>
        <v>0</v>
      </c>
      <c r="K246" s="103">
        <f>'дод 3'!L158+'дод 3'!L205+'дод 3'!L327+'дод 3'!L400</f>
        <v>0</v>
      </c>
      <c r="L246" s="103">
        <f>'дод 3'!M158+'дод 3'!M205+'дод 3'!M327+'дод 3'!M400</f>
        <v>0</v>
      </c>
      <c r="M246" s="103">
        <f>'дод 3'!N158+'дод 3'!N205+'дод 3'!N327+'дод 3'!N400</f>
        <v>0</v>
      </c>
      <c r="N246" s="103">
        <f>'дод 3'!O158+'дод 3'!O205+'дод 3'!O327+'дод 3'!O400</f>
        <v>0</v>
      </c>
      <c r="O246" s="103">
        <f>'дод 3'!P158+'дод 3'!P205+'дод 3'!P327+'дод 3'!P400</f>
        <v>0</v>
      </c>
      <c r="P246" s="117"/>
    </row>
    <row r="247" spans="1:16" ht="31.5" hidden="1" customHeight="1" x14ac:dyDescent="0.45">
      <c r="A247" s="52">
        <v>7368</v>
      </c>
      <c r="B247" s="52" t="s">
        <v>78</v>
      </c>
      <c r="C247" s="30" t="s">
        <v>524</v>
      </c>
      <c r="D247" s="102">
        <f>'дод 3'!E328</f>
        <v>0</v>
      </c>
      <c r="E247" s="102">
        <f>'дод 3'!F328</f>
        <v>0</v>
      </c>
      <c r="F247" s="102">
        <f>'дод 3'!G328</f>
        <v>0</v>
      </c>
      <c r="G247" s="102">
        <f>'дод 3'!H328</f>
        <v>0</v>
      </c>
      <c r="H247" s="102">
        <f>'дод 3'!I328</f>
        <v>0</v>
      </c>
      <c r="I247" s="102">
        <f>'дод 3'!J328</f>
        <v>0</v>
      </c>
      <c r="J247" s="102">
        <f>'дод 3'!K328</f>
        <v>0</v>
      </c>
      <c r="K247" s="102">
        <f>'дод 3'!L328</f>
        <v>0</v>
      </c>
      <c r="L247" s="102">
        <f>'дод 3'!M328</f>
        <v>0</v>
      </c>
      <c r="M247" s="102">
        <f>'дод 3'!N328</f>
        <v>0</v>
      </c>
      <c r="N247" s="102">
        <f>'дод 3'!O328</f>
        <v>0</v>
      </c>
      <c r="O247" s="102">
        <f>'дод 3'!P328</f>
        <v>0</v>
      </c>
      <c r="P247" s="117"/>
    </row>
    <row r="248" spans="1:16" s="105" customFormat="1" ht="15.75" hidden="1" customHeight="1" x14ac:dyDescent="0.45">
      <c r="A248" s="104"/>
      <c r="B248" s="33"/>
      <c r="C248" s="35" t="s">
        <v>380</v>
      </c>
      <c r="D248" s="103">
        <f>'дод 3'!E329</f>
        <v>0</v>
      </c>
      <c r="E248" s="103">
        <f>'дод 3'!F329</f>
        <v>0</v>
      </c>
      <c r="F248" s="103">
        <f>'дод 3'!G329</f>
        <v>0</v>
      </c>
      <c r="G248" s="103">
        <f>'дод 3'!H329</f>
        <v>0</v>
      </c>
      <c r="H248" s="103">
        <f>'дод 3'!I329</f>
        <v>0</v>
      </c>
      <c r="I248" s="103">
        <f>'дод 3'!J329</f>
        <v>0</v>
      </c>
      <c r="J248" s="103">
        <f>'дод 3'!K329</f>
        <v>0</v>
      </c>
      <c r="K248" s="103">
        <f>'дод 3'!L329</f>
        <v>0</v>
      </c>
      <c r="L248" s="103">
        <f>'дод 3'!M329</f>
        <v>0</v>
      </c>
      <c r="M248" s="103">
        <f>'дод 3'!N329</f>
        <v>0</v>
      </c>
      <c r="N248" s="103">
        <f>'дод 3'!O329</f>
        <v>0</v>
      </c>
      <c r="O248" s="103">
        <f>'дод 3'!P329</f>
        <v>0</v>
      </c>
      <c r="P248" s="117"/>
    </row>
    <row r="249" spans="1:16" s="105" customFormat="1" ht="31.5" customHeight="1" x14ac:dyDescent="0.45">
      <c r="A249" s="52">
        <v>7370</v>
      </c>
      <c r="B249" s="28" t="s">
        <v>78</v>
      </c>
      <c r="C249" s="30" t="s">
        <v>408</v>
      </c>
      <c r="D249" s="102">
        <f>'дод 3'!E401+'дод 3'!E413+'дод 3'!E446</f>
        <v>245000</v>
      </c>
      <c r="E249" s="102">
        <f>'дод 3'!F401+'дод 3'!F413+'дод 3'!F446</f>
        <v>245000</v>
      </c>
      <c r="F249" s="102">
        <f>'дод 3'!G401+'дод 3'!G413+'дод 3'!G446</f>
        <v>0</v>
      </c>
      <c r="G249" s="102">
        <f>'дод 3'!H401+'дод 3'!H413+'дод 3'!H446</f>
        <v>0</v>
      </c>
      <c r="H249" s="102">
        <f>'дод 3'!I401+'дод 3'!I413+'дод 3'!I446</f>
        <v>0</v>
      </c>
      <c r="I249" s="102">
        <f>'дод 3'!J401+'дод 3'!J413+'дод 3'!J446</f>
        <v>250000</v>
      </c>
      <c r="J249" s="102">
        <f>'дод 3'!K401+'дод 3'!K413+'дод 3'!K446</f>
        <v>250000</v>
      </c>
      <c r="K249" s="102">
        <f>'дод 3'!L401+'дод 3'!L413+'дод 3'!L446</f>
        <v>0</v>
      </c>
      <c r="L249" s="102">
        <f>'дод 3'!M401+'дод 3'!M413+'дод 3'!M446</f>
        <v>0</v>
      </c>
      <c r="M249" s="102">
        <f>'дод 3'!N401+'дод 3'!N413+'дод 3'!N446</f>
        <v>0</v>
      </c>
      <c r="N249" s="102">
        <f>'дод 3'!O401+'дод 3'!O413+'дод 3'!O446</f>
        <v>250000</v>
      </c>
      <c r="O249" s="102">
        <f>'дод 3'!P401+'дод 3'!P413+'дод 3'!P446</f>
        <v>495000</v>
      </c>
      <c r="P249" s="117"/>
    </row>
    <row r="250" spans="1:16" s="105" customFormat="1" ht="46.15" x14ac:dyDescent="0.45">
      <c r="A250" s="52">
        <v>7375</v>
      </c>
      <c r="B250" s="28" t="s">
        <v>78</v>
      </c>
      <c r="C250" s="30" t="s">
        <v>651</v>
      </c>
      <c r="D250" s="102">
        <f>'дод 3'!E335</f>
        <v>1800000</v>
      </c>
      <c r="E250" s="102">
        <f>'дод 3'!F335</f>
        <v>1800000</v>
      </c>
      <c r="F250" s="102">
        <f>'дод 3'!G335</f>
        <v>0</v>
      </c>
      <c r="G250" s="102">
        <f>'дод 3'!H335</f>
        <v>0</v>
      </c>
      <c r="H250" s="102">
        <f>'дод 3'!I335</f>
        <v>0</v>
      </c>
      <c r="I250" s="102">
        <f>'дод 3'!J335</f>
        <v>2700000</v>
      </c>
      <c r="J250" s="102">
        <f>'дод 3'!K335</f>
        <v>2700000</v>
      </c>
      <c r="K250" s="102">
        <f>'дод 3'!L335</f>
        <v>0</v>
      </c>
      <c r="L250" s="102">
        <f>'дод 3'!M335</f>
        <v>0</v>
      </c>
      <c r="M250" s="102">
        <f>'дод 3'!N335</f>
        <v>0</v>
      </c>
      <c r="N250" s="102">
        <f>'дод 3'!O335</f>
        <v>2700000</v>
      </c>
      <c r="O250" s="102">
        <f>'дод 3'!P335</f>
        <v>4500000</v>
      </c>
      <c r="P250" s="117"/>
    </row>
    <row r="251" spans="1:16" s="105" customFormat="1" ht="45.75" hidden="1" customHeight="1" x14ac:dyDescent="0.45">
      <c r="A251" s="52">
        <v>7383</v>
      </c>
      <c r="B251" s="28" t="s">
        <v>78</v>
      </c>
      <c r="C251" s="30" t="s">
        <v>627</v>
      </c>
      <c r="D251" s="102">
        <f>'дод 3'!E336</f>
        <v>0</v>
      </c>
      <c r="E251" s="102">
        <f>'дод 3'!F336</f>
        <v>0</v>
      </c>
      <c r="F251" s="102">
        <f>'дод 3'!G336</f>
        <v>0</v>
      </c>
      <c r="G251" s="102">
        <f>'дод 3'!H336</f>
        <v>0</v>
      </c>
      <c r="H251" s="102">
        <f>'дод 3'!I336</f>
        <v>0</v>
      </c>
      <c r="I251" s="102">
        <f>'дод 3'!J336</f>
        <v>0</v>
      </c>
      <c r="J251" s="102">
        <f>'дод 3'!K336</f>
        <v>0</v>
      </c>
      <c r="K251" s="102">
        <f>'дод 3'!L336</f>
        <v>0</v>
      </c>
      <c r="L251" s="102">
        <f>'дод 3'!M336</f>
        <v>0</v>
      </c>
      <c r="M251" s="102">
        <f>'дод 3'!N336</f>
        <v>0</v>
      </c>
      <c r="N251" s="102">
        <f>'дод 3'!O336</f>
        <v>0</v>
      </c>
      <c r="O251" s="102">
        <f>'дод 3'!P336</f>
        <v>0</v>
      </c>
      <c r="P251" s="117"/>
    </row>
    <row r="252" spans="1:16" s="105" customFormat="1" ht="48" hidden="1" customHeight="1" x14ac:dyDescent="0.45">
      <c r="A252" s="52"/>
      <c r="B252" s="28"/>
      <c r="C252" s="35" t="s">
        <v>628</v>
      </c>
      <c r="D252" s="103">
        <f>'дод 3'!E337</f>
        <v>0</v>
      </c>
      <c r="E252" s="103">
        <f>'дод 3'!F337</f>
        <v>0</v>
      </c>
      <c r="F252" s="103">
        <f>'дод 3'!G337</f>
        <v>0</v>
      </c>
      <c r="G252" s="103">
        <f>'дод 3'!H337</f>
        <v>0</v>
      </c>
      <c r="H252" s="103">
        <f>'дод 3'!I337</f>
        <v>0</v>
      </c>
      <c r="I252" s="103">
        <f>'дод 3'!J337</f>
        <v>0</v>
      </c>
      <c r="J252" s="103">
        <f>'дод 3'!K337</f>
        <v>0</v>
      </c>
      <c r="K252" s="103">
        <f>'дод 3'!L337</f>
        <v>0</v>
      </c>
      <c r="L252" s="103">
        <f>'дод 3'!M337</f>
        <v>0</v>
      </c>
      <c r="M252" s="103">
        <f>'дод 3'!N337</f>
        <v>0</v>
      </c>
      <c r="N252" s="103">
        <f>'дод 3'!O337</f>
        <v>0</v>
      </c>
      <c r="O252" s="103">
        <f>'дод 3'!P337</f>
        <v>0</v>
      </c>
      <c r="P252" s="117"/>
    </row>
    <row r="253" spans="1:16" s="105" customFormat="1" ht="75.400000000000006" customHeight="1" x14ac:dyDescent="0.45">
      <c r="A253" s="52">
        <v>7384</v>
      </c>
      <c r="B253" s="28" t="s">
        <v>78</v>
      </c>
      <c r="C253" s="39" t="s">
        <v>667</v>
      </c>
      <c r="D253" s="103">
        <f>'дод 3'!E341+'дод 3'!E159</f>
        <v>0</v>
      </c>
      <c r="E253" s="103">
        <f>'дод 3'!F341+'дод 3'!F159</f>
        <v>0</v>
      </c>
      <c r="F253" s="103">
        <f>'дод 3'!G341+'дод 3'!G159</f>
        <v>0</v>
      </c>
      <c r="G253" s="103">
        <f>'дод 3'!H341+'дод 3'!H159</f>
        <v>0</v>
      </c>
      <c r="H253" s="103">
        <f>'дод 3'!I341+'дод 3'!I159</f>
        <v>0</v>
      </c>
      <c r="I253" s="103">
        <f>'дод 3'!J341+'дод 3'!J159</f>
        <v>67150626.659999996</v>
      </c>
      <c r="J253" s="103">
        <f>'дод 3'!K341+'дод 3'!K159</f>
        <v>0</v>
      </c>
      <c r="K253" s="103">
        <f>'дод 3'!L341+'дод 3'!L159</f>
        <v>0</v>
      </c>
      <c r="L253" s="103">
        <f>'дод 3'!M341+'дод 3'!M159</f>
        <v>0</v>
      </c>
      <c r="M253" s="103">
        <f>'дод 3'!N341+'дод 3'!N159</f>
        <v>0</v>
      </c>
      <c r="N253" s="103">
        <f>'дод 3'!O341+'дод 3'!O159</f>
        <v>67150626.659999996</v>
      </c>
      <c r="O253" s="103">
        <f>'дод 3'!P341+'дод 3'!P159</f>
        <v>67150626.659999996</v>
      </c>
      <c r="P253" s="117"/>
    </row>
    <row r="254" spans="1:16" s="105" customFormat="1" ht="102.75" customHeight="1" x14ac:dyDescent="0.45">
      <c r="A254" s="52"/>
      <c r="B254" s="28"/>
      <c r="C254" s="51" t="s">
        <v>671</v>
      </c>
      <c r="D254" s="103">
        <f>'дод 3'!E342+'дод 3'!E160</f>
        <v>0</v>
      </c>
      <c r="E254" s="103">
        <f>'дод 3'!F342+'дод 3'!F160</f>
        <v>0</v>
      </c>
      <c r="F254" s="103">
        <f>'дод 3'!G342+'дод 3'!G160</f>
        <v>0</v>
      </c>
      <c r="G254" s="103">
        <f>'дод 3'!H342+'дод 3'!H160</f>
        <v>0</v>
      </c>
      <c r="H254" s="103">
        <f>'дод 3'!I342+'дод 3'!I160</f>
        <v>0</v>
      </c>
      <c r="I254" s="103">
        <f>'дод 3'!J342+'дод 3'!J160</f>
        <v>67150626.659999996</v>
      </c>
      <c r="J254" s="103">
        <f>'дод 3'!K342+'дод 3'!K160</f>
        <v>0</v>
      </c>
      <c r="K254" s="103">
        <f>'дод 3'!L342+'дод 3'!L160</f>
        <v>0</v>
      </c>
      <c r="L254" s="103">
        <f>'дод 3'!M342+'дод 3'!M160</f>
        <v>0</v>
      </c>
      <c r="M254" s="103">
        <f>'дод 3'!N342+'дод 3'!N160</f>
        <v>0</v>
      </c>
      <c r="N254" s="103">
        <f>'дод 3'!O342+'дод 3'!O160</f>
        <v>67150626.659999996</v>
      </c>
      <c r="O254" s="103">
        <f>'дод 3'!P342+'дод 3'!P160</f>
        <v>67150626.659999996</v>
      </c>
      <c r="P254" s="117"/>
    </row>
    <row r="255" spans="1:16" s="96" customFormat="1" ht="34.5" customHeight="1" x14ac:dyDescent="0.4">
      <c r="A255" s="106" t="s">
        <v>81</v>
      </c>
      <c r="B255" s="110"/>
      <c r="C255" s="111" t="s">
        <v>546</v>
      </c>
      <c r="D255" s="100">
        <f>D259+D260+D261+D262+D264+D266+D265</f>
        <v>91060000</v>
      </c>
      <c r="E255" s="100">
        <f t="shared" ref="E255:N255" si="52">E259+E260+E261+E262+E264+E266+E265</f>
        <v>0</v>
      </c>
      <c r="F255" s="100">
        <f t="shared" si="52"/>
        <v>0</v>
      </c>
      <c r="G255" s="100">
        <f t="shared" si="52"/>
        <v>0</v>
      </c>
      <c r="H255" s="100">
        <f t="shared" si="52"/>
        <v>91060000</v>
      </c>
      <c r="I255" s="100">
        <f>I259+I260+I261+I262+I264+I266+I265</f>
        <v>0</v>
      </c>
      <c r="J255" s="100">
        <f t="shared" si="52"/>
        <v>0</v>
      </c>
      <c r="K255" s="100">
        <f t="shared" si="52"/>
        <v>0</v>
      </c>
      <c r="L255" s="100">
        <f t="shared" si="52"/>
        <v>0</v>
      </c>
      <c r="M255" s="100">
        <f t="shared" si="52"/>
        <v>0</v>
      </c>
      <c r="N255" s="100">
        <f t="shared" si="52"/>
        <v>0</v>
      </c>
      <c r="O255" s="100">
        <f>O259+O260+O261+O262+O264+O266+O265</f>
        <v>91060000</v>
      </c>
      <c r="P255" s="117"/>
    </row>
    <row r="256" spans="1:16" s="108" customFormat="1" ht="97.5" hidden="1" customHeight="1" x14ac:dyDescent="0.4">
      <c r="A256" s="107"/>
      <c r="B256" s="112"/>
      <c r="C256" s="66" t="s">
        <v>382</v>
      </c>
      <c r="D256" s="101">
        <f t="shared" ref="D256:O256" si="53">D267</f>
        <v>0</v>
      </c>
      <c r="E256" s="101">
        <f t="shared" si="53"/>
        <v>0</v>
      </c>
      <c r="F256" s="101">
        <f t="shared" si="53"/>
        <v>0</v>
      </c>
      <c r="G256" s="101">
        <f t="shared" si="53"/>
        <v>0</v>
      </c>
      <c r="H256" s="101">
        <f t="shared" si="53"/>
        <v>0</v>
      </c>
      <c r="I256" s="101">
        <f>I267</f>
        <v>0</v>
      </c>
      <c r="J256" s="101">
        <f t="shared" si="53"/>
        <v>0</v>
      </c>
      <c r="K256" s="101">
        <f t="shared" si="53"/>
        <v>0</v>
      </c>
      <c r="L256" s="101">
        <f t="shared" si="53"/>
        <v>0</v>
      </c>
      <c r="M256" s="101">
        <f t="shared" si="53"/>
        <v>0</v>
      </c>
      <c r="N256" s="101">
        <f t="shared" si="53"/>
        <v>0</v>
      </c>
      <c r="O256" s="101">
        <f t="shared" si="53"/>
        <v>0</v>
      </c>
      <c r="P256" s="117"/>
    </row>
    <row r="257" spans="1:16" s="108" customFormat="1" ht="65.25" hidden="1" customHeight="1" x14ac:dyDescent="0.4">
      <c r="A257" s="107"/>
      <c r="B257" s="112"/>
      <c r="C257" s="66" t="s">
        <v>419</v>
      </c>
      <c r="D257" s="101" t="e">
        <f>#REF!</f>
        <v>#REF!</v>
      </c>
      <c r="E257" s="101" t="e">
        <f>#REF!</f>
        <v>#REF!</v>
      </c>
      <c r="F257" s="101" t="e">
        <f>#REF!</f>
        <v>#REF!</v>
      </c>
      <c r="G257" s="101" t="e">
        <f>#REF!</f>
        <v>#REF!</v>
      </c>
      <c r="H257" s="101" t="e">
        <f>#REF!</f>
        <v>#REF!</v>
      </c>
      <c r="I257" s="101" t="e">
        <f>#REF!</f>
        <v>#REF!</v>
      </c>
      <c r="J257" s="101" t="e">
        <f>#REF!</f>
        <v>#REF!</v>
      </c>
      <c r="K257" s="101" t="e">
        <f>#REF!</f>
        <v>#REF!</v>
      </c>
      <c r="L257" s="101" t="e">
        <f>#REF!</f>
        <v>#REF!</v>
      </c>
      <c r="M257" s="101" t="e">
        <f>#REF!</f>
        <v>#REF!</v>
      </c>
      <c r="N257" s="101" t="e">
        <f>#REF!</f>
        <v>#REF!</v>
      </c>
      <c r="O257" s="101" t="e">
        <f>#REF!</f>
        <v>#REF!</v>
      </c>
      <c r="P257" s="117"/>
    </row>
    <row r="258" spans="1:16" s="108" customFormat="1" ht="15.75" hidden="1" customHeight="1" x14ac:dyDescent="0.4">
      <c r="A258" s="107"/>
      <c r="B258" s="112"/>
      <c r="C258" s="25" t="s">
        <v>380</v>
      </c>
      <c r="D258" s="101" t="e">
        <f>#REF!</f>
        <v>#REF!</v>
      </c>
      <c r="E258" s="101" t="e">
        <f>#REF!</f>
        <v>#REF!</v>
      </c>
      <c r="F258" s="101" t="e">
        <f>#REF!</f>
        <v>#REF!</v>
      </c>
      <c r="G258" s="101" t="e">
        <f>#REF!</f>
        <v>#REF!</v>
      </c>
      <c r="H258" s="101" t="e">
        <f>#REF!</f>
        <v>#REF!</v>
      </c>
      <c r="I258" s="101" t="e">
        <f>#REF!</f>
        <v>#REF!</v>
      </c>
      <c r="J258" s="101" t="e">
        <f>#REF!</f>
        <v>#REF!</v>
      </c>
      <c r="K258" s="101" t="e">
        <f>#REF!</f>
        <v>#REF!</v>
      </c>
      <c r="L258" s="101" t="e">
        <f>#REF!</f>
        <v>#REF!</v>
      </c>
      <c r="M258" s="101" t="e">
        <f>#REF!</f>
        <v>#REF!</v>
      </c>
      <c r="N258" s="101" t="e">
        <f>#REF!</f>
        <v>#REF!</v>
      </c>
      <c r="O258" s="101" t="e">
        <f>#REF!</f>
        <v>#REF!</v>
      </c>
      <c r="P258" s="117"/>
    </row>
    <row r="259" spans="1:16" s="105" customFormat="1" ht="18.75" customHeight="1" x14ac:dyDescent="0.45">
      <c r="A259" s="52" t="s">
        <v>3</v>
      </c>
      <c r="B259" s="52" t="s">
        <v>80</v>
      </c>
      <c r="C259" s="39" t="s">
        <v>35</v>
      </c>
      <c r="D259" s="102">
        <f>'дод 3'!E51+'дод 3'!E343</f>
        <v>26100000</v>
      </c>
      <c r="E259" s="102">
        <f>'дод 3'!F51+'дод 3'!F343</f>
        <v>0</v>
      </c>
      <c r="F259" s="102">
        <f>'дод 3'!G51+'дод 3'!G343</f>
        <v>0</v>
      </c>
      <c r="G259" s="102">
        <f>'дод 3'!H51+'дод 3'!H343</f>
        <v>0</v>
      </c>
      <c r="H259" s="102">
        <f>'дод 3'!I51+'дод 3'!I343</f>
        <v>26100000</v>
      </c>
      <c r="I259" s="102">
        <f>'дод 3'!J51+'дод 3'!J343</f>
        <v>0</v>
      </c>
      <c r="J259" s="102">
        <f>'дод 3'!K51+'дод 3'!K343</f>
        <v>0</v>
      </c>
      <c r="K259" s="102">
        <f>'дод 3'!L51+'дод 3'!L343</f>
        <v>0</v>
      </c>
      <c r="L259" s="102">
        <f>'дод 3'!M51+'дод 3'!M343</f>
        <v>0</v>
      </c>
      <c r="M259" s="102">
        <f>'дод 3'!N51+'дод 3'!N343</f>
        <v>0</v>
      </c>
      <c r="N259" s="102">
        <f>'дод 3'!O51+'дод 3'!O343</f>
        <v>0</v>
      </c>
      <c r="O259" s="102">
        <f>'дод 3'!P51+'дод 3'!P343</f>
        <v>26100000</v>
      </c>
      <c r="P259" s="117"/>
    </row>
    <row r="260" spans="1:16" s="105" customFormat="1" ht="20.25" hidden="1" customHeight="1" x14ac:dyDescent="0.45">
      <c r="A260" s="52">
        <v>7413</v>
      </c>
      <c r="B260" s="52" t="s">
        <v>80</v>
      </c>
      <c r="C260" s="39" t="s">
        <v>362</v>
      </c>
      <c r="D260" s="102">
        <f>'дод 3'!E52</f>
        <v>0</v>
      </c>
      <c r="E260" s="102">
        <f>'дод 3'!F52</f>
        <v>0</v>
      </c>
      <c r="F260" s="102">
        <f>'дод 3'!G52</f>
        <v>0</v>
      </c>
      <c r="G260" s="102">
        <f>'дод 3'!H52</f>
        <v>0</v>
      </c>
      <c r="H260" s="102">
        <f>'дод 3'!I52</f>
        <v>0</v>
      </c>
      <c r="I260" s="102">
        <f>'дод 3'!J52</f>
        <v>0</v>
      </c>
      <c r="J260" s="102">
        <f>'дод 3'!K52</f>
        <v>0</v>
      </c>
      <c r="K260" s="102">
        <f>'дод 3'!L52</f>
        <v>0</v>
      </c>
      <c r="L260" s="102">
        <f>'дод 3'!M52</f>
        <v>0</v>
      </c>
      <c r="M260" s="102">
        <f>'дод 3'!N52</f>
        <v>0</v>
      </c>
      <c r="N260" s="102">
        <f>'дод 3'!O52</f>
        <v>0</v>
      </c>
      <c r="O260" s="102">
        <f>'дод 3'!P52</f>
        <v>0</v>
      </c>
      <c r="P260" s="117"/>
    </row>
    <row r="261" spans="1:16" s="105" customFormat="1" ht="36" customHeight="1" x14ac:dyDescent="0.45">
      <c r="A261" s="29">
        <v>7422</v>
      </c>
      <c r="B261" s="28" t="s">
        <v>394</v>
      </c>
      <c r="C261" s="42" t="s">
        <v>512</v>
      </c>
      <c r="D261" s="102">
        <f>'дод 3'!E53+'дод 3'!E344</f>
        <v>64960000</v>
      </c>
      <c r="E261" s="102">
        <f>'дод 3'!F53+'дод 3'!F344</f>
        <v>0</v>
      </c>
      <c r="F261" s="102">
        <f>'дод 3'!G53+'дод 3'!G344</f>
        <v>0</v>
      </c>
      <c r="G261" s="102">
        <f>'дод 3'!H53+'дод 3'!H344</f>
        <v>0</v>
      </c>
      <c r="H261" s="102">
        <f>'дод 3'!I53+'дод 3'!I344</f>
        <v>64960000</v>
      </c>
      <c r="I261" s="102">
        <f>'дод 3'!J53+'дод 3'!J344</f>
        <v>0</v>
      </c>
      <c r="J261" s="102">
        <f>'дод 3'!K53+'дод 3'!K344</f>
        <v>0</v>
      </c>
      <c r="K261" s="102">
        <f>'дод 3'!L53+'дод 3'!L344</f>
        <v>0</v>
      </c>
      <c r="L261" s="102">
        <f>'дод 3'!M53+'дод 3'!M344</f>
        <v>0</v>
      </c>
      <c r="M261" s="102">
        <f>'дод 3'!N53+'дод 3'!N344</f>
        <v>0</v>
      </c>
      <c r="N261" s="102">
        <f>'дод 3'!O53+'дод 3'!O344</f>
        <v>0</v>
      </c>
      <c r="O261" s="102">
        <f>'дод 3'!P53+'дод 3'!P344</f>
        <v>64960000</v>
      </c>
      <c r="P261" s="117"/>
    </row>
    <row r="262" spans="1:16" s="105" customFormat="1" ht="24" hidden="1" customHeight="1" x14ac:dyDescent="0.45">
      <c r="A262" s="52">
        <v>7426</v>
      </c>
      <c r="B262" s="40" t="s">
        <v>394</v>
      </c>
      <c r="C262" s="39" t="s">
        <v>363</v>
      </c>
      <c r="D262" s="102">
        <f>'дод 3'!E54</f>
        <v>0</v>
      </c>
      <c r="E262" s="102">
        <f>'дод 3'!F54</f>
        <v>0</v>
      </c>
      <c r="F262" s="102">
        <f>'дод 3'!G54</f>
        <v>0</v>
      </c>
      <c r="G262" s="102">
        <f>'дод 3'!H54</f>
        <v>0</v>
      </c>
      <c r="H262" s="102">
        <f>'дод 3'!I54</f>
        <v>0</v>
      </c>
      <c r="I262" s="102">
        <f>'дод 3'!J54</f>
        <v>0</v>
      </c>
      <c r="J262" s="102">
        <f>'дод 3'!K54</f>
        <v>0</v>
      </c>
      <c r="K262" s="102">
        <f>'дод 3'!L54</f>
        <v>0</v>
      </c>
      <c r="L262" s="102">
        <f>'дод 3'!M54</f>
        <v>0</v>
      </c>
      <c r="M262" s="102">
        <f>'дод 3'!N54</f>
        <v>0</v>
      </c>
      <c r="N262" s="102">
        <f>'дод 3'!O54</f>
        <v>0</v>
      </c>
      <c r="O262" s="102">
        <f>'дод 3'!P54</f>
        <v>0</v>
      </c>
      <c r="P262" s="117"/>
    </row>
    <row r="263" spans="1:16" s="105" customFormat="1" ht="63" hidden="1" customHeight="1" x14ac:dyDescent="0.45">
      <c r="A263" s="104"/>
      <c r="B263" s="104"/>
      <c r="C263" s="55" t="s">
        <v>419</v>
      </c>
      <c r="D263" s="103">
        <f>'дод 3'!E331</f>
        <v>0</v>
      </c>
      <c r="E263" s="103">
        <f>'дод 3'!F331</f>
        <v>0</v>
      </c>
      <c r="F263" s="103">
        <f>'дод 3'!G331</f>
        <v>0</v>
      </c>
      <c r="G263" s="103">
        <f>'дод 3'!H331</f>
        <v>0</v>
      </c>
      <c r="H263" s="103">
        <f>'дод 3'!I331</f>
        <v>0</v>
      </c>
      <c r="I263" s="103">
        <f>'дод 3'!J331</f>
        <v>0</v>
      </c>
      <c r="J263" s="103">
        <f>'дод 3'!K331</f>
        <v>0</v>
      </c>
      <c r="K263" s="103">
        <f>'дод 3'!L331</f>
        <v>0</v>
      </c>
      <c r="L263" s="103">
        <f>'дод 3'!M331</f>
        <v>0</v>
      </c>
      <c r="M263" s="103">
        <f>'дод 3'!N331</f>
        <v>0</v>
      </c>
      <c r="N263" s="103">
        <f>'дод 3'!O331</f>
        <v>0</v>
      </c>
      <c r="O263" s="103">
        <f>'дод 3'!P331</f>
        <v>0</v>
      </c>
      <c r="P263" s="117"/>
    </row>
    <row r="264" spans="1:16" s="105" customFormat="1" ht="18" hidden="1" customHeight="1" x14ac:dyDescent="0.45">
      <c r="A264" s="40" t="s">
        <v>426</v>
      </c>
      <c r="B264" s="40" t="s">
        <v>385</v>
      </c>
      <c r="C264" s="39" t="s">
        <v>432</v>
      </c>
      <c r="D264" s="102">
        <f>'дод 3'!E55</f>
        <v>0</v>
      </c>
      <c r="E264" s="102">
        <f>'дод 3'!F55</f>
        <v>0</v>
      </c>
      <c r="F264" s="102">
        <f>'дод 3'!G55</f>
        <v>0</v>
      </c>
      <c r="G264" s="102">
        <f>'дод 3'!H55</f>
        <v>0</v>
      </c>
      <c r="H264" s="102">
        <f>'дод 3'!I55</f>
        <v>0</v>
      </c>
      <c r="I264" s="102">
        <f>'дод 3'!J55</f>
        <v>0</v>
      </c>
      <c r="J264" s="102">
        <f>'дод 3'!K55</f>
        <v>0</v>
      </c>
      <c r="K264" s="102">
        <f>'дод 3'!L55</f>
        <v>0</v>
      </c>
      <c r="L264" s="102">
        <f>'дод 3'!M55</f>
        <v>0</v>
      </c>
      <c r="M264" s="102">
        <f>'дод 3'!N55</f>
        <v>0</v>
      </c>
      <c r="N264" s="102">
        <f>'дод 3'!O55</f>
        <v>0</v>
      </c>
      <c r="O264" s="102">
        <f>'дод 3'!P55</f>
        <v>0</v>
      </c>
      <c r="P264" s="117"/>
    </row>
    <row r="265" spans="1:16" s="105" customFormat="1" ht="39" hidden="1" customHeight="1" x14ac:dyDescent="0.45">
      <c r="A265" s="40" t="s">
        <v>645</v>
      </c>
      <c r="B265" s="40" t="s">
        <v>385</v>
      </c>
      <c r="C265" s="30" t="s">
        <v>646</v>
      </c>
      <c r="D265" s="102">
        <f>'дод 3'!E338</f>
        <v>0</v>
      </c>
      <c r="E265" s="102">
        <f>'дод 3'!F338</f>
        <v>0</v>
      </c>
      <c r="F265" s="102">
        <f>'дод 3'!G338</f>
        <v>0</v>
      </c>
      <c r="G265" s="102">
        <f>'дод 3'!H338</f>
        <v>0</v>
      </c>
      <c r="H265" s="102">
        <f>'дод 3'!I338</f>
        <v>0</v>
      </c>
      <c r="I265" s="102">
        <f>'дод 3'!J338</f>
        <v>0</v>
      </c>
      <c r="J265" s="102">
        <f>'дод 3'!K338</f>
        <v>0</v>
      </c>
      <c r="K265" s="102">
        <f>'дод 3'!L338</f>
        <v>0</v>
      </c>
      <c r="L265" s="102">
        <f>'дод 3'!M338</f>
        <v>0</v>
      </c>
      <c r="M265" s="102">
        <f>'дод 3'!N338</f>
        <v>0</v>
      </c>
      <c r="N265" s="102">
        <f>'дод 3'!O338</f>
        <v>0</v>
      </c>
      <c r="O265" s="102">
        <f>'дод 3'!P338</f>
        <v>0</v>
      </c>
      <c r="P265" s="117"/>
    </row>
    <row r="266" spans="1:16" s="105" customFormat="1" ht="54.75" hidden="1" customHeight="1" x14ac:dyDescent="0.45">
      <c r="A266" s="40" t="s">
        <v>494</v>
      </c>
      <c r="B266" s="40" t="s">
        <v>385</v>
      </c>
      <c r="C266" s="42" t="s">
        <v>384</v>
      </c>
      <c r="D266" s="102">
        <f>'дод 3'!E339</f>
        <v>0</v>
      </c>
      <c r="E266" s="102">
        <f>'дод 3'!F339</f>
        <v>0</v>
      </c>
      <c r="F266" s="102">
        <f>'дод 3'!G339</f>
        <v>0</v>
      </c>
      <c r="G266" s="102">
        <f>'дод 3'!H339</f>
        <v>0</v>
      </c>
      <c r="H266" s="102">
        <f>'дод 3'!I339</f>
        <v>0</v>
      </c>
      <c r="I266" s="102">
        <f>'дод 3'!J339</f>
        <v>0</v>
      </c>
      <c r="J266" s="102">
        <f>'дод 3'!K339</f>
        <v>0</v>
      </c>
      <c r="K266" s="102">
        <f>'дод 3'!L339</f>
        <v>0</v>
      </c>
      <c r="L266" s="102">
        <f>'дод 3'!M339</f>
        <v>0</v>
      </c>
      <c r="M266" s="102">
        <f>'дод 3'!N339</f>
        <v>0</v>
      </c>
      <c r="N266" s="102">
        <f>'дод 3'!O339</f>
        <v>0</v>
      </c>
      <c r="O266" s="102">
        <f>'дод 3'!P339</f>
        <v>0</v>
      </c>
      <c r="P266" s="117"/>
    </row>
    <row r="267" spans="1:16" s="105" customFormat="1" ht="104.25" hidden="1" customHeight="1" x14ac:dyDescent="0.45">
      <c r="A267" s="104"/>
      <c r="B267" s="104"/>
      <c r="C267" s="55" t="s">
        <v>382</v>
      </c>
      <c r="D267" s="103">
        <f>'дод 3'!E340</f>
        <v>0</v>
      </c>
      <c r="E267" s="103">
        <f>'дод 3'!F340</f>
        <v>0</v>
      </c>
      <c r="F267" s="103">
        <f>'дод 3'!G340</f>
        <v>0</v>
      </c>
      <c r="G267" s="103">
        <f>'дод 3'!H340</f>
        <v>0</v>
      </c>
      <c r="H267" s="103">
        <f>'дод 3'!I340</f>
        <v>0</v>
      </c>
      <c r="I267" s="103">
        <f>'дод 3'!J340</f>
        <v>0</v>
      </c>
      <c r="J267" s="103">
        <f>'дод 3'!K340</f>
        <v>0</v>
      </c>
      <c r="K267" s="103">
        <f>'дод 3'!L340</f>
        <v>0</v>
      </c>
      <c r="L267" s="103">
        <f>'дод 3'!M340</f>
        <v>0</v>
      </c>
      <c r="M267" s="103">
        <f>'дод 3'!N340</f>
        <v>0</v>
      </c>
      <c r="N267" s="103">
        <f>'дод 3'!O340</f>
        <v>0</v>
      </c>
      <c r="O267" s="103">
        <f>'дод 3'!P340</f>
        <v>0</v>
      </c>
      <c r="P267" s="117"/>
    </row>
    <row r="268" spans="1:16" s="96" customFormat="1" ht="18.75" customHeight="1" x14ac:dyDescent="0.4">
      <c r="A268" s="44" t="s">
        <v>229</v>
      </c>
      <c r="B268" s="110"/>
      <c r="C268" s="111" t="s">
        <v>230</v>
      </c>
      <c r="D268" s="100">
        <f>D269</f>
        <v>5731600</v>
      </c>
      <c r="E268" s="100">
        <f t="shared" ref="E268:O268" si="54">E269</f>
        <v>5731600</v>
      </c>
      <c r="F268" s="100">
        <f t="shared" si="54"/>
        <v>0</v>
      </c>
      <c r="G268" s="100">
        <f t="shared" si="54"/>
        <v>0</v>
      </c>
      <c r="H268" s="100">
        <f t="shared" si="54"/>
        <v>0</v>
      </c>
      <c r="I268" s="100">
        <f>I269</f>
        <v>1000000</v>
      </c>
      <c r="J268" s="100">
        <f t="shared" si="54"/>
        <v>1000000</v>
      </c>
      <c r="K268" s="100">
        <f t="shared" si="54"/>
        <v>0</v>
      </c>
      <c r="L268" s="100">
        <f t="shared" si="54"/>
        <v>0</v>
      </c>
      <c r="M268" s="100">
        <f t="shared" si="54"/>
        <v>0</v>
      </c>
      <c r="N268" s="100">
        <f t="shared" si="54"/>
        <v>1000000</v>
      </c>
      <c r="O268" s="100">
        <f t="shared" si="54"/>
        <v>6731600</v>
      </c>
      <c r="P268" s="117"/>
    </row>
    <row r="269" spans="1:16" ht="28.5" customHeight="1" x14ac:dyDescent="0.45">
      <c r="A269" s="52" t="s">
        <v>227</v>
      </c>
      <c r="B269" s="52" t="s">
        <v>228</v>
      </c>
      <c r="C269" s="49" t="s">
        <v>226</v>
      </c>
      <c r="D269" s="102">
        <f>'дод 3'!E56+'дод 3'!E334</f>
        <v>5731600</v>
      </c>
      <c r="E269" s="102">
        <f>'дод 3'!F56+'дод 3'!F334</f>
        <v>5731600</v>
      </c>
      <c r="F269" s="102">
        <f>'дод 3'!G56+'дод 3'!G334</f>
        <v>0</v>
      </c>
      <c r="G269" s="102">
        <f>'дод 3'!H56+'дод 3'!H334</f>
        <v>0</v>
      </c>
      <c r="H269" s="102">
        <f>'дод 3'!I56+'дод 3'!I334</f>
        <v>0</v>
      </c>
      <c r="I269" s="102">
        <f>'дод 3'!J56+'дод 3'!J334</f>
        <v>1000000</v>
      </c>
      <c r="J269" s="102">
        <f>'дод 3'!K56+'дод 3'!K334</f>
        <v>1000000</v>
      </c>
      <c r="K269" s="102">
        <f>'дод 3'!L56+'дод 3'!L334</f>
        <v>0</v>
      </c>
      <c r="L269" s="102">
        <f>'дод 3'!M56+'дод 3'!M334</f>
        <v>0</v>
      </c>
      <c r="M269" s="102">
        <f>'дод 3'!N56+'дод 3'!N334</f>
        <v>0</v>
      </c>
      <c r="N269" s="102">
        <f>'дод 3'!O56+'дод 3'!O334</f>
        <v>1000000</v>
      </c>
      <c r="O269" s="102">
        <f>'дод 3'!P56+'дод 3'!P334</f>
        <v>6731600</v>
      </c>
      <c r="P269" s="117"/>
    </row>
    <row r="270" spans="1:16" s="96" customFormat="1" ht="39.75" customHeight="1" x14ac:dyDescent="0.4">
      <c r="A270" s="106" t="s">
        <v>84</v>
      </c>
      <c r="B270" s="110"/>
      <c r="C270" s="111" t="s">
        <v>402</v>
      </c>
      <c r="D270" s="100">
        <f>D275+D276+D280+D281+D282+D285+D286+D287</f>
        <v>6937791.3499999996</v>
      </c>
      <c r="E270" s="100">
        <f t="shared" ref="E270:H270" si="55">E275+E276+E280+E281+E282+E285+E286+E287</f>
        <v>4872002</v>
      </c>
      <c r="F270" s="100">
        <f t="shared" si="55"/>
        <v>0</v>
      </c>
      <c r="G270" s="100">
        <f t="shared" si="55"/>
        <v>0</v>
      </c>
      <c r="H270" s="100">
        <f t="shared" si="55"/>
        <v>2065789.35</v>
      </c>
      <c r="I270" s="100">
        <f>I275+I276+I280+I281+I282+I285+I286+I287</f>
        <v>249030117</v>
      </c>
      <c r="J270" s="100">
        <f t="shared" ref="J270:O270" si="56">J275+J276+J280+J281+J282+J285+J286+J287</f>
        <v>248920117</v>
      </c>
      <c r="K270" s="100">
        <f t="shared" si="56"/>
        <v>110000</v>
      </c>
      <c r="L270" s="100">
        <f t="shared" si="56"/>
        <v>0</v>
      </c>
      <c r="M270" s="100">
        <f t="shared" si="56"/>
        <v>0</v>
      </c>
      <c r="N270" s="100">
        <f t="shared" si="56"/>
        <v>248920117</v>
      </c>
      <c r="O270" s="100">
        <f t="shared" si="56"/>
        <v>255967908.34999999</v>
      </c>
      <c r="P270" s="173"/>
    </row>
    <row r="271" spans="1:16" s="108" customFormat="1" ht="75" x14ac:dyDescent="0.4">
      <c r="A271" s="107"/>
      <c r="B271" s="112"/>
      <c r="C271" s="66" t="s">
        <v>624</v>
      </c>
      <c r="D271" s="101">
        <f>D283+D288</f>
        <v>163600</v>
      </c>
      <c r="E271" s="101">
        <f t="shared" ref="E271:O271" si="57">E283+E288</f>
        <v>163600</v>
      </c>
      <c r="F271" s="101">
        <f t="shared" si="57"/>
        <v>0</v>
      </c>
      <c r="G271" s="101">
        <f t="shared" si="57"/>
        <v>0</v>
      </c>
      <c r="H271" s="101">
        <f t="shared" si="57"/>
        <v>0</v>
      </c>
      <c r="I271" s="101">
        <f t="shared" si="57"/>
        <v>371900</v>
      </c>
      <c r="J271" s="101">
        <f t="shared" si="57"/>
        <v>371900</v>
      </c>
      <c r="K271" s="101">
        <f t="shared" si="57"/>
        <v>0</v>
      </c>
      <c r="L271" s="101">
        <f t="shared" si="57"/>
        <v>0</v>
      </c>
      <c r="M271" s="101">
        <f t="shared" si="57"/>
        <v>0</v>
      </c>
      <c r="N271" s="101">
        <f t="shared" si="57"/>
        <v>371900</v>
      </c>
      <c r="O271" s="101">
        <f t="shared" si="57"/>
        <v>535500</v>
      </c>
      <c r="P271" s="173"/>
    </row>
    <row r="272" spans="1:16" s="108" customFormat="1" ht="16.5" customHeight="1" x14ac:dyDescent="0.4">
      <c r="A272" s="107"/>
      <c r="B272" s="107"/>
      <c r="C272" s="25" t="s">
        <v>400</v>
      </c>
      <c r="D272" s="101">
        <f>D277+D284</f>
        <v>0</v>
      </c>
      <c r="E272" s="101">
        <f t="shared" ref="E272:O272" si="58">E277+E284</f>
        <v>0</v>
      </c>
      <c r="F272" s="101">
        <f t="shared" si="58"/>
        <v>0</v>
      </c>
      <c r="G272" s="101">
        <f t="shared" si="58"/>
        <v>0</v>
      </c>
      <c r="H272" s="101">
        <f t="shared" si="58"/>
        <v>0</v>
      </c>
      <c r="I272" s="101">
        <f t="shared" si="58"/>
        <v>61868709</v>
      </c>
      <c r="J272" s="101">
        <f t="shared" si="58"/>
        <v>61868709</v>
      </c>
      <c r="K272" s="101">
        <f t="shared" si="58"/>
        <v>0</v>
      </c>
      <c r="L272" s="101">
        <f t="shared" si="58"/>
        <v>0</v>
      </c>
      <c r="M272" s="101">
        <f t="shared" si="58"/>
        <v>0</v>
      </c>
      <c r="N272" s="101">
        <f t="shared" si="58"/>
        <v>61868709</v>
      </c>
      <c r="O272" s="101">
        <f t="shared" si="58"/>
        <v>61868709</v>
      </c>
      <c r="P272" s="173"/>
    </row>
    <row r="273" spans="1:16" s="108" customFormat="1" ht="45" x14ac:dyDescent="0.4">
      <c r="A273" s="107"/>
      <c r="B273" s="107"/>
      <c r="C273" s="25" t="str">
        <f>C278</f>
        <v xml:space="preserve">залишку коштів по запозиченню від ЄІБ «Підвищення енергоефективності в дошкільних закладах м. Суми», що склався станом на 01.01.2024 року </v>
      </c>
      <c r="D273" s="101">
        <f>D278</f>
        <v>0</v>
      </c>
      <c r="E273" s="101">
        <f t="shared" ref="E273:O273" si="59">E278</f>
        <v>0</v>
      </c>
      <c r="F273" s="101">
        <f t="shared" si="59"/>
        <v>0</v>
      </c>
      <c r="G273" s="101">
        <f t="shared" si="59"/>
        <v>0</v>
      </c>
      <c r="H273" s="101">
        <f t="shared" si="59"/>
        <v>0</v>
      </c>
      <c r="I273" s="101">
        <f t="shared" si="59"/>
        <v>42207900</v>
      </c>
      <c r="J273" s="101">
        <f t="shared" si="59"/>
        <v>42207900</v>
      </c>
      <c r="K273" s="101">
        <f t="shared" si="59"/>
        <v>0</v>
      </c>
      <c r="L273" s="101">
        <f t="shared" si="59"/>
        <v>0</v>
      </c>
      <c r="M273" s="101">
        <f t="shared" si="59"/>
        <v>0</v>
      </c>
      <c r="N273" s="101">
        <f t="shared" si="59"/>
        <v>42207900</v>
      </c>
      <c r="O273" s="101">
        <f t="shared" si="59"/>
        <v>42207900</v>
      </c>
      <c r="P273" s="173"/>
    </row>
    <row r="274" spans="1:16" s="108" customFormat="1" ht="15" hidden="1" x14ac:dyDescent="0.4">
      <c r="A274" s="107"/>
      <c r="B274" s="107"/>
      <c r="C274" s="25" t="s">
        <v>602</v>
      </c>
      <c r="D274" s="101">
        <f>D279</f>
        <v>0</v>
      </c>
      <c r="E274" s="101">
        <f t="shared" ref="E274:O274" si="60">E279</f>
        <v>0</v>
      </c>
      <c r="F274" s="101">
        <f t="shared" si="60"/>
        <v>0</v>
      </c>
      <c r="G274" s="101">
        <f t="shared" si="60"/>
        <v>0</v>
      </c>
      <c r="H274" s="101">
        <f t="shared" si="60"/>
        <v>0</v>
      </c>
      <c r="I274" s="101">
        <f t="shared" si="60"/>
        <v>0</v>
      </c>
      <c r="J274" s="101">
        <f t="shared" si="60"/>
        <v>0</v>
      </c>
      <c r="K274" s="101">
        <f t="shared" si="60"/>
        <v>0</v>
      </c>
      <c r="L274" s="101">
        <f t="shared" si="60"/>
        <v>0</v>
      </c>
      <c r="M274" s="101">
        <f t="shared" si="60"/>
        <v>0</v>
      </c>
      <c r="N274" s="101">
        <f t="shared" si="60"/>
        <v>0</v>
      </c>
      <c r="O274" s="101">
        <f t="shared" si="60"/>
        <v>0</v>
      </c>
      <c r="P274" s="173"/>
    </row>
    <row r="275" spans="1:16" ht="34.5" customHeight="1" x14ac:dyDescent="0.45">
      <c r="A275" s="52" t="s">
        <v>4</v>
      </c>
      <c r="B275" s="52" t="s">
        <v>83</v>
      </c>
      <c r="C275" s="39" t="s">
        <v>23</v>
      </c>
      <c r="D275" s="102">
        <f>'дод 3'!E57+'дод 3'!E426+'дод 3'!E435+'дод 3'!E447+'дод 3'!E371+'дод 3'!E421</f>
        <v>520000</v>
      </c>
      <c r="E275" s="102">
        <f>'дод 3'!F57+'дод 3'!F426+'дод 3'!F435+'дод 3'!F447+'дод 3'!F371+'дод 3'!F421</f>
        <v>40000</v>
      </c>
      <c r="F275" s="102">
        <f>'дод 3'!G57+'дод 3'!G426+'дод 3'!G435+'дод 3'!G447+'дод 3'!G371+'дод 3'!G421</f>
        <v>0</v>
      </c>
      <c r="G275" s="102">
        <f>'дод 3'!H57+'дод 3'!H426+'дод 3'!H435+'дод 3'!H447+'дод 3'!H371+'дод 3'!H421</f>
        <v>0</v>
      </c>
      <c r="H275" s="102">
        <f>'дод 3'!I57+'дод 3'!I426+'дод 3'!I435+'дод 3'!I447+'дод 3'!I371+'дод 3'!I421</f>
        <v>480000</v>
      </c>
      <c r="I275" s="102">
        <f>'дод 3'!J57+'дод 3'!J426+'дод 3'!J435+'дод 3'!J447+'дод 3'!J371+'дод 3'!J421</f>
        <v>0</v>
      </c>
      <c r="J275" s="102">
        <f>'дод 3'!K57+'дод 3'!K426+'дод 3'!K435+'дод 3'!K447+'дод 3'!K371+'дод 3'!K421</f>
        <v>0</v>
      </c>
      <c r="K275" s="102">
        <f>'дод 3'!L57+'дод 3'!L426+'дод 3'!L435+'дод 3'!L447+'дод 3'!L371+'дод 3'!L421</f>
        <v>0</v>
      </c>
      <c r="L275" s="102">
        <f>'дод 3'!M57+'дод 3'!M426+'дод 3'!M435+'дод 3'!M447+'дод 3'!M371+'дод 3'!M421</f>
        <v>0</v>
      </c>
      <c r="M275" s="102">
        <f>'дод 3'!N57+'дод 3'!N426+'дод 3'!N435+'дод 3'!N447+'дод 3'!N371+'дод 3'!N421</f>
        <v>0</v>
      </c>
      <c r="N275" s="102">
        <f>'дод 3'!O57+'дод 3'!O426+'дод 3'!O435+'дод 3'!O447+'дод 3'!O371+'дод 3'!O421</f>
        <v>0</v>
      </c>
      <c r="O275" s="102">
        <f>'дод 3'!P57+'дод 3'!P426+'дод 3'!P435+'дод 3'!P447+'дод 3'!P371+'дод 3'!P421</f>
        <v>520000</v>
      </c>
      <c r="P275" s="173"/>
    </row>
    <row r="276" spans="1:16" ht="25.5" customHeight="1" x14ac:dyDescent="0.45">
      <c r="A276" s="52" t="s">
        <v>2</v>
      </c>
      <c r="B276" s="52" t="s">
        <v>82</v>
      </c>
      <c r="C276" s="39" t="s">
        <v>399</v>
      </c>
      <c r="D276" s="102">
        <f>'дод 3'!E162+'дод 3'!E210+'дод 3'!E285+'дод 3'!E345+'дод 3'!E402+'дод 3'!E456+'дод 3'!E261+'дод 3'!E58</f>
        <v>3792073.35</v>
      </c>
      <c r="E276" s="102">
        <f>'дод 3'!F162+'дод 3'!F210+'дод 3'!F285+'дод 3'!F345+'дод 3'!F402+'дод 3'!F456+'дод 3'!F261+'дод 3'!F58</f>
        <v>2206284</v>
      </c>
      <c r="F276" s="102">
        <f>'дод 3'!G162+'дод 3'!G210+'дод 3'!G285+'дод 3'!G345+'дод 3'!G402+'дод 3'!G456+'дод 3'!G261+'дод 3'!G58</f>
        <v>0</v>
      </c>
      <c r="G276" s="102">
        <f>'дод 3'!H162+'дод 3'!H210+'дод 3'!H285+'дод 3'!H345+'дод 3'!H402+'дод 3'!H456+'дод 3'!H261+'дод 3'!H58</f>
        <v>0</v>
      </c>
      <c r="H276" s="102">
        <f>'дод 3'!I162+'дод 3'!I210+'дод 3'!I285+'дод 3'!I345+'дод 3'!I402+'дод 3'!I456+'дод 3'!I261+'дод 3'!I58</f>
        <v>1585789.35</v>
      </c>
      <c r="I276" s="102">
        <f>'дод 3'!J162+'дод 3'!J210+'дод 3'!J285+'дод 3'!J345+'дод 3'!J402+'дод 3'!J456+'дод 3'!J261+'дод 3'!J58</f>
        <v>241551480</v>
      </c>
      <c r="J276" s="102">
        <f>'дод 3'!K162+'дод 3'!K210+'дод 3'!K285+'дод 3'!K345+'дод 3'!K402+'дод 3'!K456+'дод 3'!K261+'дод 3'!K58</f>
        <v>241551480</v>
      </c>
      <c r="K276" s="102">
        <f>'дод 3'!L162+'дод 3'!L210+'дод 3'!L285+'дод 3'!L345+'дод 3'!L402+'дод 3'!L456+'дод 3'!L261+'дод 3'!L58</f>
        <v>0</v>
      </c>
      <c r="L276" s="102">
        <f>'дод 3'!M162+'дод 3'!M210+'дод 3'!M285+'дод 3'!M345+'дод 3'!M402+'дод 3'!M456+'дод 3'!M261+'дод 3'!M58</f>
        <v>0</v>
      </c>
      <c r="M276" s="102">
        <f>'дод 3'!N162+'дод 3'!N210+'дод 3'!N285+'дод 3'!N345+'дод 3'!N402+'дод 3'!N456+'дод 3'!N261+'дод 3'!N58</f>
        <v>0</v>
      </c>
      <c r="N276" s="102">
        <f>'дод 3'!O162+'дод 3'!O210+'дод 3'!O285+'дод 3'!O345+'дод 3'!O402+'дод 3'!O456+'дод 3'!O261+'дод 3'!O58</f>
        <v>241551480</v>
      </c>
      <c r="O276" s="102">
        <f>'дод 3'!P162+'дод 3'!P210+'дод 3'!P285+'дод 3'!P345+'дод 3'!P402+'дод 3'!P456+'дод 3'!P261+'дод 3'!P58</f>
        <v>245343553.34999999</v>
      </c>
      <c r="P276" s="173"/>
    </row>
    <row r="277" spans="1:16" s="105" customFormat="1" ht="24.75" customHeight="1" x14ac:dyDescent="0.45">
      <c r="A277" s="104"/>
      <c r="B277" s="104"/>
      <c r="C277" s="35" t="s">
        <v>400</v>
      </c>
      <c r="D277" s="103">
        <f>'дод 3'!E211+'дод 3'!E403</f>
        <v>0</v>
      </c>
      <c r="E277" s="103">
        <f>'дод 3'!F211+'дод 3'!F403</f>
        <v>0</v>
      </c>
      <c r="F277" s="103">
        <f>'дод 3'!G211+'дод 3'!G403</f>
        <v>0</v>
      </c>
      <c r="G277" s="103">
        <f>'дод 3'!H211+'дод 3'!H403</f>
        <v>0</v>
      </c>
      <c r="H277" s="103">
        <f>'дод 3'!I211+'дод 3'!I403</f>
        <v>0</v>
      </c>
      <c r="I277" s="103">
        <f>'дод 3'!J211+'дод 3'!J403</f>
        <v>61868709</v>
      </c>
      <c r="J277" s="103">
        <f>'дод 3'!K211+'дод 3'!K403</f>
        <v>61868709</v>
      </c>
      <c r="K277" s="103">
        <f>'дод 3'!L211+'дод 3'!L403</f>
        <v>0</v>
      </c>
      <c r="L277" s="103">
        <f>'дод 3'!M211+'дод 3'!M403</f>
        <v>0</v>
      </c>
      <c r="M277" s="103">
        <f>'дод 3'!N211+'дод 3'!N403</f>
        <v>0</v>
      </c>
      <c r="N277" s="103">
        <f>'дод 3'!O211+'дод 3'!O403</f>
        <v>61868709</v>
      </c>
      <c r="O277" s="103">
        <f>'дод 3'!P211+'дод 3'!P403</f>
        <v>61868709</v>
      </c>
      <c r="P277" s="173"/>
    </row>
    <row r="278" spans="1:16" s="105" customFormat="1" ht="46.15" x14ac:dyDescent="0.45">
      <c r="A278" s="104"/>
      <c r="B278" s="104"/>
      <c r="C278" s="35" t="s">
        <v>677</v>
      </c>
      <c r="D278" s="103">
        <f>'дод 3'!E404</f>
        <v>0</v>
      </c>
      <c r="E278" s="103">
        <f>'дод 3'!F404</f>
        <v>0</v>
      </c>
      <c r="F278" s="103">
        <f>'дод 3'!G404</f>
        <v>0</v>
      </c>
      <c r="G278" s="103">
        <f>'дод 3'!H404</f>
        <v>0</v>
      </c>
      <c r="H278" s="103">
        <f>'дод 3'!I404</f>
        <v>0</v>
      </c>
      <c r="I278" s="103">
        <f>'дод 3'!J404</f>
        <v>42207900</v>
      </c>
      <c r="J278" s="103">
        <f>'дод 3'!K404</f>
        <v>42207900</v>
      </c>
      <c r="K278" s="103">
        <f>'дод 3'!L404</f>
        <v>0</v>
      </c>
      <c r="L278" s="103">
        <f>'дод 3'!M404</f>
        <v>0</v>
      </c>
      <c r="M278" s="103">
        <f>'дод 3'!N404</f>
        <v>0</v>
      </c>
      <c r="N278" s="103">
        <f>'дод 3'!O404</f>
        <v>42207900</v>
      </c>
      <c r="O278" s="103">
        <f>'дод 3'!P404</f>
        <v>42207900</v>
      </c>
      <c r="P278" s="173"/>
    </row>
    <row r="279" spans="1:16" s="105" customFormat="1" x14ac:dyDescent="0.45">
      <c r="A279" s="104"/>
      <c r="B279" s="104"/>
      <c r="C279" s="35" t="s">
        <v>602</v>
      </c>
      <c r="D279" s="103">
        <f>'дод 3'!E212</f>
        <v>0</v>
      </c>
      <c r="E279" s="103">
        <f>'дод 3'!F212</f>
        <v>0</v>
      </c>
      <c r="F279" s="103">
        <f>'дод 3'!G212</f>
        <v>0</v>
      </c>
      <c r="G279" s="103">
        <f>'дод 3'!H212</f>
        <v>0</v>
      </c>
      <c r="H279" s="103">
        <f>'дод 3'!I212</f>
        <v>0</v>
      </c>
      <c r="I279" s="103">
        <f>'дод 3'!J212</f>
        <v>0</v>
      </c>
      <c r="J279" s="103">
        <f>'дод 3'!K212</f>
        <v>0</v>
      </c>
      <c r="K279" s="103">
        <f>'дод 3'!L212</f>
        <v>0</v>
      </c>
      <c r="L279" s="103">
        <f>'дод 3'!M212</f>
        <v>0</v>
      </c>
      <c r="M279" s="103">
        <f>'дод 3'!N212</f>
        <v>0</v>
      </c>
      <c r="N279" s="103">
        <f>'дод 3'!O212</f>
        <v>0</v>
      </c>
      <c r="O279" s="103">
        <f>'дод 3'!P212</f>
        <v>0</v>
      </c>
      <c r="P279" s="173"/>
    </row>
    <row r="280" spans="1:16" ht="33.75" customHeight="1" x14ac:dyDescent="0.45">
      <c r="A280" s="52" t="s">
        <v>259</v>
      </c>
      <c r="B280" s="52" t="s">
        <v>78</v>
      </c>
      <c r="C280" s="39" t="s">
        <v>333</v>
      </c>
      <c r="D280" s="102">
        <f>'дод 3'!E427+'дод 3'!E436+'дод 3'!E448</f>
        <v>0</v>
      </c>
      <c r="E280" s="102">
        <f>'дод 3'!F427+'дод 3'!F436+'дод 3'!F448</f>
        <v>0</v>
      </c>
      <c r="F280" s="102">
        <f>'дод 3'!G427+'дод 3'!G436+'дод 3'!G448</f>
        <v>0</v>
      </c>
      <c r="G280" s="102">
        <f>'дод 3'!H427+'дод 3'!H436+'дод 3'!H448</f>
        <v>0</v>
      </c>
      <c r="H280" s="102">
        <f>'дод 3'!I427+'дод 3'!I436+'дод 3'!I448</f>
        <v>0</v>
      </c>
      <c r="I280" s="102">
        <f>'дод 3'!J427+'дод 3'!J436+'дод 3'!J448</f>
        <v>30000</v>
      </c>
      <c r="J280" s="102">
        <f>'дод 3'!K427+'дод 3'!K436+'дод 3'!K448</f>
        <v>30000</v>
      </c>
      <c r="K280" s="102">
        <f>'дод 3'!L427+'дод 3'!L436+'дод 3'!L448</f>
        <v>0</v>
      </c>
      <c r="L280" s="102">
        <f>'дод 3'!M427+'дод 3'!M436+'дод 3'!M448</f>
        <v>0</v>
      </c>
      <c r="M280" s="102">
        <f>'дод 3'!N427+'дод 3'!N436+'дод 3'!N448</f>
        <v>0</v>
      </c>
      <c r="N280" s="102">
        <f>'дод 3'!O427+'дод 3'!O436+'дод 3'!O448</f>
        <v>30000</v>
      </c>
      <c r="O280" s="102">
        <f>'дод 3'!P427+'дод 3'!P436+'дод 3'!P448</f>
        <v>30000</v>
      </c>
      <c r="P280" s="173"/>
    </row>
    <row r="281" spans="1:16" ht="47.25" customHeight="1" x14ac:dyDescent="0.45">
      <c r="A281" s="52" t="s">
        <v>261</v>
      </c>
      <c r="B281" s="52" t="s">
        <v>78</v>
      </c>
      <c r="C281" s="39" t="s">
        <v>262</v>
      </c>
      <c r="D281" s="102">
        <f>'дод 3'!E428+'дод 3'!E437+'дод 3'!E449</f>
        <v>0</v>
      </c>
      <c r="E281" s="102">
        <f>'дод 3'!F428+'дод 3'!F437+'дод 3'!F449</f>
        <v>0</v>
      </c>
      <c r="F281" s="102">
        <f>'дод 3'!G428+'дод 3'!G437+'дод 3'!G449</f>
        <v>0</v>
      </c>
      <c r="G281" s="102">
        <f>'дод 3'!H428+'дод 3'!H437+'дод 3'!H449</f>
        <v>0</v>
      </c>
      <c r="H281" s="102">
        <f>'дод 3'!I428+'дод 3'!I437+'дод 3'!I449</f>
        <v>0</v>
      </c>
      <c r="I281" s="102">
        <f>'дод 3'!J428+'дод 3'!J437+'дод 3'!J449</f>
        <v>50000</v>
      </c>
      <c r="J281" s="102">
        <f>'дод 3'!K428+'дод 3'!K437+'дод 3'!K449</f>
        <v>50000</v>
      </c>
      <c r="K281" s="102">
        <f>'дод 3'!L428+'дод 3'!L437+'дод 3'!L449</f>
        <v>0</v>
      </c>
      <c r="L281" s="102">
        <f>'дод 3'!M428+'дод 3'!M437+'дод 3'!M449</f>
        <v>0</v>
      </c>
      <c r="M281" s="102">
        <f>'дод 3'!N428+'дод 3'!N437+'дод 3'!N449</f>
        <v>0</v>
      </c>
      <c r="N281" s="102">
        <f>'дод 3'!O428+'дод 3'!O437+'дод 3'!O449</f>
        <v>50000</v>
      </c>
      <c r="O281" s="102">
        <f>'дод 3'!P428+'дод 3'!P437+'дод 3'!P449</f>
        <v>50000</v>
      </c>
      <c r="P281" s="173"/>
    </row>
    <row r="282" spans="1:16" ht="34.9" customHeight="1" x14ac:dyDescent="0.45">
      <c r="A282" s="52" t="s">
        <v>5</v>
      </c>
      <c r="B282" s="52" t="s">
        <v>78</v>
      </c>
      <c r="C282" s="39" t="s">
        <v>733</v>
      </c>
      <c r="D282" s="102">
        <f>'дод 3'!E59+'дод 3'!E346</f>
        <v>0</v>
      </c>
      <c r="E282" s="102">
        <f>'дод 3'!F59+'дод 3'!F346</f>
        <v>0</v>
      </c>
      <c r="F282" s="102">
        <f>'дод 3'!G59+'дод 3'!G346</f>
        <v>0</v>
      </c>
      <c r="G282" s="102">
        <f>'дод 3'!H59+'дод 3'!H346</f>
        <v>0</v>
      </c>
      <c r="H282" s="102">
        <f>'дод 3'!I59+'дод 3'!I346</f>
        <v>0</v>
      </c>
      <c r="I282" s="102">
        <f>'дод 3'!J59+'дод 3'!J346</f>
        <v>7288637</v>
      </c>
      <c r="J282" s="102">
        <f>'дод 3'!K59+'дод 3'!K346</f>
        <v>7288637</v>
      </c>
      <c r="K282" s="102">
        <f>'дод 3'!L59+'дод 3'!L346</f>
        <v>0</v>
      </c>
      <c r="L282" s="102">
        <f>'дод 3'!M59+'дод 3'!M346</f>
        <v>0</v>
      </c>
      <c r="M282" s="102">
        <f>'дод 3'!N59+'дод 3'!N346</f>
        <v>0</v>
      </c>
      <c r="N282" s="102">
        <f>'дод 3'!O59+'дод 3'!O346</f>
        <v>7288637</v>
      </c>
      <c r="O282" s="102">
        <f>'дод 3'!P59+'дод 3'!P346</f>
        <v>7288637</v>
      </c>
      <c r="P282" s="173"/>
    </row>
    <row r="283" spans="1:16" s="105" customFormat="1" ht="76.900000000000006" x14ac:dyDescent="0.45">
      <c r="A283" s="104"/>
      <c r="B283" s="104"/>
      <c r="C283" s="55" t="s">
        <v>624</v>
      </c>
      <c r="D283" s="103">
        <f>'дод 3'!E347</f>
        <v>0</v>
      </c>
      <c r="E283" s="103">
        <f>'дод 3'!F347</f>
        <v>0</v>
      </c>
      <c r="F283" s="103">
        <f>'дод 3'!G347</f>
        <v>0</v>
      </c>
      <c r="G283" s="103">
        <f>'дод 3'!H347</f>
        <v>0</v>
      </c>
      <c r="H283" s="103">
        <f>'дод 3'!I347</f>
        <v>0</v>
      </c>
      <c r="I283" s="103">
        <f>'дод 3'!J347</f>
        <v>371900</v>
      </c>
      <c r="J283" s="103">
        <f>'дод 3'!K347</f>
        <v>371900</v>
      </c>
      <c r="K283" s="103">
        <f>'дод 3'!L347</f>
        <v>0</v>
      </c>
      <c r="L283" s="103">
        <f>'дод 3'!M347</f>
        <v>0</v>
      </c>
      <c r="M283" s="103">
        <f>'дод 3'!N347</f>
        <v>0</v>
      </c>
      <c r="N283" s="103">
        <f>'дод 3'!O347</f>
        <v>371900</v>
      </c>
      <c r="O283" s="103">
        <f>'дод 3'!P347</f>
        <v>371900</v>
      </c>
      <c r="P283" s="173"/>
    </row>
    <row r="284" spans="1:16" ht="16.5" hidden="1" customHeight="1" x14ac:dyDescent="0.45">
      <c r="A284" s="52"/>
      <c r="B284" s="52"/>
      <c r="C284" s="35" t="s">
        <v>400</v>
      </c>
      <c r="D284" s="102">
        <f>'дод 3'!E348</f>
        <v>0</v>
      </c>
      <c r="E284" s="102">
        <f>'дод 3'!F348</f>
        <v>0</v>
      </c>
      <c r="F284" s="102">
        <f>'дод 3'!G348</f>
        <v>0</v>
      </c>
      <c r="G284" s="102">
        <f>'дод 3'!H348</f>
        <v>0</v>
      </c>
      <c r="H284" s="102">
        <f>'дод 3'!I348</f>
        <v>0</v>
      </c>
      <c r="I284" s="102">
        <f>'дод 3'!J348</f>
        <v>0</v>
      </c>
      <c r="J284" s="102">
        <f>'дод 3'!K348</f>
        <v>0</v>
      </c>
      <c r="K284" s="102">
        <f>'дод 3'!L348</f>
        <v>0</v>
      </c>
      <c r="L284" s="102">
        <f>'дод 3'!M348</f>
        <v>0</v>
      </c>
      <c r="M284" s="102">
        <f>'дод 3'!N348</f>
        <v>0</v>
      </c>
      <c r="N284" s="102">
        <f>'дод 3'!O348</f>
        <v>0</v>
      </c>
      <c r="O284" s="102">
        <f>'дод 3'!P348</f>
        <v>0</v>
      </c>
      <c r="P284" s="173"/>
    </row>
    <row r="285" spans="1:16" ht="33.75" customHeight="1" x14ac:dyDescent="0.45">
      <c r="A285" s="52" t="s">
        <v>240</v>
      </c>
      <c r="B285" s="52" t="s">
        <v>78</v>
      </c>
      <c r="C285" s="39" t="s">
        <v>241</v>
      </c>
      <c r="D285" s="102">
        <f>'дод 3'!E60</f>
        <v>441318</v>
      </c>
      <c r="E285" s="102">
        <f>'дод 3'!F60</f>
        <v>441318</v>
      </c>
      <c r="F285" s="102">
        <f>'дод 3'!G60</f>
        <v>0</v>
      </c>
      <c r="G285" s="102">
        <f>'дод 3'!H60</f>
        <v>0</v>
      </c>
      <c r="H285" s="102">
        <f>'дод 3'!I60</f>
        <v>0</v>
      </c>
      <c r="I285" s="102">
        <f>'дод 3'!J60</f>
        <v>0</v>
      </c>
      <c r="J285" s="102">
        <f>'дод 3'!K60</f>
        <v>0</v>
      </c>
      <c r="K285" s="102">
        <f>'дод 3'!L60</f>
        <v>0</v>
      </c>
      <c r="L285" s="102">
        <f>'дод 3'!M60</f>
        <v>0</v>
      </c>
      <c r="M285" s="102">
        <f>'дод 3'!N60</f>
        <v>0</v>
      </c>
      <c r="N285" s="102">
        <f>'дод 3'!O60</f>
        <v>0</v>
      </c>
      <c r="O285" s="102">
        <f>'дод 3'!P60</f>
        <v>441318</v>
      </c>
      <c r="P285" s="173"/>
    </row>
    <row r="286" spans="1:16" s="105" customFormat="1" ht="90.75" customHeight="1" x14ac:dyDescent="0.45">
      <c r="A286" s="52" t="s">
        <v>285</v>
      </c>
      <c r="B286" s="52" t="s">
        <v>78</v>
      </c>
      <c r="C286" s="39" t="s">
        <v>302</v>
      </c>
      <c r="D286" s="102">
        <f>'дод 3'!E61+'дод 3'!E349+'дод 3'!E405+'дод 3'!E414</f>
        <v>0</v>
      </c>
      <c r="E286" s="102">
        <f>'дод 3'!F61+'дод 3'!F349+'дод 3'!F405+'дод 3'!F414</f>
        <v>0</v>
      </c>
      <c r="F286" s="102">
        <f>'дод 3'!G61+'дод 3'!G349+'дод 3'!G405+'дод 3'!G414</f>
        <v>0</v>
      </c>
      <c r="G286" s="102">
        <f>'дод 3'!H61+'дод 3'!H349+'дод 3'!H405+'дод 3'!H414</f>
        <v>0</v>
      </c>
      <c r="H286" s="102">
        <f>'дод 3'!I61+'дод 3'!I349+'дод 3'!I405+'дод 3'!I414</f>
        <v>0</v>
      </c>
      <c r="I286" s="102">
        <f>'дод 3'!J61+'дод 3'!J349+'дод 3'!J405+'дод 3'!J414</f>
        <v>110000</v>
      </c>
      <c r="J286" s="102">
        <f>'дод 3'!K61+'дод 3'!K349+'дод 3'!K405+'дод 3'!K414</f>
        <v>0</v>
      </c>
      <c r="K286" s="102">
        <f>'дод 3'!L61+'дод 3'!L349+'дод 3'!L405+'дод 3'!L414</f>
        <v>110000</v>
      </c>
      <c r="L286" s="102">
        <f>'дод 3'!M61+'дод 3'!M349+'дод 3'!M405+'дод 3'!M414</f>
        <v>0</v>
      </c>
      <c r="M286" s="102">
        <f>'дод 3'!N61+'дод 3'!N349+'дод 3'!N405+'дод 3'!N414</f>
        <v>0</v>
      </c>
      <c r="N286" s="102">
        <f>'дод 3'!O61+'дод 3'!O349+'дод 3'!O405+'дод 3'!O414</f>
        <v>0</v>
      </c>
      <c r="O286" s="102">
        <f>'дод 3'!P61+'дод 3'!P349+'дод 3'!P405+'дод 3'!P414</f>
        <v>110000</v>
      </c>
      <c r="P286" s="173"/>
    </row>
    <row r="287" spans="1:16" s="105" customFormat="1" ht="23.25" customHeight="1" x14ac:dyDescent="0.45">
      <c r="A287" s="52" t="s">
        <v>231</v>
      </c>
      <c r="B287" s="52" t="s">
        <v>78</v>
      </c>
      <c r="C287" s="39" t="s">
        <v>752</v>
      </c>
      <c r="D287" s="102">
        <f>'дод 3'!E62+'дод 3'!E429+'дод 3'!E457+'дод 3'!E161+'дод 3'!E438+'дод 3'!E450+'дод 3'!E164</f>
        <v>2184400</v>
      </c>
      <c r="E287" s="102">
        <f>'дод 3'!F62+'дод 3'!F429+'дод 3'!F457+'дод 3'!F161+'дод 3'!F438+'дод 3'!F450+'дод 3'!F164</f>
        <v>2184400</v>
      </c>
      <c r="F287" s="102">
        <f>'дод 3'!G62+'дод 3'!G429+'дод 3'!G457+'дод 3'!G161+'дод 3'!G438+'дод 3'!G450+'дод 3'!G164</f>
        <v>0</v>
      </c>
      <c r="G287" s="102">
        <f>'дод 3'!H62+'дод 3'!H429+'дод 3'!H457+'дод 3'!H161+'дод 3'!H438+'дод 3'!H450+'дод 3'!H164</f>
        <v>0</v>
      </c>
      <c r="H287" s="102">
        <f>'дод 3'!I62+'дод 3'!I429+'дод 3'!I457+'дод 3'!I161+'дод 3'!I438+'дод 3'!I450+'дод 3'!I164</f>
        <v>0</v>
      </c>
      <c r="I287" s="102">
        <f>'дод 3'!J62+'дод 3'!J429+'дод 3'!J457+'дод 3'!J161+'дод 3'!J438+'дод 3'!J450+'дод 3'!J164</f>
        <v>0</v>
      </c>
      <c r="J287" s="102">
        <f>'дод 3'!K62+'дод 3'!K429+'дод 3'!K457+'дод 3'!K161+'дод 3'!K438+'дод 3'!K450+'дод 3'!K164</f>
        <v>0</v>
      </c>
      <c r="K287" s="102">
        <f>'дод 3'!L62+'дод 3'!L429+'дод 3'!L457+'дод 3'!L161+'дод 3'!L438+'дод 3'!L450+'дод 3'!L164</f>
        <v>0</v>
      </c>
      <c r="L287" s="102">
        <f>'дод 3'!M62+'дод 3'!M429+'дод 3'!M457+'дод 3'!M161+'дод 3'!M438+'дод 3'!M450+'дод 3'!M164</f>
        <v>0</v>
      </c>
      <c r="M287" s="102">
        <f>'дод 3'!N62+'дод 3'!N429+'дод 3'!N457+'дод 3'!N161+'дод 3'!N438+'дод 3'!N450+'дод 3'!N164</f>
        <v>0</v>
      </c>
      <c r="N287" s="102">
        <f>'дод 3'!O62+'дод 3'!O429+'дод 3'!O457+'дод 3'!O161+'дод 3'!O438+'дод 3'!O450+'дод 3'!O164</f>
        <v>0</v>
      </c>
      <c r="O287" s="102">
        <f>'дод 3'!P62+'дод 3'!P429+'дод 3'!P457+'дод 3'!P161+'дод 3'!P438+'дод 3'!P450+'дод 3'!P164</f>
        <v>2184400</v>
      </c>
      <c r="P287" s="173"/>
    </row>
    <row r="288" spans="1:16" s="105" customFormat="1" ht="76.900000000000006" x14ac:dyDescent="0.45">
      <c r="A288" s="52"/>
      <c r="B288" s="52"/>
      <c r="C288" s="55" t="s">
        <v>624</v>
      </c>
      <c r="D288" s="103">
        <f>'дод 3'!E439</f>
        <v>163600</v>
      </c>
      <c r="E288" s="103">
        <f>'дод 3'!F439</f>
        <v>163600</v>
      </c>
      <c r="F288" s="103">
        <f>'дод 3'!G439</f>
        <v>0</v>
      </c>
      <c r="G288" s="103">
        <f>'дод 3'!H439</f>
        <v>0</v>
      </c>
      <c r="H288" s="103">
        <f>'дод 3'!I439</f>
        <v>0</v>
      </c>
      <c r="I288" s="103">
        <f>'дод 3'!J439</f>
        <v>0</v>
      </c>
      <c r="J288" s="103">
        <f>'дод 3'!K439</f>
        <v>0</v>
      </c>
      <c r="K288" s="103">
        <f>'дод 3'!L439</f>
        <v>0</v>
      </c>
      <c r="L288" s="103">
        <f>'дод 3'!M439</f>
        <v>0</v>
      </c>
      <c r="M288" s="103">
        <f>'дод 3'!N439</f>
        <v>0</v>
      </c>
      <c r="N288" s="103">
        <f>'дод 3'!O439</f>
        <v>0</v>
      </c>
      <c r="O288" s="103">
        <f>'дод 3'!P439</f>
        <v>163600</v>
      </c>
      <c r="P288" s="173"/>
    </row>
    <row r="289" spans="1:16" s="108" customFormat="1" ht="46.5" customHeight="1" x14ac:dyDescent="0.4">
      <c r="A289" s="106">
        <v>7700</v>
      </c>
      <c r="B289" s="97" t="s">
        <v>89</v>
      </c>
      <c r="C289" s="45" t="s">
        <v>601</v>
      </c>
      <c r="D289" s="100">
        <f>'дод 3'!E63+'дод 3'!E350</f>
        <v>0</v>
      </c>
      <c r="E289" s="100">
        <f>'дод 3'!F63+'дод 3'!F350</f>
        <v>0</v>
      </c>
      <c r="F289" s="100">
        <f>'дод 3'!G63+'дод 3'!G350</f>
        <v>0</v>
      </c>
      <c r="G289" s="100">
        <f>'дод 3'!H63+'дод 3'!H350</f>
        <v>0</v>
      </c>
      <c r="H289" s="100">
        <f>'дод 3'!I63+'дод 3'!I350</f>
        <v>0</v>
      </c>
      <c r="I289" s="100">
        <f>'дод 3'!J63+'дод 3'!J350</f>
        <v>5904588</v>
      </c>
      <c r="J289" s="100">
        <f>'дод 3'!K63+'дод 3'!K350</f>
        <v>0</v>
      </c>
      <c r="K289" s="100">
        <f>'дод 3'!L63+'дод 3'!L350</f>
        <v>447641</v>
      </c>
      <c r="L289" s="100">
        <f>'дод 3'!M63+'дод 3'!M350</f>
        <v>0</v>
      </c>
      <c r="M289" s="100">
        <f>'дод 3'!N63+'дод 3'!N350</f>
        <v>0</v>
      </c>
      <c r="N289" s="100">
        <f>'дод 3'!O63+'дод 3'!O350</f>
        <v>5456947</v>
      </c>
      <c r="O289" s="100">
        <f>'дод 3'!P63+'дод 3'!P350</f>
        <v>5904588</v>
      </c>
      <c r="P289" s="173"/>
    </row>
    <row r="290" spans="1:16" s="108" customFormat="1" ht="26.25" customHeight="1" x14ac:dyDescent="0.4">
      <c r="A290" s="107"/>
      <c r="B290" s="126"/>
      <c r="C290" s="25" t="s">
        <v>602</v>
      </c>
      <c r="D290" s="101">
        <f>'дод 3'!E64+'дод 3'!E351</f>
        <v>0</v>
      </c>
      <c r="E290" s="101">
        <f>'дод 3'!F64+'дод 3'!F351</f>
        <v>0</v>
      </c>
      <c r="F290" s="101">
        <f>'дод 3'!G64+'дод 3'!G351</f>
        <v>0</v>
      </c>
      <c r="G290" s="101">
        <f>'дод 3'!H64+'дод 3'!H351</f>
        <v>0</v>
      </c>
      <c r="H290" s="101">
        <f>'дод 3'!I64+'дод 3'!I351</f>
        <v>0</v>
      </c>
      <c r="I290" s="101">
        <f>'дод 3'!J64+'дод 3'!J351</f>
        <v>5904588</v>
      </c>
      <c r="J290" s="101">
        <f>'дод 3'!K64+'дод 3'!K351</f>
        <v>0</v>
      </c>
      <c r="K290" s="101">
        <f>'дод 3'!L64+'дод 3'!L351</f>
        <v>447641</v>
      </c>
      <c r="L290" s="101">
        <f>'дод 3'!M64+'дод 3'!M351</f>
        <v>0</v>
      </c>
      <c r="M290" s="101">
        <f>'дод 3'!N64+'дод 3'!N351</f>
        <v>0</v>
      </c>
      <c r="N290" s="101">
        <f>'дод 3'!O64+'дод 3'!O351</f>
        <v>5456947</v>
      </c>
      <c r="O290" s="101">
        <f>'дод 3'!P64+'дод 3'!P351</f>
        <v>5904588</v>
      </c>
      <c r="P290" s="173"/>
    </row>
    <row r="291" spans="1:16" s="96" customFormat="1" ht="30.75" customHeight="1" x14ac:dyDescent="0.4">
      <c r="A291" s="106" t="s">
        <v>90</v>
      </c>
      <c r="B291" s="44"/>
      <c r="C291" s="111" t="s">
        <v>664</v>
      </c>
      <c r="D291" s="100">
        <f t="shared" ref="D291:O291" si="61">D295+D304+D307+D311+D313+D314</f>
        <v>62385636.439999998</v>
      </c>
      <c r="E291" s="100">
        <f t="shared" si="61"/>
        <v>62130884.879999995</v>
      </c>
      <c r="F291" s="100">
        <f t="shared" si="61"/>
        <v>3087400</v>
      </c>
      <c r="G291" s="100">
        <f t="shared" si="61"/>
        <v>8158200</v>
      </c>
      <c r="H291" s="100">
        <f t="shared" si="61"/>
        <v>0</v>
      </c>
      <c r="I291" s="100">
        <f t="shared" si="61"/>
        <v>12530531</v>
      </c>
      <c r="J291" s="100">
        <f t="shared" si="61"/>
        <v>10296131</v>
      </c>
      <c r="K291" s="100">
        <f t="shared" si="61"/>
        <v>1642400</v>
      </c>
      <c r="L291" s="100">
        <f t="shared" si="61"/>
        <v>0</v>
      </c>
      <c r="M291" s="100">
        <f t="shared" si="61"/>
        <v>1600</v>
      </c>
      <c r="N291" s="100">
        <f t="shared" si="61"/>
        <v>10888131</v>
      </c>
      <c r="O291" s="100">
        <f t="shared" si="61"/>
        <v>74916167.439999998</v>
      </c>
      <c r="P291" s="173"/>
    </row>
    <row r="292" spans="1:16" s="108" customFormat="1" ht="54.75" customHeight="1" x14ac:dyDescent="0.4">
      <c r="A292" s="107"/>
      <c r="B292" s="46"/>
      <c r="C292" s="66" t="s">
        <v>369</v>
      </c>
      <c r="D292" s="101">
        <f>D296</f>
        <v>410600</v>
      </c>
      <c r="E292" s="101">
        <f t="shared" ref="E292:O292" si="62">E296</f>
        <v>410600</v>
      </c>
      <c r="F292" s="101">
        <f t="shared" si="62"/>
        <v>336800</v>
      </c>
      <c r="G292" s="101">
        <f t="shared" si="62"/>
        <v>0</v>
      </c>
      <c r="H292" s="101">
        <f t="shared" si="62"/>
        <v>0</v>
      </c>
      <c r="I292" s="101">
        <f t="shared" si="62"/>
        <v>0</v>
      </c>
      <c r="J292" s="101">
        <f t="shared" si="62"/>
        <v>0</v>
      </c>
      <c r="K292" s="101">
        <f t="shared" si="62"/>
        <v>0</v>
      </c>
      <c r="L292" s="101">
        <f t="shared" si="62"/>
        <v>0</v>
      </c>
      <c r="M292" s="101">
        <f t="shared" si="62"/>
        <v>0</v>
      </c>
      <c r="N292" s="101">
        <f t="shared" si="62"/>
        <v>0</v>
      </c>
      <c r="O292" s="101">
        <f t="shared" si="62"/>
        <v>410600</v>
      </c>
      <c r="P292" s="173"/>
    </row>
    <row r="293" spans="1:16" s="108" customFormat="1" ht="79.5" customHeight="1" x14ac:dyDescent="0.4">
      <c r="A293" s="107"/>
      <c r="B293" s="46"/>
      <c r="C293" s="25" t="str">
        <f>C297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D293" s="101">
        <f>D297</f>
        <v>1840869</v>
      </c>
      <c r="E293" s="101">
        <f t="shared" ref="E293:O293" si="63">E297</f>
        <v>1840869</v>
      </c>
      <c r="F293" s="101">
        <f t="shared" si="63"/>
        <v>0</v>
      </c>
      <c r="G293" s="101">
        <f t="shared" si="63"/>
        <v>0</v>
      </c>
      <c r="H293" s="101">
        <f t="shared" si="63"/>
        <v>0</v>
      </c>
      <c r="I293" s="101">
        <f t="shared" si="63"/>
        <v>1128100</v>
      </c>
      <c r="J293" s="101">
        <f t="shared" si="63"/>
        <v>1128100</v>
      </c>
      <c r="K293" s="101">
        <f t="shared" si="63"/>
        <v>0</v>
      </c>
      <c r="L293" s="101">
        <f t="shared" si="63"/>
        <v>0</v>
      </c>
      <c r="M293" s="101">
        <f t="shared" si="63"/>
        <v>0</v>
      </c>
      <c r="N293" s="101">
        <f t="shared" si="63"/>
        <v>1128100</v>
      </c>
      <c r="O293" s="101">
        <f t="shared" si="63"/>
        <v>2968969</v>
      </c>
      <c r="P293" s="173"/>
    </row>
    <row r="294" spans="1:16" s="108" customFormat="1" ht="33.950000000000003" customHeight="1" x14ac:dyDescent="0.4">
      <c r="A294" s="107"/>
      <c r="B294" s="46"/>
      <c r="C294" s="25" t="str">
        <f>C298</f>
        <v>іншої субвенції з місцевого бюджету</v>
      </c>
      <c r="D294" s="101">
        <f>D298</f>
        <v>0</v>
      </c>
      <c r="E294" s="101">
        <f t="shared" ref="E294:O294" si="64">E298</f>
        <v>0</v>
      </c>
      <c r="F294" s="101">
        <f t="shared" si="64"/>
        <v>0</v>
      </c>
      <c r="G294" s="101">
        <f t="shared" si="64"/>
        <v>0</v>
      </c>
      <c r="H294" s="101">
        <f t="shared" si="64"/>
        <v>0</v>
      </c>
      <c r="I294" s="101">
        <f t="shared" si="64"/>
        <v>1128100</v>
      </c>
      <c r="J294" s="101">
        <f t="shared" si="64"/>
        <v>1128100</v>
      </c>
      <c r="K294" s="101">
        <f t="shared" si="64"/>
        <v>0</v>
      </c>
      <c r="L294" s="101">
        <f t="shared" si="64"/>
        <v>0</v>
      </c>
      <c r="M294" s="101">
        <f t="shared" si="64"/>
        <v>0</v>
      </c>
      <c r="N294" s="101">
        <f t="shared" si="64"/>
        <v>1128100</v>
      </c>
      <c r="O294" s="101">
        <f t="shared" si="64"/>
        <v>1128100</v>
      </c>
      <c r="P294" s="173"/>
    </row>
    <row r="295" spans="1:16" s="96" customFormat="1" ht="44.25" customHeight="1" x14ac:dyDescent="0.4">
      <c r="A295" s="106" t="s">
        <v>92</v>
      </c>
      <c r="B295" s="44"/>
      <c r="C295" s="111" t="s">
        <v>613</v>
      </c>
      <c r="D295" s="100">
        <f t="shared" ref="D295:O295" si="65">D299+D302</f>
        <v>17163521</v>
      </c>
      <c r="E295" s="100">
        <f t="shared" si="65"/>
        <v>17163521</v>
      </c>
      <c r="F295" s="100">
        <f t="shared" si="65"/>
        <v>3087400</v>
      </c>
      <c r="G295" s="100">
        <f t="shared" si="65"/>
        <v>181500</v>
      </c>
      <c r="H295" s="100">
        <f t="shared" si="65"/>
        <v>0</v>
      </c>
      <c r="I295" s="100">
        <f>I299+I302</f>
        <v>9415700</v>
      </c>
      <c r="J295" s="100">
        <f t="shared" si="65"/>
        <v>9408800</v>
      </c>
      <c r="K295" s="100">
        <f t="shared" si="65"/>
        <v>6900</v>
      </c>
      <c r="L295" s="100">
        <f t="shared" si="65"/>
        <v>0</v>
      </c>
      <c r="M295" s="100">
        <f t="shared" si="65"/>
        <v>1600</v>
      </c>
      <c r="N295" s="100">
        <f t="shared" si="65"/>
        <v>9408800</v>
      </c>
      <c r="O295" s="100">
        <f t="shared" si="65"/>
        <v>26579221</v>
      </c>
      <c r="P295" s="173"/>
    </row>
    <row r="296" spans="1:16" s="108" customFormat="1" ht="50.25" customHeight="1" x14ac:dyDescent="0.4">
      <c r="A296" s="107"/>
      <c r="B296" s="46"/>
      <c r="C296" s="25" t="str">
        <f>C303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D296" s="101">
        <f>D303</f>
        <v>410600</v>
      </c>
      <c r="E296" s="101">
        <f t="shared" ref="E296:O296" si="66">E303</f>
        <v>410600</v>
      </c>
      <c r="F296" s="101">
        <f t="shared" si="66"/>
        <v>336800</v>
      </c>
      <c r="G296" s="101">
        <f t="shared" si="66"/>
        <v>0</v>
      </c>
      <c r="H296" s="101">
        <f t="shared" si="66"/>
        <v>0</v>
      </c>
      <c r="I296" s="101">
        <f t="shared" si="66"/>
        <v>0</v>
      </c>
      <c r="J296" s="101">
        <f t="shared" si="66"/>
        <v>0</v>
      </c>
      <c r="K296" s="101">
        <f t="shared" si="66"/>
        <v>0</v>
      </c>
      <c r="L296" s="101">
        <f t="shared" si="66"/>
        <v>0</v>
      </c>
      <c r="M296" s="101">
        <f t="shared" si="66"/>
        <v>0</v>
      </c>
      <c r="N296" s="101">
        <f t="shared" si="66"/>
        <v>0</v>
      </c>
      <c r="O296" s="101">
        <f t="shared" si="66"/>
        <v>410600</v>
      </c>
      <c r="P296" s="173"/>
    </row>
    <row r="297" spans="1:16" s="108" customFormat="1" ht="79.5" customHeight="1" x14ac:dyDescent="0.4">
      <c r="A297" s="107"/>
      <c r="B297" s="46"/>
      <c r="C297" s="25" t="str">
        <f>C301</f>
        <v>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D297" s="101">
        <f>D301</f>
        <v>1840869</v>
      </c>
      <c r="E297" s="101">
        <f t="shared" ref="E297:O297" si="67">E301</f>
        <v>1840869</v>
      </c>
      <c r="F297" s="101">
        <f t="shared" si="67"/>
        <v>0</v>
      </c>
      <c r="G297" s="101">
        <f t="shared" si="67"/>
        <v>0</v>
      </c>
      <c r="H297" s="101">
        <f t="shared" si="67"/>
        <v>0</v>
      </c>
      <c r="I297" s="101">
        <f t="shared" si="67"/>
        <v>1128100</v>
      </c>
      <c r="J297" s="101">
        <f t="shared" si="67"/>
        <v>1128100</v>
      </c>
      <c r="K297" s="101">
        <f t="shared" si="67"/>
        <v>0</v>
      </c>
      <c r="L297" s="101">
        <f t="shared" si="67"/>
        <v>0</v>
      </c>
      <c r="M297" s="101">
        <f t="shared" si="67"/>
        <v>0</v>
      </c>
      <c r="N297" s="101">
        <f t="shared" si="67"/>
        <v>1128100</v>
      </c>
      <c r="O297" s="101">
        <f t="shared" si="67"/>
        <v>2968969</v>
      </c>
      <c r="P297" s="173"/>
    </row>
    <row r="298" spans="1:16" s="108" customFormat="1" ht="31.15" customHeight="1" x14ac:dyDescent="0.4">
      <c r="A298" s="107"/>
      <c r="B298" s="46"/>
      <c r="C298" s="25" t="str">
        <f>C300</f>
        <v>іншої субвенції з місцевого бюджету</v>
      </c>
      <c r="D298" s="101">
        <f>D300</f>
        <v>0</v>
      </c>
      <c r="E298" s="101">
        <f t="shared" ref="E298:O298" si="68">E300</f>
        <v>0</v>
      </c>
      <c r="F298" s="101">
        <f t="shared" si="68"/>
        <v>0</v>
      </c>
      <c r="G298" s="101">
        <f t="shared" si="68"/>
        <v>0</v>
      </c>
      <c r="H298" s="101">
        <f t="shared" si="68"/>
        <v>0</v>
      </c>
      <c r="I298" s="101">
        <f t="shared" si="68"/>
        <v>1128100</v>
      </c>
      <c r="J298" s="101">
        <f t="shared" si="68"/>
        <v>1128100</v>
      </c>
      <c r="K298" s="101">
        <f t="shared" si="68"/>
        <v>0</v>
      </c>
      <c r="L298" s="101">
        <f t="shared" si="68"/>
        <v>0</v>
      </c>
      <c r="M298" s="101">
        <f t="shared" si="68"/>
        <v>0</v>
      </c>
      <c r="N298" s="101">
        <f t="shared" si="68"/>
        <v>1128100</v>
      </c>
      <c r="O298" s="101">
        <f t="shared" si="68"/>
        <v>1128100</v>
      </c>
      <c r="P298" s="173"/>
    </row>
    <row r="299" spans="1:16" s="96" customFormat="1" ht="36.75" customHeight="1" x14ac:dyDescent="0.45">
      <c r="A299" s="52" t="s">
        <v>7</v>
      </c>
      <c r="B299" s="52" t="s">
        <v>85</v>
      </c>
      <c r="C299" s="39" t="s">
        <v>712</v>
      </c>
      <c r="D299" s="102">
        <f>'дод 3'!E65+'дод 3'!E352</f>
        <v>12776821</v>
      </c>
      <c r="E299" s="102">
        <f>'дод 3'!F65+'дод 3'!F352</f>
        <v>12776821</v>
      </c>
      <c r="F299" s="102">
        <f>'дод 3'!G65+'дод 3'!G352</f>
        <v>0</v>
      </c>
      <c r="G299" s="102">
        <f>'дод 3'!H65+'дод 3'!H352</f>
        <v>72500</v>
      </c>
      <c r="H299" s="102">
        <f>'дод 3'!I65+'дод 3'!I352</f>
        <v>0</v>
      </c>
      <c r="I299" s="102">
        <f>'дод 3'!J65+'дод 3'!J352</f>
        <v>9281700</v>
      </c>
      <c r="J299" s="102">
        <f>'дод 3'!K65+'дод 3'!K352</f>
        <v>9281700</v>
      </c>
      <c r="K299" s="102">
        <f>'дод 3'!L65+'дод 3'!L352</f>
        <v>0</v>
      </c>
      <c r="L299" s="102">
        <f>'дод 3'!M65+'дод 3'!M352</f>
        <v>0</v>
      </c>
      <c r="M299" s="102">
        <f>'дод 3'!N65+'дод 3'!N352</f>
        <v>0</v>
      </c>
      <c r="N299" s="102">
        <f>'дод 3'!O65+'дод 3'!O352</f>
        <v>9281700</v>
      </c>
      <c r="O299" s="102">
        <f>'дод 3'!P65+'дод 3'!P352</f>
        <v>22058521</v>
      </c>
      <c r="P299" s="173"/>
    </row>
    <row r="300" spans="1:16" s="108" customFormat="1" ht="25.5" customHeight="1" x14ac:dyDescent="0.45">
      <c r="A300" s="104"/>
      <c r="B300" s="104"/>
      <c r="C300" s="50" t="s">
        <v>380</v>
      </c>
      <c r="D300" s="103">
        <f>'дод 3'!E353</f>
        <v>0</v>
      </c>
      <c r="E300" s="103">
        <f>'дод 3'!F353</f>
        <v>0</v>
      </c>
      <c r="F300" s="103">
        <f>'дод 3'!G353</f>
        <v>0</v>
      </c>
      <c r="G300" s="103">
        <f>'дод 3'!H353</f>
        <v>0</v>
      </c>
      <c r="H300" s="103">
        <f>'дод 3'!I353</f>
        <v>0</v>
      </c>
      <c r="I300" s="103">
        <f>'дод 3'!J353</f>
        <v>1128100</v>
      </c>
      <c r="J300" s="103">
        <f>'дод 3'!K353</f>
        <v>1128100</v>
      </c>
      <c r="K300" s="103">
        <f>'дод 3'!L353</f>
        <v>0</v>
      </c>
      <c r="L300" s="103">
        <f>'дод 3'!M353</f>
        <v>0</v>
      </c>
      <c r="M300" s="103">
        <f>'дод 3'!N353</f>
        <v>0</v>
      </c>
      <c r="N300" s="103">
        <f>'дод 3'!O353</f>
        <v>1128100</v>
      </c>
      <c r="O300" s="103">
        <f>'дод 3'!P353</f>
        <v>1128100</v>
      </c>
      <c r="P300" s="173"/>
    </row>
    <row r="301" spans="1:16" s="108" customFormat="1" ht="93.95" customHeight="1" x14ac:dyDescent="0.45">
      <c r="A301" s="104"/>
      <c r="B301" s="104"/>
      <c r="C301" s="55" t="s">
        <v>624</v>
      </c>
      <c r="D301" s="103">
        <f>'дод 3'!E66+'дод 3'!E354</f>
        <v>1840869</v>
      </c>
      <c r="E301" s="103">
        <f>'дод 3'!F66+'дод 3'!F354</f>
        <v>1840869</v>
      </c>
      <c r="F301" s="103">
        <f>'дод 3'!G66+'дод 3'!G354</f>
        <v>0</v>
      </c>
      <c r="G301" s="103">
        <f>'дод 3'!H66+'дод 3'!H354</f>
        <v>0</v>
      </c>
      <c r="H301" s="103">
        <f>'дод 3'!I66+'дод 3'!I354</f>
        <v>0</v>
      </c>
      <c r="I301" s="103">
        <f>'дод 3'!J66+'дод 3'!J354</f>
        <v>1128100</v>
      </c>
      <c r="J301" s="103">
        <f>'дод 3'!K66+'дод 3'!K354</f>
        <v>1128100</v>
      </c>
      <c r="K301" s="103">
        <f>'дод 3'!L66+'дод 3'!L354</f>
        <v>0</v>
      </c>
      <c r="L301" s="103">
        <f>'дод 3'!M66+'дод 3'!M354</f>
        <v>0</v>
      </c>
      <c r="M301" s="103">
        <f>'дод 3'!N66+'дод 3'!N354</f>
        <v>0</v>
      </c>
      <c r="N301" s="103">
        <f>'дод 3'!O66+'дод 3'!O354</f>
        <v>1128100</v>
      </c>
      <c r="O301" s="103">
        <f>'дод 3'!P66+'дод 3'!P354</f>
        <v>2968969</v>
      </c>
      <c r="P301" s="173"/>
    </row>
    <row r="302" spans="1:16" ht="21" customHeight="1" x14ac:dyDescent="0.45">
      <c r="A302" s="52" t="s">
        <v>140</v>
      </c>
      <c r="B302" s="29" t="s">
        <v>85</v>
      </c>
      <c r="C302" s="39" t="s">
        <v>665</v>
      </c>
      <c r="D302" s="102">
        <f>'дод 3'!E67</f>
        <v>4386700</v>
      </c>
      <c r="E302" s="102">
        <f>'дод 3'!F67</f>
        <v>4386700</v>
      </c>
      <c r="F302" s="102">
        <f>'дод 3'!G67</f>
        <v>3087400</v>
      </c>
      <c r="G302" s="102">
        <f>'дод 3'!H67</f>
        <v>109000</v>
      </c>
      <c r="H302" s="102">
        <f>'дод 3'!I67</f>
        <v>0</v>
      </c>
      <c r="I302" s="102">
        <f>'дод 3'!J67</f>
        <v>134000</v>
      </c>
      <c r="J302" s="102">
        <f>'дод 3'!K67</f>
        <v>127100</v>
      </c>
      <c r="K302" s="102">
        <f>'дод 3'!L67</f>
        <v>6900</v>
      </c>
      <c r="L302" s="102">
        <f>'дод 3'!M67</f>
        <v>0</v>
      </c>
      <c r="M302" s="102">
        <f>'дод 3'!N67</f>
        <v>1600</v>
      </c>
      <c r="N302" s="102">
        <f>'дод 3'!O67</f>
        <v>127100</v>
      </c>
      <c r="O302" s="102">
        <f>'дод 3'!P67</f>
        <v>4520700</v>
      </c>
      <c r="P302" s="173"/>
    </row>
    <row r="303" spans="1:16" s="105" customFormat="1" ht="47.25" customHeight="1" x14ac:dyDescent="0.45">
      <c r="A303" s="104"/>
      <c r="B303" s="34"/>
      <c r="C303" s="35" t="s">
        <v>369</v>
      </c>
      <c r="D303" s="103">
        <f>'дод 3'!E68</f>
        <v>410600</v>
      </c>
      <c r="E303" s="103">
        <f>'дод 3'!F68</f>
        <v>410600</v>
      </c>
      <c r="F303" s="103">
        <f>'дод 3'!G68</f>
        <v>336800</v>
      </c>
      <c r="G303" s="103">
        <f>'дод 3'!H68</f>
        <v>0</v>
      </c>
      <c r="H303" s="103">
        <f>'дод 3'!I68</f>
        <v>0</v>
      </c>
      <c r="I303" s="103">
        <f>'дод 3'!J68</f>
        <v>0</v>
      </c>
      <c r="J303" s="103">
        <f>'дод 3'!K68</f>
        <v>0</v>
      </c>
      <c r="K303" s="103">
        <f>'дод 3'!L68</f>
        <v>0</v>
      </c>
      <c r="L303" s="103">
        <f>'дод 3'!M68</f>
        <v>0</v>
      </c>
      <c r="M303" s="103">
        <f>'дод 3'!N68</f>
        <v>0</v>
      </c>
      <c r="N303" s="103">
        <f>'дод 3'!O68</f>
        <v>0</v>
      </c>
      <c r="O303" s="103">
        <f>'дод 3'!P68</f>
        <v>410600</v>
      </c>
      <c r="P303" s="173"/>
    </row>
    <row r="304" spans="1:16" s="96" customFormat="1" ht="23.25" customHeight="1" x14ac:dyDescent="0.4">
      <c r="A304" s="106" t="s">
        <v>242</v>
      </c>
      <c r="B304" s="106"/>
      <c r="C304" s="127" t="s">
        <v>243</v>
      </c>
      <c r="D304" s="100">
        <f>D305+D306</f>
        <v>43275294.879999995</v>
      </c>
      <c r="E304" s="100">
        <f t="shared" ref="E304:O304" si="69">E305+E306</f>
        <v>43275294.879999995</v>
      </c>
      <c r="F304" s="100">
        <f t="shared" si="69"/>
        <v>0</v>
      </c>
      <c r="G304" s="100">
        <f t="shared" si="69"/>
        <v>7976700</v>
      </c>
      <c r="H304" s="100">
        <f t="shared" si="69"/>
        <v>0</v>
      </c>
      <c r="I304" s="100">
        <f t="shared" si="69"/>
        <v>887331</v>
      </c>
      <c r="J304" s="100">
        <f t="shared" si="69"/>
        <v>887331</v>
      </c>
      <c r="K304" s="100">
        <f t="shared" si="69"/>
        <v>0</v>
      </c>
      <c r="L304" s="100">
        <f t="shared" si="69"/>
        <v>0</v>
      </c>
      <c r="M304" s="100">
        <f t="shared" si="69"/>
        <v>0</v>
      </c>
      <c r="N304" s="100">
        <f t="shared" si="69"/>
        <v>887331</v>
      </c>
      <c r="O304" s="100">
        <f t="shared" si="69"/>
        <v>44162625.879999995</v>
      </c>
      <c r="P304" s="173"/>
    </row>
    <row r="305" spans="1:18" ht="22.5" customHeight="1" x14ac:dyDescent="0.45">
      <c r="A305" s="52" t="s">
        <v>236</v>
      </c>
      <c r="B305" s="29" t="s">
        <v>237</v>
      </c>
      <c r="C305" s="39" t="s">
        <v>238</v>
      </c>
      <c r="D305" s="102">
        <f>'дод 3'!E69+'дод 3'!E355</f>
        <v>1158892</v>
      </c>
      <c r="E305" s="102">
        <f>'дод 3'!F69+'дод 3'!F355</f>
        <v>1158892</v>
      </c>
      <c r="F305" s="102">
        <f>'дод 3'!G69+'дод 3'!G355</f>
        <v>0</v>
      </c>
      <c r="G305" s="102">
        <f>'дод 3'!H69+'дод 3'!H355</f>
        <v>586600</v>
      </c>
      <c r="H305" s="102">
        <f>'дод 3'!I69+'дод 3'!I355</f>
        <v>0</v>
      </c>
      <c r="I305" s="102">
        <f>'дод 3'!J69+'дод 3'!J355</f>
        <v>0</v>
      </c>
      <c r="J305" s="102">
        <f>'дод 3'!K69+'дод 3'!K355</f>
        <v>0</v>
      </c>
      <c r="K305" s="102">
        <f>'дод 3'!L69+'дод 3'!L355</f>
        <v>0</v>
      </c>
      <c r="L305" s="102">
        <f>'дод 3'!M69+'дод 3'!M355</f>
        <v>0</v>
      </c>
      <c r="M305" s="102">
        <f>'дод 3'!N69+'дод 3'!N355</f>
        <v>0</v>
      </c>
      <c r="N305" s="102">
        <f>'дод 3'!O69+'дод 3'!O355</f>
        <v>0</v>
      </c>
      <c r="O305" s="102">
        <f>'дод 3'!P69+'дод 3'!P355</f>
        <v>1158892</v>
      </c>
      <c r="P305" s="173"/>
    </row>
    <row r="306" spans="1:18" ht="22.5" customHeight="1" x14ac:dyDescent="0.45">
      <c r="A306" s="52">
        <v>8240</v>
      </c>
      <c r="B306" s="29" t="s">
        <v>237</v>
      </c>
      <c r="C306" s="39" t="s">
        <v>571</v>
      </c>
      <c r="D306" s="102">
        <f>'дод 3'!E70+'дод 3'!E356+'дод 3'!E167</f>
        <v>42116402.879999995</v>
      </c>
      <c r="E306" s="102">
        <f>'дод 3'!F70+'дод 3'!F356+'дод 3'!F167</f>
        <v>42116402.879999995</v>
      </c>
      <c r="F306" s="102">
        <f>'дод 3'!G70+'дод 3'!G356+'дод 3'!G167</f>
        <v>0</v>
      </c>
      <c r="G306" s="102">
        <f>'дод 3'!H70+'дод 3'!H356+'дод 3'!H167</f>
        <v>7390100</v>
      </c>
      <c r="H306" s="102">
        <f>'дод 3'!I70+'дод 3'!I356+'дод 3'!I167</f>
        <v>0</v>
      </c>
      <c r="I306" s="102">
        <f>'дод 3'!J70+'дод 3'!J356+'дод 3'!J167</f>
        <v>887331</v>
      </c>
      <c r="J306" s="102">
        <f>'дод 3'!K70+'дод 3'!K356+'дод 3'!K167</f>
        <v>887331</v>
      </c>
      <c r="K306" s="102">
        <f>'дод 3'!L70+'дод 3'!L356+'дод 3'!L167</f>
        <v>0</v>
      </c>
      <c r="L306" s="102">
        <f>'дод 3'!M70+'дод 3'!M356+'дод 3'!M167</f>
        <v>0</v>
      </c>
      <c r="M306" s="102">
        <f>'дод 3'!N70+'дод 3'!N356+'дод 3'!N167</f>
        <v>0</v>
      </c>
      <c r="N306" s="102">
        <f>'дод 3'!O70+'дод 3'!O356+'дод 3'!O167</f>
        <v>887331</v>
      </c>
      <c r="O306" s="102">
        <f>'дод 3'!P70+'дод 3'!P356+'дод 3'!P167</f>
        <v>43003733.879999995</v>
      </c>
      <c r="P306" s="173"/>
    </row>
    <row r="307" spans="1:18" s="96" customFormat="1" ht="22.5" customHeight="1" x14ac:dyDescent="0.4">
      <c r="A307" s="106" t="s">
        <v>6</v>
      </c>
      <c r="B307" s="44"/>
      <c r="C307" s="111" t="s">
        <v>8</v>
      </c>
      <c r="D307" s="100">
        <f>D310+D309+D308</f>
        <v>75000</v>
      </c>
      <c r="E307" s="100">
        <f t="shared" ref="E307:N307" si="70">E310+E309+E308</f>
        <v>75000</v>
      </c>
      <c r="F307" s="100">
        <f t="shared" si="70"/>
        <v>0</v>
      </c>
      <c r="G307" s="100">
        <f t="shared" si="70"/>
        <v>0</v>
      </c>
      <c r="H307" s="100">
        <f t="shared" si="70"/>
        <v>0</v>
      </c>
      <c r="I307" s="100">
        <f>I310+I309+I308</f>
        <v>2227500</v>
      </c>
      <c r="J307" s="100">
        <f t="shared" si="70"/>
        <v>0</v>
      </c>
      <c r="K307" s="100">
        <f t="shared" si="70"/>
        <v>1635500</v>
      </c>
      <c r="L307" s="100">
        <f t="shared" si="70"/>
        <v>0</v>
      </c>
      <c r="M307" s="100">
        <f t="shared" si="70"/>
        <v>0</v>
      </c>
      <c r="N307" s="100">
        <f t="shared" si="70"/>
        <v>592000</v>
      </c>
      <c r="O307" s="100">
        <f>O310+O309+O308</f>
        <v>2302500</v>
      </c>
      <c r="P307" s="173"/>
    </row>
    <row r="308" spans="1:18" s="96" customFormat="1" ht="22.5" hidden="1" customHeight="1" x14ac:dyDescent="0.45">
      <c r="A308" s="52">
        <v>8312</v>
      </c>
      <c r="B308" s="28" t="s">
        <v>620</v>
      </c>
      <c r="C308" s="39" t="s">
        <v>621</v>
      </c>
      <c r="D308" s="102">
        <f>'дод 3'!E357</f>
        <v>0</v>
      </c>
      <c r="E308" s="102">
        <f>'дод 3'!F357</f>
        <v>0</v>
      </c>
      <c r="F308" s="102">
        <f>'дод 3'!G357</f>
        <v>0</v>
      </c>
      <c r="G308" s="102">
        <f>'дод 3'!H357</f>
        <v>0</v>
      </c>
      <c r="H308" s="102">
        <f>'дод 3'!I357</f>
        <v>0</v>
      </c>
      <c r="I308" s="102">
        <f>'дод 3'!J357</f>
        <v>0</v>
      </c>
      <c r="J308" s="102">
        <f>'дод 3'!K357</f>
        <v>0</v>
      </c>
      <c r="K308" s="102">
        <f>'дод 3'!L357</f>
        <v>0</v>
      </c>
      <c r="L308" s="102">
        <f>'дод 3'!M357</f>
        <v>0</v>
      </c>
      <c r="M308" s="102">
        <f>'дод 3'!N357</f>
        <v>0</v>
      </c>
      <c r="N308" s="102">
        <f>'дод 3'!O357</f>
        <v>0</v>
      </c>
      <c r="O308" s="102">
        <f>'дод 3'!P357</f>
        <v>0</v>
      </c>
      <c r="P308" s="173"/>
    </row>
    <row r="309" spans="1:18" s="96" customFormat="1" ht="33.75" customHeight="1" x14ac:dyDescent="0.45">
      <c r="A309" s="52">
        <v>8330</v>
      </c>
      <c r="B309" s="40" t="s">
        <v>88</v>
      </c>
      <c r="C309" s="39" t="s">
        <v>335</v>
      </c>
      <c r="D309" s="102">
        <f>'дод 3'!E459</f>
        <v>75000</v>
      </c>
      <c r="E309" s="102">
        <f>'дод 3'!F459</f>
        <v>75000</v>
      </c>
      <c r="F309" s="102">
        <f>'дод 3'!G459</f>
        <v>0</v>
      </c>
      <c r="G309" s="102">
        <f>'дод 3'!H459</f>
        <v>0</v>
      </c>
      <c r="H309" s="102">
        <f>'дод 3'!I459</f>
        <v>0</v>
      </c>
      <c r="I309" s="102">
        <f>'дод 3'!J459</f>
        <v>0</v>
      </c>
      <c r="J309" s="102">
        <f>'дод 3'!K459</f>
        <v>0</v>
      </c>
      <c r="K309" s="102">
        <f>'дод 3'!L459</f>
        <v>0</v>
      </c>
      <c r="L309" s="102">
        <f>'дод 3'!M459</f>
        <v>0</v>
      </c>
      <c r="M309" s="102">
        <f>'дод 3'!N459</f>
        <v>0</v>
      </c>
      <c r="N309" s="102">
        <f>'дод 3'!O459</f>
        <v>0</v>
      </c>
      <c r="O309" s="102">
        <f>'дод 3'!P459</f>
        <v>75000</v>
      </c>
      <c r="P309" s="173"/>
    </row>
    <row r="310" spans="1:18" s="96" customFormat="1" ht="19.5" customHeight="1" x14ac:dyDescent="0.45">
      <c r="A310" s="52" t="s">
        <v>9</v>
      </c>
      <c r="B310" s="52" t="s">
        <v>88</v>
      </c>
      <c r="C310" s="39" t="s">
        <v>10</v>
      </c>
      <c r="D310" s="102">
        <f>'дод 3'!E71+'дод 3'!E168+'дод 3'!E358+'дод 3'!E460+'дод 3'!E286</f>
        <v>0</v>
      </c>
      <c r="E310" s="102">
        <f>'дод 3'!F71+'дод 3'!F168+'дод 3'!F358+'дод 3'!F460+'дод 3'!F286</f>
        <v>0</v>
      </c>
      <c r="F310" s="102">
        <f>'дод 3'!G71+'дод 3'!G168+'дод 3'!G358+'дод 3'!G460+'дод 3'!G286</f>
        <v>0</v>
      </c>
      <c r="G310" s="102">
        <f>'дод 3'!H71+'дод 3'!H168+'дод 3'!H358+'дод 3'!H460+'дод 3'!H286</f>
        <v>0</v>
      </c>
      <c r="H310" s="102">
        <f>'дод 3'!I71+'дод 3'!I168+'дод 3'!I358+'дод 3'!I460+'дод 3'!I286</f>
        <v>0</v>
      </c>
      <c r="I310" s="102">
        <f>'дод 3'!J71+'дод 3'!J168+'дод 3'!J358+'дод 3'!J460+'дод 3'!J286</f>
        <v>2227500</v>
      </c>
      <c r="J310" s="102">
        <f>'дод 3'!K71+'дод 3'!K168+'дод 3'!K358+'дод 3'!K460+'дод 3'!K286</f>
        <v>0</v>
      </c>
      <c r="K310" s="102">
        <f>'дод 3'!L71+'дод 3'!L168+'дод 3'!L358+'дод 3'!L460+'дод 3'!L286</f>
        <v>1635500</v>
      </c>
      <c r="L310" s="102">
        <f>'дод 3'!M71+'дод 3'!M168+'дод 3'!M358+'дод 3'!M460+'дод 3'!M286</f>
        <v>0</v>
      </c>
      <c r="M310" s="102">
        <f>'дод 3'!N71+'дод 3'!N168+'дод 3'!N358+'дод 3'!N460+'дод 3'!N286</f>
        <v>0</v>
      </c>
      <c r="N310" s="102">
        <f>'дод 3'!O71+'дод 3'!O168+'дод 3'!O358+'дод 3'!O460+'дод 3'!O286</f>
        <v>592000</v>
      </c>
      <c r="O310" s="102">
        <f>'дод 3'!P71+'дод 3'!P168+'дод 3'!P358+'дод 3'!P460+'дод 3'!P286</f>
        <v>2227500</v>
      </c>
      <c r="P310" s="173"/>
    </row>
    <row r="311" spans="1:18" s="96" customFormat="1" ht="20.25" hidden="1" customHeight="1" x14ac:dyDescent="0.4">
      <c r="A311" s="106" t="s">
        <v>127</v>
      </c>
      <c r="B311" s="44"/>
      <c r="C311" s="111" t="s">
        <v>72</v>
      </c>
      <c r="D311" s="100">
        <f t="shared" ref="D311:O311" si="71">D312</f>
        <v>0</v>
      </c>
      <c r="E311" s="100">
        <f t="shared" si="71"/>
        <v>0</v>
      </c>
      <c r="F311" s="100">
        <f t="shared" si="71"/>
        <v>0</v>
      </c>
      <c r="G311" s="100">
        <f t="shared" si="71"/>
        <v>0</v>
      </c>
      <c r="H311" s="100">
        <f t="shared" si="71"/>
        <v>0</v>
      </c>
      <c r="I311" s="100">
        <f t="shared" si="71"/>
        <v>0</v>
      </c>
      <c r="J311" s="100">
        <f t="shared" si="71"/>
        <v>0</v>
      </c>
      <c r="K311" s="100">
        <f t="shared" si="71"/>
        <v>0</v>
      </c>
      <c r="L311" s="100">
        <f t="shared" si="71"/>
        <v>0</v>
      </c>
      <c r="M311" s="100">
        <f t="shared" si="71"/>
        <v>0</v>
      </c>
      <c r="N311" s="100">
        <f t="shared" si="71"/>
        <v>0</v>
      </c>
      <c r="O311" s="100">
        <f t="shared" si="71"/>
        <v>0</v>
      </c>
      <c r="P311" s="173"/>
    </row>
    <row r="312" spans="1:18" s="96" customFormat="1" ht="21" hidden="1" customHeight="1" x14ac:dyDescent="0.45">
      <c r="A312" s="52" t="s">
        <v>247</v>
      </c>
      <c r="B312" s="29" t="s">
        <v>73</v>
      </c>
      <c r="C312" s="39" t="s">
        <v>248</v>
      </c>
      <c r="D312" s="102">
        <f>'дод 3'!E72</f>
        <v>0</v>
      </c>
      <c r="E312" s="102">
        <f>'дод 3'!F72</f>
        <v>0</v>
      </c>
      <c r="F312" s="102">
        <f>'дод 3'!G72</f>
        <v>0</v>
      </c>
      <c r="G312" s="102">
        <f>'дод 3'!H72</f>
        <v>0</v>
      </c>
      <c r="H312" s="102">
        <f>'дод 3'!I72</f>
        <v>0</v>
      </c>
      <c r="I312" s="102">
        <f>'дод 3'!J72</f>
        <v>0</v>
      </c>
      <c r="J312" s="102">
        <f>'дод 3'!K72</f>
        <v>0</v>
      </c>
      <c r="K312" s="102">
        <f>'дод 3'!L72</f>
        <v>0</v>
      </c>
      <c r="L312" s="102">
        <f>'дод 3'!M72</f>
        <v>0</v>
      </c>
      <c r="M312" s="102">
        <f>'дод 3'!N72</f>
        <v>0</v>
      </c>
      <c r="N312" s="102">
        <f>'дод 3'!O72</f>
        <v>0</v>
      </c>
      <c r="O312" s="102">
        <f>'дод 3'!P72</f>
        <v>0</v>
      </c>
      <c r="P312" s="173"/>
    </row>
    <row r="313" spans="1:18" s="96" customFormat="1" ht="21" customHeight="1" x14ac:dyDescent="0.4">
      <c r="A313" s="106" t="s">
        <v>91</v>
      </c>
      <c r="B313" s="106" t="s">
        <v>86</v>
      </c>
      <c r="C313" s="111" t="s">
        <v>11</v>
      </c>
      <c r="D313" s="100">
        <f>'дод 3'!E461</f>
        <v>1617069</v>
      </c>
      <c r="E313" s="100">
        <f>'дод 3'!F461</f>
        <v>1617069</v>
      </c>
      <c r="F313" s="100">
        <f>'дод 3'!G461</f>
        <v>0</v>
      </c>
      <c r="G313" s="100">
        <f>'дод 3'!H461</f>
        <v>0</v>
      </c>
      <c r="H313" s="100">
        <f>'дод 3'!I461</f>
        <v>0</v>
      </c>
      <c r="I313" s="100">
        <f>'дод 3'!J461</f>
        <v>0</v>
      </c>
      <c r="J313" s="100">
        <f>'дод 3'!K461</f>
        <v>0</v>
      </c>
      <c r="K313" s="100">
        <f>'дод 3'!L461</f>
        <v>0</v>
      </c>
      <c r="L313" s="100">
        <f>'дод 3'!M461</f>
        <v>0</v>
      </c>
      <c r="M313" s="100">
        <f>'дод 3'!N461</f>
        <v>0</v>
      </c>
      <c r="N313" s="100">
        <f>'дод 3'!O461</f>
        <v>0</v>
      </c>
      <c r="O313" s="100">
        <f>'дод 3'!P461</f>
        <v>1617069</v>
      </c>
      <c r="P313" s="173"/>
    </row>
    <row r="314" spans="1:18" s="96" customFormat="1" ht="21" customHeight="1" x14ac:dyDescent="0.4">
      <c r="A314" s="106">
        <v>8700</v>
      </c>
      <c r="B314" s="106"/>
      <c r="C314" s="111" t="s">
        <v>567</v>
      </c>
      <c r="D314" s="100">
        <f>D315</f>
        <v>254751.56000000052</v>
      </c>
      <c r="E314" s="100">
        <f t="shared" ref="E314:O314" si="72">E315</f>
        <v>0</v>
      </c>
      <c r="F314" s="100">
        <f t="shared" si="72"/>
        <v>0</v>
      </c>
      <c r="G314" s="100">
        <f t="shared" si="72"/>
        <v>0</v>
      </c>
      <c r="H314" s="100">
        <f t="shared" si="72"/>
        <v>0</v>
      </c>
      <c r="I314" s="100">
        <f t="shared" si="72"/>
        <v>0</v>
      </c>
      <c r="J314" s="100">
        <f t="shared" si="72"/>
        <v>0</v>
      </c>
      <c r="K314" s="100">
        <f t="shared" si="72"/>
        <v>0</v>
      </c>
      <c r="L314" s="100">
        <f t="shared" si="72"/>
        <v>0</v>
      </c>
      <c r="M314" s="100">
        <f t="shared" si="72"/>
        <v>0</v>
      </c>
      <c r="N314" s="100">
        <f t="shared" si="72"/>
        <v>0</v>
      </c>
      <c r="O314" s="100">
        <f t="shared" si="72"/>
        <v>254751.56000000052</v>
      </c>
      <c r="P314" s="173"/>
    </row>
    <row r="315" spans="1:18" ht="25.5" customHeight="1" x14ac:dyDescent="0.45">
      <c r="A315" s="52">
        <v>8710</v>
      </c>
      <c r="B315" s="52" t="s">
        <v>89</v>
      </c>
      <c r="C315" s="39" t="s">
        <v>477</v>
      </c>
      <c r="D315" s="102">
        <f>'дод 3'!E462</f>
        <v>254751.56000000052</v>
      </c>
      <c r="E315" s="102">
        <f>'дод 3'!F462</f>
        <v>0</v>
      </c>
      <c r="F315" s="102">
        <f>'дод 3'!G462</f>
        <v>0</v>
      </c>
      <c r="G315" s="102">
        <f>'дод 3'!H462</f>
        <v>0</v>
      </c>
      <c r="H315" s="102">
        <f>'дод 3'!I462</f>
        <v>0</v>
      </c>
      <c r="I315" s="102">
        <f>'дод 3'!J462</f>
        <v>0</v>
      </c>
      <c r="J315" s="102">
        <f>'дод 3'!K462</f>
        <v>0</v>
      </c>
      <c r="K315" s="102">
        <f>'дод 3'!L462</f>
        <v>0</v>
      </c>
      <c r="L315" s="102">
        <f>'дод 3'!M462</f>
        <v>0</v>
      </c>
      <c r="M315" s="102">
        <f>'дод 3'!N462</f>
        <v>0</v>
      </c>
      <c r="N315" s="102">
        <f>'дод 3'!O462</f>
        <v>0</v>
      </c>
      <c r="O315" s="102">
        <f>'дод 3'!P462</f>
        <v>254751.56000000052</v>
      </c>
      <c r="P315" s="173"/>
    </row>
    <row r="316" spans="1:18" s="96" customFormat="1" ht="24" customHeight="1" x14ac:dyDescent="0.4">
      <c r="A316" s="106" t="s">
        <v>12</v>
      </c>
      <c r="B316" s="106"/>
      <c r="C316" s="111" t="s">
        <v>713</v>
      </c>
      <c r="D316" s="100">
        <f t="shared" ref="D316:O316" si="73">D318+D320+D324+D328</f>
        <v>15820496</v>
      </c>
      <c r="E316" s="100">
        <f t="shared" si="73"/>
        <v>15820496</v>
      </c>
      <c r="F316" s="100">
        <f t="shared" si="73"/>
        <v>0</v>
      </c>
      <c r="G316" s="100">
        <f t="shared" si="73"/>
        <v>0</v>
      </c>
      <c r="H316" s="100">
        <f t="shared" si="73"/>
        <v>0</v>
      </c>
      <c r="I316" s="100">
        <f t="shared" si="73"/>
        <v>57731101</v>
      </c>
      <c r="J316" s="100">
        <f t="shared" si="73"/>
        <v>57731101</v>
      </c>
      <c r="K316" s="100">
        <f t="shared" si="73"/>
        <v>0</v>
      </c>
      <c r="L316" s="100">
        <f t="shared" si="73"/>
        <v>0</v>
      </c>
      <c r="M316" s="100">
        <f t="shared" si="73"/>
        <v>0</v>
      </c>
      <c r="N316" s="100">
        <f t="shared" si="73"/>
        <v>57731101</v>
      </c>
      <c r="O316" s="100">
        <f t="shared" si="73"/>
        <v>73551597</v>
      </c>
      <c r="P316" s="174"/>
    </row>
    <row r="317" spans="1:18" s="96" customFormat="1" ht="36.75" hidden="1" customHeight="1" x14ac:dyDescent="0.4">
      <c r="A317" s="106"/>
      <c r="B317" s="106"/>
      <c r="C317" s="25" t="s">
        <v>493</v>
      </c>
      <c r="D317" s="101">
        <f>D321</f>
        <v>0</v>
      </c>
      <c r="E317" s="101">
        <f t="shared" ref="E317:O317" si="74">E321</f>
        <v>0</v>
      </c>
      <c r="F317" s="101">
        <f t="shared" si="74"/>
        <v>0</v>
      </c>
      <c r="G317" s="101">
        <f t="shared" si="74"/>
        <v>0</v>
      </c>
      <c r="H317" s="101">
        <f t="shared" si="74"/>
        <v>0</v>
      </c>
      <c r="I317" s="101">
        <f t="shared" si="74"/>
        <v>0</v>
      </c>
      <c r="J317" s="101">
        <f t="shared" si="74"/>
        <v>0</v>
      </c>
      <c r="K317" s="101">
        <f t="shared" si="74"/>
        <v>0</v>
      </c>
      <c r="L317" s="101">
        <f t="shared" si="74"/>
        <v>0</v>
      </c>
      <c r="M317" s="101">
        <f t="shared" si="74"/>
        <v>0</v>
      </c>
      <c r="N317" s="101">
        <f t="shared" si="74"/>
        <v>0</v>
      </c>
      <c r="O317" s="101">
        <f t="shared" si="74"/>
        <v>0</v>
      </c>
      <c r="P317" s="174"/>
    </row>
    <row r="318" spans="1:18" s="96" customFormat="1" ht="21.75" hidden="1" customHeight="1" x14ac:dyDescent="0.4">
      <c r="A318" s="106" t="s">
        <v>245</v>
      </c>
      <c r="B318" s="106"/>
      <c r="C318" s="111" t="s">
        <v>286</v>
      </c>
      <c r="D318" s="100">
        <f t="shared" ref="D318:O318" si="75">D319</f>
        <v>0</v>
      </c>
      <c r="E318" s="100">
        <f t="shared" si="75"/>
        <v>0</v>
      </c>
      <c r="F318" s="100">
        <f t="shared" si="75"/>
        <v>0</v>
      </c>
      <c r="G318" s="100">
        <f t="shared" si="75"/>
        <v>0</v>
      </c>
      <c r="H318" s="100">
        <f t="shared" si="75"/>
        <v>0</v>
      </c>
      <c r="I318" s="100">
        <f t="shared" si="75"/>
        <v>0</v>
      </c>
      <c r="J318" s="100">
        <f t="shared" si="75"/>
        <v>0</v>
      </c>
      <c r="K318" s="100">
        <f t="shared" si="75"/>
        <v>0</v>
      </c>
      <c r="L318" s="100">
        <f t="shared" si="75"/>
        <v>0</v>
      </c>
      <c r="M318" s="100">
        <f t="shared" si="75"/>
        <v>0</v>
      </c>
      <c r="N318" s="100">
        <f t="shared" si="75"/>
        <v>0</v>
      </c>
      <c r="O318" s="100">
        <f t="shared" si="75"/>
        <v>0</v>
      </c>
      <c r="P318" s="174"/>
    </row>
    <row r="319" spans="1:18" s="96" customFormat="1" ht="21" hidden="1" customHeight="1" x14ac:dyDescent="0.45">
      <c r="A319" s="52" t="s">
        <v>87</v>
      </c>
      <c r="B319" s="29" t="s">
        <v>43</v>
      </c>
      <c r="C319" s="39" t="s">
        <v>106</v>
      </c>
      <c r="D319" s="102">
        <f>'дод 3'!E463</f>
        <v>0</v>
      </c>
      <c r="E319" s="102">
        <f>'дод 3'!F463</f>
        <v>0</v>
      </c>
      <c r="F319" s="102">
        <f>'дод 3'!G463</f>
        <v>0</v>
      </c>
      <c r="G319" s="102">
        <f>'дод 3'!H463</f>
        <v>0</v>
      </c>
      <c r="H319" s="102">
        <f>'дод 3'!I463</f>
        <v>0</v>
      </c>
      <c r="I319" s="102">
        <f>'дод 3'!J463</f>
        <v>0</v>
      </c>
      <c r="J319" s="102">
        <f>'дод 3'!K463</f>
        <v>0</v>
      </c>
      <c r="K319" s="102">
        <f>'дод 3'!L463</f>
        <v>0</v>
      </c>
      <c r="L319" s="102">
        <f>'дод 3'!M463</f>
        <v>0</v>
      </c>
      <c r="M319" s="102">
        <f>'дод 3'!N463</f>
        <v>0</v>
      </c>
      <c r="N319" s="102">
        <f>'дод 3'!O463</f>
        <v>0</v>
      </c>
      <c r="O319" s="102">
        <f>'дод 3'!P463</f>
        <v>0</v>
      </c>
      <c r="P319" s="174"/>
      <c r="R319" s="96" t="s">
        <v>629</v>
      </c>
    </row>
    <row r="320" spans="1:18" s="96" customFormat="1" ht="63" hidden="1" customHeight="1" x14ac:dyDescent="0.4">
      <c r="A320" s="106">
        <v>9300</v>
      </c>
      <c r="B320" s="43"/>
      <c r="C320" s="111" t="s">
        <v>490</v>
      </c>
      <c r="D320" s="100">
        <f>D322</f>
        <v>0</v>
      </c>
      <c r="E320" s="100">
        <f t="shared" ref="E320:O320" si="76">E322</f>
        <v>0</v>
      </c>
      <c r="F320" s="100">
        <f t="shared" si="76"/>
        <v>0</v>
      </c>
      <c r="G320" s="100">
        <f t="shared" si="76"/>
        <v>0</v>
      </c>
      <c r="H320" s="100">
        <f t="shared" si="76"/>
        <v>0</v>
      </c>
      <c r="I320" s="100">
        <f t="shared" si="76"/>
        <v>0</v>
      </c>
      <c r="J320" s="100">
        <f t="shared" si="76"/>
        <v>0</v>
      </c>
      <c r="K320" s="100">
        <f t="shared" si="76"/>
        <v>0</v>
      </c>
      <c r="L320" s="100">
        <f t="shared" si="76"/>
        <v>0</v>
      </c>
      <c r="M320" s="100">
        <f t="shared" si="76"/>
        <v>0</v>
      </c>
      <c r="N320" s="100">
        <f t="shared" si="76"/>
        <v>0</v>
      </c>
      <c r="O320" s="100">
        <f t="shared" si="76"/>
        <v>0</v>
      </c>
      <c r="P320" s="174"/>
    </row>
    <row r="321" spans="1:18" s="96" customFormat="1" ht="31.5" hidden="1" customHeight="1" x14ac:dyDescent="0.4">
      <c r="A321" s="106"/>
      <c r="B321" s="28"/>
      <c r="C321" s="25" t="s">
        <v>493</v>
      </c>
      <c r="D321" s="101">
        <f>D323</f>
        <v>0</v>
      </c>
      <c r="E321" s="101">
        <f t="shared" ref="E321:O321" si="77">E323</f>
        <v>0</v>
      </c>
      <c r="F321" s="101">
        <f t="shared" si="77"/>
        <v>0</v>
      </c>
      <c r="G321" s="101">
        <f t="shared" si="77"/>
        <v>0</v>
      </c>
      <c r="H321" s="101">
        <f t="shared" si="77"/>
        <v>0</v>
      </c>
      <c r="I321" s="101">
        <f t="shared" si="77"/>
        <v>0</v>
      </c>
      <c r="J321" s="101">
        <f t="shared" si="77"/>
        <v>0</v>
      </c>
      <c r="K321" s="101">
        <f t="shared" si="77"/>
        <v>0</v>
      </c>
      <c r="L321" s="101">
        <f t="shared" si="77"/>
        <v>0</v>
      </c>
      <c r="M321" s="101">
        <f t="shared" si="77"/>
        <v>0</v>
      </c>
      <c r="N321" s="101">
        <f t="shared" si="77"/>
        <v>0</v>
      </c>
      <c r="O321" s="101">
        <f t="shared" si="77"/>
        <v>0</v>
      </c>
      <c r="P321" s="174"/>
    </row>
    <row r="322" spans="1:18" s="96" customFormat="1" ht="47.25" hidden="1" customHeight="1" x14ac:dyDescent="0.45">
      <c r="A322" s="52">
        <v>9320</v>
      </c>
      <c r="B322" s="28" t="s">
        <v>43</v>
      </c>
      <c r="C322" s="41" t="s">
        <v>491</v>
      </c>
      <c r="D322" s="102">
        <f>'дод 3'!E169</f>
        <v>0</v>
      </c>
      <c r="E322" s="102">
        <f>'дод 3'!F169</f>
        <v>0</v>
      </c>
      <c r="F322" s="102">
        <f>'дод 3'!G169</f>
        <v>0</v>
      </c>
      <c r="G322" s="102">
        <f>'дод 3'!H169</f>
        <v>0</v>
      </c>
      <c r="H322" s="102">
        <f>'дод 3'!I169</f>
        <v>0</v>
      </c>
      <c r="I322" s="102">
        <f>'дод 3'!J169</f>
        <v>0</v>
      </c>
      <c r="J322" s="102">
        <f>'дод 3'!K169</f>
        <v>0</v>
      </c>
      <c r="K322" s="102">
        <f>'дод 3'!L169</f>
        <v>0</v>
      </c>
      <c r="L322" s="102">
        <f>'дод 3'!M169</f>
        <v>0</v>
      </c>
      <c r="M322" s="102">
        <f>'дод 3'!N169</f>
        <v>0</v>
      </c>
      <c r="N322" s="102">
        <f>'дод 3'!O169</f>
        <v>0</v>
      </c>
      <c r="O322" s="102">
        <f>'дод 3'!P169</f>
        <v>0</v>
      </c>
      <c r="P322" s="174"/>
    </row>
    <row r="323" spans="1:18" s="108" customFormat="1" ht="31.5" hidden="1" customHeight="1" x14ac:dyDescent="0.45">
      <c r="A323" s="104"/>
      <c r="B323" s="33"/>
      <c r="C323" s="35" t="s">
        <v>493</v>
      </c>
      <c r="D323" s="103">
        <f>'дод 3'!E170</f>
        <v>0</v>
      </c>
      <c r="E323" s="103">
        <f>'дод 3'!F170</f>
        <v>0</v>
      </c>
      <c r="F323" s="103">
        <f>'дод 3'!G170</f>
        <v>0</v>
      </c>
      <c r="G323" s="103">
        <f>'дод 3'!H170</f>
        <v>0</v>
      </c>
      <c r="H323" s="103">
        <f>'дод 3'!I170</f>
        <v>0</v>
      </c>
      <c r="I323" s="103">
        <f>'дод 3'!J170</f>
        <v>0</v>
      </c>
      <c r="J323" s="103">
        <f>'дод 3'!K170</f>
        <v>0</v>
      </c>
      <c r="K323" s="103">
        <f>'дод 3'!L170</f>
        <v>0</v>
      </c>
      <c r="L323" s="103">
        <f>'дод 3'!M170</f>
        <v>0</v>
      </c>
      <c r="M323" s="103">
        <f>'дод 3'!N170</f>
        <v>0</v>
      </c>
      <c r="N323" s="103">
        <f>'дод 3'!O170</f>
        <v>0</v>
      </c>
      <c r="O323" s="103">
        <f>'дод 3'!P170</f>
        <v>0</v>
      </c>
      <c r="P323" s="174"/>
    </row>
    <row r="324" spans="1:18" s="96" customFormat="1" ht="46.15" customHeight="1" x14ac:dyDescent="0.4">
      <c r="A324" s="106" t="s">
        <v>13</v>
      </c>
      <c r="B324" s="43"/>
      <c r="C324" s="111" t="s">
        <v>334</v>
      </c>
      <c r="D324" s="100">
        <f>D325+D326+D327</f>
        <v>5755597</v>
      </c>
      <c r="E324" s="100">
        <f t="shared" ref="E324:O324" si="78">E325+E326+E327</f>
        <v>5755597</v>
      </c>
      <c r="F324" s="100">
        <f t="shared" si="78"/>
        <v>0</v>
      </c>
      <c r="G324" s="100">
        <f t="shared" si="78"/>
        <v>0</v>
      </c>
      <c r="H324" s="100">
        <f t="shared" si="78"/>
        <v>0</v>
      </c>
      <c r="I324" s="100">
        <f t="shared" si="78"/>
        <v>14281251</v>
      </c>
      <c r="J324" s="100">
        <f t="shared" si="78"/>
        <v>14281251</v>
      </c>
      <c r="K324" s="100">
        <f t="shared" si="78"/>
        <v>0</v>
      </c>
      <c r="L324" s="100">
        <f t="shared" si="78"/>
        <v>0</v>
      </c>
      <c r="M324" s="100">
        <f t="shared" si="78"/>
        <v>0</v>
      </c>
      <c r="N324" s="100">
        <f t="shared" si="78"/>
        <v>14281251</v>
      </c>
      <c r="O324" s="100">
        <f t="shared" si="78"/>
        <v>20036848</v>
      </c>
      <c r="P324" s="174"/>
    </row>
    <row r="325" spans="1:18" s="96" customFormat="1" ht="79.5" hidden="1" customHeight="1" x14ac:dyDescent="0.45">
      <c r="A325" s="29">
        <v>9730</v>
      </c>
      <c r="B325" s="28" t="s">
        <v>43</v>
      </c>
      <c r="C325" s="30" t="s">
        <v>519</v>
      </c>
      <c r="D325" s="102">
        <f>'дод 3'!E361</f>
        <v>0</v>
      </c>
      <c r="E325" s="102">
        <f>'дод 3'!F361</f>
        <v>0</v>
      </c>
      <c r="F325" s="102">
        <f>'дод 3'!G361</f>
        <v>0</v>
      </c>
      <c r="G325" s="102">
        <f>'дод 3'!H361</f>
        <v>0</v>
      </c>
      <c r="H325" s="102">
        <f>'дод 3'!I361</f>
        <v>0</v>
      </c>
      <c r="I325" s="102">
        <f>'дод 3'!J361</f>
        <v>0</v>
      </c>
      <c r="J325" s="102">
        <f>'дод 3'!K361</f>
        <v>0</v>
      </c>
      <c r="K325" s="102">
        <f>'дод 3'!L361</f>
        <v>0</v>
      </c>
      <c r="L325" s="102">
        <f>'дод 3'!M361</f>
        <v>0</v>
      </c>
      <c r="M325" s="102">
        <f>'дод 3'!N361</f>
        <v>0</v>
      </c>
      <c r="N325" s="102">
        <f>'дод 3'!O361</f>
        <v>0</v>
      </c>
      <c r="O325" s="102">
        <f>'дод 3'!P361</f>
        <v>0</v>
      </c>
      <c r="P325" s="174"/>
    </row>
    <row r="326" spans="1:18" ht="31.5" hidden="1" customHeight="1" x14ac:dyDescent="0.45">
      <c r="A326" s="52">
        <v>9750</v>
      </c>
      <c r="B326" s="29" t="s">
        <v>43</v>
      </c>
      <c r="C326" s="30" t="s">
        <v>483</v>
      </c>
      <c r="D326" s="102">
        <f>'дод 3'!E362</f>
        <v>0</v>
      </c>
      <c r="E326" s="102">
        <f>'дод 3'!F362</f>
        <v>0</v>
      </c>
      <c r="F326" s="102">
        <f>'дод 3'!G362</f>
        <v>0</v>
      </c>
      <c r="G326" s="102">
        <f>'дод 3'!H362</f>
        <v>0</v>
      </c>
      <c r="H326" s="102">
        <f>'дод 3'!I362</f>
        <v>0</v>
      </c>
      <c r="I326" s="102">
        <f>'дод 3'!J362</f>
        <v>0</v>
      </c>
      <c r="J326" s="102">
        <f>'дод 3'!K362</f>
        <v>0</v>
      </c>
      <c r="K326" s="102">
        <f>'дод 3'!L362</f>
        <v>0</v>
      </c>
      <c r="L326" s="102">
        <f>'дод 3'!M362</f>
        <v>0</v>
      </c>
      <c r="M326" s="102">
        <f>'дод 3'!N362</f>
        <v>0</v>
      </c>
      <c r="N326" s="102">
        <f>'дод 3'!O362</f>
        <v>0</v>
      </c>
      <c r="O326" s="102">
        <f>'дод 3'!P362</f>
        <v>0</v>
      </c>
      <c r="P326" s="174"/>
    </row>
    <row r="327" spans="1:18" s="96" customFormat="1" ht="24" customHeight="1" x14ac:dyDescent="0.45">
      <c r="A327" s="52" t="s">
        <v>14</v>
      </c>
      <c r="B327" s="29" t="s">
        <v>43</v>
      </c>
      <c r="C327" s="41" t="s">
        <v>343</v>
      </c>
      <c r="D327" s="102">
        <f>'дод 3'!E171+'дод 3'!E215+'дод 3'!E264+'дод 3'!E363+'дод 3'!E73+'дод 3'!E287+'дод 3'!E464</f>
        <v>5755597</v>
      </c>
      <c r="E327" s="102">
        <f>'дод 3'!F171+'дод 3'!F215+'дод 3'!F264+'дод 3'!F363+'дод 3'!F73+'дод 3'!F287+'дод 3'!F464</f>
        <v>5755597</v>
      </c>
      <c r="F327" s="102">
        <f>'дод 3'!G171+'дод 3'!G215+'дод 3'!G264+'дод 3'!G363+'дод 3'!G73+'дод 3'!G287+'дод 3'!G464</f>
        <v>0</v>
      </c>
      <c r="G327" s="102">
        <f>'дод 3'!H171+'дод 3'!H215+'дод 3'!H264+'дод 3'!H363+'дод 3'!H73+'дод 3'!H287+'дод 3'!H464</f>
        <v>0</v>
      </c>
      <c r="H327" s="102">
        <f>'дод 3'!I171+'дод 3'!I215+'дод 3'!I264+'дод 3'!I363+'дод 3'!I73+'дод 3'!I287+'дод 3'!I464</f>
        <v>0</v>
      </c>
      <c r="I327" s="102">
        <f>'дод 3'!J171+'дод 3'!J215+'дод 3'!J264+'дод 3'!J363+'дод 3'!J73+'дод 3'!J287+'дод 3'!J464</f>
        <v>14281251</v>
      </c>
      <c r="J327" s="102">
        <f>'дод 3'!K171+'дод 3'!K215+'дод 3'!K264+'дод 3'!K363+'дод 3'!K73+'дод 3'!K287+'дод 3'!K464</f>
        <v>14281251</v>
      </c>
      <c r="K327" s="102">
        <f>'дод 3'!L171+'дод 3'!L215+'дод 3'!L264+'дод 3'!L363+'дод 3'!L73+'дод 3'!L287+'дод 3'!L464</f>
        <v>0</v>
      </c>
      <c r="L327" s="102">
        <f>'дод 3'!M171+'дод 3'!M215+'дод 3'!M264+'дод 3'!M363+'дод 3'!M73+'дод 3'!M287+'дод 3'!M464</f>
        <v>0</v>
      </c>
      <c r="M327" s="102">
        <f>'дод 3'!N171+'дод 3'!N215+'дод 3'!N264+'дод 3'!N363+'дод 3'!N73+'дод 3'!N287+'дод 3'!N464</f>
        <v>0</v>
      </c>
      <c r="N327" s="102">
        <f>'дод 3'!O171+'дод 3'!O215+'дод 3'!O264+'дод 3'!O363+'дод 3'!O73+'дод 3'!O287+'дод 3'!O464</f>
        <v>14281251</v>
      </c>
      <c r="O327" s="102">
        <f>'дод 3'!P171+'дод 3'!P215+'дод 3'!P264+'дод 3'!P363+'дод 3'!P73+'дод 3'!P287+'дод 3'!P464</f>
        <v>20036848</v>
      </c>
      <c r="P327" s="174"/>
    </row>
    <row r="328" spans="1:18" s="96" customFormat="1" ht="51" customHeight="1" x14ac:dyDescent="0.4">
      <c r="A328" s="106">
        <v>9800</v>
      </c>
      <c r="B328" s="44" t="s">
        <v>43</v>
      </c>
      <c r="C328" s="99" t="s">
        <v>354</v>
      </c>
      <c r="D328" s="100">
        <f>'дод 3'!E172+'дод 3'!E74+'дод 3'!E364</f>
        <v>10064899</v>
      </c>
      <c r="E328" s="100">
        <f>'дод 3'!F172+'дод 3'!F74+'дод 3'!F364</f>
        <v>10064899</v>
      </c>
      <c r="F328" s="100">
        <f>'дод 3'!G172+'дод 3'!G74+'дод 3'!G364</f>
        <v>0</v>
      </c>
      <c r="G328" s="100">
        <f>'дод 3'!H172+'дод 3'!H74+'дод 3'!H364</f>
        <v>0</v>
      </c>
      <c r="H328" s="100">
        <f>'дод 3'!I172+'дод 3'!I74+'дод 3'!I364</f>
        <v>0</v>
      </c>
      <c r="I328" s="100">
        <f>'дод 3'!J172+'дод 3'!J74+'дод 3'!J364</f>
        <v>43449850</v>
      </c>
      <c r="J328" s="100">
        <f>'дод 3'!K172+'дод 3'!K74+'дод 3'!K364</f>
        <v>43449850</v>
      </c>
      <c r="K328" s="100">
        <f>'дод 3'!L172+'дод 3'!L74+'дод 3'!L364</f>
        <v>0</v>
      </c>
      <c r="L328" s="100">
        <f>'дод 3'!M172+'дод 3'!M74+'дод 3'!M364</f>
        <v>0</v>
      </c>
      <c r="M328" s="100">
        <f>'дод 3'!N172+'дод 3'!N74+'дод 3'!N364</f>
        <v>0</v>
      </c>
      <c r="N328" s="100">
        <f>'дод 3'!O172+'дод 3'!O74+'дод 3'!O364</f>
        <v>43449850</v>
      </c>
      <c r="O328" s="100">
        <f>'дод 3'!P172+'дод 3'!P74+'дод 3'!P364</f>
        <v>53514749</v>
      </c>
      <c r="P328" s="174"/>
    </row>
    <row r="329" spans="1:18" s="96" customFormat="1" ht="21" customHeight="1" x14ac:dyDescent="0.4">
      <c r="A329" s="97"/>
      <c r="B329" s="97"/>
      <c r="C329" s="111" t="s">
        <v>389</v>
      </c>
      <c r="D329" s="100">
        <f t="shared" ref="D329:O329" si="79">D14+D23+D106+D128+D178+D185+D196+D213+D291+D316</f>
        <v>3092827947.29</v>
      </c>
      <c r="E329" s="100">
        <f t="shared" si="79"/>
        <v>2907583089.5599999</v>
      </c>
      <c r="F329" s="100">
        <f t="shared" si="79"/>
        <v>1420862477</v>
      </c>
      <c r="G329" s="100">
        <f t="shared" si="79"/>
        <v>199193828</v>
      </c>
      <c r="H329" s="100">
        <f t="shared" si="79"/>
        <v>184990106.17000002</v>
      </c>
      <c r="I329" s="100">
        <f t="shared" si="79"/>
        <v>1185383484.51</v>
      </c>
      <c r="J329" s="100">
        <f t="shared" si="79"/>
        <v>980901418.00999999</v>
      </c>
      <c r="K329" s="100">
        <f t="shared" si="79"/>
        <v>118145300</v>
      </c>
      <c r="L329" s="100">
        <f t="shared" si="79"/>
        <v>10161379</v>
      </c>
      <c r="M329" s="100">
        <f t="shared" si="79"/>
        <v>5905712</v>
      </c>
      <c r="N329" s="100">
        <f t="shared" si="79"/>
        <v>1067238184.51</v>
      </c>
      <c r="O329" s="100">
        <f t="shared" si="79"/>
        <v>4278211431.8000007</v>
      </c>
      <c r="P329" s="174"/>
    </row>
    <row r="330" spans="1:18" s="108" customFormat="1" ht="21" customHeight="1" x14ac:dyDescent="0.4">
      <c r="A330" s="126"/>
      <c r="B330" s="126"/>
      <c r="C330" s="25" t="s">
        <v>748</v>
      </c>
      <c r="D330" s="101">
        <f>D24+D25+D132+D26+D133+D38+D107+D27+D29+D293+D219+D15+D108+D179+D197+D28+D134+D187</f>
        <v>670943039.88999999</v>
      </c>
      <c r="E330" s="101">
        <f t="shared" ref="E330:O330" si="80">E24+E25+E132+E26+E133+E38+E107+E27+E29+E293+E219+E15+E108+E179+E197+E28+E134+E187</f>
        <v>658839012.88999999</v>
      </c>
      <c r="F330" s="101">
        <f t="shared" si="80"/>
        <v>455205701</v>
      </c>
      <c r="G330" s="101">
        <f t="shared" si="80"/>
        <v>0</v>
      </c>
      <c r="H330" s="101">
        <f t="shared" si="80"/>
        <v>12104027</v>
      </c>
      <c r="I330" s="101">
        <f t="shared" si="80"/>
        <v>244007913</v>
      </c>
      <c r="J330" s="101">
        <f t="shared" si="80"/>
        <v>244007913</v>
      </c>
      <c r="K330" s="101">
        <f t="shared" si="80"/>
        <v>0</v>
      </c>
      <c r="L330" s="101">
        <f t="shared" si="80"/>
        <v>0</v>
      </c>
      <c r="M330" s="101">
        <f t="shared" si="80"/>
        <v>0</v>
      </c>
      <c r="N330" s="101">
        <f t="shared" si="80"/>
        <v>244007913</v>
      </c>
      <c r="O330" s="101">
        <f t="shared" si="80"/>
        <v>914950952.88999999</v>
      </c>
      <c r="P330" s="174"/>
    </row>
    <row r="331" spans="1:18" s="108" customFormat="1" ht="75" x14ac:dyDescent="0.4">
      <c r="A331" s="126"/>
      <c r="B331" s="126"/>
      <c r="C331" s="66" t="s">
        <v>624</v>
      </c>
      <c r="D331" s="101">
        <f>D15+D29+D108+D133+D179+D197+D219+D293-D69+D187</f>
        <v>95667315</v>
      </c>
      <c r="E331" s="101">
        <f t="shared" ref="E331:O331" si="81">E15+E29+E108+E133+E179+E197+E219+E293-E69+E187</f>
        <v>83563288</v>
      </c>
      <c r="F331" s="101">
        <f t="shared" si="81"/>
        <v>2531101</v>
      </c>
      <c r="G331" s="101">
        <f t="shared" si="81"/>
        <v>0</v>
      </c>
      <c r="H331" s="101">
        <f t="shared" si="81"/>
        <v>12104027</v>
      </c>
      <c r="I331" s="101">
        <f t="shared" si="81"/>
        <v>13206985</v>
      </c>
      <c r="J331" s="101">
        <f t="shared" si="81"/>
        <v>13206985</v>
      </c>
      <c r="K331" s="101">
        <f t="shared" si="81"/>
        <v>0</v>
      </c>
      <c r="L331" s="101">
        <f t="shared" si="81"/>
        <v>0</v>
      </c>
      <c r="M331" s="101">
        <f t="shared" si="81"/>
        <v>0</v>
      </c>
      <c r="N331" s="101">
        <f t="shared" si="81"/>
        <v>13206985</v>
      </c>
      <c r="O331" s="101">
        <f t="shared" si="81"/>
        <v>108874300</v>
      </c>
      <c r="P331" s="174"/>
    </row>
    <row r="332" spans="1:18" s="108" customFormat="1" ht="42.75" customHeight="1" x14ac:dyDescent="0.4">
      <c r="A332" s="126"/>
      <c r="B332" s="126"/>
      <c r="C332" s="25" t="s">
        <v>661</v>
      </c>
      <c r="D332" s="101">
        <f t="shared" ref="D332:O332" si="82">D30+D31+D218+D32+D34+D135+D136+D33</f>
        <v>6838567.2400000002</v>
      </c>
      <c r="E332" s="101">
        <f t="shared" si="82"/>
        <v>6838567.2400000002</v>
      </c>
      <c r="F332" s="101">
        <f t="shared" si="82"/>
        <v>3390984</v>
      </c>
      <c r="G332" s="101">
        <f t="shared" si="82"/>
        <v>0</v>
      </c>
      <c r="H332" s="101">
        <f t="shared" si="82"/>
        <v>0</v>
      </c>
      <c r="I332" s="101">
        <f t="shared" si="82"/>
        <v>117674584.02</v>
      </c>
      <c r="J332" s="101">
        <f t="shared" si="82"/>
        <v>35255706.359999999</v>
      </c>
      <c r="K332" s="101">
        <f t="shared" si="82"/>
        <v>3562863</v>
      </c>
      <c r="L332" s="101">
        <f t="shared" si="82"/>
        <v>0</v>
      </c>
      <c r="M332" s="101">
        <f t="shared" si="82"/>
        <v>0</v>
      </c>
      <c r="N332" s="101">
        <f t="shared" si="82"/>
        <v>114111721.02</v>
      </c>
      <c r="O332" s="101">
        <f t="shared" si="82"/>
        <v>124513151.25999999</v>
      </c>
      <c r="P332" s="174"/>
    </row>
    <row r="333" spans="1:18" s="108" customFormat="1" ht="24" customHeight="1" x14ac:dyDescent="0.4">
      <c r="A333" s="126"/>
      <c r="B333" s="126"/>
      <c r="C333" s="25" t="s">
        <v>662</v>
      </c>
      <c r="D333" s="101">
        <f t="shared" ref="D333:O333" si="83">D131+D292+D37+D294</f>
        <v>3513462.81</v>
      </c>
      <c r="E333" s="101">
        <f t="shared" si="83"/>
        <v>3513462.81</v>
      </c>
      <c r="F333" s="101">
        <f t="shared" si="83"/>
        <v>336800</v>
      </c>
      <c r="G333" s="101">
        <f t="shared" si="83"/>
        <v>0</v>
      </c>
      <c r="H333" s="101">
        <f t="shared" si="83"/>
        <v>0</v>
      </c>
      <c r="I333" s="101">
        <f t="shared" si="83"/>
        <v>7692296</v>
      </c>
      <c r="J333" s="101">
        <f t="shared" si="83"/>
        <v>1128100</v>
      </c>
      <c r="K333" s="101">
        <f t="shared" si="83"/>
        <v>6564196</v>
      </c>
      <c r="L333" s="101">
        <f t="shared" si="83"/>
        <v>0</v>
      </c>
      <c r="M333" s="101">
        <f t="shared" si="83"/>
        <v>0</v>
      </c>
      <c r="N333" s="101">
        <f t="shared" si="83"/>
        <v>1128100</v>
      </c>
      <c r="O333" s="101">
        <f t="shared" si="83"/>
        <v>11205758.810000001</v>
      </c>
      <c r="P333" s="174"/>
    </row>
    <row r="334" spans="1:18" s="108" customFormat="1" ht="23.25" customHeight="1" x14ac:dyDescent="0.4">
      <c r="A334" s="107"/>
      <c r="B334" s="107"/>
      <c r="C334" s="25" t="s">
        <v>400</v>
      </c>
      <c r="D334" s="101">
        <f t="shared" ref="D334:O334" si="84">D220+D222</f>
        <v>0</v>
      </c>
      <c r="E334" s="101">
        <f t="shared" si="84"/>
        <v>0</v>
      </c>
      <c r="F334" s="101">
        <f t="shared" si="84"/>
        <v>0</v>
      </c>
      <c r="G334" s="101">
        <f t="shared" si="84"/>
        <v>0</v>
      </c>
      <c r="H334" s="101">
        <f t="shared" si="84"/>
        <v>0</v>
      </c>
      <c r="I334" s="101">
        <f t="shared" si="84"/>
        <v>104076609</v>
      </c>
      <c r="J334" s="101">
        <f t="shared" si="84"/>
        <v>104076609</v>
      </c>
      <c r="K334" s="101">
        <f t="shared" si="84"/>
        <v>0</v>
      </c>
      <c r="L334" s="101">
        <f t="shared" si="84"/>
        <v>0</v>
      </c>
      <c r="M334" s="101">
        <f t="shared" si="84"/>
        <v>0</v>
      </c>
      <c r="N334" s="101">
        <f t="shared" si="84"/>
        <v>104076609</v>
      </c>
      <c r="O334" s="101">
        <f t="shared" si="84"/>
        <v>104076609</v>
      </c>
      <c r="P334" s="174"/>
      <c r="R334" s="128"/>
    </row>
    <row r="335" spans="1:18" s="108" customFormat="1" ht="23.25" customHeight="1" x14ac:dyDescent="0.4">
      <c r="A335" s="107"/>
      <c r="B335" s="107"/>
      <c r="C335" s="25" t="s">
        <v>602</v>
      </c>
      <c r="D335" s="101">
        <f t="shared" ref="D335:O335" si="85">D221</f>
        <v>0</v>
      </c>
      <c r="E335" s="101">
        <f t="shared" si="85"/>
        <v>0</v>
      </c>
      <c r="F335" s="101">
        <f t="shared" si="85"/>
        <v>0</v>
      </c>
      <c r="G335" s="101">
        <f t="shared" si="85"/>
        <v>0</v>
      </c>
      <c r="H335" s="101">
        <f t="shared" si="85"/>
        <v>0</v>
      </c>
      <c r="I335" s="101">
        <f t="shared" si="85"/>
        <v>5904588</v>
      </c>
      <c r="J335" s="101">
        <f t="shared" si="85"/>
        <v>0</v>
      </c>
      <c r="K335" s="101">
        <f t="shared" si="85"/>
        <v>447641</v>
      </c>
      <c r="L335" s="101">
        <f t="shared" si="85"/>
        <v>0</v>
      </c>
      <c r="M335" s="101">
        <f t="shared" si="85"/>
        <v>0</v>
      </c>
      <c r="N335" s="101">
        <f t="shared" si="85"/>
        <v>5456947</v>
      </c>
      <c r="O335" s="101">
        <f t="shared" si="85"/>
        <v>5904588</v>
      </c>
      <c r="P335" s="174"/>
    </row>
    <row r="336" spans="1:18" s="108" customFormat="1" ht="39.75" customHeight="1" x14ac:dyDescent="0.4">
      <c r="A336" s="129"/>
      <c r="B336" s="129"/>
      <c r="C336" s="74"/>
      <c r="D336" s="130"/>
      <c r="E336" s="130"/>
      <c r="F336" s="130"/>
      <c r="G336" s="130"/>
      <c r="H336" s="130"/>
      <c r="I336" s="130"/>
      <c r="J336" s="130"/>
      <c r="K336" s="130"/>
      <c r="L336" s="130"/>
      <c r="M336" s="130"/>
      <c r="N336" s="130"/>
      <c r="O336" s="130"/>
      <c r="P336" s="174"/>
    </row>
    <row r="337" spans="1:16" s="108" customFormat="1" ht="66.75" customHeight="1" x14ac:dyDescent="0.85">
      <c r="A337" s="161" t="s">
        <v>743</v>
      </c>
      <c r="B337" s="161"/>
      <c r="C337" s="161"/>
      <c r="D337" s="161"/>
      <c r="E337" s="76"/>
      <c r="F337" s="76"/>
      <c r="G337" s="77"/>
      <c r="H337" s="77"/>
      <c r="I337" s="77"/>
      <c r="J337" s="77"/>
      <c r="K337" s="77"/>
      <c r="L337" s="172" t="s">
        <v>742</v>
      </c>
      <c r="M337" s="172"/>
      <c r="N337" s="172"/>
      <c r="O337" s="130"/>
      <c r="P337" s="174"/>
    </row>
    <row r="338" spans="1:16" x14ac:dyDescent="0.45">
      <c r="P338" s="131"/>
    </row>
    <row r="339" spans="1:16" x14ac:dyDescent="0.45">
      <c r="P339" s="131"/>
    </row>
    <row r="340" spans="1:16" x14ac:dyDescent="0.45">
      <c r="P340" s="131"/>
    </row>
    <row r="341" spans="1:16" x14ac:dyDescent="0.45">
      <c r="P341" s="131"/>
    </row>
    <row r="342" spans="1:16" x14ac:dyDescent="0.45">
      <c r="P342" s="131"/>
    </row>
    <row r="343" spans="1:16" x14ac:dyDescent="0.45">
      <c r="P343" s="131"/>
    </row>
    <row r="344" spans="1:16" x14ac:dyDescent="0.45">
      <c r="P344" s="131"/>
    </row>
    <row r="345" spans="1:16" x14ac:dyDescent="0.45">
      <c r="P345" s="131"/>
    </row>
    <row r="346" spans="1:16" x14ac:dyDescent="0.45">
      <c r="P346" s="131"/>
    </row>
    <row r="347" spans="1:16" x14ac:dyDescent="0.45">
      <c r="P347" s="131"/>
    </row>
  </sheetData>
  <mergeCells count="27">
    <mergeCell ref="A337:D337"/>
    <mergeCell ref="L337:N337"/>
    <mergeCell ref="J4:O4"/>
    <mergeCell ref="N12:N13"/>
    <mergeCell ref="O11:O13"/>
    <mergeCell ref="A8:O8"/>
    <mergeCell ref="A9:O9"/>
    <mergeCell ref="A7:O7"/>
    <mergeCell ref="B11:B13"/>
    <mergeCell ref="C11:C13"/>
    <mergeCell ref="A11:A13"/>
    <mergeCell ref="D12:D13"/>
    <mergeCell ref="L12:M12"/>
    <mergeCell ref="E12:E13"/>
    <mergeCell ref="F12:G12"/>
    <mergeCell ref="D11:H11"/>
    <mergeCell ref="K12:K13"/>
    <mergeCell ref="H12:H13"/>
    <mergeCell ref="I12:I13"/>
    <mergeCell ref="I11:N11"/>
    <mergeCell ref="J12:J13"/>
    <mergeCell ref="P270:P315"/>
    <mergeCell ref="P316:P337"/>
    <mergeCell ref="Q1:Q117"/>
    <mergeCell ref="P1:P57"/>
    <mergeCell ref="P58:P142"/>
    <mergeCell ref="P143:P189"/>
  </mergeCells>
  <phoneticPr fontId="3" type="noConversion"/>
  <printOptions horizontalCentered="1"/>
  <pageMargins left="0" right="0" top="0.62992125984251968" bottom="0.39370078740157483" header="0.43307086614173229" footer="0.23622047244094491"/>
  <pageSetup paperSize="9" scale="43" fitToHeight="0" orientation="landscape" verticalDpi="300" r:id="rId1"/>
  <headerFooter scaleWithDoc="0" alignWithMargins="0">
    <oddFooter>&amp;R&amp;8Сторінка &amp;P</oddFooter>
  </headerFooter>
  <rowBreaks count="1" manualBreakCount="1">
    <brk id="29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дод 3</vt:lpstr>
      <vt:lpstr>дод 9</vt:lpstr>
      <vt:lpstr>'дод 3'!Заголовки_для_печати</vt:lpstr>
      <vt:lpstr>'дод 9'!Заголовки_для_печати</vt:lpstr>
      <vt:lpstr>'дод 3'!Область_печати</vt:lpstr>
      <vt:lpstr>'дод 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Щелінська Юлія Миколаївна</cp:lastModifiedBy>
  <cp:lastPrinted>2024-10-30T08:43:21Z</cp:lastPrinted>
  <dcterms:created xsi:type="dcterms:W3CDTF">2014-01-17T10:52:16Z</dcterms:created>
  <dcterms:modified xsi:type="dcterms:W3CDTF">2024-11-05T07:42:43Z</dcterms:modified>
</cp:coreProperties>
</file>