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n2-fs2\dfei\Budg\2024\БЮДЖЕТ\РІШЕННЯ\Бюджет+Зміни\Зміни\12 Грудень\Пропозиції нові\Наказ\"/>
    </mc:Choice>
  </mc:AlternateContent>
  <bookViews>
    <workbookView xWindow="-120" yWindow="-120" windowWidth="29040" windowHeight="15720" tabRatio="322" activeTab="1"/>
  </bookViews>
  <sheets>
    <sheet name="дод 3" sheetId="1" r:id="rId1"/>
    <sheet name="дод 7" sheetId="3" r:id="rId2"/>
  </sheets>
  <definedNames>
    <definedName name="_xlnm.Print_Titles" localSheetId="0">'дод 3'!$13:$15</definedName>
    <definedName name="_xlnm.Print_Titles" localSheetId="1">'дод 7'!$11:$13</definedName>
    <definedName name="_xlnm.Print_Area" localSheetId="0">'дод 3'!$A$1:$Q$489</definedName>
    <definedName name="_xlnm.Print_Area" localSheetId="1">'дод 7'!$A$1:$P$356</definedName>
  </definedNames>
  <calcPr calcId="162913"/>
</workbook>
</file>

<file path=xl/calcChain.xml><?xml version="1.0" encoding="utf-8"?>
<calcChain xmlns="http://schemas.openxmlformats.org/spreadsheetml/2006/main">
  <c r="I353" i="1" l="1"/>
  <c r="J325" i="1"/>
  <c r="F286" i="1" l="1"/>
  <c r="F287" i="1"/>
  <c r="H463" i="1" l="1"/>
  <c r="H287" i="1"/>
  <c r="H286" i="1"/>
  <c r="O190" i="1"/>
  <c r="O189" i="1"/>
  <c r="K190" i="1"/>
  <c r="K189" i="1"/>
  <c r="F190" i="1"/>
  <c r="F189" i="1"/>
  <c r="H70" i="1"/>
  <c r="G23" i="1"/>
  <c r="F23" i="1"/>
  <c r="F463" i="1"/>
  <c r="C140" i="3" l="1"/>
  <c r="E169" i="3"/>
  <c r="F169" i="3"/>
  <c r="G169" i="3"/>
  <c r="H169" i="3"/>
  <c r="I169" i="3"/>
  <c r="J169" i="3"/>
  <c r="K169" i="3"/>
  <c r="L169" i="3"/>
  <c r="M169" i="3"/>
  <c r="N169" i="3"/>
  <c r="O169" i="3"/>
  <c r="E170" i="3"/>
  <c r="E140" i="3" s="1"/>
  <c r="F170" i="3"/>
  <c r="F140" i="3" s="1"/>
  <c r="G170" i="3"/>
  <c r="G140" i="3" s="1"/>
  <c r="H170" i="3"/>
  <c r="H140" i="3" s="1"/>
  <c r="I170" i="3"/>
  <c r="I140" i="3" s="1"/>
  <c r="J170" i="3"/>
  <c r="J140" i="3" s="1"/>
  <c r="K170" i="3"/>
  <c r="K140" i="3" s="1"/>
  <c r="L170" i="3"/>
  <c r="L140" i="3" s="1"/>
  <c r="M170" i="3"/>
  <c r="M140" i="3" s="1"/>
  <c r="N170" i="3"/>
  <c r="N140" i="3" s="1"/>
  <c r="O170" i="3"/>
  <c r="O140" i="3" s="1"/>
  <c r="D170" i="3"/>
  <c r="D140" i="3" s="1"/>
  <c r="D169" i="3"/>
  <c r="F221" i="1"/>
  <c r="G221" i="1"/>
  <c r="H221" i="1"/>
  <c r="I221" i="1"/>
  <c r="J221" i="1"/>
  <c r="K221" i="1"/>
  <c r="L221" i="1"/>
  <c r="M221" i="1"/>
  <c r="N221" i="1"/>
  <c r="O221" i="1"/>
  <c r="P221" i="1"/>
  <c r="E221" i="1"/>
  <c r="F228" i="1"/>
  <c r="G228" i="1"/>
  <c r="H228" i="1"/>
  <c r="I228" i="1"/>
  <c r="J228" i="1"/>
  <c r="K228" i="1"/>
  <c r="L228" i="1"/>
  <c r="M228" i="1"/>
  <c r="N228" i="1"/>
  <c r="O228" i="1"/>
  <c r="P228" i="1"/>
  <c r="E228" i="1"/>
  <c r="F263" i="1"/>
  <c r="F253" i="1"/>
  <c r="E253" i="1" s="1"/>
  <c r="F254" i="1"/>
  <c r="E254" i="1"/>
  <c r="J253" i="1"/>
  <c r="J254" i="1"/>
  <c r="P254" i="1" l="1"/>
  <c r="P253" i="1"/>
  <c r="E243" i="3"/>
  <c r="F243" i="3"/>
  <c r="G243" i="3"/>
  <c r="H243" i="3"/>
  <c r="J243" i="3"/>
  <c r="K243" i="3"/>
  <c r="L243" i="3"/>
  <c r="M243" i="3"/>
  <c r="N243" i="3"/>
  <c r="O243" i="3"/>
  <c r="D243" i="3"/>
  <c r="F384" i="1"/>
  <c r="G384" i="1"/>
  <c r="H384" i="1"/>
  <c r="I384" i="1"/>
  <c r="L384" i="1"/>
  <c r="M384" i="1"/>
  <c r="N384" i="1"/>
  <c r="O405" i="1"/>
  <c r="K405" i="1"/>
  <c r="J401" i="1"/>
  <c r="P401" i="1" s="1"/>
  <c r="E401" i="1"/>
  <c r="I243" i="3" l="1"/>
  <c r="I351" i="1"/>
  <c r="I352" i="1"/>
  <c r="F233" i="1"/>
  <c r="F236" i="1"/>
  <c r="F139" i="1" l="1"/>
  <c r="K139" i="1"/>
  <c r="O139" i="1"/>
  <c r="O138" i="1"/>
  <c r="K138" i="1"/>
  <c r="F138" i="1"/>
  <c r="F265" i="1" l="1"/>
  <c r="F264" i="1"/>
  <c r="O406" i="1" l="1"/>
  <c r="O404" i="1" l="1"/>
  <c r="K404" i="1"/>
  <c r="O400" i="1"/>
  <c r="K400" i="1"/>
  <c r="O398" i="1"/>
  <c r="K398" i="1"/>
  <c r="O393" i="1"/>
  <c r="K393" i="1"/>
  <c r="K406" i="1"/>
  <c r="O397" i="1" l="1"/>
  <c r="K397" i="1"/>
  <c r="O388" i="1"/>
  <c r="K388" i="1"/>
  <c r="O399" i="1"/>
  <c r="O384" i="1" s="1"/>
  <c r="K399" i="1"/>
  <c r="K384" i="1" s="1"/>
  <c r="I314" i="1" l="1"/>
  <c r="O354" i="1"/>
  <c r="K354" i="1"/>
  <c r="G289" i="1" l="1"/>
  <c r="G275" i="1"/>
  <c r="G241" i="1"/>
  <c r="O131" i="1"/>
  <c r="O130" i="1"/>
  <c r="K131" i="1"/>
  <c r="K130" i="1"/>
  <c r="F131" i="1"/>
  <c r="F130" i="1"/>
  <c r="O128" i="1"/>
  <c r="K128" i="1"/>
  <c r="F128" i="1"/>
  <c r="H97" i="1"/>
  <c r="F97" i="1"/>
  <c r="H94" i="1"/>
  <c r="F94" i="1"/>
  <c r="H39" i="1"/>
  <c r="G39" i="1"/>
  <c r="O70" i="1" l="1"/>
  <c r="K70" i="1"/>
  <c r="F93" i="1" l="1"/>
  <c r="G135" i="1" l="1"/>
  <c r="G134" i="1"/>
  <c r="G133" i="1"/>
  <c r="G132" i="1"/>
  <c r="O477" i="1" l="1"/>
  <c r="K477" i="1"/>
  <c r="F477" i="1"/>
  <c r="O75" i="1"/>
  <c r="K75" i="1"/>
  <c r="F75" i="1"/>
  <c r="F135" i="1" l="1"/>
  <c r="F134" i="1"/>
  <c r="F133" i="1"/>
  <c r="F132" i="1"/>
  <c r="O259" i="1"/>
  <c r="O260" i="1"/>
  <c r="K260" i="1"/>
  <c r="K259" i="1"/>
  <c r="F247" i="1" l="1"/>
  <c r="F246" i="1"/>
  <c r="F238" i="1"/>
  <c r="F237" i="1"/>
  <c r="O342" i="1" l="1"/>
  <c r="K342" i="1"/>
  <c r="O74" i="1"/>
  <c r="K74" i="1"/>
  <c r="I325" i="1" l="1"/>
  <c r="F325" i="1" l="1"/>
  <c r="G36" i="1" l="1"/>
  <c r="F360" i="1" l="1"/>
  <c r="E471" i="1" l="1"/>
  <c r="F462" i="1" l="1"/>
  <c r="G462" i="1"/>
  <c r="H462" i="1"/>
  <c r="I462" i="1"/>
  <c r="K462" i="1"/>
  <c r="L462" i="1"/>
  <c r="M462" i="1"/>
  <c r="N462" i="1"/>
  <c r="O462" i="1"/>
  <c r="F342" i="1" l="1"/>
  <c r="F36" i="1" l="1"/>
  <c r="F465" i="1" l="1"/>
  <c r="E259" i="3" l="1"/>
  <c r="E236" i="3" s="1"/>
  <c r="E225" i="3" s="1"/>
  <c r="F259" i="3"/>
  <c r="F236" i="3" s="1"/>
  <c r="F225" i="3" s="1"/>
  <c r="G259" i="3"/>
  <c r="G236" i="3" s="1"/>
  <c r="G225" i="3" s="1"/>
  <c r="H259" i="3"/>
  <c r="H236" i="3" s="1"/>
  <c r="H225" i="3" s="1"/>
  <c r="J259" i="3"/>
  <c r="J236" i="3" s="1"/>
  <c r="J225" i="3" s="1"/>
  <c r="K259" i="3"/>
  <c r="K236" i="3" s="1"/>
  <c r="K225" i="3" s="1"/>
  <c r="L259" i="3"/>
  <c r="L236" i="3" s="1"/>
  <c r="L225" i="3" s="1"/>
  <c r="M259" i="3"/>
  <c r="M236" i="3" s="1"/>
  <c r="M225" i="3" s="1"/>
  <c r="N259" i="3"/>
  <c r="N236" i="3" s="1"/>
  <c r="N225" i="3" s="1"/>
  <c r="F307" i="1"/>
  <c r="G307" i="1"/>
  <c r="H307" i="1"/>
  <c r="I307" i="1"/>
  <c r="K307" i="1"/>
  <c r="L307" i="1"/>
  <c r="M307" i="1"/>
  <c r="N307" i="1"/>
  <c r="O307" i="1"/>
  <c r="J343" i="1"/>
  <c r="J344" i="1"/>
  <c r="J345" i="1"/>
  <c r="J346" i="1"/>
  <c r="J347" i="1"/>
  <c r="J348" i="1"/>
  <c r="E343" i="1"/>
  <c r="I259" i="3" l="1"/>
  <c r="I236" i="3" s="1"/>
  <c r="I225" i="3" s="1"/>
  <c r="P343" i="1"/>
  <c r="O259" i="3" s="1"/>
  <c r="O236" i="3" s="1"/>
  <c r="O225" i="3" s="1"/>
  <c r="D259" i="3"/>
  <c r="D236" i="3" s="1"/>
  <c r="D225" i="3" s="1"/>
  <c r="F364" i="1"/>
  <c r="O329" i="1"/>
  <c r="K329" i="1"/>
  <c r="O327" i="1"/>
  <c r="K327" i="1"/>
  <c r="I326" i="1"/>
  <c r="H325" i="1"/>
  <c r="H321" i="1"/>
  <c r="F321" i="1"/>
  <c r="F99" i="1"/>
  <c r="G286" i="1"/>
  <c r="G285" i="1"/>
  <c r="F285" i="1"/>
  <c r="F241" i="1"/>
  <c r="G154" i="1"/>
  <c r="F154" i="1"/>
  <c r="G119" i="1"/>
  <c r="F119" i="1"/>
  <c r="G124" i="1"/>
  <c r="F124" i="1"/>
  <c r="G113" i="1"/>
  <c r="F113" i="1"/>
  <c r="G112" i="1"/>
  <c r="F112" i="1"/>
  <c r="G99" i="1"/>
  <c r="G94" i="1"/>
  <c r="G97" i="1" l="1"/>
  <c r="G93" i="1"/>
  <c r="H477" i="1"/>
  <c r="G463" i="1"/>
  <c r="G429" i="1"/>
  <c r="H426" i="1"/>
  <c r="O360" i="1" l="1"/>
  <c r="K360" i="1"/>
  <c r="I319" i="1"/>
  <c r="F314" i="1"/>
  <c r="H289" i="1"/>
  <c r="F289" i="1"/>
  <c r="H284" i="1"/>
  <c r="F284" i="1"/>
  <c r="H285" i="1"/>
  <c r="G284" i="1"/>
  <c r="O93" i="1"/>
  <c r="K93" i="1"/>
  <c r="O112" i="1"/>
  <c r="K112" i="1"/>
  <c r="F153" i="1"/>
  <c r="F70" i="1"/>
  <c r="F37" i="1"/>
  <c r="F56" i="1"/>
  <c r="F65" i="1"/>
  <c r="F74" i="1"/>
  <c r="F152" i="1" l="1"/>
  <c r="F151" i="1"/>
  <c r="F191" i="1"/>
  <c r="O262" i="1"/>
  <c r="K262" i="1"/>
  <c r="O261" i="1"/>
  <c r="K261" i="1"/>
  <c r="O149" i="1"/>
  <c r="O148" i="1"/>
  <c r="L149" i="1"/>
  <c r="L148" i="1"/>
  <c r="L17" i="1" l="1"/>
  <c r="M17" i="1"/>
  <c r="N17" i="1"/>
  <c r="F31" i="1"/>
  <c r="O31" i="1"/>
  <c r="K31" i="1"/>
  <c r="E112" i="3" l="1"/>
  <c r="E109" i="3" s="1"/>
  <c r="F112" i="3"/>
  <c r="F109" i="3" s="1"/>
  <c r="G112" i="3"/>
  <c r="G109" i="3" s="1"/>
  <c r="H112" i="3"/>
  <c r="H109" i="3" s="1"/>
  <c r="J112" i="3"/>
  <c r="J109" i="3" s="1"/>
  <c r="K112" i="3"/>
  <c r="K109" i="3" s="1"/>
  <c r="L112" i="3"/>
  <c r="L109" i="3" s="1"/>
  <c r="M112" i="3"/>
  <c r="M109" i="3" s="1"/>
  <c r="N112" i="3"/>
  <c r="N109" i="3" s="1"/>
  <c r="F186" i="1"/>
  <c r="G186" i="1"/>
  <c r="H186" i="1"/>
  <c r="I186" i="1"/>
  <c r="K186" i="1"/>
  <c r="L186" i="1"/>
  <c r="M186" i="1"/>
  <c r="N186" i="1"/>
  <c r="O186" i="1"/>
  <c r="J191" i="1"/>
  <c r="J186" i="1" s="1"/>
  <c r="E191" i="1"/>
  <c r="D112" i="3" s="1"/>
  <c r="D109" i="3" s="1"/>
  <c r="F227" i="1"/>
  <c r="G227" i="1"/>
  <c r="H227" i="1"/>
  <c r="I227" i="1"/>
  <c r="K227" i="1"/>
  <c r="L227" i="1"/>
  <c r="M227" i="1"/>
  <c r="N227" i="1"/>
  <c r="O227" i="1"/>
  <c r="D227" i="1"/>
  <c r="C139" i="3"/>
  <c r="E317" i="3"/>
  <c r="E314" i="3" s="1"/>
  <c r="F317" i="3"/>
  <c r="F314" i="3" s="1"/>
  <c r="G317" i="3"/>
  <c r="G314" i="3" s="1"/>
  <c r="H317" i="3"/>
  <c r="H314" i="3" s="1"/>
  <c r="J317" i="3"/>
  <c r="J314" i="3" s="1"/>
  <c r="K317" i="3"/>
  <c r="K314" i="3" s="1"/>
  <c r="L317" i="3"/>
  <c r="L314" i="3" s="1"/>
  <c r="M317" i="3"/>
  <c r="M314" i="3" s="1"/>
  <c r="N317" i="3"/>
  <c r="N314" i="3" s="1"/>
  <c r="D317" i="3"/>
  <c r="D314" i="3" s="1"/>
  <c r="F21" i="1"/>
  <c r="G21" i="1"/>
  <c r="H21" i="1"/>
  <c r="I21" i="1"/>
  <c r="K21" i="1"/>
  <c r="L21" i="1"/>
  <c r="M21" i="1"/>
  <c r="N21" i="1"/>
  <c r="O21" i="1"/>
  <c r="E21" i="1"/>
  <c r="D21" i="1"/>
  <c r="J71" i="1"/>
  <c r="I317" i="3" s="1"/>
  <c r="I314" i="3" s="1"/>
  <c r="D67" i="1"/>
  <c r="I112" i="3" l="1"/>
  <c r="I109" i="3" s="1"/>
  <c r="P191" i="1"/>
  <c r="P186" i="1" s="1"/>
  <c r="E186" i="1"/>
  <c r="J21" i="1"/>
  <c r="P71" i="1"/>
  <c r="P21" i="1" s="1"/>
  <c r="O112" i="3" l="1"/>
  <c r="O109" i="3" s="1"/>
  <c r="O317" i="3"/>
  <c r="O314" i="3" s="1"/>
  <c r="G287" i="1" l="1"/>
  <c r="F47" i="1"/>
  <c r="F45" i="1"/>
  <c r="G43" i="1"/>
  <c r="F43" i="1"/>
  <c r="F39" i="1"/>
  <c r="G34" i="1"/>
  <c r="F34" i="1"/>
  <c r="G31" i="1"/>
  <c r="I315" i="1" l="1"/>
  <c r="G442" i="1" l="1"/>
  <c r="H442" i="1"/>
  <c r="O315" i="1"/>
  <c r="O314" i="1"/>
  <c r="F234" i="1" l="1"/>
  <c r="O163" i="1" l="1"/>
  <c r="K163" i="1"/>
  <c r="O147" i="1" l="1"/>
  <c r="O146" i="1"/>
  <c r="K147" i="1"/>
  <c r="K146" i="1"/>
  <c r="F147" i="1"/>
  <c r="F146" i="1"/>
  <c r="F441" i="1" l="1"/>
  <c r="G441" i="1"/>
  <c r="H441" i="1"/>
  <c r="I441" i="1"/>
  <c r="K441" i="1"/>
  <c r="L441" i="1"/>
  <c r="M441" i="1"/>
  <c r="N441" i="1"/>
  <c r="O441" i="1"/>
  <c r="E441" i="1"/>
  <c r="E297" i="3"/>
  <c r="F297" i="3"/>
  <c r="G297" i="3"/>
  <c r="H297" i="3"/>
  <c r="J297" i="3"/>
  <c r="K297" i="3"/>
  <c r="L297" i="3"/>
  <c r="M297" i="3"/>
  <c r="N297" i="3"/>
  <c r="J448" i="1"/>
  <c r="I297" i="3" s="1"/>
  <c r="E448" i="1"/>
  <c r="D297" i="3" s="1"/>
  <c r="D447" i="1"/>
  <c r="F447" i="1"/>
  <c r="F452" i="1"/>
  <c r="F470" i="1"/>
  <c r="F411" i="1"/>
  <c r="O411" i="1"/>
  <c r="K411" i="1"/>
  <c r="I321" i="1"/>
  <c r="F312" i="1"/>
  <c r="O355" i="1"/>
  <c r="K355" i="1"/>
  <c r="F266" i="1"/>
  <c r="E127" i="3"/>
  <c r="F127" i="3"/>
  <c r="G127" i="3"/>
  <c r="H127" i="3"/>
  <c r="J127" i="3"/>
  <c r="K127" i="3"/>
  <c r="L127" i="3"/>
  <c r="M127" i="3"/>
  <c r="N127" i="3"/>
  <c r="G185" i="1"/>
  <c r="H185" i="1"/>
  <c r="I185" i="1"/>
  <c r="L185" i="1"/>
  <c r="M185" i="1"/>
  <c r="N185" i="1"/>
  <c r="J210" i="1"/>
  <c r="I127" i="3" s="1"/>
  <c r="E210" i="1"/>
  <c r="D127" i="3" s="1"/>
  <c r="O209" i="1"/>
  <c r="K209" i="1"/>
  <c r="O213" i="1"/>
  <c r="K213" i="1"/>
  <c r="F185" i="1"/>
  <c r="O185" i="1"/>
  <c r="K185" i="1"/>
  <c r="J441" i="1" l="1"/>
  <c r="P448" i="1"/>
  <c r="P210" i="1"/>
  <c r="O297" i="3" l="1"/>
  <c r="P441" i="1"/>
  <c r="O127" i="3"/>
  <c r="H113" i="1" l="1"/>
  <c r="O94" i="1"/>
  <c r="K94" i="1"/>
  <c r="E196" i="3" l="1"/>
  <c r="E192" i="3" s="1"/>
  <c r="F196" i="3"/>
  <c r="F192" i="3" s="1"/>
  <c r="G196" i="3"/>
  <c r="G192" i="3" s="1"/>
  <c r="H196" i="3"/>
  <c r="H192" i="3" s="1"/>
  <c r="J196" i="3"/>
  <c r="J192" i="3" s="1"/>
  <c r="K196" i="3"/>
  <c r="K192" i="3" s="1"/>
  <c r="L196" i="3"/>
  <c r="L192" i="3" s="1"/>
  <c r="M196" i="3"/>
  <c r="M192" i="3" s="1"/>
  <c r="N196" i="3"/>
  <c r="N192" i="3" s="1"/>
  <c r="F19" i="1"/>
  <c r="G19" i="1"/>
  <c r="H19" i="1"/>
  <c r="I19" i="1"/>
  <c r="K19" i="1"/>
  <c r="L19" i="1"/>
  <c r="M19" i="1"/>
  <c r="N19" i="1"/>
  <c r="O19" i="1"/>
  <c r="J44" i="1"/>
  <c r="E44" i="1"/>
  <c r="D196" i="3" s="1"/>
  <c r="D192" i="3" s="1"/>
  <c r="P44" i="1" l="1"/>
  <c r="I196" i="3"/>
  <c r="I192" i="3" s="1"/>
  <c r="O196" i="3"/>
  <c r="O192" i="3" s="1"/>
  <c r="O43" i="1"/>
  <c r="K43" i="1"/>
  <c r="O23" i="1" l="1"/>
  <c r="K23" i="1"/>
  <c r="O396" i="1"/>
  <c r="E155" i="3"/>
  <c r="E136" i="3" s="1"/>
  <c r="F155" i="3"/>
  <c r="F136" i="3" s="1"/>
  <c r="G155" i="3"/>
  <c r="G136" i="3" s="1"/>
  <c r="H155" i="3"/>
  <c r="H136" i="3" s="1"/>
  <c r="J155" i="3"/>
  <c r="J136" i="3" s="1"/>
  <c r="K155" i="3"/>
  <c r="K136" i="3" s="1"/>
  <c r="L155" i="3"/>
  <c r="L136" i="3" s="1"/>
  <c r="M155" i="3"/>
  <c r="M136" i="3" s="1"/>
  <c r="N155" i="3"/>
  <c r="N136" i="3" s="1"/>
  <c r="F20" i="1"/>
  <c r="G20" i="1"/>
  <c r="H20" i="1"/>
  <c r="I20" i="1"/>
  <c r="K20" i="1"/>
  <c r="L20" i="1"/>
  <c r="M20" i="1"/>
  <c r="N20" i="1"/>
  <c r="O20" i="1"/>
  <c r="J32" i="1"/>
  <c r="J20" i="1" s="1"/>
  <c r="E32" i="1"/>
  <c r="E20" i="1" s="1"/>
  <c r="B32" i="1"/>
  <c r="C32" i="1"/>
  <c r="D32" i="1"/>
  <c r="I155" i="3" l="1"/>
  <c r="I136" i="3" s="1"/>
  <c r="D155" i="3"/>
  <c r="D136" i="3" s="1"/>
  <c r="P32" i="1"/>
  <c r="P20" i="1" l="1"/>
  <c r="O155" i="3"/>
  <c r="O136" i="3" s="1"/>
  <c r="G17" i="3"/>
  <c r="H17" i="3"/>
  <c r="K17" i="3"/>
  <c r="L17" i="3"/>
  <c r="M17" i="3"/>
  <c r="J310" i="1"/>
  <c r="E310" i="1"/>
  <c r="P310" i="1" s="1"/>
  <c r="G306" i="1"/>
  <c r="H306" i="1"/>
  <c r="I306" i="1"/>
  <c r="K306" i="1"/>
  <c r="L306" i="1"/>
  <c r="M306" i="1"/>
  <c r="N306" i="1"/>
  <c r="O306" i="1"/>
  <c r="D310" i="1"/>
  <c r="D309" i="1"/>
  <c r="G309" i="1"/>
  <c r="F309" i="1"/>
  <c r="F429" i="1"/>
  <c r="G387" i="1"/>
  <c r="F387" i="1"/>
  <c r="G229" i="1"/>
  <c r="F229" i="1"/>
  <c r="F362" i="1"/>
  <c r="F306" i="1" s="1"/>
  <c r="C28" i="3"/>
  <c r="E104" i="3"/>
  <c r="F104" i="3"/>
  <c r="G104" i="3"/>
  <c r="H104" i="3"/>
  <c r="J104" i="3"/>
  <c r="K104" i="3"/>
  <c r="L104" i="3"/>
  <c r="M104" i="3"/>
  <c r="N104" i="3"/>
  <c r="E105" i="3"/>
  <c r="E28" i="3" s="1"/>
  <c r="F105" i="3"/>
  <c r="F28" i="3" s="1"/>
  <c r="G105" i="3"/>
  <c r="G28" i="3" s="1"/>
  <c r="H105" i="3"/>
  <c r="H28" i="3" s="1"/>
  <c r="J105" i="3"/>
  <c r="J28" i="3" s="1"/>
  <c r="K105" i="3"/>
  <c r="K28" i="3" s="1"/>
  <c r="L105" i="3"/>
  <c r="L28" i="3" s="1"/>
  <c r="M105" i="3"/>
  <c r="M28" i="3" s="1"/>
  <c r="N105" i="3"/>
  <c r="N28" i="3" s="1"/>
  <c r="F82" i="1"/>
  <c r="G82" i="1"/>
  <c r="H82" i="1"/>
  <c r="I82" i="1"/>
  <c r="K82" i="1"/>
  <c r="L82" i="1"/>
  <c r="M82" i="1"/>
  <c r="N82" i="1"/>
  <c r="O82" i="1"/>
  <c r="I77" i="1"/>
  <c r="M77" i="1"/>
  <c r="N77" i="1"/>
  <c r="J152" i="1"/>
  <c r="I105" i="3" s="1"/>
  <c r="I28" i="3" s="1"/>
  <c r="E152" i="1"/>
  <c r="D105" i="3" s="1"/>
  <c r="D28" i="3" s="1"/>
  <c r="J151" i="1"/>
  <c r="I104" i="3" s="1"/>
  <c r="E151" i="1"/>
  <c r="D104" i="3" s="1"/>
  <c r="B152" i="1"/>
  <c r="C152" i="1"/>
  <c r="D152" i="1"/>
  <c r="D82" i="1" s="1"/>
  <c r="C151" i="1"/>
  <c r="D151" i="1"/>
  <c r="B151" i="1"/>
  <c r="J82" i="1" l="1"/>
  <c r="E82" i="1"/>
  <c r="P151" i="1"/>
  <c r="O104" i="3" s="1"/>
  <c r="P152" i="1"/>
  <c r="C352" i="1"/>
  <c r="D352" i="1"/>
  <c r="B352" i="1"/>
  <c r="P82" i="1" l="1"/>
  <c r="O105" i="3"/>
  <c r="O28" i="3" s="1"/>
  <c r="E51" i="3" l="1"/>
  <c r="F51" i="3"/>
  <c r="G51" i="3"/>
  <c r="H51" i="3"/>
  <c r="J51" i="3"/>
  <c r="K51" i="3"/>
  <c r="L51" i="3"/>
  <c r="M51" i="3"/>
  <c r="N51" i="3"/>
  <c r="G83" i="1"/>
  <c r="H83" i="1"/>
  <c r="I83" i="1"/>
  <c r="K83" i="1"/>
  <c r="L83" i="1"/>
  <c r="M83" i="1"/>
  <c r="N83" i="1"/>
  <c r="O83" i="1"/>
  <c r="J98" i="1"/>
  <c r="I51" i="3" s="1"/>
  <c r="E98" i="1"/>
  <c r="P98" i="1" s="1"/>
  <c r="O51" i="3" s="1"/>
  <c r="F96" i="1"/>
  <c r="F83" i="1" s="1"/>
  <c r="D51" i="3" l="1"/>
  <c r="C33" i="3" l="1"/>
  <c r="E268" i="3" l="1"/>
  <c r="F268" i="3"/>
  <c r="G268" i="3"/>
  <c r="J268" i="3"/>
  <c r="K268" i="3"/>
  <c r="L268" i="3"/>
  <c r="M268" i="3"/>
  <c r="N268" i="3"/>
  <c r="E269" i="3"/>
  <c r="F269" i="3"/>
  <c r="G269" i="3"/>
  <c r="H269" i="3"/>
  <c r="J269" i="3"/>
  <c r="K269" i="3"/>
  <c r="L269" i="3"/>
  <c r="M269" i="3"/>
  <c r="N269" i="3"/>
  <c r="E270" i="3"/>
  <c r="F270" i="3"/>
  <c r="G270" i="3"/>
  <c r="H270" i="3"/>
  <c r="J270" i="3"/>
  <c r="K270" i="3"/>
  <c r="L270" i="3"/>
  <c r="M270" i="3"/>
  <c r="N270" i="3"/>
  <c r="L296" i="1"/>
  <c r="M296" i="1"/>
  <c r="N296" i="1"/>
  <c r="C351" i="1"/>
  <c r="D351" i="1"/>
  <c r="B351" i="1"/>
  <c r="J352" i="1"/>
  <c r="E352" i="1"/>
  <c r="J351" i="1"/>
  <c r="E351" i="1"/>
  <c r="P351" i="1" s="1"/>
  <c r="K59" i="1"/>
  <c r="I53" i="1"/>
  <c r="I51" i="1"/>
  <c r="I17" i="1" s="1"/>
  <c r="O407" i="1"/>
  <c r="K407" i="1"/>
  <c r="F251" i="1"/>
  <c r="F252" i="1"/>
  <c r="F232" i="1"/>
  <c r="F231" i="1"/>
  <c r="F42" i="1"/>
  <c r="F41" i="1"/>
  <c r="H268" i="3" l="1"/>
  <c r="P352" i="1"/>
  <c r="E240" i="3"/>
  <c r="F240" i="3"/>
  <c r="G240" i="3"/>
  <c r="H240" i="3"/>
  <c r="J240" i="3"/>
  <c r="K240" i="3"/>
  <c r="L240" i="3"/>
  <c r="M240" i="3"/>
  <c r="N240" i="3"/>
  <c r="J399" i="1"/>
  <c r="E399" i="1"/>
  <c r="G477" i="1"/>
  <c r="G478" i="1"/>
  <c r="F17" i="3" s="1"/>
  <c r="F478" i="1"/>
  <c r="E17" i="3" s="1"/>
  <c r="E292" i="3"/>
  <c r="E280" i="3" s="1"/>
  <c r="F292" i="3"/>
  <c r="F280" i="3" s="1"/>
  <c r="G292" i="3"/>
  <c r="G280" i="3" s="1"/>
  <c r="H292" i="3"/>
  <c r="H280" i="3" s="1"/>
  <c r="J292" i="3"/>
  <c r="J280" i="3" s="1"/>
  <c r="K292" i="3"/>
  <c r="K280" i="3" s="1"/>
  <c r="L292" i="3"/>
  <c r="L280" i="3" s="1"/>
  <c r="M292" i="3"/>
  <c r="M280" i="3" s="1"/>
  <c r="N292" i="3"/>
  <c r="N280" i="3" s="1"/>
  <c r="E211" i="3"/>
  <c r="F211" i="3"/>
  <c r="G211" i="3"/>
  <c r="H211" i="3"/>
  <c r="J211" i="3"/>
  <c r="K211" i="3"/>
  <c r="L211" i="3"/>
  <c r="M211" i="3"/>
  <c r="N211" i="3"/>
  <c r="E206" i="3"/>
  <c r="F206" i="3"/>
  <c r="G206" i="3"/>
  <c r="H206" i="3"/>
  <c r="J206" i="3"/>
  <c r="K206" i="3"/>
  <c r="L206" i="3"/>
  <c r="M206" i="3"/>
  <c r="N206" i="3"/>
  <c r="J315" i="1"/>
  <c r="I206" i="3" s="1"/>
  <c r="E315" i="1"/>
  <c r="J320" i="1"/>
  <c r="I211" i="3" s="1"/>
  <c r="E320" i="1"/>
  <c r="D211" i="3" s="1"/>
  <c r="J355" i="1"/>
  <c r="E355" i="1"/>
  <c r="D292" i="3" s="1"/>
  <c r="D280" i="3" s="1"/>
  <c r="F283" i="1"/>
  <c r="G283" i="1"/>
  <c r="H283" i="1"/>
  <c r="I283" i="1"/>
  <c r="L283" i="1"/>
  <c r="M283" i="1"/>
  <c r="N283" i="1"/>
  <c r="O288" i="1"/>
  <c r="N187" i="3" s="1"/>
  <c r="N184" i="3" s="1"/>
  <c r="K288" i="1"/>
  <c r="J187" i="3" s="1"/>
  <c r="J184" i="3" s="1"/>
  <c r="E288" i="1"/>
  <c r="E187" i="3"/>
  <c r="E184" i="3" s="1"/>
  <c r="F187" i="3"/>
  <c r="F184" i="3" s="1"/>
  <c r="G187" i="3"/>
  <c r="G184" i="3" s="1"/>
  <c r="H187" i="3"/>
  <c r="H184" i="3" s="1"/>
  <c r="K187" i="3"/>
  <c r="K184" i="3" s="1"/>
  <c r="L187" i="3"/>
  <c r="L184" i="3" s="1"/>
  <c r="M187" i="3"/>
  <c r="M184" i="3" s="1"/>
  <c r="J288" i="1" l="1"/>
  <c r="J283" i="1" s="1"/>
  <c r="D240" i="3"/>
  <c r="D206" i="3"/>
  <c r="P288" i="1"/>
  <c r="O187" i="3" s="1"/>
  <c r="O184" i="3" s="1"/>
  <c r="P399" i="1"/>
  <c r="O240" i="3" s="1"/>
  <c r="O283" i="1"/>
  <c r="P320" i="1"/>
  <c r="O211" i="3" s="1"/>
  <c r="E283" i="1"/>
  <c r="P283" i="1"/>
  <c r="K283" i="1"/>
  <c r="I292" i="3"/>
  <c r="I280" i="3" s="1"/>
  <c r="I187" i="3"/>
  <c r="I184" i="3" s="1"/>
  <c r="E202" i="3"/>
  <c r="I240" i="3"/>
  <c r="N202" i="3"/>
  <c r="M202" i="3"/>
  <c r="K202" i="3"/>
  <c r="F202" i="3"/>
  <c r="D202" i="3"/>
  <c r="L202" i="3"/>
  <c r="J202" i="3"/>
  <c r="I202" i="3"/>
  <c r="H202" i="3"/>
  <c r="G202" i="3"/>
  <c r="P315" i="1"/>
  <c r="O206" i="3" s="1"/>
  <c r="P355" i="1"/>
  <c r="O292" i="3" s="1"/>
  <c r="O280" i="3" s="1"/>
  <c r="D187" i="3"/>
  <c r="D184" i="3" s="1"/>
  <c r="D88" i="1"/>
  <c r="O202" i="3" l="1"/>
  <c r="E298" i="3"/>
  <c r="F298" i="3"/>
  <c r="G298" i="3"/>
  <c r="H298" i="3"/>
  <c r="J298" i="3"/>
  <c r="K298" i="3"/>
  <c r="L298" i="3"/>
  <c r="M298" i="3"/>
  <c r="N298" i="3"/>
  <c r="E299" i="3"/>
  <c r="F299" i="3"/>
  <c r="G299" i="3"/>
  <c r="H299" i="3"/>
  <c r="J299" i="3"/>
  <c r="K299" i="3"/>
  <c r="L299" i="3"/>
  <c r="M299" i="3"/>
  <c r="N299" i="3"/>
  <c r="F308" i="1"/>
  <c r="G308" i="1"/>
  <c r="H308" i="1"/>
  <c r="H485" i="1" s="1"/>
  <c r="I308" i="1"/>
  <c r="K308" i="1"/>
  <c r="L308" i="1"/>
  <c r="M308" i="1"/>
  <c r="N308" i="1"/>
  <c r="O308" i="1"/>
  <c r="J359" i="1"/>
  <c r="J308" i="1" s="1"/>
  <c r="E359" i="1"/>
  <c r="E308" i="1" s="1"/>
  <c r="J358" i="1"/>
  <c r="E358" i="1"/>
  <c r="D359" i="1"/>
  <c r="D308" i="1" s="1"/>
  <c r="C358" i="1"/>
  <c r="D358" i="1"/>
  <c r="B358" i="1"/>
  <c r="F22" i="1"/>
  <c r="G22" i="1"/>
  <c r="H22" i="1"/>
  <c r="I22" i="1"/>
  <c r="K22" i="1"/>
  <c r="L22" i="1"/>
  <c r="L485" i="1" s="1"/>
  <c r="M22" i="1"/>
  <c r="N22" i="1"/>
  <c r="O22" i="1"/>
  <c r="J64" i="1"/>
  <c r="J22" i="1" s="1"/>
  <c r="J485" i="1" s="1"/>
  <c r="E64" i="1"/>
  <c r="E22" i="1" s="1"/>
  <c r="J63" i="1"/>
  <c r="E63" i="1"/>
  <c r="D64" i="1"/>
  <c r="D22" i="1" s="1"/>
  <c r="C63" i="1"/>
  <c r="D63" i="1"/>
  <c r="B63" i="1"/>
  <c r="K485" i="1" l="1"/>
  <c r="I485" i="1"/>
  <c r="M485" i="1"/>
  <c r="F485" i="1"/>
  <c r="E485" i="1"/>
  <c r="G485" i="1"/>
  <c r="O485" i="1"/>
  <c r="N485" i="1"/>
  <c r="D298" i="3"/>
  <c r="I298" i="3"/>
  <c r="D299" i="3"/>
  <c r="P358" i="1"/>
  <c r="I299" i="3"/>
  <c r="P359" i="1"/>
  <c r="P308" i="1" s="1"/>
  <c r="P64" i="1"/>
  <c r="P63" i="1"/>
  <c r="O298" i="3" l="1"/>
  <c r="P22" i="1"/>
  <c r="P485" i="1" s="1"/>
  <c r="O299" i="3"/>
  <c r="O478" i="1"/>
  <c r="N17" i="3" s="1"/>
  <c r="K478" i="1"/>
  <c r="J17" i="3" s="1"/>
  <c r="F338" i="3" l="1"/>
  <c r="G338" i="3"/>
  <c r="H338" i="3"/>
  <c r="K338" i="3"/>
  <c r="L338" i="3"/>
  <c r="M338" i="3"/>
  <c r="H461" i="1"/>
  <c r="I461" i="1"/>
  <c r="K461" i="1"/>
  <c r="L461" i="1"/>
  <c r="M461" i="1"/>
  <c r="N461" i="1"/>
  <c r="O461" i="1"/>
  <c r="J471" i="1"/>
  <c r="E473" i="1"/>
  <c r="P473" i="1" s="1"/>
  <c r="E338" i="3"/>
  <c r="C307" i="3" l="1"/>
  <c r="C303" i="3" s="1"/>
  <c r="E309" i="3"/>
  <c r="E307" i="3" s="1"/>
  <c r="E303" i="3" s="1"/>
  <c r="F309" i="3"/>
  <c r="F307" i="3" s="1"/>
  <c r="F303" i="3" s="1"/>
  <c r="G309" i="3"/>
  <c r="G307" i="3" s="1"/>
  <c r="G303" i="3" s="1"/>
  <c r="H309" i="3"/>
  <c r="H307" i="3" s="1"/>
  <c r="H303" i="3" s="1"/>
  <c r="J309" i="3"/>
  <c r="J307" i="3" s="1"/>
  <c r="J303" i="3" s="1"/>
  <c r="K309" i="3"/>
  <c r="K307" i="3" s="1"/>
  <c r="K303" i="3" s="1"/>
  <c r="L309" i="3"/>
  <c r="L307" i="3" s="1"/>
  <c r="L303" i="3" s="1"/>
  <c r="M309" i="3"/>
  <c r="M307" i="3" s="1"/>
  <c r="M303" i="3" s="1"/>
  <c r="N309" i="3"/>
  <c r="N307" i="3" s="1"/>
  <c r="N303" i="3" s="1"/>
  <c r="D307" i="1"/>
  <c r="J361" i="1"/>
  <c r="J307" i="1" s="1"/>
  <c r="E361" i="1"/>
  <c r="F240" i="1"/>
  <c r="F239" i="1"/>
  <c r="D309" i="3" l="1"/>
  <c r="D307" i="3" s="1"/>
  <c r="D303" i="3" s="1"/>
  <c r="E307" i="1"/>
  <c r="I309" i="3"/>
  <c r="I307" i="3" s="1"/>
  <c r="I303" i="3" s="1"/>
  <c r="P361" i="1"/>
  <c r="P307" i="1" s="1"/>
  <c r="O309" i="3" l="1"/>
  <c r="O307" i="3" s="1"/>
  <c r="O303" i="3" s="1"/>
  <c r="G476" i="1" l="1"/>
  <c r="F476" i="1"/>
  <c r="K85" i="1" l="1"/>
  <c r="E20" i="3" l="1"/>
  <c r="F20" i="3"/>
  <c r="G20" i="3"/>
  <c r="H20" i="3"/>
  <c r="J20" i="3"/>
  <c r="K20" i="3"/>
  <c r="L20" i="3"/>
  <c r="M20" i="3"/>
  <c r="N20" i="3"/>
  <c r="J26" i="1"/>
  <c r="I20" i="3" s="1"/>
  <c r="E26" i="1"/>
  <c r="P26" i="1" s="1"/>
  <c r="O20" i="3" s="1"/>
  <c r="D26" i="1"/>
  <c r="D20" i="3" l="1"/>
  <c r="D96" i="1"/>
  <c r="E42" i="3"/>
  <c r="F42" i="3"/>
  <c r="G42" i="3"/>
  <c r="H42" i="3"/>
  <c r="J42" i="3"/>
  <c r="K42" i="3"/>
  <c r="L42" i="3"/>
  <c r="M42" i="3"/>
  <c r="N42" i="3"/>
  <c r="D147" i="1"/>
  <c r="E101" i="3"/>
  <c r="F101" i="3"/>
  <c r="G101" i="3"/>
  <c r="H101" i="3"/>
  <c r="J101" i="3"/>
  <c r="K101" i="3"/>
  <c r="L101" i="3"/>
  <c r="M101" i="3"/>
  <c r="N101" i="3"/>
  <c r="E111" i="3"/>
  <c r="E108" i="3" s="1"/>
  <c r="F111" i="3"/>
  <c r="F108" i="3" s="1"/>
  <c r="G111" i="3"/>
  <c r="G108" i="3" s="1"/>
  <c r="H111" i="3"/>
  <c r="H108" i="3" s="1"/>
  <c r="J111" i="3"/>
  <c r="J108" i="3" s="1"/>
  <c r="K111" i="3"/>
  <c r="K108" i="3" s="1"/>
  <c r="L111" i="3"/>
  <c r="L108" i="3" s="1"/>
  <c r="M111" i="3"/>
  <c r="M108" i="3" s="1"/>
  <c r="N111" i="3"/>
  <c r="N108" i="3" s="1"/>
  <c r="E248" i="3"/>
  <c r="E235" i="3" s="1"/>
  <c r="F248" i="3"/>
  <c r="F235" i="3" s="1"/>
  <c r="G248" i="3"/>
  <c r="G235" i="3" s="1"/>
  <c r="H248" i="3"/>
  <c r="H235" i="3" s="1"/>
  <c r="J248" i="3"/>
  <c r="J235" i="3" s="1"/>
  <c r="K248" i="3"/>
  <c r="K235" i="3" s="1"/>
  <c r="L248" i="3"/>
  <c r="L235" i="3" s="1"/>
  <c r="M248" i="3"/>
  <c r="M235" i="3" s="1"/>
  <c r="N248" i="3"/>
  <c r="N235" i="3" s="1"/>
  <c r="E310" i="3"/>
  <c r="F310" i="3"/>
  <c r="G310" i="3"/>
  <c r="H310" i="3"/>
  <c r="J310" i="3"/>
  <c r="K310" i="3"/>
  <c r="L310" i="3"/>
  <c r="M310" i="3"/>
  <c r="N310" i="3"/>
  <c r="E15" i="3" l="1"/>
  <c r="F15" i="3"/>
  <c r="G15" i="3"/>
  <c r="H15" i="3"/>
  <c r="J15" i="3"/>
  <c r="K15" i="3"/>
  <c r="L15" i="3"/>
  <c r="M15" i="3"/>
  <c r="N15" i="3"/>
  <c r="H476" i="1"/>
  <c r="I476" i="1"/>
  <c r="K476" i="1"/>
  <c r="L476" i="1"/>
  <c r="M476" i="1"/>
  <c r="N476" i="1"/>
  <c r="O476" i="1"/>
  <c r="J478" i="1"/>
  <c r="J476" i="1" s="1"/>
  <c r="E478" i="1"/>
  <c r="E476" i="1" s="1"/>
  <c r="G461" i="1"/>
  <c r="J464" i="1"/>
  <c r="J462" i="1" s="1"/>
  <c r="E464" i="1"/>
  <c r="E462" i="1" s="1"/>
  <c r="P464" i="1" l="1"/>
  <c r="P462" i="1" s="1"/>
  <c r="D17" i="3"/>
  <c r="D15" i="3" s="1"/>
  <c r="I17" i="3"/>
  <c r="I15" i="3" s="1"/>
  <c r="P478" i="1"/>
  <c r="P476" i="1"/>
  <c r="E224" i="3"/>
  <c r="F224" i="3"/>
  <c r="G224" i="3"/>
  <c r="H224" i="3"/>
  <c r="J224" i="3"/>
  <c r="K224" i="3"/>
  <c r="L224" i="3"/>
  <c r="M224" i="3"/>
  <c r="N224" i="3"/>
  <c r="O17" i="3" l="1"/>
  <c r="O15" i="3" s="1"/>
  <c r="E44" i="3"/>
  <c r="F44" i="3"/>
  <c r="G44" i="3"/>
  <c r="H44" i="3"/>
  <c r="J44" i="3"/>
  <c r="K44" i="3"/>
  <c r="L44" i="3"/>
  <c r="M44" i="3"/>
  <c r="N44" i="3"/>
  <c r="E306" i="3"/>
  <c r="E302" i="3" s="1"/>
  <c r="F306" i="3"/>
  <c r="F302" i="3" s="1"/>
  <c r="H306" i="3"/>
  <c r="H302" i="3" s="1"/>
  <c r="J306" i="3"/>
  <c r="J302" i="3" s="1"/>
  <c r="K306" i="3"/>
  <c r="K302" i="3" s="1"/>
  <c r="L306" i="3"/>
  <c r="L302" i="3" s="1"/>
  <c r="M306" i="3"/>
  <c r="M302" i="3" s="1"/>
  <c r="N306" i="3"/>
  <c r="N302" i="3" s="1"/>
  <c r="J405" i="1"/>
  <c r="J384" i="1" s="1"/>
  <c r="E405" i="1"/>
  <c r="E384" i="1" s="1"/>
  <c r="D384" i="1"/>
  <c r="J362" i="1"/>
  <c r="J306" i="1" s="1"/>
  <c r="E362" i="1"/>
  <c r="E306" i="1" s="1"/>
  <c r="G306" i="3"/>
  <c r="G302" i="3" s="1"/>
  <c r="D362" i="1"/>
  <c r="D306" i="1" s="1"/>
  <c r="J190" i="1"/>
  <c r="E190" i="1"/>
  <c r="E185" i="1" s="1"/>
  <c r="D185" i="1"/>
  <c r="J147" i="1"/>
  <c r="I101" i="3" s="1"/>
  <c r="E147" i="1"/>
  <c r="D146" i="1"/>
  <c r="J96" i="1"/>
  <c r="E96" i="1"/>
  <c r="J66" i="1"/>
  <c r="J19" i="1" s="1"/>
  <c r="E66" i="1"/>
  <c r="E19" i="1" s="1"/>
  <c r="D66" i="1"/>
  <c r="D19" i="1" s="1"/>
  <c r="C306" i="3"/>
  <c r="C302" i="3" s="1"/>
  <c r="I111" i="3" l="1"/>
  <c r="I108" i="3" s="1"/>
  <c r="J185" i="1"/>
  <c r="D111" i="3"/>
  <c r="D108" i="3" s="1"/>
  <c r="D101" i="3"/>
  <c r="E83" i="1"/>
  <c r="I42" i="3"/>
  <c r="D42" i="3"/>
  <c r="D248" i="3"/>
  <c r="I248" i="3"/>
  <c r="I235" i="3" s="1"/>
  <c r="P66" i="1"/>
  <c r="P19" i="1" s="1"/>
  <c r="D310" i="3"/>
  <c r="D306" i="3" s="1"/>
  <c r="D302" i="3" s="1"/>
  <c r="I310" i="3"/>
  <c r="I306" i="3" s="1"/>
  <c r="I302" i="3" s="1"/>
  <c r="P405" i="1"/>
  <c r="P384" i="1" s="1"/>
  <c r="P362" i="1"/>
  <c r="P306" i="1" s="1"/>
  <c r="P190" i="1"/>
  <c r="P185" i="1" s="1"/>
  <c r="P147" i="1"/>
  <c r="O101" i="3" s="1"/>
  <c r="P96" i="1"/>
  <c r="O42" i="3" s="1"/>
  <c r="E69" i="3"/>
  <c r="E29" i="3" s="1"/>
  <c r="F69" i="3"/>
  <c r="F29" i="3" s="1"/>
  <c r="G69" i="3"/>
  <c r="G29" i="3" s="1"/>
  <c r="H69" i="3"/>
  <c r="H29" i="3" s="1"/>
  <c r="J69" i="3"/>
  <c r="J29" i="3" s="1"/>
  <c r="K69" i="3"/>
  <c r="K29" i="3" s="1"/>
  <c r="L69" i="3"/>
  <c r="L29" i="3" s="1"/>
  <c r="M69" i="3"/>
  <c r="M29" i="3" s="1"/>
  <c r="N69" i="3"/>
  <c r="N29" i="3" s="1"/>
  <c r="D69" i="3"/>
  <c r="O113" i="1"/>
  <c r="J114" i="1"/>
  <c r="I69" i="3" s="1"/>
  <c r="D114" i="1"/>
  <c r="D83" i="1" s="1"/>
  <c r="C29" i="3"/>
  <c r="F81" i="1"/>
  <c r="G81" i="1"/>
  <c r="H81" i="1"/>
  <c r="I81" i="1"/>
  <c r="K81" i="1"/>
  <c r="L81" i="1"/>
  <c r="M81" i="1"/>
  <c r="N81" i="1"/>
  <c r="O81" i="1"/>
  <c r="D81" i="1"/>
  <c r="E95" i="3"/>
  <c r="F95" i="3"/>
  <c r="G95" i="3"/>
  <c r="H95" i="3"/>
  <c r="J95" i="3"/>
  <c r="K95" i="3"/>
  <c r="L95" i="3"/>
  <c r="M95" i="3"/>
  <c r="N95" i="3"/>
  <c r="E96" i="3"/>
  <c r="E27" i="3" s="1"/>
  <c r="F96" i="3"/>
  <c r="F27" i="3" s="1"/>
  <c r="G96" i="3"/>
  <c r="G27" i="3" s="1"/>
  <c r="H96" i="3"/>
  <c r="H27" i="3" s="1"/>
  <c r="J96" i="3"/>
  <c r="J27" i="3" s="1"/>
  <c r="K96" i="3"/>
  <c r="K27" i="3" s="1"/>
  <c r="L96" i="3"/>
  <c r="L27" i="3" s="1"/>
  <c r="M96" i="3"/>
  <c r="M27" i="3" s="1"/>
  <c r="N96" i="3"/>
  <c r="N27" i="3" s="1"/>
  <c r="J142" i="1"/>
  <c r="J81" i="1" s="1"/>
  <c r="E142" i="1"/>
  <c r="D96" i="3" s="1"/>
  <c r="D27" i="3" s="1"/>
  <c r="J141" i="1"/>
  <c r="I95" i="3" s="1"/>
  <c r="E141" i="1"/>
  <c r="D95" i="3" s="1"/>
  <c r="C27" i="3"/>
  <c r="I213" i="1"/>
  <c r="O215" i="1"/>
  <c r="O67" i="1"/>
  <c r="K67" i="1"/>
  <c r="F67" i="1"/>
  <c r="O321" i="1"/>
  <c r="K321" i="1"/>
  <c r="F326" i="1"/>
  <c r="F55" i="1"/>
  <c r="F25" i="1"/>
  <c r="D235" i="3" l="1"/>
  <c r="D224" i="3" s="1"/>
  <c r="I29" i="3"/>
  <c r="D29" i="3"/>
  <c r="J83" i="1"/>
  <c r="I224" i="3"/>
  <c r="O248" i="3"/>
  <c r="O235" i="3" s="1"/>
  <c r="O310" i="3"/>
  <c r="O306" i="3" s="1"/>
  <c r="O302" i="3" s="1"/>
  <c r="O111" i="3"/>
  <c r="O108" i="3" s="1"/>
  <c r="P114" i="1"/>
  <c r="P83" i="1" s="1"/>
  <c r="P141" i="1"/>
  <c r="O95" i="3" s="1"/>
  <c r="I96" i="3"/>
  <c r="I27" i="3" s="1"/>
  <c r="P142" i="1"/>
  <c r="E81" i="1"/>
  <c r="H296" i="1"/>
  <c r="O224" i="3" l="1"/>
  <c r="O69" i="3"/>
  <c r="O29" i="3" s="1"/>
  <c r="O96" i="3"/>
  <c r="O27" i="3" s="1"/>
  <c r="P81" i="1"/>
  <c r="F69" i="1"/>
  <c r="L215" i="1" l="1"/>
  <c r="L213" i="1"/>
  <c r="F213" i="1" l="1"/>
  <c r="F230" i="3" l="1"/>
  <c r="G230" i="3"/>
  <c r="H230" i="3"/>
  <c r="J230" i="3"/>
  <c r="K230" i="3"/>
  <c r="L230" i="3"/>
  <c r="M230" i="3"/>
  <c r="N230" i="3"/>
  <c r="J326" i="1"/>
  <c r="E326" i="1"/>
  <c r="C326" i="1"/>
  <c r="D326" i="1"/>
  <c r="B326" i="1"/>
  <c r="P326" i="1" l="1"/>
  <c r="K395" i="1" l="1"/>
  <c r="O395" i="1"/>
  <c r="O394" i="1"/>
  <c r="K394" i="1"/>
  <c r="K56" i="1" l="1"/>
  <c r="H69" i="1"/>
  <c r="G67" i="1"/>
  <c r="G17" i="1" s="1"/>
  <c r="C107" i="3" l="1"/>
  <c r="E126" i="3"/>
  <c r="F126" i="3"/>
  <c r="G126" i="3"/>
  <c r="H126" i="3"/>
  <c r="J126" i="3"/>
  <c r="K126" i="3"/>
  <c r="L126" i="3"/>
  <c r="M126" i="3"/>
  <c r="N126" i="3"/>
  <c r="E128" i="3"/>
  <c r="F128" i="3"/>
  <c r="G128" i="3"/>
  <c r="H128" i="3"/>
  <c r="J128" i="3"/>
  <c r="K128" i="3"/>
  <c r="L128" i="3"/>
  <c r="M128" i="3"/>
  <c r="N128" i="3"/>
  <c r="E129" i="3"/>
  <c r="E107" i="3" s="1"/>
  <c r="F129" i="3"/>
  <c r="F107" i="3" s="1"/>
  <c r="G129" i="3"/>
  <c r="G107" i="3" s="1"/>
  <c r="H129" i="3"/>
  <c r="H107" i="3" s="1"/>
  <c r="J129" i="3"/>
  <c r="J107" i="3" s="1"/>
  <c r="K129" i="3"/>
  <c r="K107" i="3" s="1"/>
  <c r="L129" i="3"/>
  <c r="L107" i="3" s="1"/>
  <c r="M129" i="3"/>
  <c r="M107" i="3" s="1"/>
  <c r="N129" i="3"/>
  <c r="N107" i="3" s="1"/>
  <c r="H175" i="1"/>
  <c r="I175" i="1"/>
  <c r="L175" i="1"/>
  <c r="M175" i="1"/>
  <c r="N175" i="1"/>
  <c r="F184" i="1"/>
  <c r="G184" i="1"/>
  <c r="H184" i="1"/>
  <c r="I184" i="1"/>
  <c r="K184" i="1"/>
  <c r="L184" i="1"/>
  <c r="M184" i="1"/>
  <c r="N184" i="1"/>
  <c r="O184" i="1"/>
  <c r="D184" i="1"/>
  <c r="J212" i="1"/>
  <c r="I129" i="3" s="1"/>
  <c r="I107" i="3" s="1"/>
  <c r="E212" i="1"/>
  <c r="D129" i="3" s="1"/>
  <c r="D107" i="3" s="1"/>
  <c r="J211" i="1"/>
  <c r="I128" i="3" s="1"/>
  <c r="E211" i="1"/>
  <c r="J209" i="1"/>
  <c r="I126" i="3" s="1"/>
  <c r="E209" i="1"/>
  <c r="D126" i="3" s="1"/>
  <c r="C138" i="3"/>
  <c r="C137" i="3"/>
  <c r="F225" i="1"/>
  <c r="G225" i="1"/>
  <c r="H225" i="1"/>
  <c r="I225" i="1"/>
  <c r="K225" i="1"/>
  <c r="L225" i="1"/>
  <c r="M225" i="1"/>
  <c r="N225" i="1"/>
  <c r="O225" i="1"/>
  <c r="F226" i="1"/>
  <c r="G226" i="1"/>
  <c r="H226" i="1"/>
  <c r="I226" i="1"/>
  <c r="K226" i="1"/>
  <c r="L226" i="1"/>
  <c r="M226" i="1"/>
  <c r="N226" i="1"/>
  <c r="O226" i="1"/>
  <c r="D226" i="1"/>
  <c r="D225" i="1"/>
  <c r="E72" i="3"/>
  <c r="F72" i="3"/>
  <c r="G72" i="3"/>
  <c r="H72" i="3"/>
  <c r="J72" i="3"/>
  <c r="K72" i="3"/>
  <c r="L72" i="3"/>
  <c r="M72" i="3"/>
  <c r="N72" i="3"/>
  <c r="E73" i="3"/>
  <c r="F73" i="3"/>
  <c r="G73" i="3"/>
  <c r="H73" i="3"/>
  <c r="J73" i="3"/>
  <c r="K73" i="3"/>
  <c r="L73" i="3"/>
  <c r="M73" i="3"/>
  <c r="N73" i="3"/>
  <c r="F85" i="1"/>
  <c r="G85" i="1"/>
  <c r="H85" i="1"/>
  <c r="I85" i="1"/>
  <c r="M85" i="1"/>
  <c r="N85" i="1"/>
  <c r="J118" i="1"/>
  <c r="I73" i="3" s="1"/>
  <c r="E118" i="1"/>
  <c r="D115" i="1"/>
  <c r="J117" i="1"/>
  <c r="I72" i="3" s="1"/>
  <c r="E117" i="1"/>
  <c r="D72" i="3" s="1"/>
  <c r="E94" i="3"/>
  <c r="F94" i="3"/>
  <c r="G94" i="3"/>
  <c r="H94" i="3"/>
  <c r="J94" i="3"/>
  <c r="K94" i="3"/>
  <c r="L94" i="3"/>
  <c r="M94" i="3"/>
  <c r="N94" i="3"/>
  <c r="J140" i="1"/>
  <c r="I94" i="3" s="1"/>
  <c r="E140" i="1"/>
  <c r="D94" i="3" s="1"/>
  <c r="O56" i="1"/>
  <c r="J184" i="1" l="1"/>
  <c r="P211" i="1"/>
  <c r="O128" i="3" s="1"/>
  <c r="P212" i="1"/>
  <c r="E184" i="1"/>
  <c r="D128" i="3"/>
  <c r="P118" i="1"/>
  <c r="O73" i="3" s="1"/>
  <c r="P209" i="1"/>
  <c r="O126" i="3" s="1"/>
  <c r="D73" i="3"/>
  <c r="P140" i="1"/>
  <c r="O94" i="3" s="1"/>
  <c r="P117" i="1"/>
  <c r="O72" i="3" s="1"/>
  <c r="O65" i="1"/>
  <c r="K65" i="1"/>
  <c r="O129" i="3" l="1"/>
  <c r="O107" i="3" s="1"/>
  <c r="P184" i="1"/>
  <c r="H282" i="1"/>
  <c r="I282" i="1"/>
  <c r="L282" i="1"/>
  <c r="M282" i="1"/>
  <c r="N282" i="1"/>
  <c r="J294" i="1"/>
  <c r="E294" i="1"/>
  <c r="C294" i="1"/>
  <c r="D294" i="1"/>
  <c r="B294" i="1"/>
  <c r="N338" i="3"/>
  <c r="J338" i="3"/>
  <c r="K17" i="1" l="1"/>
  <c r="O17" i="1"/>
  <c r="P294" i="1"/>
  <c r="O198" i="1" l="1"/>
  <c r="O175" i="1" s="1"/>
  <c r="K198" i="1"/>
  <c r="K175" i="1" s="1"/>
  <c r="F442" i="1"/>
  <c r="F204" i="1"/>
  <c r="G451" i="1" l="1"/>
  <c r="F451" i="1"/>
  <c r="G426" i="1"/>
  <c r="F426" i="1"/>
  <c r="G296" i="1"/>
  <c r="F275" i="1"/>
  <c r="G188" i="1"/>
  <c r="G175" i="1" s="1"/>
  <c r="F188" i="1"/>
  <c r="F175" i="1" s="1"/>
  <c r="G92" i="1"/>
  <c r="F92" i="1"/>
  <c r="F455" i="1" l="1"/>
  <c r="E91" i="3"/>
  <c r="F91" i="3"/>
  <c r="G91" i="3"/>
  <c r="H91" i="3"/>
  <c r="J91" i="3"/>
  <c r="K91" i="3"/>
  <c r="L91" i="3"/>
  <c r="M91" i="3"/>
  <c r="N91" i="3"/>
  <c r="E138" i="1"/>
  <c r="D92" i="3" s="1"/>
  <c r="J137" i="1"/>
  <c r="I91" i="3" s="1"/>
  <c r="E137" i="1"/>
  <c r="C137" i="1"/>
  <c r="D137" i="1"/>
  <c r="B137" i="1"/>
  <c r="C227" i="3"/>
  <c r="E288" i="3"/>
  <c r="E283" i="3" s="1"/>
  <c r="F288" i="3"/>
  <c r="F283" i="3" s="1"/>
  <c r="G288" i="3"/>
  <c r="G283" i="3" s="1"/>
  <c r="H288" i="3"/>
  <c r="H283" i="3" s="1"/>
  <c r="J288" i="3"/>
  <c r="J283" i="3" s="1"/>
  <c r="K288" i="3"/>
  <c r="K283" i="3" s="1"/>
  <c r="L288" i="3"/>
  <c r="L283" i="3" s="1"/>
  <c r="M288" i="3"/>
  <c r="M283" i="3" s="1"/>
  <c r="N288" i="3"/>
  <c r="N283" i="3" s="1"/>
  <c r="F187" i="1"/>
  <c r="G187" i="1"/>
  <c r="H187" i="1"/>
  <c r="I187" i="1"/>
  <c r="K187" i="1"/>
  <c r="L187" i="1"/>
  <c r="M187" i="1"/>
  <c r="N187" i="1"/>
  <c r="O187" i="1"/>
  <c r="J215" i="1"/>
  <c r="J187" i="1" s="1"/>
  <c r="E215" i="1"/>
  <c r="D288" i="3" s="1"/>
  <c r="D283" i="3" s="1"/>
  <c r="E182" i="3"/>
  <c r="F182" i="3"/>
  <c r="G182" i="3"/>
  <c r="H182" i="3"/>
  <c r="J182" i="3"/>
  <c r="K182" i="3"/>
  <c r="L182" i="3"/>
  <c r="M182" i="3"/>
  <c r="N182" i="3"/>
  <c r="E161" i="3"/>
  <c r="F161" i="3"/>
  <c r="G161" i="3"/>
  <c r="H161" i="3"/>
  <c r="J161" i="3"/>
  <c r="K161" i="3"/>
  <c r="L161" i="3"/>
  <c r="M161" i="3"/>
  <c r="N161" i="3"/>
  <c r="F224" i="1"/>
  <c r="G224" i="1"/>
  <c r="H224" i="1"/>
  <c r="I224" i="1"/>
  <c r="K224" i="1"/>
  <c r="L224" i="1"/>
  <c r="M224" i="1"/>
  <c r="N224" i="1"/>
  <c r="O224" i="1"/>
  <c r="D224" i="1"/>
  <c r="J266" i="1"/>
  <c r="I182" i="3" s="1"/>
  <c r="E266" i="1"/>
  <c r="D182" i="3" s="1"/>
  <c r="J245" i="1"/>
  <c r="I161" i="3" s="1"/>
  <c r="E245" i="1"/>
  <c r="D161" i="3" s="1"/>
  <c r="F243" i="1"/>
  <c r="F80" i="1"/>
  <c r="G80" i="1"/>
  <c r="H80" i="1"/>
  <c r="I80" i="1"/>
  <c r="K80" i="1"/>
  <c r="L80" i="1"/>
  <c r="M80" i="1"/>
  <c r="N80" i="1"/>
  <c r="O80" i="1"/>
  <c r="F92" i="3"/>
  <c r="G92" i="3"/>
  <c r="H92" i="3"/>
  <c r="J92" i="3"/>
  <c r="K92" i="3"/>
  <c r="L92" i="3"/>
  <c r="M92" i="3"/>
  <c r="N92" i="3"/>
  <c r="E93" i="3"/>
  <c r="E26" i="3" s="1"/>
  <c r="F93" i="3"/>
  <c r="F26" i="3" s="1"/>
  <c r="G93" i="3"/>
  <c r="G26" i="3" s="1"/>
  <c r="H93" i="3"/>
  <c r="H26" i="3" s="1"/>
  <c r="J93" i="3"/>
  <c r="J26" i="3" s="1"/>
  <c r="K93" i="3"/>
  <c r="K26" i="3" s="1"/>
  <c r="L93" i="3"/>
  <c r="L26" i="3" s="1"/>
  <c r="M93" i="3"/>
  <c r="M26" i="3" s="1"/>
  <c r="N93" i="3"/>
  <c r="N26" i="3" s="1"/>
  <c r="J139" i="1"/>
  <c r="I93" i="3" s="1"/>
  <c r="I26" i="3" s="1"/>
  <c r="E139" i="1"/>
  <c r="E80" i="1" s="1"/>
  <c r="J138" i="1"/>
  <c r="I92" i="3" s="1"/>
  <c r="B139" i="1"/>
  <c r="C139" i="1"/>
  <c r="D139" i="1"/>
  <c r="D80" i="1" s="1"/>
  <c r="C138" i="1"/>
  <c r="D138" i="1"/>
  <c r="B138" i="1"/>
  <c r="E92" i="3" l="1"/>
  <c r="P137" i="1"/>
  <c r="O91" i="3" s="1"/>
  <c r="L135" i="3"/>
  <c r="E224" i="1"/>
  <c r="I288" i="3"/>
  <c r="I283" i="3" s="1"/>
  <c r="N135" i="3"/>
  <c r="G135" i="3"/>
  <c r="F135" i="3"/>
  <c r="E135" i="3"/>
  <c r="K135" i="3"/>
  <c r="J135" i="3"/>
  <c r="M135" i="3"/>
  <c r="H135" i="3"/>
  <c r="I135" i="3"/>
  <c r="P215" i="1"/>
  <c r="E187" i="1"/>
  <c r="P245" i="1"/>
  <c r="J224" i="1"/>
  <c r="P266" i="1"/>
  <c r="O182" i="3" s="1"/>
  <c r="D91" i="3"/>
  <c r="D135" i="3"/>
  <c r="D93" i="3"/>
  <c r="D26" i="3" s="1"/>
  <c r="J80" i="1"/>
  <c r="P139" i="1"/>
  <c r="P138" i="1"/>
  <c r="O92" i="3" s="1"/>
  <c r="O161" i="3" l="1"/>
  <c r="O135" i="3" s="1"/>
  <c r="P224" i="1"/>
  <c r="O288" i="3"/>
  <c r="O283" i="3" s="1"/>
  <c r="P187" i="1"/>
  <c r="O93" i="3"/>
  <c r="O26" i="3" s="1"/>
  <c r="P80" i="1"/>
  <c r="O85" i="1" l="1"/>
  <c r="E100" i="3" l="1"/>
  <c r="F100" i="3"/>
  <c r="G100" i="3"/>
  <c r="H100" i="3"/>
  <c r="J100" i="3"/>
  <c r="K100" i="3"/>
  <c r="L100" i="3"/>
  <c r="M100" i="3"/>
  <c r="N100" i="3"/>
  <c r="J146" i="1"/>
  <c r="I100" i="3" s="1"/>
  <c r="E146" i="1"/>
  <c r="D100" i="3" s="1"/>
  <c r="P146" i="1" l="1"/>
  <c r="O100" i="3" s="1"/>
  <c r="F86" i="1" l="1"/>
  <c r="G86" i="1"/>
  <c r="H86" i="1"/>
  <c r="I86" i="1"/>
  <c r="K86" i="1"/>
  <c r="L86" i="1"/>
  <c r="M86" i="1"/>
  <c r="N86" i="1"/>
  <c r="O86" i="1"/>
  <c r="F87" i="1"/>
  <c r="G87" i="1"/>
  <c r="H87" i="1"/>
  <c r="I87" i="1"/>
  <c r="K87" i="1"/>
  <c r="L87" i="1"/>
  <c r="M87" i="1"/>
  <c r="N87" i="1"/>
  <c r="O87" i="1"/>
  <c r="O143" i="1" l="1"/>
  <c r="O77" i="1" s="1"/>
  <c r="K143" i="1"/>
  <c r="K77" i="1" s="1"/>
  <c r="J149" i="1" l="1"/>
  <c r="E149" i="1"/>
  <c r="D103" i="3" s="1"/>
  <c r="J148" i="1"/>
  <c r="E148" i="1"/>
  <c r="C148" i="1"/>
  <c r="D148" i="1"/>
  <c r="B148" i="1"/>
  <c r="E102" i="3"/>
  <c r="F102" i="3"/>
  <c r="G102" i="3"/>
  <c r="H102" i="3"/>
  <c r="J102" i="3"/>
  <c r="K102" i="3"/>
  <c r="L102" i="3"/>
  <c r="M102" i="3"/>
  <c r="N102" i="3"/>
  <c r="E103" i="3"/>
  <c r="F103" i="3"/>
  <c r="G103" i="3"/>
  <c r="H103" i="3"/>
  <c r="J103" i="3"/>
  <c r="K103" i="3"/>
  <c r="L103" i="3"/>
  <c r="M103" i="3"/>
  <c r="N103" i="3"/>
  <c r="I103" i="3" l="1"/>
  <c r="I102" i="3"/>
  <c r="P149" i="1"/>
  <c r="O103" i="3" s="1"/>
  <c r="P148" i="1"/>
  <c r="O102" i="3" l="1"/>
  <c r="L108" i="1"/>
  <c r="L85" i="1" s="1"/>
  <c r="L107" i="1"/>
  <c r="C282" i="3" l="1"/>
  <c r="C228" i="3" s="1"/>
  <c r="E287" i="3"/>
  <c r="E282" i="3" s="1"/>
  <c r="E228" i="3" s="1"/>
  <c r="F287" i="3"/>
  <c r="F282" i="3" s="1"/>
  <c r="F228" i="3" s="1"/>
  <c r="G287" i="3"/>
  <c r="G282" i="3" s="1"/>
  <c r="G228" i="3" s="1"/>
  <c r="H287" i="3"/>
  <c r="H282" i="3" s="1"/>
  <c r="H228" i="3" s="1"/>
  <c r="J287" i="3"/>
  <c r="J282" i="3" s="1"/>
  <c r="J228" i="3" s="1"/>
  <c r="K287" i="3"/>
  <c r="K282" i="3" s="1"/>
  <c r="K228" i="3" s="1"/>
  <c r="L287" i="3"/>
  <c r="L282" i="3" s="1"/>
  <c r="L228" i="3" s="1"/>
  <c r="M287" i="3"/>
  <c r="M282" i="3" s="1"/>
  <c r="M228" i="3" s="1"/>
  <c r="N287" i="3"/>
  <c r="N282" i="3" s="1"/>
  <c r="N228" i="3" s="1"/>
  <c r="D287" i="3"/>
  <c r="D282" i="3" s="1"/>
  <c r="D228" i="3" s="1"/>
  <c r="F386" i="1"/>
  <c r="G386" i="1"/>
  <c r="H386" i="1"/>
  <c r="I386" i="1"/>
  <c r="K386" i="1"/>
  <c r="L386" i="1"/>
  <c r="M386" i="1"/>
  <c r="N386" i="1"/>
  <c r="O386" i="1"/>
  <c r="E386" i="1"/>
  <c r="D386" i="1"/>
  <c r="J413" i="1"/>
  <c r="P413" i="1" s="1"/>
  <c r="O287" i="3" l="1"/>
  <c r="O282" i="3" s="1"/>
  <c r="O228" i="3" s="1"/>
  <c r="P386" i="1"/>
  <c r="J386" i="1"/>
  <c r="I287" i="3"/>
  <c r="I282" i="3" s="1"/>
  <c r="I228" i="3" s="1"/>
  <c r="H23" i="1"/>
  <c r="O455" i="1" l="1"/>
  <c r="K455" i="1"/>
  <c r="F453" i="1"/>
  <c r="E230" i="3" s="1"/>
  <c r="O296" i="1" l="1"/>
  <c r="K296" i="1"/>
  <c r="F296" i="1"/>
  <c r="H65" i="1" l="1"/>
  <c r="H17" i="1" s="1"/>
  <c r="L94" i="1" l="1"/>
  <c r="L77" i="1" s="1"/>
  <c r="E62" i="3" l="1"/>
  <c r="E31" i="3" s="1"/>
  <c r="F62" i="3"/>
  <c r="F31" i="3" s="1"/>
  <c r="G62" i="3"/>
  <c r="G31" i="3" s="1"/>
  <c r="H62" i="3"/>
  <c r="H31" i="3" s="1"/>
  <c r="J62" i="3"/>
  <c r="J31" i="3" s="1"/>
  <c r="K62" i="3"/>
  <c r="K31" i="3" s="1"/>
  <c r="L62" i="3"/>
  <c r="L31" i="3" s="1"/>
  <c r="M62" i="3"/>
  <c r="M31" i="3" s="1"/>
  <c r="N62" i="3"/>
  <c r="N31" i="3" s="1"/>
  <c r="E43" i="3"/>
  <c r="E37" i="3" s="1"/>
  <c r="F43" i="3"/>
  <c r="F37" i="3" s="1"/>
  <c r="G43" i="3"/>
  <c r="G37" i="3" s="1"/>
  <c r="H43" i="3"/>
  <c r="H37" i="3" s="1"/>
  <c r="J43" i="3"/>
  <c r="J37" i="3" s="1"/>
  <c r="K43" i="3"/>
  <c r="K37" i="3" s="1"/>
  <c r="L43" i="3"/>
  <c r="L37" i="3" s="1"/>
  <c r="M43" i="3"/>
  <c r="M37" i="3" s="1"/>
  <c r="N43" i="3"/>
  <c r="N37" i="3" s="1"/>
  <c r="D95" i="1"/>
  <c r="C44" i="3" s="1"/>
  <c r="O287" i="1" l="1"/>
  <c r="O282" i="1" s="1"/>
  <c r="K287" i="1"/>
  <c r="K282" i="1" s="1"/>
  <c r="C134" i="3" l="1"/>
  <c r="F223" i="1"/>
  <c r="F481" i="1" s="1"/>
  <c r="G223" i="1"/>
  <c r="G481" i="1" s="1"/>
  <c r="H223" i="1"/>
  <c r="H481" i="1" s="1"/>
  <c r="I223" i="1"/>
  <c r="I481" i="1" s="1"/>
  <c r="K223" i="1"/>
  <c r="K481" i="1" s="1"/>
  <c r="L223" i="1"/>
  <c r="L481" i="1" s="1"/>
  <c r="M223" i="1"/>
  <c r="M481" i="1" s="1"/>
  <c r="N223" i="1"/>
  <c r="N481" i="1" s="1"/>
  <c r="O223" i="1"/>
  <c r="O481" i="1" s="1"/>
  <c r="E160" i="3"/>
  <c r="E134" i="3" s="1"/>
  <c r="E342" i="3" s="1"/>
  <c r="F492" i="1" s="1"/>
  <c r="F160" i="3"/>
  <c r="F134" i="3" s="1"/>
  <c r="F342" i="3" s="1"/>
  <c r="G492" i="1" s="1"/>
  <c r="G160" i="3"/>
  <c r="G134" i="3" s="1"/>
  <c r="G342" i="3" s="1"/>
  <c r="H160" i="3"/>
  <c r="H134" i="3" s="1"/>
  <c r="H342" i="3" s="1"/>
  <c r="J160" i="3"/>
  <c r="J134" i="3" s="1"/>
  <c r="J342" i="3" s="1"/>
  <c r="K160" i="3"/>
  <c r="K134" i="3" s="1"/>
  <c r="K342" i="3" s="1"/>
  <c r="L160" i="3"/>
  <c r="L134" i="3" s="1"/>
  <c r="L342" i="3" s="1"/>
  <c r="M160" i="3"/>
  <c r="M134" i="3" s="1"/>
  <c r="M342" i="3" s="1"/>
  <c r="N160" i="3"/>
  <c r="N134" i="3" s="1"/>
  <c r="N342" i="3" s="1"/>
  <c r="J244" i="1"/>
  <c r="I160" i="3" s="1"/>
  <c r="I134" i="3" s="1"/>
  <c r="I342" i="3" s="1"/>
  <c r="E244" i="1"/>
  <c r="N492" i="1" l="1"/>
  <c r="O492" i="1"/>
  <c r="M492" i="1"/>
  <c r="K492" i="1"/>
  <c r="L492" i="1"/>
  <c r="I492" i="1"/>
  <c r="H492" i="1"/>
  <c r="P244" i="1"/>
  <c r="P223" i="1" s="1"/>
  <c r="P481" i="1" s="1"/>
  <c r="J223" i="1"/>
  <c r="J481" i="1" s="1"/>
  <c r="J492" i="1" s="1"/>
  <c r="D160" i="3"/>
  <c r="D134" i="3" s="1"/>
  <c r="D342" i="3" s="1"/>
  <c r="E223" i="1"/>
  <c r="E481" i="1" s="1"/>
  <c r="E492" i="1" l="1"/>
  <c r="O160" i="3"/>
  <c r="O134" i="3" s="1"/>
  <c r="O342" i="3" s="1"/>
  <c r="P492" i="1" s="1"/>
  <c r="F79" i="1" l="1"/>
  <c r="G79" i="1"/>
  <c r="H79" i="1"/>
  <c r="I79" i="1"/>
  <c r="K79" i="1"/>
  <c r="L79" i="1"/>
  <c r="M79" i="1"/>
  <c r="N79" i="1"/>
  <c r="O79" i="1"/>
  <c r="G263" i="1" l="1"/>
  <c r="H263" i="1"/>
  <c r="E262" i="3" l="1"/>
  <c r="F262" i="3"/>
  <c r="G262" i="3"/>
  <c r="H262" i="3"/>
  <c r="J262" i="3"/>
  <c r="K262" i="3"/>
  <c r="L262" i="3"/>
  <c r="M262" i="3"/>
  <c r="N262" i="3"/>
  <c r="E263" i="3"/>
  <c r="E234" i="3" s="1"/>
  <c r="E223" i="3" s="1"/>
  <c r="F263" i="3"/>
  <c r="F234" i="3" s="1"/>
  <c r="F223" i="3" s="1"/>
  <c r="G263" i="3"/>
  <c r="G234" i="3" s="1"/>
  <c r="G223" i="3" s="1"/>
  <c r="H263" i="3"/>
  <c r="H234" i="3" s="1"/>
  <c r="H223" i="3" s="1"/>
  <c r="J263" i="3"/>
  <c r="J234" i="3" s="1"/>
  <c r="J223" i="3" s="1"/>
  <c r="K263" i="3"/>
  <c r="K234" i="3" s="1"/>
  <c r="K223" i="3" s="1"/>
  <c r="L263" i="3"/>
  <c r="L234" i="3" s="1"/>
  <c r="L223" i="3" s="1"/>
  <c r="M263" i="3"/>
  <c r="M234" i="3" s="1"/>
  <c r="M223" i="3" s="1"/>
  <c r="N263" i="3"/>
  <c r="N234" i="3" s="1"/>
  <c r="N223" i="3" s="1"/>
  <c r="F305" i="1"/>
  <c r="G305" i="1"/>
  <c r="H305" i="1"/>
  <c r="I305" i="1"/>
  <c r="K305" i="1"/>
  <c r="L305" i="1"/>
  <c r="M305" i="1"/>
  <c r="N305" i="1"/>
  <c r="O305" i="1"/>
  <c r="J350" i="1"/>
  <c r="E350" i="1"/>
  <c r="E305" i="1" s="1"/>
  <c r="J349" i="1"/>
  <c r="E349" i="1"/>
  <c r="F91" i="1"/>
  <c r="G91" i="1"/>
  <c r="H91" i="1"/>
  <c r="I91" i="1"/>
  <c r="K91" i="1"/>
  <c r="L91" i="1"/>
  <c r="M91" i="1"/>
  <c r="N91" i="1"/>
  <c r="O91" i="1"/>
  <c r="J161" i="1"/>
  <c r="J91" i="1" s="1"/>
  <c r="E161" i="1"/>
  <c r="P161" i="1" s="1"/>
  <c r="P91" i="1" s="1"/>
  <c r="J160" i="1"/>
  <c r="E160" i="1"/>
  <c r="I263" i="3" l="1"/>
  <c r="I234" i="3" s="1"/>
  <c r="I223" i="3" s="1"/>
  <c r="P160" i="1"/>
  <c r="I262" i="3"/>
  <c r="J305" i="1"/>
  <c r="D262" i="3"/>
  <c r="D263" i="3"/>
  <c r="D234" i="3" s="1"/>
  <c r="D223" i="3" s="1"/>
  <c r="E91" i="1"/>
  <c r="P349" i="1"/>
  <c r="P350" i="1"/>
  <c r="O262" i="3" l="1"/>
  <c r="P305" i="1"/>
  <c r="O263" i="3"/>
  <c r="O234" i="3" s="1"/>
  <c r="O223" i="3" s="1"/>
  <c r="D327" i="1" l="1"/>
  <c r="E241" i="1" l="1"/>
  <c r="G77" i="1" l="1"/>
  <c r="H93" i="1"/>
  <c r="H77" i="1" s="1"/>
  <c r="I430" i="1"/>
  <c r="F430" i="1"/>
  <c r="J285" i="1" l="1"/>
  <c r="J113" i="1" l="1"/>
  <c r="I296" i="1" l="1"/>
  <c r="J477" i="1" l="1"/>
  <c r="E429" i="1" l="1"/>
  <c r="E23" i="1"/>
  <c r="J286" i="1" l="1"/>
  <c r="J31" i="1" l="1"/>
  <c r="F381" i="1" l="1"/>
  <c r="G381" i="1"/>
  <c r="H381" i="1"/>
  <c r="I381" i="1"/>
  <c r="K381" i="1"/>
  <c r="L381" i="1"/>
  <c r="M381" i="1"/>
  <c r="N381" i="1"/>
  <c r="O381" i="1"/>
  <c r="G273" i="1"/>
  <c r="H273" i="1"/>
  <c r="I273" i="1"/>
  <c r="L273" i="1"/>
  <c r="M273" i="1"/>
  <c r="N273" i="1"/>
  <c r="E213" i="3" l="1"/>
  <c r="F213" i="3"/>
  <c r="G213" i="3"/>
  <c r="H213" i="3"/>
  <c r="J213" i="3"/>
  <c r="K213" i="3"/>
  <c r="L213" i="3"/>
  <c r="M213" i="3"/>
  <c r="N213" i="3"/>
  <c r="E322" i="1" l="1"/>
  <c r="E323" i="1"/>
  <c r="E324" i="1"/>
  <c r="D213" i="3" l="1"/>
  <c r="F150" i="1"/>
  <c r="F77" i="1" s="1"/>
  <c r="F33" i="1" l="1"/>
  <c r="F235" i="1" l="1"/>
  <c r="F60" i="1"/>
  <c r="F290" i="1"/>
  <c r="F466" i="1"/>
  <c r="F62" i="1"/>
  <c r="F17" i="1" l="1"/>
  <c r="G282" i="1"/>
  <c r="F16" i="1" l="1"/>
  <c r="F18" i="1"/>
  <c r="G18" i="1"/>
  <c r="H18" i="1"/>
  <c r="I18" i="1"/>
  <c r="K18" i="1"/>
  <c r="L18" i="1"/>
  <c r="M18" i="1"/>
  <c r="N18" i="1"/>
  <c r="O18" i="1"/>
  <c r="E258" i="3"/>
  <c r="F258" i="3"/>
  <c r="G258" i="3"/>
  <c r="H258" i="3"/>
  <c r="J258" i="3"/>
  <c r="K258" i="3"/>
  <c r="L258" i="3"/>
  <c r="M258" i="3"/>
  <c r="N258" i="3"/>
  <c r="J331" i="1"/>
  <c r="J332" i="1"/>
  <c r="J333" i="1"/>
  <c r="J334" i="1"/>
  <c r="J335" i="1"/>
  <c r="J336" i="1"/>
  <c r="J337" i="1"/>
  <c r="J338" i="1"/>
  <c r="J339" i="1"/>
  <c r="J340" i="1"/>
  <c r="J341" i="1"/>
  <c r="J342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P342" i="1" l="1"/>
  <c r="O258" i="3" s="1"/>
  <c r="P338" i="1"/>
  <c r="P334" i="1"/>
  <c r="D258" i="3"/>
  <c r="P335" i="1"/>
  <c r="P341" i="1"/>
  <c r="P333" i="1"/>
  <c r="P339" i="1"/>
  <c r="P331" i="1"/>
  <c r="P337" i="1"/>
  <c r="P340" i="1"/>
  <c r="P332" i="1"/>
  <c r="I258" i="3"/>
  <c r="P336" i="1"/>
  <c r="F461" i="1" l="1"/>
  <c r="F282" i="1" l="1"/>
  <c r="J56" i="1" l="1"/>
  <c r="I281" i="1" l="1"/>
  <c r="E48" i="1"/>
  <c r="E49" i="1"/>
  <c r="E50" i="1"/>
  <c r="E51" i="1"/>
  <c r="D268" i="3" s="1"/>
  <c r="F277" i="1" l="1"/>
  <c r="F273" i="1" s="1"/>
  <c r="E210" i="3" l="1"/>
  <c r="F210" i="3"/>
  <c r="G210" i="3"/>
  <c r="H210" i="3"/>
  <c r="J210" i="3"/>
  <c r="K210" i="3"/>
  <c r="L210" i="3"/>
  <c r="M210" i="3"/>
  <c r="N210" i="3"/>
  <c r="I295" i="1"/>
  <c r="G295" i="1"/>
  <c r="H295" i="1"/>
  <c r="E158" i="3"/>
  <c r="F158" i="3"/>
  <c r="G158" i="3"/>
  <c r="H158" i="3"/>
  <c r="J158" i="3"/>
  <c r="K158" i="3"/>
  <c r="L158" i="3"/>
  <c r="M158" i="3"/>
  <c r="N158" i="3"/>
  <c r="F295" i="1" l="1"/>
  <c r="E319" i="1" l="1"/>
  <c r="J150" i="1" l="1"/>
  <c r="E150" i="1"/>
  <c r="P150" i="1" l="1"/>
  <c r="E466" i="1"/>
  <c r="H16" i="3"/>
  <c r="K16" i="3"/>
  <c r="L16" i="3"/>
  <c r="M16" i="3"/>
  <c r="E477" i="1"/>
  <c r="P477" i="1" l="1"/>
  <c r="E475" i="1"/>
  <c r="E474" i="1" s="1"/>
  <c r="F475" i="1"/>
  <c r="F474" i="1" s="1"/>
  <c r="G475" i="1"/>
  <c r="G474" i="1" s="1"/>
  <c r="H475" i="1"/>
  <c r="H474" i="1" s="1"/>
  <c r="I475" i="1"/>
  <c r="I474" i="1" s="1"/>
  <c r="J475" i="1"/>
  <c r="J474" i="1" s="1"/>
  <c r="K475" i="1"/>
  <c r="K474" i="1" s="1"/>
  <c r="L475" i="1"/>
  <c r="L474" i="1" s="1"/>
  <c r="M475" i="1"/>
  <c r="M474" i="1" s="1"/>
  <c r="N475" i="1"/>
  <c r="N474" i="1" s="1"/>
  <c r="O475" i="1"/>
  <c r="O474" i="1" s="1"/>
  <c r="P474" i="1" l="1"/>
  <c r="P475" i="1"/>
  <c r="F383" i="1"/>
  <c r="G383" i="1"/>
  <c r="H383" i="1"/>
  <c r="I383" i="1"/>
  <c r="K383" i="1"/>
  <c r="L383" i="1"/>
  <c r="M383" i="1"/>
  <c r="N383" i="1"/>
  <c r="O383" i="1"/>
  <c r="E93" i="1" l="1"/>
  <c r="E94" i="1"/>
  <c r="E95" i="1"/>
  <c r="E97" i="1"/>
  <c r="E99" i="1"/>
  <c r="E100" i="1"/>
  <c r="E101" i="1"/>
  <c r="E102" i="1"/>
  <c r="E103" i="1"/>
  <c r="E104" i="1"/>
  <c r="E105" i="1"/>
  <c r="E106" i="1"/>
  <c r="E107" i="1"/>
  <c r="E108" i="1"/>
  <c r="E85" i="1" s="1"/>
  <c r="E109" i="1"/>
  <c r="E79" i="1" s="1"/>
  <c r="E110" i="1"/>
  <c r="E111" i="1"/>
  <c r="E112" i="1"/>
  <c r="E113" i="1"/>
  <c r="E115" i="1"/>
  <c r="E116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88" i="1" s="1"/>
  <c r="E132" i="1"/>
  <c r="E133" i="1"/>
  <c r="E86" i="1" s="1"/>
  <c r="E134" i="1"/>
  <c r="E135" i="1"/>
  <c r="E87" i="1" s="1"/>
  <c r="E136" i="1"/>
  <c r="E143" i="1"/>
  <c r="E144" i="1"/>
  <c r="E145" i="1"/>
  <c r="E153" i="1"/>
  <c r="E154" i="1"/>
  <c r="E155" i="1"/>
  <c r="E156" i="1"/>
  <c r="E157" i="1"/>
  <c r="E158" i="1"/>
  <c r="E159" i="1"/>
  <c r="E162" i="1"/>
  <c r="E163" i="1"/>
  <c r="E164" i="1"/>
  <c r="E165" i="1"/>
  <c r="E166" i="1"/>
  <c r="E167" i="1"/>
  <c r="E168" i="1"/>
  <c r="E169" i="1"/>
  <c r="E92" i="1"/>
  <c r="D43" i="3" l="1"/>
  <c r="D37" i="3" s="1"/>
  <c r="D44" i="3"/>
  <c r="D62" i="3"/>
  <c r="D31" i="3" s="1"/>
  <c r="E291" i="3"/>
  <c r="F291" i="3"/>
  <c r="G291" i="3"/>
  <c r="H291" i="3"/>
  <c r="J291" i="3"/>
  <c r="K291" i="3"/>
  <c r="L291" i="3"/>
  <c r="N291" i="3"/>
  <c r="E284" i="1" l="1"/>
  <c r="E285" i="1"/>
  <c r="E286" i="1"/>
  <c r="E287" i="1"/>
  <c r="E289" i="1"/>
  <c r="E290" i="1"/>
  <c r="D347" i="1" l="1"/>
  <c r="C347" i="1"/>
  <c r="B347" i="1"/>
  <c r="E274" i="3"/>
  <c r="F274" i="3"/>
  <c r="G274" i="3"/>
  <c r="H274" i="3"/>
  <c r="J274" i="3"/>
  <c r="K274" i="3"/>
  <c r="L274" i="3"/>
  <c r="M274" i="3"/>
  <c r="N274" i="3"/>
  <c r="B346" i="1"/>
  <c r="E276" i="3" l="1"/>
  <c r="F276" i="3"/>
  <c r="G276" i="3"/>
  <c r="H276" i="3"/>
  <c r="J276" i="3"/>
  <c r="K276" i="3"/>
  <c r="L276" i="3"/>
  <c r="M276" i="3"/>
  <c r="N276" i="3"/>
  <c r="F297" i="1"/>
  <c r="G297" i="1"/>
  <c r="H297" i="1"/>
  <c r="I297" i="1"/>
  <c r="K297" i="1"/>
  <c r="L297" i="1"/>
  <c r="M297" i="1"/>
  <c r="N297" i="1"/>
  <c r="O297" i="1"/>
  <c r="E347" i="1"/>
  <c r="E348" i="1"/>
  <c r="J297" i="1" l="1"/>
  <c r="I276" i="3"/>
  <c r="I265" i="3" s="1"/>
  <c r="D276" i="3"/>
  <c r="P348" i="1"/>
  <c r="O276" i="3" s="1"/>
  <c r="E297" i="1"/>
  <c r="P297" i="1" l="1"/>
  <c r="E346" i="1"/>
  <c r="E345" i="1"/>
  <c r="C346" i="1"/>
  <c r="D346" i="1"/>
  <c r="I274" i="3" l="1"/>
  <c r="D274" i="3"/>
  <c r="P346" i="1"/>
  <c r="O274" i="3" l="1"/>
  <c r="J163" i="1"/>
  <c r="D261" i="1" l="1"/>
  <c r="J395" i="1" l="1"/>
  <c r="E99" i="3"/>
  <c r="F99" i="3"/>
  <c r="G99" i="3"/>
  <c r="H99" i="3"/>
  <c r="J99" i="3"/>
  <c r="K99" i="3"/>
  <c r="L99" i="3"/>
  <c r="M99" i="3"/>
  <c r="N99" i="3"/>
  <c r="E98" i="3"/>
  <c r="F98" i="3"/>
  <c r="G98" i="3"/>
  <c r="H98" i="3"/>
  <c r="J98" i="3"/>
  <c r="K98" i="3"/>
  <c r="L98" i="3"/>
  <c r="M98" i="3"/>
  <c r="N98" i="3"/>
  <c r="E97" i="3"/>
  <c r="F97" i="3"/>
  <c r="G97" i="3"/>
  <c r="H97" i="3"/>
  <c r="J97" i="3"/>
  <c r="K97" i="3"/>
  <c r="L97" i="3"/>
  <c r="M97" i="3"/>
  <c r="N97" i="3"/>
  <c r="J389" i="1"/>
  <c r="J390" i="1"/>
  <c r="J391" i="1"/>
  <c r="J392" i="1"/>
  <c r="J393" i="1"/>
  <c r="J394" i="1"/>
  <c r="E389" i="1"/>
  <c r="E390" i="1"/>
  <c r="E391" i="1"/>
  <c r="E392" i="1"/>
  <c r="E393" i="1"/>
  <c r="E394" i="1"/>
  <c r="E395" i="1"/>
  <c r="E396" i="1"/>
  <c r="J383" i="1" l="1"/>
  <c r="D99" i="3"/>
  <c r="E383" i="1"/>
  <c r="D98" i="3"/>
  <c r="D97" i="3"/>
  <c r="P389" i="1"/>
  <c r="P392" i="1"/>
  <c r="P391" i="1"/>
  <c r="P390" i="1"/>
  <c r="P393" i="1"/>
  <c r="P395" i="1"/>
  <c r="P383" i="1" s="1"/>
  <c r="P394" i="1"/>
  <c r="J132" i="3" l="1"/>
  <c r="K132" i="3"/>
  <c r="L132" i="3"/>
  <c r="M132" i="3"/>
  <c r="N132" i="3"/>
  <c r="E38" i="3"/>
  <c r="F38" i="3"/>
  <c r="G38" i="3"/>
  <c r="H38" i="3"/>
  <c r="J38" i="3"/>
  <c r="K38" i="3"/>
  <c r="L38" i="3"/>
  <c r="M38" i="3"/>
  <c r="N38" i="3"/>
  <c r="D38" i="3"/>
  <c r="J133" i="1"/>
  <c r="J86" i="1" s="1"/>
  <c r="J134" i="1"/>
  <c r="J135" i="1"/>
  <c r="J87" i="1" s="1"/>
  <c r="J136" i="1"/>
  <c r="J143" i="1"/>
  <c r="J144" i="1"/>
  <c r="J145" i="1"/>
  <c r="J153" i="1"/>
  <c r="P143" i="1" l="1"/>
  <c r="I97" i="3"/>
  <c r="P145" i="1"/>
  <c r="I99" i="3"/>
  <c r="I38" i="3" s="1"/>
  <c r="P144" i="1"/>
  <c r="I98" i="3"/>
  <c r="O98" i="3" l="1"/>
  <c r="O97" i="3"/>
  <c r="O99" i="3"/>
  <c r="O38" i="3" s="1"/>
  <c r="O304" i="1" l="1"/>
  <c r="N304" i="1"/>
  <c r="M304" i="1"/>
  <c r="L304" i="1"/>
  <c r="K304" i="1"/>
  <c r="I304" i="1"/>
  <c r="H304" i="1"/>
  <c r="G304" i="1"/>
  <c r="F304" i="1"/>
  <c r="C222" i="3"/>
  <c r="N261" i="3"/>
  <c r="N222" i="3" s="1"/>
  <c r="M261" i="3"/>
  <c r="M222" i="3" s="1"/>
  <c r="L261" i="3"/>
  <c r="L222" i="3" s="1"/>
  <c r="K261" i="3"/>
  <c r="K222" i="3" s="1"/>
  <c r="J261" i="3"/>
  <c r="J222" i="3" s="1"/>
  <c r="H261" i="3"/>
  <c r="H222" i="3" s="1"/>
  <c r="G261" i="3"/>
  <c r="G222" i="3" s="1"/>
  <c r="F261" i="3"/>
  <c r="F222" i="3" s="1"/>
  <c r="E261" i="3"/>
  <c r="E222" i="3" s="1"/>
  <c r="D261" i="3"/>
  <c r="D222" i="3" s="1"/>
  <c r="D345" i="1"/>
  <c r="D304" i="1" s="1"/>
  <c r="D344" i="1"/>
  <c r="N260" i="3"/>
  <c r="M260" i="3"/>
  <c r="L260" i="3"/>
  <c r="K260" i="3"/>
  <c r="J260" i="3"/>
  <c r="H260" i="3"/>
  <c r="G260" i="3"/>
  <c r="F260" i="3"/>
  <c r="E260" i="3"/>
  <c r="E344" i="1"/>
  <c r="D260" i="3" l="1"/>
  <c r="J304" i="1"/>
  <c r="P345" i="1"/>
  <c r="E304" i="1"/>
  <c r="I261" i="3"/>
  <c r="I222" i="3" s="1"/>
  <c r="I260" i="3"/>
  <c r="P344" i="1"/>
  <c r="O261" i="3" l="1"/>
  <c r="O222" i="3" s="1"/>
  <c r="O260" i="3"/>
  <c r="P304" i="1"/>
  <c r="C221" i="3" l="1"/>
  <c r="E238" i="3" l="1"/>
  <c r="F238" i="3"/>
  <c r="G238" i="3"/>
  <c r="H238" i="3"/>
  <c r="J238" i="3"/>
  <c r="K238" i="3"/>
  <c r="L238" i="3"/>
  <c r="M238" i="3"/>
  <c r="N238" i="3"/>
  <c r="C238" i="3"/>
  <c r="F303" i="1"/>
  <c r="G303" i="1"/>
  <c r="H303" i="1"/>
  <c r="I303" i="1"/>
  <c r="K303" i="1"/>
  <c r="L303" i="1"/>
  <c r="M303" i="1"/>
  <c r="N303" i="1"/>
  <c r="O303" i="1"/>
  <c r="E327" i="1"/>
  <c r="E328" i="1"/>
  <c r="J328" i="1"/>
  <c r="F221" i="3" l="1"/>
  <c r="J221" i="3"/>
  <c r="N221" i="3"/>
  <c r="E221" i="3"/>
  <c r="M221" i="3"/>
  <c r="D238" i="3"/>
  <c r="L221" i="3"/>
  <c r="G221" i="3"/>
  <c r="K221" i="3"/>
  <c r="H221" i="3"/>
  <c r="P328" i="1"/>
  <c r="J303" i="1"/>
  <c r="I238" i="3"/>
  <c r="E303" i="1"/>
  <c r="D221" i="3" l="1"/>
  <c r="I221" i="3"/>
  <c r="O238" i="3"/>
  <c r="P303" i="1"/>
  <c r="O221" i="3" l="1"/>
  <c r="E227" i="3" l="1"/>
  <c r="E346" i="3" s="1"/>
  <c r="F496" i="1" s="1"/>
  <c r="F227" i="3"/>
  <c r="F346" i="3" s="1"/>
  <c r="G496" i="1" s="1"/>
  <c r="G227" i="3"/>
  <c r="G346" i="3" s="1"/>
  <c r="H496" i="1" s="1"/>
  <c r="H227" i="3"/>
  <c r="H346" i="3" s="1"/>
  <c r="I496" i="1" s="1"/>
  <c r="J227" i="3"/>
  <c r="J346" i="3" s="1"/>
  <c r="K496" i="1" s="1"/>
  <c r="K227" i="3"/>
  <c r="K346" i="3" s="1"/>
  <c r="L496" i="1" s="1"/>
  <c r="L227" i="3"/>
  <c r="L346" i="3" s="1"/>
  <c r="M496" i="1" s="1"/>
  <c r="M227" i="3"/>
  <c r="M346" i="3" s="1"/>
  <c r="N496" i="1" s="1"/>
  <c r="J167" i="1" l="1"/>
  <c r="J166" i="1"/>
  <c r="C166" i="1"/>
  <c r="D166" i="1"/>
  <c r="B166" i="1"/>
  <c r="P167" i="1" l="1"/>
  <c r="P166" i="1"/>
  <c r="J330" i="1" l="1"/>
  <c r="E316" i="3" l="1"/>
  <c r="F316" i="3"/>
  <c r="H316" i="3"/>
  <c r="J316" i="3"/>
  <c r="K316" i="3"/>
  <c r="L316" i="3"/>
  <c r="M316" i="3"/>
  <c r="N316" i="3"/>
  <c r="J164" i="1"/>
  <c r="J165" i="1"/>
  <c r="J168" i="1"/>
  <c r="C168" i="1"/>
  <c r="P168" i="1" l="1"/>
  <c r="J354" i="1"/>
  <c r="J329" i="1"/>
  <c r="J278" i="3"/>
  <c r="K278" i="3"/>
  <c r="L278" i="3"/>
  <c r="M278" i="3"/>
  <c r="N278" i="3"/>
  <c r="E319" i="3" l="1"/>
  <c r="F319" i="3"/>
  <c r="G319" i="3"/>
  <c r="H319" i="3"/>
  <c r="J319" i="3"/>
  <c r="K319" i="3"/>
  <c r="L319" i="3"/>
  <c r="M319" i="3"/>
  <c r="N319" i="3"/>
  <c r="J365" i="1"/>
  <c r="E365" i="1"/>
  <c r="F320" i="3"/>
  <c r="G320" i="3"/>
  <c r="H320" i="3"/>
  <c r="J320" i="3"/>
  <c r="K320" i="3"/>
  <c r="L320" i="3"/>
  <c r="M320" i="3"/>
  <c r="N320" i="3"/>
  <c r="E354" i="1"/>
  <c r="J322" i="1"/>
  <c r="J323" i="1"/>
  <c r="J324" i="1"/>
  <c r="F296" i="3"/>
  <c r="G296" i="3"/>
  <c r="H296" i="3"/>
  <c r="K296" i="3"/>
  <c r="L296" i="3"/>
  <c r="M296" i="3"/>
  <c r="P165" i="1"/>
  <c r="C165" i="1"/>
  <c r="D165" i="1"/>
  <c r="B165" i="1"/>
  <c r="I213" i="3" l="1"/>
  <c r="D319" i="3"/>
  <c r="I319" i="3"/>
  <c r="P354" i="1"/>
  <c r="P323" i="1"/>
  <c r="P322" i="1"/>
  <c r="P324" i="1"/>
  <c r="O213" i="3" s="1"/>
  <c r="P365" i="1"/>
  <c r="P164" i="1"/>
  <c r="E75" i="1"/>
  <c r="E364" i="1"/>
  <c r="O319" i="3" l="1"/>
  <c r="J360" i="1"/>
  <c r="J364" i="1"/>
  <c r="J363" i="1"/>
  <c r="E366" i="1"/>
  <c r="E367" i="1"/>
  <c r="E368" i="1"/>
  <c r="E369" i="1"/>
  <c r="E370" i="1"/>
  <c r="E363" i="1"/>
  <c r="C364" i="1"/>
  <c r="G316" i="3"/>
  <c r="P364" i="1" l="1"/>
  <c r="P363" i="1"/>
  <c r="F284" i="3"/>
  <c r="G284" i="3"/>
  <c r="K284" i="3"/>
  <c r="L284" i="3"/>
  <c r="M284" i="3"/>
  <c r="C430" i="1"/>
  <c r="D430" i="1"/>
  <c r="B430" i="1"/>
  <c r="C429" i="1"/>
  <c r="B429" i="1"/>
  <c r="I379" i="1"/>
  <c r="H284" i="3" s="1"/>
  <c r="F379" i="1"/>
  <c r="E284" i="3" s="1"/>
  <c r="H378" i="1"/>
  <c r="G378" i="1"/>
  <c r="F378" i="1"/>
  <c r="O430" i="1"/>
  <c r="K430" i="1"/>
  <c r="E430" i="1"/>
  <c r="O429" i="1"/>
  <c r="K429" i="1"/>
  <c r="N428" i="1"/>
  <c r="N427" i="1" s="1"/>
  <c r="M428" i="1"/>
  <c r="M427" i="1" s="1"/>
  <c r="L428" i="1"/>
  <c r="L427" i="1" s="1"/>
  <c r="I428" i="1"/>
  <c r="I427" i="1" s="1"/>
  <c r="H428" i="1"/>
  <c r="H427" i="1" s="1"/>
  <c r="G428" i="1"/>
  <c r="G427" i="1" s="1"/>
  <c r="F428" i="1"/>
  <c r="F427" i="1" s="1"/>
  <c r="J429" i="1" l="1"/>
  <c r="J430" i="1"/>
  <c r="K428" i="1"/>
  <c r="K427" i="1" s="1"/>
  <c r="E428" i="1"/>
  <c r="E427" i="1" s="1"/>
  <c r="O428" i="1"/>
  <c r="O427" i="1" s="1"/>
  <c r="P429" i="1" l="1"/>
  <c r="P430" i="1"/>
  <c r="J428" i="1"/>
  <c r="J427" i="1" s="1"/>
  <c r="E189" i="1"/>
  <c r="P428" i="1" l="1"/>
  <c r="P427" i="1" s="1"/>
  <c r="E472" i="1"/>
  <c r="H433" i="1" l="1"/>
  <c r="G16" i="3" s="1"/>
  <c r="G433" i="1"/>
  <c r="F16" i="3" s="1"/>
  <c r="F433" i="1"/>
  <c r="E16" i="3" s="1"/>
  <c r="E320" i="3"/>
  <c r="D100" i="1" l="1"/>
  <c r="D216" i="1" l="1"/>
  <c r="D189" i="1"/>
  <c r="D94" i="1"/>
  <c r="D59" i="1"/>
  <c r="E217" i="1" l="1"/>
  <c r="D227" i="3" l="1"/>
  <c r="D346" i="3" s="1"/>
  <c r="E496" i="1" s="1"/>
  <c r="N227" i="3"/>
  <c r="N346" i="3" s="1"/>
  <c r="O496" i="1" s="1"/>
  <c r="J217" i="1"/>
  <c r="I227" i="3" l="1"/>
  <c r="I346" i="3" s="1"/>
  <c r="J496" i="1" s="1"/>
  <c r="P217" i="1"/>
  <c r="O227" i="3" s="1"/>
  <c r="O346" i="3" s="1"/>
  <c r="P496" i="1" s="1"/>
  <c r="C379" i="1" l="1"/>
  <c r="D379" i="1"/>
  <c r="B379" i="1"/>
  <c r="F377" i="1"/>
  <c r="G377" i="1"/>
  <c r="H377" i="1"/>
  <c r="I377" i="1"/>
  <c r="L377" i="1"/>
  <c r="M377" i="1"/>
  <c r="N377" i="1"/>
  <c r="O379" i="1"/>
  <c r="J379" i="1" s="1"/>
  <c r="K379" i="1"/>
  <c r="E379" i="1"/>
  <c r="P379" i="1" l="1"/>
  <c r="J366" i="1" l="1"/>
  <c r="C58" i="1" l="1"/>
  <c r="B58" i="1"/>
  <c r="F285" i="3"/>
  <c r="G285" i="3"/>
  <c r="H285" i="3"/>
  <c r="J285" i="3"/>
  <c r="K285" i="3"/>
  <c r="L285" i="3"/>
  <c r="M285" i="3"/>
  <c r="N285" i="3"/>
  <c r="J58" i="1" l="1"/>
  <c r="E58" i="1"/>
  <c r="E463" i="1"/>
  <c r="P58" i="1" l="1"/>
  <c r="J467" i="1" l="1"/>
  <c r="E467" i="1"/>
  <c r="P467" i="1" l="1"/>
  <c r="E290" i="3" l="1"/>
  <c r="F290" i="3"/>
  <c r="G290" i="3"/>
  <c r="H290" i="3"/>
  <c r="K290" i="3"/>
  <c r="L290" i="3"/>
  <c r="M290" i="3"/>
  <c r="E289" i="3"/>
  <c r="F289" i="3"/>
  <c r="G289" i="3"/>
  <c r="H289" i="3"/>
  <c r="K289" i="3"/>
  <c r="L289" i="3"/>
  <c r="M289" i="3"/>
  <c r="E257" i="3"/>
  <c r="F257" i="3"/>
  <c r="G257" i="3"/>
  <c r="H257" i="3"/>
  <c r="K257" i="3"/>
  <c r="L257" i="3"/>
  <c r="M257" i="3"/>
  <c r="E249" i="3"/>
  <c r="F249" i="3"/>
  <c r="G249" i="3"/>
  <c r="H249" i="3"/>
  <c r="K249" i="3"/>
  <c r="L249" i="3"/>
  <c r="M249" i="3"/>
  <c r="E217" i="3"/>
  <c r="F217" i="3"/>
  <c r="G217" i="3"/>
  <c r="H217" i="3"/>
  <c r="K217" i="3"/>
  <c r="L217" i="3"/>
  <c r="M217" i="3"/>
  <c r="C456" i="1"/>
  <c r="D456" i="1"/>
  <c r="C457" i="1"/>
  <c r="D457" i="1"/>
  <c r="C458" i="1"/>
  <c r="D458" i="1"/>
  <c r="C459" i="1"/>
  <c r="D459" i="1"/>
  <c r="B459" i="1"/>
  <c r="B458" i="1"/>
  <c r="B457" i="1"/>
  <c r="B456" i="1"/>
  <c r="C455" i="1"/>
  <c r="D455" i="1"/>
  <c r="B455" i="1"/>
  <c r="C454" i="1"/>
  <c r="D454" i="1"/>
  <c r="B454" i="1"/>
  <c r="C453" i="1"/>
  <c r="D453" i="1"/>
  <c r="B453" i="1"/>
  <c r="C452" i="1"/>
  <c r="D452" i="1"/>
  <c r="B452" i="1"/>
  <c r="F450" i="1"/>
  <c r="F449" i="1" s="1"/>
  <c r="G450" i="1"/>
  <c r="G449" i="1" s="1"/>
  <c r="H450" i="1"/>
  <c r="H449" i="1" s="1"/>
  <c r="I450" i="1"/>
  <c r="I449" i="1" s="1"/>
  <c r="L450" i="1"/>
  <c r="L449" i="1" s="1"/>
  <c r="M450" i="1"/>
  <c r="M449" i="1" s="1"/>
  <c r="N450" i="1"/>
  <c r="N449" i="1" s="1"/>
  <c r="N296" i="3"/>
  <c r="J296" i="3"/>
  <c r="E459" i="1"/>
  <c r="J458" i="1"/>
  <c r="J290" i="3"/>
  <c r="E458" i="1"/>
  <c r="J457" i="1"/>
  <c r="J289" i="3"/>
  <c r="E457" i="1"/>
  <c r="N284" i="3"/>
  <c r="J284" i="3"/>
  <c r="E456" i="1"/>
  <c r="N257" i="3"/>
  <c r="J257" i="3"/>
  <c r="E455" i="1"/>
  <c r="J454" i="1"/>
  <c r="J249" i="3"/>
  <c r="E454" i="1"/>
  <c r="J453" i="1"/>
  <c r="E453" i="1"/>
  <c r="J452" i="1"/>
  <c r="J217" i="3"/>
  <c r="E452" i="1"/>
  <c r="C447" i="1"/>
  <c r="B447" i="1"/>
  <c r="C446" i="1"/>
  <c r="B446" i="1"/>
  <c r="C445" i="1"/>
  <c r="B445" i="1"/>
  <c r="C444" i="1"/>
  <c r="B444" i="1"/>
  <c r="C443" i="1"/>
  <c r="B443" i="1"/>
  <c r="C451" i="1"/>
  <c r="B451" i="1"/>
  <c r="C442" i="1"/>
  <c r="B442" i="1"/>
  <c r="C378" i="1"/>
  <c r="B378" i="1"/>
  <c r="D446" i="1"/>
  <c r="D445" i="1"/>
  <c r="D444" i="1"/>
  <c r="D443" i="1"/>
  <c r="E451" i="1"/>
  <c r="J447" i="1"/>
  <c r="E447" i="1"/>
  <c r="J446" i="1"/>
  <c r="E446" i="1"/>
  <c r="J445" i="1"/>
  <c r="E445" i="1"/>
  <c r="J444" i="1"/>
  <c r="E444" i="1"/>
  <c r="J443" i="1"/>
  <c r="E443" i="1"/>
  <c r="J442" i="1"/>
  <c r="E442" i="1"/>
  <c r="O440" i="1"/>
  <c r="O439" i="1" s="1"/>
  <c r="N440" i="1"/>
  <c r="N439" i="1" s="1"/>
  <c r="M440" i="1"/>
  <c r="M439" i="1" s="1"/>
  <c r="L440" i="1"/>
  <c r="L439" i="1" s="1"/>
  <c r="K440" i="1"/>
  <c r="K439" i="1" s="1"/>
  <c r="I440" i="1"/>
  <c r="I439" i="1" s="1"/>
  <c r="H440" i="1"/>
  <c r="H439" i="1" s="1"/>
  <c r="G440" i="1"/>
  <c r="G439" i="1" s="1"/>
  <c r="F440" i="1"/>
  <c r="F439" i="1" s="1"/>
  <c r="D378" i="1"/>
  <c r="O378" i="1"/>
  <c r="O377" i="1" s="1"/>
  <c r="O376" i="1" s="1"/>
  <c r="K378" i="1"/>
  <c r="K377" i="1" s="1"/>
  <c r="K376" i="1" s="1"/>
  <c r="E378" i="1"/>
  <c r="E377" i="1" s="1"/>
  <c r="M376" i="1"/>
  <c r="L376" i="1"/>
  <c r="I376" i="1"/>
  <c r="H376" i="1"/>
  <c r="G376" i="1"/>
  <c r="F376" i="1"/>
  <c r="N376" i="1"/>
  <c r="J378" i="1" l="1"/>
  <c r="J377" i="1" s="1"/>
  <c r="J376" i="1" s="1"/>
  <c r="J440" i="1"/>
  <c r="J439" i="1" s="1"/>
  <c r="O450" i="1"/>
  <c r="O449" i="1" s="1"/>
  <c r="J456" i="1"/>
  <c r="K450" i="1"/>
  <c r="K449" i="1" s="1"/>
  <c r="N217" i="3"/>
  <c r="N289" i="3"/>
  <c r="J451" i="1"/>
  <c r="N249" i="3"/>
  <c r="N290" i="3"/>
  <c r="J455" i="1"/>
  <c r="J459" i="1"/>
  <c r="P452" i="1"/>
  <c r="P453" i="1"/>
  <c r="P454" i="1"/>
  <c r="P457" i="1"/>
  <c r="P458" i="1"/>
  <c r="E450" i="1"/>
  <c r="E449" i="1" s="1"/>
  <c r="P443" i="1"/>
  <c r="P445" i="1"/>
  <c r="P447" i="1"/>
  <c r="E440" i="1"/>
  <c r="E439" i="1" s="1"/>
  <c r="P442" i="1"/>
  <c r="P444" i="1"/>
  <c r="P446" i="1"/>
  <c r="E376" i="1"/>
  <c r="P378" i="1" l="1"/>
  <c r="P377" i="1" s="1"/>
  <c r="P376" i="1" s="1"/>
  <c r="P459" i="1"/>
  <c r="P451" i="1"/>
  <c r="P456" i="1"/>
  <c r="P455" i="1"/>
  <c r="J450" i="1"/>
  <c r="J449" i="1" s="1"/>
  <c r="P440" i="1"/>
  <c r="P439" i="1" s="1"/>
  <c r="P450" i="1" l="1"/>
  <c r="P449" i="1" s="1"/>
  <c r="E285" i="3"/>
  <c r="E296" i="3" l="1"/>
  <c r="G208" i="3" l="1"/>
  <c r="H208" i="3"/>
  <c r="J208" i="3"/>
  <c r="K208" i="3"/>
  <c r="L208" i="3"/>
  <c r="M208" i="3"/>
  <c r="N208" i="3"/>
  <c r="J316" i="1"/>
  <c r="J317" i="1"/>
  <c r="J318" i="1"/>
  <c r="I208" i="3" l="1"/>
  <c r="K295" i="1"/>
  <c r="L295" i="1"/>
  <c r="M295" i="1"/>
  <c r="O295" i="1"/>
  <c r="D316" i="1" l="1"/>
  <c r="E116" i="3" l="1"/>
  <c r="F116" i="3"/>
  <c r="G116" i="3"/>
  <c r="H116" i="3"/>
  <c r="J116" i="3"/>
  <c r="K116" i="3"/>
  <c r="L116" i="3"/>
  <c r="M116" i="3"/>
  <c r="N116" i="3"/>
  <c r="O176" i="1" l="1"/>
  <c r="N176" i="1"/>
  <c r="M176" i="1"/>
  <c r="L176" i="1"/>
  <c r="K176" i="1"/>
  <c r="I176" i="1"/>
  <c r="H176" i="1"/>
  <c r="G176" i="1"/>
  <c r="F176" i="1"/>
  <c r="E176" i="1"/>
  <c r="O90" i="1"/>
  <c r="N90" i="1"/>
  <c r="M90" i="1"/>
  <c r="L90" i="1"/>
  <c r="K90" i="1"/>
  <c r="I90" i="1"/>
  <c r="H90" i="1"/>
  <c r="G90" i="1"/>
  <c r="F90" i="1"/>
  <c r="C65" i="3"/>
  <c r="J95" i="1"/>
  <c r="I43" i="3" l="1"/>
  <c r="I37" i="3" s="1"/>
  <c r="I44" i="3"/>
  <c r="P95" i="1"/>
  <c r="O44" i="3" s="1"/>
  <c r="J176" i="1"/>
  <c r="O43" i="3" l="1"/>
  <c r="O37" i="3" s="1"/>
  <c r="P176" i="1"/>
  <c r="E270" i="1"/>
  <c r="E195" i="1" l="1"/>
  <c r="J195" i="1"/>
  <c r="I116" i="3" l="1"/>
  <c r="D116" i="3"/>
  <c r="J162" i="1"/>
  <c r="P162" i="1" l="1"/>
  <c r="J367" i="1"/>
  <c r="P367" i="1" l="1"/>
  <c r="H220" i="1" l="1"/>
  <c r="I220" i="1"/>
  <c r="L220" i="1"/>
  <c r="M220" i="1"/>
  <c r="N220" i="1"/>
  <c r="F222" i="1"/>
  <c r="F483" i="1" s="1"/>
  <c r="G222" i="1"/>
  <c r="G483" i="1" s="1"/>
  <c r="H222" i="1"/>
  <c r="H483" i="1" s="1"/>
  <c r="I222" i="1"/>
  <c r="I483" i="1" s="1"/>
  <c r="K222" i="1"/>
  <c r="K483" i="1" s="1"/>
  <c r="L222" i="1"/>
  <c r="L483" i="1" s="1"/>
  <c r="M222" i="1"/>
  <c r="M483" i="1" s="1"/>
  <c r="N222" i="1"/>
  <c r="N483" i="1" s="1"/>
  <c r="O222" i="1"/>
  <c r="O483" i="1" s="1"/>
  <c r="C269" i="1"/>
  <c r="D269" i="1"/>
  <c r="B269" i="1"/>
  <c r="C372" i="1"/>
  <c r="D372" i="1"/>
  <c r="B372" i="1"/>
  <c r="F339" i="3"/>
  <c r="G339" i="3"/>
  <c r="H339" i="3"/>
  <c r="J339" i="3"/>
  <c r="K339" i="3"/>
  <c r="L339" i="3"/>
  <c r="M339" i="3"/>
  <c r="N339" i="3"/>
  <c r="J372" i="1"/>
  <c r="E372" i="1"/>
  <c r="J269" i="1"/>
  <c r="E269" i="1"/>
  <c r="E339" i="3"/>
  <c r="F132" i="3" l="1"/>
  <c r="E132" i="3"/>
  <c r="H132" i="3"/>
  <c r="G132" i="3"/>
  <c r="P269" i="1"/>
  <c r="P372" i="1"/>
  <c r="C316" i="1" l="1"/>
  <c r="B316" i="1"/>
  <c r="E207" i="3"/>
  <c r="F207" i="3"/>
  <c r="G207" i="3"/>
  <c r="H207" i="3"/>
  <c r="J207" i="3"/>
  <c r="K207" i="3"/>
  <c r="L207" i="3"/>
  <c r="M207" i="3"/>
  <c r="N207" i="3"/>
  <c r="I207" i="3"/>
  <c r="E316" i="1"/>
  <c r="P316" i="1" l="1"/>
  <c r="O207" i="3" s="1"/>
  <c r="D207" i="3"/>
  <c r="C70" i="1" l="1"/>
  <c r="B70" i="1"/>
  <c r="J70" i="1"/>
  <c r="E70" i="1"/>
  <c r="J368" i="1"/>
  <c r="I316" i="3" l="1"/>
  <c r="D316" i="3"/>
  <c r="P70" i="1"/>
  <c r="O316" i="3" s="1"/>
  <c r="P368" i="1"/>
  <c r="E219" i="1" l="1"/>
  <c r="J270" i="1"/>
  <c r="P270" i="1" s="1"/>
  <c r="J219" i="1"/>
  <c r="P219" i="1" l="1"/>
  <c r="P195" i="1"/>
  <c r="O116" i="3" l="1"/>
  <c r="N110" i="3" l="1"/>
  <c r="M110" i="3"/>
  <c r="L110" i="3"/>
  <c r="K110" i="3"/>
  <c r="J110" i="3"/>
  <c r="H110" i="3"/>
  <c r="G110" i="3"/>
  <c r="F110" i="3"/>
  <c r="I380" i="1"/>
  <c r="J212" i="3" l="1"/>
  <c r="N50" i="3"/>
  <c r="M50" i="3"/>
  <c r="L50" i="3"/>
  <c r="K50" i="3"/>
  <c r="J50" i="3"/>
  <c r="H50" i="3"/>
  <c r="G50" i="3"/>
  <c r="N41" i="3"/>
  <c r="M41" i="3"/>
  <c r="L41" i="3"/>
  <c r="K41" i="3"/>
  <c r="J41" i="3"/>
  <c r="H41" i="3"/>
  <c r="G220" i="1" l="1"/>
  <c r="N337" i="3" l="1"/>
  <c r="M337" i="3"/>
  <c r="L337" i="3"/>
  <c r="K337" i="3"/>
  <c r="J337" i="3"/>
  <c r="H337" i="3"/>
  <c r="G337" i="3"/>
  <c r="F337" i="3"/>
  <c r="E337" i="3"/>
  <c r="J370" i="1"/>
  <c r="D337" i="3"/>
  <c r="I337" i="3" l="1"/>
  <c r="P370" i="1"/>
  <c r="O337" i="3" l="1"/>
  <c r="M39" i="3"/>
  <c r="L39" i="3"/>
  <c r="K39" i="3"/>
  <c r="H39" i="3"/>
  <c r="E39" i="3"/>
  <c r="E41" i="3" l="1"/>
  <c r="N39" i="3"/>
  <c r="J39" i="3"/>
  <c r="J388" i="1"/>
  <c r="E388" i="1"/>
  <c r="E110" i="3" l="1"/>
  <c r="P388" i="1"/>
  <c r="F41" i="3" l="1"/>
  <c r="F39" i="3" l="1"/>
  <c r="G41" i="3" l="1"/>
  <c r="F50" i="3" l="1"/>
  <c r="E50" i="3"/>
  <c r="F220" i="1" l="1"/>
  <c r="G39" i="3" l="1"/>
  <c r="E68" i="3" l="1"/>
  <c r="F68" i="3"/>
  <c r="G68" i="3"/>
  <c r="H68" i="3"/>
  <c r="J68" i="3"/>
  <c r="K68" i="3"/>
  <c r="L68" i="3"/>
  <c r="M68" i="3"/>
  <c r="N68" i="3"/>
  <c r="E70" i="3"/>
  <c r="F70" i="3"/>
  <c r="G70" i="3"/>
  <c r="H70" i="3"/>
  <c r="J70" i="3"/>
  <c r="K70" i="3"/>
  <c r="L70" i="3"/>
  <c r="M70" i="3"/>
  <c r="N70" i="3"/>
  <c r="E71" i="3"/>
  <c r="F71" i="3"/>
  <c r="G71" i="3"/>
  <c r="H71" i="3"/>
  <c r="J71" i="3"/>
  <c r="K71" i="3"/>
  <c r="L71" i="3"/>
  <c r="M71" i="3"/>
  <c r="N71" i="3"/>
  <c r="F78" i="1"/>
  <c r="G78" i="1"/>
  <c r="H78" i="1"/>
  <c r="I78" i="1"/>
  <c r="K78" i="1"/>
  <c r="L78" i="1"/>
  <c r="M78" i="1"/>
  <c r="N78" i="1"/>
  <c r="O78" i="1"/>
  <c r="J115" i="1"/>
  <c r="J116" i="1"/>
  <c r="D68" i="3"/>
  <c r="D70" i="3"/>
  <c r="D71" i="3"/>
  <c r="D113" i="1"/>
  <c r="D105" i="1"/>
  <c r="I71" i="3" l="1"/>
  <c r="I70" i="3"/>
  <c r="I68" i="3"/>
  <c r="P113" i="1"/>
  <c r="P116" i="1"/>
  <c r="P115" i="1"/>
  <c r="O70" i="3" l="1"/>
  <c r="O68" i="3"/>
  <c r="O71" i="3"/>
  <c r="D230" i="1" l="1"/>
  <c r="D242" i="1"/>
  <c r="D248" i="1"/>
  <c r="D252" i="1"/>
  <c r="D267" i="1"/>
  <c r="D285" i="1"/>
  <c r="D291" i="1"/>
  <c r="D324" i="1"/>
  <c r="D396" i="1"/>
  <c r="D398" i="1"/>
  <c r="D400" i="1"/>
  <c r="D402" i="1"/>
  <c r="D403" i="1"/>
  <c r="D404" i="1"/>
  <c r="D411" i="1"/>
  <c r="D420" i="1"/>
  <c r="D422" i="1"/>
  <c r="D433" i="1"/>
  <c r="D418" i="1"/>
  <c r="D375" i="1"/>
  <c r="D205" i="1"/>
  <c r="D196" i="1"/>
  <c r="D193" i="1"/>
  <c r="D172" i="1"/>
  <c r="D169" i="1"/>
  <c r="D156" i="1"/>
  <c r="D154" i="1"/>
  <c r="D136" i="1"/>
  <c r="D128" i="1"/>
  <c r="D125" i="1"/>
  <c r="D124" i="1"/>
  <c r="D122" i="1"/>
  <c r="D121" i="1"/>
  <c r="D120" i="1"/>
  <c r="D119" i="1"/>
  <c r="D112" i="1"/>
  <c r="D103" i="1"/>
  <c r="D99" i="1"/>
  <c r="D97" i="1"/>
  <c r="D93" i="1"/>
  <c r="D56" i="1"/>
  <c r="D55" i="1"/>
  <c r="D53" i="1"/>
  <c r="D50" i="1"/>
  <c r="D49" i="1"/>
  <c r="D48" i="1"/>
  <c r="D46" i="1"/>
  <c r="D45" i="1"/>
  <c r="D43" i="1"/>
  <c r="D42" i="1"/>
  <c r="D41" i="1"/>
  <c r="D40" i="1"/>
  <c r="D39" i="1"/>
  <c r="D38" i="1"/>
  <c r="D35" i="1"/>
  <c r="D34" i="1"/>
  <c r="D31" i="1"/>
  <c r="E180" i="3" l="1"/>
  <c r="F180" i="3"/>
  <c r="G180" i="3"/>
  <c r="H180" i="3"/>
  <c r="J180" i="3"/>
  <c r="K180" i="3"/>
  <c r="L180" i="3"/>
  <c r="M180" i="3"/>
  <c r="N180" i="3"/>
  <c r="J278" i="1"/>
  <c r="E278" i="1"/>
  <c r="E34" i="1"/>
  <c r="P278" i="1" l="1"/>
  <c r="F417" i="1"/>
  <c r="G417" i="1"/>
  <c r="H417" i="1"/>
  <c r="I417" i="1"/>
  <c r="L417" i="1"/>
  <c r="M417" i="1"/>
  <c r="N417" i="1"/>
  <c r="J420" i="1"/>
  <c r="E420" i="1"/>
  <c r="P420" i="1" l="1"/>
  <c r="J268" i="1"/>
  <c r="E268" i="1"/>
  <c r="J242" i="1"/>
  <c r="E242" i="1"/>
  <c r="P268" i="1" l="1"/>
  <c r="P242" i="1"/>
  <c r="E321" i="3"/>
  <c r="E318" i="3" s="1"/>
  <c r="F321" i="3"/>
  <c r="F318" i="3" s="1"/>
  <c r="G321" i="3"/>
  <c r="G318" i="3" s="1"/>
  <c r="H321" i="3"/>
  <c r="H318" i="3" s="1"/>
  <c r="J321" i="3"/>
  <c r="J318" i="3" s="1"/>
  <c r="K321" i="3"/>
  <c r="K318" i="3" s="1"/>
  <c r="L321" i="3"/>
  <c r="L318" i="3" s="1"/>
  <c r="M321" i="3"/>
  <c r="M318" i="3" s="1"/>
  <c r="N321" i="3"/>
  <c r="N318" i="3" s="1"/>
  <c r="E157" i="3" l="1"/>
  <c r="F157" i="3"/>
  <c r="G157" i="3"/>
  <c r="H157" i="3"/>
  <c r="J157" i="3"/>
  <c r="K157" i="3"/>
  <c r="L157" i="3"/>
  <c r="M157" i="3"/>
  <c r="N157" i="3"/>
  <c r="D157" i="3"/>
  <c r="J34" i="1"/>
  <c r="E244" i="3"/>
  <c r="F244" i="3"/>
  <c r="G244" i="3"/>
  <c r="H244" i="3"/>
  <c r="J244" i="3"/>
  <c r="K244" i="3"/>
  <c r="L244" i="3"/>
  <c r="M244" i="3"/>
  <c r="N244" i="3"/>
  <c r="J48" i="1"/>
  <c r="J49" i="1"/>
  <c r="I157" i="3" l="1"/>
  <c r="P34" i="1"/>
  <c r="P48" i="1"/>
  <c r="O157" i="3" l="1"/>
  <c r="F180" i="1"/>
  <c r="F182" i="1"/>
  <c r="M254" i="3" l="1"/>
  <c r="M232" i="3" s="1"/>
  <c r="L254" i="3"/>
  <c r="L232" i="3" s="1"/>
  <c r="K254" i="3"/>
  <c r="K232" i="3" s="1"/>
  <c r="H254" i="3"/>
  <c r="H232" i="3" s="1"/>
  <c r="G254" i="3"/>
  <c r="G232" i="3" s="1"/>
  <c r="F254" i="3"/>
  <c r="F232" i="3" s="1"/>
  <c r="E254" i="3"/>
  <c r="E232" i="3" s="1"/>
  <c r="M253" i="3"/>
  <c r="L253" i="3"/>
  <c r="K253" i="3"/>
  <c r="H253" i="3"/>
  <c r="G253" i="3"/>
  <c r="F253" i="3"/>
  <c r="E253" i="3"/>
  <c r="O382" i="1"/>
  <c r="O480" i="1" s="1"/>
  <c r="N382" i="1"/>
  <c r="N480" i="1" s="1"/>
  <c r="M382" i="1"/>
  <c r="M480" i="1" s="1"/>
  <c r="L382" i="1"/>
  <c r="L480" i="1" s="1"/>
  <c r="K382" i="1"/>
  <c r="K480" i="1" s="1"/>
  <c r="I382" i="1"/>
  <c r="I480" i="1" s="1"/>
  <c r="H382" i="1"/>
  <c r="H480" i="1" s="1"/>
  <c r="G382" i="1"/>
  <c r="G480" i="1" s="1"/>
  <c r="F382" i="1"/>
  <c r="F480" i="1" s="1"/>
  <c r="E409" i="1"/>
  <c r="J409" i="1"/>
  <c r="N253" i="3"/>
  <c r="J253" i="3"/>
  <c r="N254" i="3"/>
  <c r="N232" i="3" s="1"/>
  <c r="E382" i="1" l="1"/>
  <c r="J254" i="3"/>
  <c r="J232" i="3" s="1"/>
  <c r="P409" i="1"/>
  <c r="P382" i="1" s="1"/>
  <c r="J382" i="1"/>
  <c r="J73" i="1" l="1"/>
  <c r="J74" i="1"/>
  <c r="E74" i="1"/>
  <c r="P74" i="1" l="1"/>
  <c r="E214" i="3" l="1"/>
  <c r="F214" i="3"/>
  <c r="G214" i="3"/>
  <c r="H214" i="3"/>
  <c r="J214" i="3"/>
  <c r="K214" i="3"/>
  <c r="L214" i="3"/>
  <c r="M214" i="3"/>
  <c r="N214" i="3"/>
  <c r="E215" i="3"/>
  <c r="F215" i="3"/>
  <c r="G215" i="3"/>
  <c r="H215" i="3"/>
  <c r="J215" i="3"/>
  <c r="K215" i="3"/>
  <c r="L215" i="3"/>
  <c r="M215" i="3"/>
  <c r="N215" i="3"/>
  <c r="F300" i="1"/>
  <c r="G300" i="1"/>
  <c r="H300" i="1"/>
  <c r="I300" i="1"/>
  <c r="K300" i="1"/>
  <c r="L300" i="1"/>
  <c r="M300" i="1"/>
  <c r="N300" i="1"/>
  <c r="O300" i="1"/>
  <c r="P300" i="1" l="1"/>
  <c r="E300" i="1"/>
  <c r="J300" i="1"/>
  <c r="K220" i="1" l="1"/>
  <c r="O220" i="1"/>
  <c r="N60" i="3"/>
  <c r="M60" i="3"/>
  <c r="L60" i="3"/>
  <c r="K60" i="3"/>
  <c r="J60" i="3"/>
  <c r="H60" i="3"/>
  <c r="G60" i="3"/>
  <c r="F60" i="3"/>
  <c r="E60" i="3"/>
  <c r="N59" i="3"/>
  <c r="M59" i="3"/>
  <c r="L59" i="3"/>
  <c r="K59" i="3"/>
  <c r="J59" i="3"/>
  <c r="H59" i="3"/>
  <c r="G59" i="3"/>
  <c r="F59" i="3"/>
  <c r="E59" i="3"/>
  <c r="N53" i="3"/>
  <c r="M53" i="3"/>
  <c r="L53" i="3"/>
  <c r="K53" i="3"/>
  <c r="J53" i="3"/>
  <c r="H53" i="3"/>
  <c r="G53" i="3"/>
  <c r="F53" i="3"/>
  <c r="E53" i="3"/>
  <c r="J106" i="1"/>
  <c r="J105" i="1"/>
  <c r="J99" i="1"/>
  <c r="I53" i="3" l="1"/>
  <c r="I59" i="3"/>
  <c r="I60" i="3"/>
  <c r="P99" i="1"/>
  <c r="P106" i="1"/>
  <c r="P105" i="1"/>
  <c r="D53" i="3"/>
  <c r="D59" i="3"/>
  <c r="D60" i="3"/>
  <c r="N267" i="3"/>
  <c r="M267" i="3"/>
  <c r="L267" i="3"/>
  <c r="K267" i="3"/>
  <c r="J267" i="3"/>
  <c r="H267" i="3"/>
  <c r="G267" i="3"/>
  <c r="F267" i="3"/>
  <c r="E267" i="3"/>
  <c r="N256" i="3"/>
  <c r="M256" i="3"/>
  <c r="L256" i="3"/>
  <c r="K256" i="3"/>
  <c r="J256" i="3"/>
  <c r="H256" i="3"/>
  <c r="G256" i="3"/>
  <c r="F256" i="3"/>
  <c r="E256" i="3"/>
  <c r="N255" i="3"/>
  <c r="M255" i="3"/>
  <c r="L255" i="3"/>
  <c r="K255" i="3"/>
  <c r="J255" i="3"/>
  <c r="H255" i="3"/>
  <c r="G255" i="3"/>
  <c r="F255" i="3"/>
  <c r="E255" i="3"/>
  <c r="O60" i="3" l="1"/>
  <c r="O59" i="3"/>
  <c r="O53" i="3"/>
  <c r="O182" i="1"/>
  <c r="N182" i="1"/>
  <c r="M182" i="1"/>
  <c r="L182" i="1"/>
  <c r="K182" i="1"/>
  <c r="I182" i="1"/>
  <c r="H182" i="1"/>
  <c r="G182" i="1"/>
  <c r="N241" i="3"/>
  <c r="N233" i="3" s="1"/>
  <c r="M241" i="3"/>
  <c r="M233" i="3" s="1"/>
  <c r="L241" i="3"/>
  <c r="L233" i="3" s="1"/>
  <c r="K241" i="3"/>
  <c r="K233" i="3" s="1"/>
  <c r="J241" i="3"/>
  <c r="H241" i="3"/>
  <c r="H233" i="3" s="1"/>
  <c r="G241" i="3"/>
  <c r="G233" i="3" s="1"/>
  <c r="F241" i="3"/>
  <c r="F233" i="3" s="1"/>
  <c r="E241" i="3"/>
  <c r="E233" i="3" s="1"/>
  <c r="N84" i="3"/>
  <c r="M84" i="3"/>
  <c r="L84" i="3"/>
  <c r="K84" i="3"/>
  <c r="J84" i="3"/>
  <c r="H84" i="3"/>
  <c r="G84" i="3"/>
  <c r="F84" i="3"/>
  <c r="E84" i="3"/>
  <c r="O301" i="1"/>
  <c r="N301" i="1"/>
  <c r="M301" i="1"/>
  <c r="L301" i="1"/>
  <c r="K301" i="1"/>
  <c r="I301" i="1"/>
  <c r="H301" i="1"/>
  <c r="G301" i="1"/>
  <c r="F301" i="1"/>
  <c r="D241" i="3"/>
  <c r="J157" i="1"/>
  <c r="J129" i="1"/>
  <c r="D84" i="3"/>
  <c r="J233" i="3" l="1"/>
  <c r="J220" i="3" s="1"/>
  <c r="I267" i="3"/>
  <c r="D267" i="3"/>
  <c r="I241" i="3"/>
  <c r="I255" i="3"/>
  <c r="I256" i="3"/>
  <c r="I84" i="3"/>
  <c r="D255" i="3"/>
  <c r="E301" i="1"/>
  <c r="D256" i="3"/>
  <c r="D233" i="3" s="1"/>
  <c r="D220" i="3" s="1"/>
  <c r="F220" i="3"/>
  <c r="H220" i="3"/>
  <c r="K220" i="3"/>
  <c r="M220" i="3"/>
  <c r="E220" i="3"/>
  <c r="G220" i="3"/>
  <c r="L220" i="3"/>
  <c r="N220" i="3"/>
  <c r="J301" i="1"/>
  <c r="O267" i="3"/>
  <c r="P157" i="1"/>
  <c r="P129" i="1"/>
  <c r="I233" i="3" l="1"/>
  <c r="I220" i="3" s="1"/>
  <c r="O256" i="3"/>
  <c r="O255" i="3"/>
  <c r="O84" i="3"/>
  <c r="O241" i="3"/>
  <c r="P301" i="1"/>
  <c r="O233" i="3" l="1"/>
  <c r="O220" i="3" s="1"/>
  <c r="J172" i="1"/>
  <c r="E172" i="1"/>
  <c r="P172" i="1" l="1"/>
  <c r="N336" i="3" l="1"/>
  <c r="M336" i="3"/>
  <c r="L336" i="3"/>
  <c r="K336" i="3"/>
  <c r="J336" i="3"/>
  <c r="H336" i="3"/>
  <c r="G336" i="3"/>
  <c r="F336" i="3"/>
  <c r="E336" i="3"/>
  <c r="M245" i="3"/>
  <c r="L245" i="3"/>
  <c r="K245" i="3"/>
  <c r="H245" i="3"/>
  <c r="G245" i="3"/>
  <c r="F245" i="3"/>
  <c r="E245" i="3"/>
  <c r="J369" i="1" l="1"/>
  <c r="D336" i="3"/>
  <c r="N83" i="3"/>
  <c r="M83" i="3"/>
  <c r="L83" i="3"/>
  <c r="K83" i="3"/>
  <c r="J83" i="3"/>
  <c r="H83" i="3"/>
  <c r="G83" i="3"/>
  <c r="F83" i="3"/>
  <c r="E83" i="3"/>
  <c r="N80" i="3"/>
  <c r="M80" i="3"/>
  <c r="L80" i="3"/>
  <c r="K80" i="3"/>
  <c r="J80" i="3"/>
  <c r="H80" i="3"/>
  <c r="G80" i="3"/>
  <c r="F80" i="3"/>
  <c r="E80" i="3"/>
  <c r="J128" i="1"/>
  <c r="D83" i="3"/>
  <c r="J125" i="1"/>
  <c r="D80" i="3"/>
  <c r="J53" i="1"/>
  <c r="I270" i="3" s="1"/>
  <c r="E53" i="1"/>
  <c r="D270" i="3" s="1"/>
  <c r="O89" i="1"/>
  <c r="N89" i="1"/>
  <c r="M89" i="1"/>
  <c r="L89" i="1"/>
  <c r="K89" i="1"/>
  <c r="I89" i="1"/>
  <c r="H89" i="1"/>
  <c r="G89" i="1"/>
  <c r="F89" i="1"/>
  <c r="O88" i="1"/>
  <c r="N88" i="1"/>
  <c r="M88" i="1"/>
  <c r="L88" i="1"/>
  <c r="K88" i="1"/>
  <c r="I88" i="1"/>
  <c r="H88" i="1"/>
  <c r="G88" i="1"/>
  <c r="F88" i="1"/>
  <c r="N197" i="3"/>
  <c r="N191" i="3" s="1"/>
  <c r="M197" i="3"/>
  <c r="M191" i="3" s="1"/>
  <c r="L197" i="3"/>
  <c r="L191" i="3" s="1"/>
  <c r="K197" i="3"/>
  <c r="K191" i="3" s="1"/>
  <c r="J197" i="3"/>
  <c r="J191" i="3" s="1"/>
  <c r="H197" i="3"/>
  <c r="H191" i="3" s="1"/>
  <c r="G197" i="3"/>
  <c r="G191" i="3" s="1"/>
  <c r="F197" i="3"/>
  <c r="F191" i="3" s="1"/>
  <c r="E197" i="3"/>
  <c r="E191" i="3" s="1"/>
  <c r="N176" i="3"/>
  <c r="N138" i="3" s="1"/>
  <c r="M176" i="3"/>
  <c r="M138" i="3" s="1"/>
  <c r="L176" i="3"/>
  <c r="L138" i="3" s="1"/>
  <c r="K176" i="3"/>
  <c r="K138" i="3" s="1"/>
  <c r="J176" i="3"/>
  <c r="J138" i="3" s="1"/>
  <c r="H176" i="3"/>
  <c r="H138" i="3" s="1"/>
  <c r="G176" i="3"/>
  <c r="G138" i="3" s="1"/>
  <c r="F176" i="3"/>
  <c r="F138" i="3" s="1"/>
  <c r="E176" i="3"/>
  <c r="E138" i="3" s="1"/>
  <c r="N175" i="3"/>
  <c r="M175" i="3"/>
  <c r="L175" i="3"/>
  <c r="K175" i="3"/>
  <c r="J175" i="3"/>
  <c r="H175" i="3"/>
  <c r="G175" i="3"/>
  <c r="F175" i="3"/>
  <c r="E175" i="3"/>
  <c r="J402" i="1"/>
  <c r="E402" i="1"/>
  <c r="N245" i="3"/>
  <c r="J245" i="3"/>
  <c r="I80" i="3" l="1"/>
  <c r="I336" i="3"/>
  <c r="P128" i="1"/>
  <c r="P369" i="1"/>
  <c r="P402" i="1"/>
  <c r="P53" i="1"/>
  <c r="O270" i="3" s="1"/>
  <c r="I83" i="3"/>
  <c r="P125" i="1"/>
  <c r="J260" i="1"/>
  <c r="J226" i="1" s="1"/>
  <c r="E260" i="1"/>
  <c r="J259" i="1"/>
  <c r="E259" i="1"/>
  <c r="D175" i="3" s="1"/>
  <c r="J155" i="1"/>
  <c r="N86" i="3"/>
  <c r="M86" i="3"/>
  <c r="L86" i="3"/>
  <c r="K86" i="3"/>
  <c r="J86" i="3"/>
  <c r="H86" i="3"/>
  <c r="G86" i="3"/>
  <c r="F86" i="3"/>
  <c r="E86" i="3"/>
  <c r="N85" i="3"/>
  <c r="M85" i="3"/>
  <c r="L85" i="3"/>
  <c r="K85" i="3"/>
  <c r="J85" i="3"/>
  <c r="H85" i="3"/>
  <c r="G85" i="3"/>
  <c r="F85" i="3"/>
  <c r="E85" i="3"/>
  <c r="N82" i="3"/>
  <c r="N35" i="3" s="1"/>
  <c r="M82" i="3"/>
  <c r="M35" i="3" s="1"/>
  <c r="L82" i="3"/>
  <c r="L35" i="3" s="1"/>
  <c r="K82" i="3"/>
  <c r="K35" i="3" s="1"/>
  <c r="J82" i="3"/>
  <c r="J35" i="3" s="1"/>
  <c r="H82" i="3"/>
  <c r="H35" i="3" s="1"/>
  <c r="G82" i="3"/>
  <c r="G35" i="3" s="1"/>
  <c r="F82" i="3"/>
  <c r="F35" i="3" s="1"/>
  <c r="E82" i="3"/>
  <c r="E35" i="3" s="1"/>
  <c r="N81" i="3"/>
  <c r="M81" i="3"/>
  <c r="L81" i="3"/>
  <c r="K81" i="3"/>
  <c r="J81" i="3"/>
  <c r="H81" i="3"/>
  <c r="G81" i="3"/>
  <c r="F81" i="3"/>
  <c r="E81" i="3"/>
  <c r="D85" i="3"/>
  <c r="D81" i="3"/>
  <c r="J131" i="1"/>
  <c r="J130" i="1"/>
  <c r="J127" i="1"/>
  <c r="J126" i="1"/>
  <c r="E36" i="3" l="1"/>
  <c r="E33" i="3"/>
  <c r="G36" i="3"/>
  <c r="G33" i="3"/>
  <c r="F36" i="3"/>
  <c r="F33" i="3"/>
  <c r="J36" i="3"/>
  <c r="J33" i="3"/>
  <c r="L36" i="3"/>
  <c r="L33" i="3"/>
  <c r="N36" i="3"/>
  <c r="N33" i="3"/>
  <c r="H36" i="3"/>
  <c r="H33" i="3"/>
  <c r="K36" i="3"/>
  <c r="K33" i="3"/>
  <c r="M36" i="3"/>
  <c r="M33" i="3"/>
  <c r="D176" i="3"/>
  <c r="D138" i="3" s="1"/>
  <c r="E226" i="1"/>
  <c r="O336" i="3"/>
  <c r="I175" i="3"/>
  <c r="O80" i="3"/>
  <c r="O83" i="3"/>
  <c r="P130" i="1"/>
  <c r="P126" i="1"/>
  <c r="I176" i="3"/>
  <c r="I138" i="3" s="1"/>
  <c r="I197" i="3"/>
  <c r="I191" i="3" s="1"/>
  <c r="P127" i="1"/>
  <c r="J89" i="1"/>
  <c r="P131" i="1"/>
  <c r="J88" i="1"/>
  <c r="D82" i="3"/>
  <c r="D35" i="3" s="1"/>
  <c r="E89" i="1"/>
  <c r="D86" i="3"/>
  <c r="P155" i="1"/>
  <c r="D197" i="3"/>
  <c r="D191" i="3" s="1"/>
  <c r="P259" i="1"/>
  <c r="P260" i="1"/>
  <c r="P226" i="1" s="1"/>
  <c r="I81" i="3"/>
  <c r="I85" i="3"/>
  <c r="I82" i="3"/>
  <c r="I35" i="3" s="1"/>
  <c r="I86" i="3"/>
  <c r="D36" i="3" l="1"/>
  <c r="D33" i="3"/>
  <c r="I36" i="3"/>
  <c r="I33" i="3"/>
  <c r="I132" i="3"/>
  <c r="O175" i="3"/>
  <c r="O81" i="3"/>
  <c r="O85" i="3"/>
  <c r="O176" i="3"/>
  <c r="O138" i="3" s="1"/>
  <c r="O197" i="3"/>
  <c r="O191" i="3" s="1"/>
  <c r="O86" i="3"/>
  <c r="P88" i="1"/>
  <c r="O82" i="3"/>
  <c r="O35" i="3" s="1"/>
  <c r="P89" i="1"/>
  <c r="E330" i="3"/>
  <c r="E329" i="3" s="1"/>
  <c r="F330" i="3"/>
  <c r="F329" i="3" s="1"/>
  <c r="G330" i="3"/>
  <c r="G329" i="3" s="1"/>
  <c r="H330" i="3"/>
  <c r="H329" i="3" s="1"/>
  <c r="J330" i="3"/>
  <c r="J329" i="3" s="1"/>
  <c r="K330" i="3"/>
  <c r="K329" i="3" s="1"/>
  <c r="L330" i="3"/>
  <c r="L329" i="3" s="1"/>
  <c r="M330" i="3"/>
  <c r="M329" i="3" s="1"/>
  <c r="N330" i="3"/>
  <c r="N329" i="3" s="1"/>
  <c r="E333" i="3"/>
  <c r="E331" i="3" s="1"/>
  <c r="F333" i="3"/>
  <c r="F331" i="3" s="1"/>
  <c r="G333" i="3"/>
  <c r="G331" i="3" s="1"/>
  <c r="H333" i="3"/>
  <c r="H331" i="3" s="1"/>
  <c r="J333" i="3"/>
  <c r="J331" i="3" s="1"/>
  <c r="K333" i="3"/>
  <c r="K331" i="3" s="1"/>
  <c r="L333" i="3"/>
  <c r="L331" i="3" s="1"/>
  <c r="M333" i="3"/>
  <c r="M331" i="3" s="1"/>
  <c r="N333" i="3"/>
  <c r="N331" i="3" s="1"/>
  <c r="E334" i="3"/>
  <c r="E332" i="3" s="1"/>
  <c r="E328" i="3" s="1"/>
  <c r="F334" i="3"/>
  <c r="F332" i="3" s="1"/>
  <c r="F328" i="3" s="1"/>
  <c r="G334" i="3"/>
  <c r="G332" i="3" s="1"/>
  <c r="G328" i="3" s="1"/>
  <c r="H334" i="3"/>
  <c r="H332" i="3" s="1"/>
  <c r="H328" i="3" s="1"/>
  <c r="J334" i="3"/>
  <c r="J332" i="3" s="1"/>
  <c r="J328" i="3" s="1"/>
  <c r="K334" i="3"/>
  <c r="K332" i="3" s="1"/>
  <c r="K328" i="3" s="1"/>
  <c r="L334" i="3"/>
  <c r="L332" i="3" s="1"/>
  <c r="L328" i="3" s="1"/>
  <c r="M334" i="3"/>
  <c r="M332" i="3" s="1"/>
  <c r="M328" i="3" s="1"/>
  <c r="N334" i="3"/>
  <c r="N332" i="3" s="1"/>
  <c r="N328" i="3" s="1"/>
  <c r="O36" i="3" l="1"/>
  <c r="O33" i="3"/>
  <c r="O132" i="3"/>
  <c r="L335" i="3"/>
  <c r="L327" i="3" s="1"/>
  <c r="G335" i="3"/>
  <c r="G327" i="3" s="1"/>
  <c r="M335" i="3"/>
  <c r="M327" i="3" s="1"/>
  <c r="K335" i="3"/>
  <c r="K327" i="3" s="1"/>
  <c r="H335" i="3"/>
  <c r="H327" i="3" s="1"/>
  <c r="F335" i="3"/>
  <c r="F327" i="3" s="1"/>
  <c r="O299" i="1" l="1"/>
  <c r="N299" i="1"/>
  <c r="M299" i="1"/>
  <c r="L299" i="1"/>
  <c r="K299" i="1"/>
  <c r="I299" i="1"/>
  <c r="H299" i="1"/>
  <c r="G299" i="1"/>
  <c r="F299" i="1"/>
  <c r="O421" i="1"/>
  <c r="K421" i="1"/>
  <c r="K417" i="1" s="1"/>
  <c r="J422" i="1"/>
  <c r="O181" i="1"/>
  <c r="N181" i="1"/>
  <c r="M181" i="1"/>
  <c r="L181" i="1"/>
  <c r="K181" i="1"/>
  <c r="I181" i="1"/>
  <c r="H181" i="1"/>
  <c r="G181" i="1"/>
  <c r="F181" i="1"/>
  <c r="J159" i="1"/>
  <c r="J158" i="1"/>
  <c r="J90" i="1" l="1"/>
  <c r="E90" i="1"/>
  <c r="O417" i="1"/>
  <c r="J421" i="1"/>
  <c r="P159" i="1"/>
  <c r="E422" i="1"/>
  <c r="P158" i="1"/>
  <c r="P90" i="1" l="1"/>
  <c r="P422" i="1"/>
  <c r="N335" i="3"/>
  <c r="N327" i="3" s="1"/>
  <c r="J335" i="3"/>
  <c r="J327" i="3" s="1"/>
  <c r="J108" i="1" l="1"/>
  <c r="J85" i="1" s="1"/>
  <c r="N19" i="3"/>
  <c r="M19" i="3"/>
  <c r="L19" i="3"/>
  <c r="K19" i="3"/>
  <c r="J19" i="3"/>
  <c r="H19" i="3"/>
  <c r="G19" i="3"/>
  <c r="F19" i="3"/>
  <c r="E19" i="3"/>
  <c r="J311" i="1"/>
  <c r="E311" i="1"/>
  <c r="O276" i="1"/>
  <c r="K276" i="1"/>
  <c r="O275" i="1"/>
  <c r="K275" i="1"/>
  <c r="I62" i="3" l="1"/>
  <c r="I31" i="3" s="1"/>
  <c r="K273" i="1"/>
  <c r="O273" i="1"/>
  <c r="J16" i="3"/>
  <c r="N16" i="3"/>
  <c r="P311" i="1"/>
  <c r="P108" i="1"/>
  <c r="P85" i="1" s="1"/>
  <c r="N275" i="3"/>
  <c r="M275" i="3"/>
  <c r="L275" i="3"/>
  <c r="K275" i="3"/>
  <c r="J275" i="3"/>
  <c r="H275" i="3"/>
  <c r="G275" i="3"/>
  <c r="F275" i="3"/>
  <c r="E275" i="3"/>
  <c r="N266" i="3"/>
  <c r="M266" i="3"/>
  <c r="L266" i="3"/>
  <c r="K266" i="3"/>
  <c r="J266" i="3"/>
  <c r="H266" i="3"/>
  <c r="G266" i="3"/>
  <c r="F266" i="3"/>
  <c r="E266" i="3"/>
  <c r="N64" i="3"/>
  <c r="M64" i="3"/>
  <c r="L64" i="3"/>
  <c r="K64" i="3"/>
  <c r="J64" i="3"/>
  <c r="H64" i="3"/>
  <c r="G64" i="3"/>
  <c r="F64" i="3"/>
  <c r="E64" i="3"/>
  <c r="N65" i="3"/>
  <c r="M65" i="3"/>
  <c r="L65" i="3"/>
  <c r="K65" i="3"/>
  <c r="J65" i="3"/>
  <c r="H65" i="3"/>
  <c r="G65" i="3"/>
  <c r="F65" i="3"/>
  <c r="E65" i="3"/>
  <c r="J171" i="1"/>
  <c r="J170" i="1"/>
  <c r="E171" i="1"/>
  <c r="E170" i="1"/>
  <c r="J111" i="1"/>
  <c r="J110" i="1"/>
  <c r="I64" i="3" l="1"/>
  <c r="I333" i="3"/>
  <c r="I331" i="3" s="1"/>
  <c r="I334" i="3"/>
  <c r="I332" i="3" s="1"/>
  <c r="I328" i="3" s="1"/>
  <c r="P110" i="1"/>
  <c r="P111" i="1"/>
  <c r="I65" i="3"/>
  <c r="P170" i="1"/>
  <c r="P171" i="1"/>
  <c r="D334" i="3"/>
  <c r="D332" i="3" s="1"/>
  <c r="D328" i="3" s="1"/>
  <c r="D65" i="3"/>
  <c r="O62" i="3"/>
  <c r="O31" i="3" s="1"/>
  <c r="D64" i="3"/>
  <c r="D333" i="3"/>
  <c r="D331" i="3" s="1"/>
  <c r="O333" i="3" l="1"/>
  <c r="O331" i="3" s="1"/>
  <c r="O334" i="3"/>
  <c r="O332" i="3" s="1"/>
  <c r="O328" i="3" s="1"/>
  <c r="O64" i="3"/>
  <c r="O65" i="3"/>
  <c r="J230" i="1"/>
  <c r="E230" i="1" l="1"/>
  <c r="P230" i="1" l="1"/>
  <c r="N63" i="3"/>
  <c r="M63" i="3"/>
  <c r="L63" i="3"/>
  <c r="K63" i="3"/>
  <c r="J63" i="3"/>
  <c r="H63" i="3"/>
  <c r="G63" i="3"/>
  <c r="F63" i="3"/>
  <c r="E63" i="3"/>
  <c r="J109" i="1"/>
  <c r="J79" i="1" s="1"/>
  <c r="E25" i="3" l="1"/>
  <c r="F25" i="3"/>
  <c r="G25" i="3"/>
  <c r="H25" i="3"/>
  <c r="J25" i="3"/>
  <c r="K25" i="3"/>
  <c r="L25" i="3"/>
  <c r="M25" i="3"/>
  <c r="N25" i="3"/>
  <c r="E335" i="3"/>
  <c r="E327" i="3" s="1"/>
  <c r="P109" i="1"/>
  <c r="P79" i="1" s="1"/>
  <c r="D63" i="3"/>
  <c r="I63" i="3"/>
  <c r="D25" i="3" l="1"/>
  <c r="I25" i="3"/>
  <c r="O63" i="3"/>
  <c r="O25" i="3" l="1"/>
  <c r="N239" i="3"/>
  <c r="M239" i="3"/>
  <c r="L239" i="3"/>
  <c r="K239" i="3"/>
  <c r="J239" i="3"/>
  <c r="H239" i="3"/>
  <c r="G239" i="3"/>
  <c r="F239" i="3"/>
  <c r="E239" i="3"/>
  <c r="K180" i="1" l="1"/>
  <c r="N61" i="3" l="1"/>
  <c r="M61" i="3"/>
  <c r="L61" i="3"/>
  <c r="K61" i="3"/>
  <c r="J61" i="3"/>
  <c r="H61" i="3"/>
  <c r="G61" i="3"/>
  <c r="F61" i="3"/>
  <c r="E61" i="3"/>
  <c r="J107" i="1"/>
  <c r="J415" i="1"/>
  <c r="E415" i="1"/>
  <c r="I61" i="3" l="1"/>
  <c r="D61" i="3"/>
  <c r="P415" i="1"/>
  <c r="P107" i="1"/>
  <c r="J173" i="1"/>
  <c r="O61" i="3" l="1"/>
  <c r="E173" i="1"/>
  <c r="E77" i="1" s="1"/>
  <c r="N90" i="3"/>
  <c r="N34" i="3" s="1"/>
  <c r="M90" i="3"/>
  <c r="M34" i="3" s="1"/>
  <c r="L90" i="3"/>
  <c r="L34" i="3" s="1"/>
  <c r="K90" i="3"/>
  <c r="K34" i="3" s="1"/>
  <c r="J90" i="3"/>
  <c r="J34" i="3" s="1"/>
  <c r="H90" i="3"/>
  <c r="H34" i="3" s="1"/>
  <c r="G90" i="3"/>
  <c r="G34" i="3" s="1"/>
  <c r="F90" i="3"/>
  <c r="F34" i="3" s="1"/>
  <c r="E90" i="3"/>
  <c r="E34" i="3" s="1"/>
  <c r="N89" i="3"/>
  <c r="M89" i="3"/>
  <c r="L89" i="3"/>
  <c r="K89" i="3"/>
  <c r="J89" i="3"/>
  <c r="H89" i="3"/>
  <c r="G89" i="3"/>
  <c r="F89" i="3"/>
  <c r="E89" i="3"/>
  <c r="I90" i="3"/>
  <c r="I34" i="3" s="1"/>
  <c r="I89" i="3"/>
  <c r="D89" i="3" l="1"/>
  <c r="P134" i="1"/>
  <c r="D90" i="3"/>
  <c r="D34" i="3" s="1"/>
  <c r="P135" i="1"/>
  <c r="P87" i="1" s="1"/>
  <c r="P173" i="1"/>
  <c r="O90" i="3" l="1"/>
  <c r="O34" i="3" s="1"/>
  <c r="O89" i="3"/>
  <c r="N67" i="3"/>
  <c r="M67" i="3"/>
  <c r="L67" i="3"/>
  <c r="K67" i="3"/>
  <c r="J67" i="3"/>
  <c r="H67" i="3"/>
  <c r="G67" i="3"/>
  <c r="F67" i="3"/>
  <c r="E67" i="3"/>
  <c r="I67" i="3" l="1"/>
  <c r="D67" i="3"/>
  <c r="P285" i="1"/>
  <c r="O67" i="3" l="1"/>
  <c r="N195" i="3"/>
  <c r="M195" i="3"/>
  <c r="L195" i="3"/>
  <c r="K195" i="3"/>
  <c r="J195" i="3"/>
  <c r="H195" i="3"/>
  <c r="G195" i="3"/>
  <c r="F195" i="3"/>
  <c r="E195" i="3"/>
  <c r="N88" i="3"/>
  <c r="N32" i="3" s="1"/>
  <c r="M88" i="3"/>
  <c r="M32" i="3" s="1"/>
  <c r="L88" i="3"/>
  <c r="L32" i="3" s="1"/>
  <c r="K88" i="3"/>
  <c r="K32" i="3" s="1"/>
  <c r="J88" i="3"/>
  <c r="J32" i="3" s="1"/>
  <c r="H88" i="3"/>
  <c r="H32" i="3" s="1"/>
  <c r="G88" i="3"/>
  <c r="G32" i="3" s="1"/>
  <c r="F88" i="3"/>
  <c r="F32" i="3" s="1"/>
  <c r="E88" i="3"/>
  <c r="E32" i="3" s="1"/>
  <c r="N87" i="3"/>
  <c r="M87" i="3"/>
  <c r="L87" i="3"/>
  <c r="K87" i="3"/>
  <c r="J87" i="3"/>
  <c r="H87" i="3"/>
  <c r="G87" i="3"/>
  <c r="F87" i="3"/>
  <c r="E87" i="3"/>
  <c r="N79" i="3"/>
  <c r="M79" i="3"/>
  <c r="L79" i="3"/>
  <c r="K79" i="3"/>
  <c r="J79" i="3"/>
  <c r="H79" i="3"/>
  <c r="G79" i="3"/>
  <c r="F79" i="3"/>
  <c r="E79" i="3"/>
  <c r="B79" i="3"/>
  <c r="N78" i="3"/>
  <c r="M78" i="3"/>
  <c r="L78" i="3"/>
  <c r="K78" i="3"/>
  <c r="J78" i="3"/>
  <c r="H78" i="3"/>
  <c r="G78" i="3"/>
  <c r="F78" i="3"/>
  <c r="E78" i="3"/>
  <c r="N77" i="3"/>
  <c r="M77" i="3"/>
  <c r="L77" i="3"/>
  <c r="K77" i="3"/>
  <c r="J77" i="3"/>
  <c r="H77" i="3"/>
  <c r="G77" i="3"/>
  <c r="F77" i="3"/>
  <c r="E77" i="3"/>
  <c r="N76" i="3"/>
  <c r="M76" i="3"/>
  <c r="L76" i="3"/>
  <c r="K76" i="3"/>
  <c r="J76" i="3"/>
  <c r="H76" i="3"/>
  <c r="G76" i="3"/>
  <c r="F76" i="3"/>
  <c r="E76" i="3"/>
  <c r="N75" i="3"/>
  <c r="M75" i="3"/>
  <c r="L75" i="3"/>
  <c r="K75" i="3"/>
  <c r="J75" i="3"/>
  <c r="H75" i="3"/>
  <c r="G75" i="3"/>
  <c r="F75" i="3"/>
  <c r="E75" i="3"/>
  <c r="N74" i="3"/>
  <c r="M74" i="3"/>
  <c r="L74" i="3"/>
  <c r="K74" i="3"/>
  <c r="J74" i="3"/>
  <c r="H74" i="3"/>
  <c r="G74" i="3"/>
  <c r="F74" i="3"/>
  <c r="E74" i="3"/>
  <c r="N66" i="3"/>
  <c r="M66" i="3"/>
  <c r="L66" i="3"/>
  <c r="K66" i="3"/>
  <c r="J66" i="3"/>
  <c r="H66" i="3"/>
  <c r="G66" i="3"/>
  <c r="F66" i="3"/>
  <c r="E66" i="3"/>
  <c r="N58" i="3"/>
  <c r="M58" i="3"/>
  <c r="L58" i="3"/>
  <c r="K58" i="3"/>
  <c r="J58" i="3"/>
  <c r="H58" i="3"/>
  <c r="G58" i="3"/>
  <c r="F58" i="3"/>
  <c r="E58" i="3"/>
  <c r="N57" i="3"/>
  <c r="M57" i="3"/>
  <c r="L57" i="3"/>
  <c r="K57" i="3"/>
  <c r="J57" i="3"/>
  <c r="H57" i="3"/>
  <c r="G57" i="3"/>
  <c r="F57" i="3"/>
  <c r="E57" i="3"/>
  <c r="N56" i="3"/>
  <c r="M56" i="3"/>
  <c r="L56" i="3"/>
  <c r="K56" i="3"/>
  <c r="J56" i="3"/>
  <c r="J30" i="3" s="1"/>
  <c r="H56" i="3"/>
  <c r="H30" i="3" s="1"/>
  <c r="G56" i="3"/>
  <c r="F56" i="3"/>
  <c r="E56" i="3"/>
  <c r="N55" i="3"/>
  <c r="M55" i="3"/>
  <c r="L55" i="3"/>
  <c r="K55" i="3"/>
  <c r="J55" i="3"/>
  <c r="H55" i="3"/>
  <c r="G55" i="3"/>
  <c r="F55" i="3"/>
  <c r="E55" i="3"/>
  <c r="N54" i="3"/>
  <c r="M54" i="3"/>
  <c r="L54" i="3"/>
  <c r="K54" i="3"/>
  <c r="J54" i="3"/>
  <c r="H54" i="3"/>
  <c r="G54" i="3"/>
  <c r="F54" i="3"/>
  <c r="E54" i="3"/>
  <c r="L23" i="3" l="1"/>
  <c r="M23" i="3"/>
  <c r="K23" i="3"/>
  <c r="F23" i="3"/>
  <c r="N23" i="3"/>
  <c r="H23" i="3"/>
  <c r="E23" i="3"/>
  <c r="G23" i="3"/>
  <c r="J23" i="3"/>
  <c r="L30" i="3"/>
  <c r="K30" i="3"/>
  <c r="N30" i="3"/>
  <c r="M30" i="3"/>
  <c r="G30" i="3"/>
  <c r="F30" i="3"/>
  <c r="E30" i="3"/>
  <c r="E24" i="3"/>
  <c r="E341" i="3" s="1"/>
  <c r="G24" i="3"/>
  <c r="G341" i="3" s="1"/>
  <c r="J24" i="3"/>
  <c r="J341" i="3" s="1"/>
  <c r="L24" i="3"/>
  <c r="L341" i="3" s="1"/>
  <c r="N24" i="3"/>
  <c r="N341" i="3" s="1"/>
  <c r="F24" i="3"/>
  <c r="F341" i="3" s="1"/>
  <c r="H24" i="3"/>
  <c r="H341" i="3" s="1"/>
  <c r="K24" i="3"/>
  <c r="K341" i="3" s="1"/>
  <c r="M24" i="3"/>
  <c r="M341" i="3" s="1"/>
  <c r="J169" i="1"/>
  <c r="J156" i="1"/>
  <c r="J154" i="1"/>
  <c r="P136" i="1"/>
  <c r="N491" i="1" l="1"/>
  <c r="G491" i="1"/>
  <c r="M491" i="1"/>
  <c r="H491" i="1"/>
  <c r="F491" i="1"/>
  <c r="L491" i="1"/>
  <c r="I491" i="1"/>
  <c r="O491" i="1"/>
  <c r="K491" i="1"/>
  <c r="P154" i="1"/>
  <c r="P163" i="1"/>
  <c r="P156" i="1"/>
  <c r="P169" i="1"/>
  <c r="P153" i="1"/>
  <c r="O84" i="1"/>
  <c r="O482" i="1" s="1"/>
  <c r="N84" i="1"/>
  <c r="N482" i="1" s="1"/>
  <c r="M84" i="1"/>
  <c r="M482" i="1" s="1"/>
  <c r="L84" i="1"/>
  <c r="L482" i="1" s="1"/>
  <c r="K84" i="1"/>
  <c r="K482" i="1" s="1"/>
  <c r="I84" i="1"/>
  <c r="I482" i="1" s="1"/>
  <c r="H84" i="1"/>
  <c r="H482" i="1" s="1"/>
  <c r="G84" i="1"/>
  <c r="G482" i="1" s="1"/>
  <c r="F84" i="1"/>
  <c r="F482" i="1" s="1"/>
  <c r="J123" i="1"/>
  <c r="J104" i="1"/>
  <c r="D58" i="3"/>
  <c r="I58" i="3" l="1"/>
  <c r="I78" i="3"/>
  <c r="D78" i="3"/>
  <c r="P123" i="1"/>
  <c r="P104" i="1"/>
  <c r="O58" i="3" l="1"/>
  <c r="O78" i="3"/>
  <c r="D287" i="1"/>
  <c r="N295" i="3" l="1"/>
  <c r="M295" i="3"/>
  <c r="L295" i="3"/>
  <c r="K295" i="3"/>
  <c r="J295" i="3"/>
  <c r="H295" i="3"/>
  <c r="G295" i="3"/>
  <c r="F295" i="3"/>
  <c r="E295" i="3"/>
  <c r="N246" i="3"/>
  <c r="N250" i="3"/>
  <c r="M250" i="3"/>
  <c r="L250" i="3"/>
  <c r="K250" i="3"/>
  <c r="J250" i="3"/>
  <c r="H250" i="3"/>
  <c r="G250" i="3"/>
  <c r="F250" i="3"/>
  <c r="E250" i="3"/>
  <c r="N293" i="3"/>
  <c r="M293" i="3"/>
  <c r="L293" i="3"/>
  <c r="K293" i="3"/>
  <c r="J293" i="3"/>
  <c r="H293" i="3"/>
  <c r="G293" i="3"/>
  <c r="F293" i="3"/>
  <c r="E293" i="3"/>
  <c r="O302" i="1"/>
  <c r="N302" i="1"/>
  <c r="M302" i="1"/>
  <c r="L302" i="1"/>
  <c r="K302" i="1"/>
  <c r="I302" i="1"/>
  <c r="H302" i="1"/>
  <c r="G302" i="1"/>
  <c r="F302" i="1"/>
  <c r="E421" i="1"/>
  <c r="E356" i="1"/>
  <c r="J356" i="1"/>
  <c r="E291" i="1"/>
  <c r="J291" i="1"/>
  <c r="D293" i="3" l="1"/>
  <c r="I245" i="3"/>
  <c r="D245" i="3"/>
  <c r="I293" i="3"/>
  <c r="D250" i="3"/>
  <c r="I250" i="3"/>
  <c r="P291" i="1"/>
  <c r="P356" i="1"/>
  <c r="E302" i="1"/>
  <c r="P421" i="1"/>
  <c r="J302" i="1"/>
  <c r="E18" i="3"/>
  <c r="F18" i="3"/>
  <c r="G18" i="3"/>
  <c r="H18" i="3"/>
  <c r="J18" i="3"/>
  <c r="K18" i="3"/>
  <c r="L18" i="3"/>
  <c r="M18" i="3"/>
  <c r="N18" i="3"/>
  <c r="O245" i="3" l="1"/>
  <c r="O250" i="3"/>
  <c r="O293" i="3"/>
  <c r="P302" i="1"/>
  <c r="N273" i="3"/>
  <c r="M273" i="3"/>
  <c r="L273" i="3"/>
  <c r="K273" i="3"/>
  <c r="J273" i="3"/>
  <c r="H273" i="3"/>
  <c r="G273" i="3"/>
  <c r="F273" i="3"/>
  <c r="E273" i="3"/>
  <c r="J55" i="1" l="1"/>
  <c r="E55" i="1"/>
  <c r="J24" i="1"/>
  <c r="E24" i="1"/>
  <c r="I18" i="3" l="1"/>
  <c r="I273" i="3"/>
  <c r="D273" i="3"/>
  <c r="P55" i="1"/>
  <c r="P24" i="1"/>
  <c r="D18" i="3"/>
  <c r="O18" i="3" l="1"/>
  <c r="O273" i="3"/>
  <c r="F274" i="1"/>
  <c r="G274" i="1"/>
  <c r="H274" i="1"/>
  <c r="I274" i="1"/>
  <c r="K274" i="1"/>
  <c r="L274" i="1"/>
  <c r="M274" i="1"/>
  <c r="N274" i="1"/>
  <c r="O274" i="1"/>
  <c r="E113" i="3" l="1"/>
  <c r="F113" i="3"/>
  <c r="G113" i="3"/>
  <c r="H113" i="3"/>
  <c r="J113" i="3"/>
  <c r="K113" i="3"/>
  <c r="L113" i="3"/>
  <c r="M113" i="3"/>
  <c r="N113" i="3"/>
  <c r="E192" i="1" l="1"/>
  <c r="J192" i="1"/>
  <c r="D192" i="1"/>
  <c r="I113" i="3" l="1"/>
  <c r="P192" i="1"/>
  <c r="D113" i="3"/>
  <c r="E272" i="3"/>
  <c r="F272" i="3"/>
  <c r="G272" i="3"/>
  <c r="H272" i="3"/>
  <c r="J272" i="3"/>
  <c r="K272" i="3"/>
  <c r="L272" i="3"/>
  <c r="M272" i="3"/>
  <c r="N272" i="3"/>
  <c r="F298" i="1"/>
  <c r="G298" i="1"/>
  <c r="H298" i="1"/>
  <c r="I298" i="1"/>
  <c r="K298" i="1"/>
  <c r="L298" i="1"/>
  <c r="M298" i="1"/>
  <c r="N298" i="1"/>
  <c r="O298" i="1"/>
  <c r="O113" i="3" l="1"/>
  <c r="D272" i="3"/>
  <c r="D266" i="3"/>
  <c r="J298" i="1"/>
  <c r="I266" i="3"/>
  <c r="E298" i="1"/>
  <c r="I272" i="3"/>
  <c r="E280" i="1"/>
  <c r="J280" i="1"/>
  <c r="E173" i="3"/>
  <c r="F173" i="3"/>
  <c r="G173" i="3"/>
  <c r="H173" i="3"/>
  <c r="J173" i="3"/>
  <c r="K173" i="3"/>
  <c r="L173" i="3"/>
  <c r="M173" i="3"/>
  <c r="N173" i="3"/>
  <c r="E174" i="3"/>
  <c r="E137" i="3" s="1"/>
  <c r="F174" i="3"/>
  <c r="F137" i="3" s="1"/>
  <c r="G174" i="3"/>
  <c r="G137" i="3" s="1"/>
  <c r="H174" i="3"/>
  <c r="H137" i="3" s="1"/>
  <c r="J174" i="3"/>
  <c r="J137" i="3" s="1"/>
  <c r="K174" i="3"/>
  <c r="K137" i="3" s="1"/>
  <c r="L174" i="3"/>
  <c r="L137" i="3" s="1"/>
  <c r="M174" i="3"/>
  <c r="M137" i="3" s="1"/>
  <c r="N174" i="3"/>
  <c r="N137" i="3" s="1"/>
  <c r="E177" i="3"/>
  <c r="F177" i="3"/>
  <c r="G177" i="3"/>
  <c r="H177" i="3"/>
  <c r="J177" i="3"/>
  <c r="K177" i="3"/>
  <c r="L177" i="3"/>
  <c r="M177" i="3"/>
  <c r="N177" i="3"/>
  <c r="E178" i="3"/>
  <c r="E139" i="3" s="1"/>
  <c r="F178" i="3"/>
  <c r="F139" i="3" s="1"/>
  <c r="G178" i="3"/>
  <c r="G139" i="3" s="1"/>
  <c r="H178" i="3"/>
  <c r="H139" i="3" s="1"/>
  <c r="J178" i="3"/>
  <c r="J139" i="3" s="1"/>
  <c r="K178" i="3"/>
  <c r="K139" i="3" s="1"/>
  <c r="L178" i="3"/>
  <c r="L139" i="3" s="1"/>
  <c r="M178" i="3"/>
  <c r="M139" i="3" s="1"/>
  <c r="N178" i="3"/>
  <c r="N139" i="3" s="1"/>
  <c r="E258" i="1"/>
  <c r="E257" i="1"/>
  <c r="D173" i="3" s="1"/>
  <c r="J258" i="1"/>
  <c r="J225" i="1" s="1"/>
  <c r="J257" i="1"/>
  <c r="E203" i="3"/>
  <c r="F203" i="3"/>
  <c r="G203" i="3"/>
  <c r="H203" i="3"/>
  <c r="J203" i="3"/>
  <c r="K203" i="3"/>
  <c r="L203" i="3"/>
  <c r="M203" i="3"/>
  <c r="N203" i="3"/>
  <c r="J261" i="1"/>
  <c r="J262" i="1"/>
  <c r="J227" i="1" s="1"/>
  <c r="E261" i="1"/>
  <c r="E262" i="1"/>
  <c r="E227" i="1" s="1"/>
  <c r="J25" i="1"/>
  <c r="J27" i="1"/>
  <c r="J28" i="1"/>
  <c r="I22" i="3" s="1"/>
  <c r="E28" i="1"/>
  <c r="D28" i="1"/>
  <c r="E22" i="3"/>
  <c r="F22" i="3"/>
  <c r="G22" i="3"/>
  <c r="H22" i="3"/>
  <c r="J22" i="3"/>
  <c r="K22" i="3"/>
  <c r="L22" i="3"/>
  <c r="M22" i="3"/>
  <c r="N22" i="3"/>
  <c r="K343" i="3" l="1"/>
  <c r="F343" i="3"/>
  <c r="J343" i="3"/>
  <c r="E343" i="3"/>
  <c r="F493" i="1" s="1"/>
  <c r="H343" i="3"/>
  <c r="I493" i="1" s="1"/>
  <c r="G343" i="3"/>
  <c r="H493" i="1" s="1"/>
  <c r="N343" i="3"/>
  <c r="O493" i="1" s="1"/>
  <c r="M343" i="3"/>
  <c r="L343" i="3"/>
  <c r="M493" i="1" s="1"/>
  <c r="L493" i="1"/>
  <c r="K493" i="1"/>
  <c r="N493" i="1"/>
  <c r="G493" i="1"/>
  <c r="E225" i="1"/>
  <c r="D174" i="3"/>
  <c r="D137" i="3" s="1"/>
  <c r="D22" i="3"/>
  <c r="O266" i="3"/>
  <c r="I173" i="3"/>
  <c r="I215" i="3"/>
  <c r="I203" i="3" s="1"/>
  <c r="I177" i="3"/>
  <c r="D177" i="3"/>
  <c r="I19" i="3"/>
  <c r="E274" i="1"/>
  <c r="D215" i="3"/>
  <c r="D203" i="3" s="1"/>
  <c r="N131" i="3"/>
  <c r="L131" i="3"/>
  <c r="J131" i="3"/>
  <c r="G131" i="3"/>
  <c r="E131" i="3"/>
  <c r="M131" i="3"/>
  <c r="K131" i="3"/>
  <c r="H131" i="3"/>
  <c r="F131" i="3"/>
  <c r="P298" i="1"/>
  <c r="O272" i="3"/>
  <c r="P280" i="1"/>
  <c r="J274" i="1"/>
  <c r="P258" i="1"/>
  <c r="P225" i="1" s="1"/>
  <c r="D178" i="3"/>
  <c r="D139" i="3" s="1"/>
  <c r="I174" i="3"/>
  <c r="I137" i="3" s="1"/>
  <c r="I178" i="3"/>
  <c r="I139" i="3" s="1"/>
  <c r="P257" i="1"/>
  <c r="P261" i="1"/>
  <c r="P262" i="1"/>
  <c r="P227" i="1" s="1"/>
  <c r="P28" i="1"/>
  <c r="D132" i="3" l="1"/>
  <c r="O177" i="3"/>
  <c r="P274" i="1"/>
  <c r="O215" i="3"/>
  <c r="D131" i="3"/>
  <c r="O174" i="3"/>
  <c r="O137" i="3" s="1"/>
  <c r="I131" i="3"/>
  <c r="O173" i="3"/>
  <c r="O178" i="3"/>
  <c r="O139" i="3" s="1"/>
  <c r="O22" i="3"/>
  <c r="O131" i="3" l="1"/>
  <c r="O203" i="3"/>
  <c r="J279" i="1"/>
  <c r="E279" i="1"/>
  <c r="E412" i="1"/>
  <c r="E410" i="1"/>
  <c r="N21" i="3"/>
  <c r="M21" i="3"/>
  <c r="L21" i="3"/>
  <c r="K21" i="3"/>
  <c r="J21" i="3"/>
  <c r="H21" i="3"/>
  <c r="G21" i="3"/>
  <c r="F21" i="3"/>
  <c r="E21" i="3"/>
  <c r="I21" i="3"/>
  <c r="E27" i="1"/>
  <c r="D257" i="3" l="1"/>
  <c r="D214" i="3"/>
  <c r="I214" i="3"/>
  <c r="P279" i="1"/>
  <c r="P27" i="1"/>
  <c r="D21" i="3"/>
  <c r="J218" i="1"/>
  <c r="E218" i="1"/>
  <c r="O214" i="3" l="1"/>
  <c r="O21" i="3"/>
  <c r="P218" i="1"/>
  <c r="J410" i="1" l="1"/>
  <c r="I257" i="3" l="1"/>
  <c r="P410" i="1"/>
  <c r="O257" i="3" l="1"/>
  <c r="J120" i="1"/>
  <c r="D75" i="3" l="1"/>
  <c r="I75" i="3"/>
  <c r="P120" i="1"/>
  <c r="O75" i="3" l="1"/>
  <c r="M277" i="3"/>
  <c r="L277" i="3"/>
  <c r="K277" i="3"/>
  <c r="H278" i="3"/>
  <c r="H277" i="3" s="1"/>
  <c r="G278" i="3"/>
  <c r="G277" i="3" s="1"/>
  <c r="F278" i="3"/>
  <c r="F277" i="3" s="1"/>
  <c r="J406" i="1" l="1"/>
  <c r="E406" i="1"/>
  <c r="E403" i="1"/>
  <c r="N277" i="3"/>
  <c r="J277" i="3"/>
  <c r="I249" i="3" l="1"/>
  <c r="P406" i="1"/>
  <c r="O178" i="1" l="1"/>
  <c r="N178" i="1"/>
  <c r="M178" i="1"/>
  <c r="L178" i="1"/>
  <c r="K178" i="1"/>
  <c r="I178" i="1"/>
  <c r="H178" i="1"/>
  <c r="G178" i="1"/>
  <c r="F178" i="1"/>
  <c r="J207" i="1"/>
  <c r="J208" i="1"/>
  <c r="E207" i="1"/>
  <c r="E208" i="1"/>
  <c r="J181" i="1" l="1"/>
  <c r="E178" i="1"/>
  <c r="E181" i="1"/>
  <c r="P208" i="1"/>
  <c r="P207" i="1"/>
  <c r="J178" i="1"/>
  <c r="P178" i="1" l="1"/>
  <c r="P181" i="1"/>
  <c r="D330" i="1"/>
  <c r="N286" i="3" l="1"/>
  <c r="M286" i="3"/>
  <c r="L286" i="3"/>
  <c r="K286" i="3"/>
  <c r="J286" i="3"/>
  <c r="H286" i="3"/>
  <c r="G286" i="3"/>
  <c r="F286" i="3"/>
  <c r="E286" i="3"/>
  <c r="F281" i="3" l="1"/>
  <c r="F226" i="3" s="1"/>
  <c r="F345" i="3" s="1"/>
  <c r="H281" i="3"/>
  <c r="H226" i="3" s="1"/>
  <c r="H345" i="3" s="1"/>
  <c r="K281" i="3"/>
  <c r="K226" i="3" s="1"/>
  <c r="K345" i="3" s="1"/>
  <c r="M281" i="3"/>
  <c r="M226" i="3" s="1"/>
  <c r="M345" i="3" s="1"/>
  <c r="E281" i="3"/>
  <c r="E226" i="3" s="1"/>
  <c r="E345" i="3" s="1"/>
  <c r="G281" i="3"/>
  <c r="G226" i="3" s="1"/>
  <c r="G345" i="3" s="1"/>
  <c r="L281" i="3"/>
  <c r="L226" i="3" s="1"/>
  <c r="L345" i="3" s="1"/>
  <c r="N281" i="3"/>
  <c r="N226" i="3" s="1"/>
  <c r="N345" i="3" s="1"/>
  <c r="J281" i="3"/>
  <c r="J226" i="3" s="1"/>
  <c r="J345" i="3" s="1"/>
  <c r="O183" i="1"/>
  <c r="N183" i="1"/>
  <c r="M183" i="1"/>
  <c r="L183" i="1"/>
  <c r="K183" i="1"/>
  <c r="I183" i="1"/>
  <c r="H183" i="1"/>
  <c r="G183" i="1"/>
  <c r="F183" i="1"/>
  <c r="O385" i="1"/>
  <c r="N385" i="1"/>
  <c r="M385" i="1"/>
  <c r="L385" i="1"/>
  <c r="K385" i="1"/>
  <c r="I385" i="1"/>
  <c r="H385" i="1"/>
  <c r="G385" i="1"/>
  <c r="F385" i="1"/>
  <c r="E385" i="1"/>
  <c r="H484" i="1" l="1"/>
  <c r="H495" i="1" s="1"/>
  <c r="N484" i="1"/>
  <c r="N495" i="1" s="1"/>
  <c r="F484" i="1"/>
  <c r="F495" i="1" s="1"/>
  <c r="O484" i="1"/>
  <c r="O495" i="1" s="1"/>
  <c r="G484" i="1"/>
  <c r="G495" i="1" s="1"/>
  <c r="I484" i="1"/>
  <c r="I495" i="1" s="1"/>
  <c r="K484" i="1"/>
  <c r="K495" i="1" s="1"/>
  <c r="L484" i="1"/>
  <c r="L495" i="1" s="1"/>
  <c r="M484" i="1"/>
  <c r="M495" i="1" s="1"/>
  <c r="E278" i="3" l="1"/>
  <c r="E277" i="3" s="1"/>
  <c r="M246" i="3" l="1"/>
  <c r="L246" i="3"/>
  <c r="K246" i="3"/>
  <c r="H246" i="3"/>
  <c r="G246" i="3"/>
  <c r="F246" i="3"/>
  <c r="E246" i="3"/>
  <c r="M242" i="3" l="1"/>
  <c r="L242" i="3"/>
  <c r="K242" i="3"/>
  <c r="H242" i="3"/>
  <c r="G242" i="3"/>
  <c r="F242" i="3"/>
  <c r="E242" i="3"/>
  <c r="M247" i="3"/>
  <c r="L247" i="3"/>
  <c r="K247" i="3"/>
  <c r="H247" i="3"/>
  <c r="G247" i="3"/>
  <c r="F247" i="3"/>
  <c r="E247" i="3"/>
  <c r="J267" i="1" l="1"/>
  <c r="E267" i="1"/>
  <c r="J205" i="1"/>
  <c r="E205" i="1"/>
  <c r="J50" i="1"/>
  <c r="D244" i="3" l="1"/>
  <c r="I244" i="3"/>
  <c r="P50" i="1"/>
  <c r="D246" i="3"/>
  <c r="P49" i="1"/>
  <c r="P205" i="1"/>
  <c r="P267" i="1"/>
  <c r="N247" i="3"/>
  <c r="J247" i="3"/>
  <c r="O244" i="3" l="1"/>
  <c r="E214" i="1"/>
  <c r="J214" i="1"/>
  <c r="P214" i="1" l="1"/>
  <c r="J183" i="1"/>
  <c r="D286" i="3"/>
  <c r="E183" i="1"/>
  <c r="E484" i="1" s="1"/>
  <c r="J412" i="1"/>
  <c r="J385" i="1" l="1"/>
  <c r="J484" i="1" s="1"/>
  <c r="D281" i="3"/>
  <c r="I286" i="3"/>
  <c r="P183" i="1"/>
  <c r="P412" i="1"/>
  <c r="P385" i="1" s="1"/>
  <c r="N181" i="3"/>
  <c r="M181" i="3"/>
  <c r="L181" i="3"/>
  <c r="K181" i="3"/>
  <c r="J181" i="3"/>
  <c r="H181" i="3"/>
  <c r="G181" i="3"/>
  <c r="F181" i="3"/>
  <c r="N165" i="3"/>
  <c r="M165" i="3"/>
  <c r="L165" i="3"/>
  <c r="K165" i="3"/>
  <c r="J165" i="3"/>
  <c r="H165" i="3"/>
  <c r="G165" i="3"/>
  <c r="F165" i="3"/>
  <c r="E165" i="3"/>
  <c r="N163" i="3"/>
  <c r="M163" i="3"/>
  <c r="L163" i="3"/>
  <c r="K163" i="3"/>
  <c r="J163" i="3"/>
  <c r="H163" i="3"/>
  <c r="G163" i="3"/>
  <c r="F163" i="3"/>
  <c r="E163" i="3"/>
  <c r="N150" i="3"/>
  <c r="M150" i="3"/>
  <c r="L150" i="3"/>
  <c r="K150" i="3"/>
  <c r="J150" i="3"/>
  <c r="H150" i="3"/>
  <c r="G150" i="3"/>
  <c r="F150" i="3"/>
  <c r="E150" i="3"/>
  <c r="N148" i="3"/>
  <c r="M148" i="3"/>
  <c r="L148" i="3"/>
  <c r="K148" i="3"/>
  <c r="J148" i="3"/>
  <c r="H148" i="3"/>
  <c r="G148" i="3"/>
  <c r="F148" i="3"/>
  <c r="E148" i="3"/>
  <c r="N144" i="3"/>
  <c r="M144" i="3"/>
  <c r="L144" i="3"/>
  <c r="K144" i="3"/>
  <c r="J144" i="3"/>
  <c r="H144" i="3"/>
  <c r="G144" i="3"/>
  <c r="F144" i="3"/>
  <c r="N123" i="3"/>
  <c r="M123" i="3"/>
  <c r="L123" i="3"/>
  <c r="K123" i="3"/>
  <c r="J123" i="3"/>
  <c r="H123" i="3"/>
  <c r="G123" i="3"/>
  <c r="F123" i="3"/>
  <c r="E123" i="3"/>
  <c r="N122" i="3"/>
  <c r="M122" i="3"/>
  <c r="L122" i="3"/>
  <c r="K122" i="3"/>
  <c r="J122" i="3"/>
  <c r="H122" i="3"/>
  <c r="G122" i="3"/>
  <c r="F122" i="3"/>
  <c r="E122" i="3"/>
  <c r="N120" i="3"/>
  <c r="M120" i="3"/>
  <c r="L120" i="3"/>
  <c r="K120" i="3"/>
  <c r="J120" i="3"/>
  <c r="H120" i="3"/>
  <c r="G120" i="3"/>
  <c r="F120" i="3"/>
  <c r="E120" i="3"/>
  <c r="N118" i="3"/>
  <c r="M118" i="3"/>
  <c r="L118" i="3"/>
  <c r="K118" i="3"/>
  <c r="J118" i="3"/>
  <c r="H118" i="3"/>
  <c r="G118" i="3"/>
  <c r="F118" i="3"/>
  <c r="E118" i="3"/>
  <c r="N115" i="3"/>
  <c r="M115" i="3"/>
  <c r="L115" i="3"/>
  <c r="K115" i="3"/>
  <c r="J115" i="3"/>
  <c r="I115" i="3"/>
  <c r="H115" i="3"/>
  <c r="G115" i="3"/>
  <c r="F115" i="3"/>
  <c r="E115" i="3"/>
  <c r="O177" i="1"/>
  <c r="N177" i="1"/>
  <c r="M177" i="1"/>
  <c r="L177" i="1"/>
  <c r="K177" i="1"/>
  <c r="I177" i="1"/>
  <c r="H177" i="1"/>
  <c r="G177" i="1"/>
  <c r="F177" i="1"/>
  <c r="P484" i="1" l="1"/>
  <c r="F133" i="3"/>
  <c r="H133" i="3"/>
  <c r="K133" i="3"/>
  <c r="M133" i="3"/>
  <c r="G133" i="3"/>
  <c r="J133" i="3"/>
  <c r="L133" i="3"/>
  <c r="N133" i="3"/>
  <c r="D226" i="3"/>
  <c r="I281" i="3"/>
  <c r="I226" i="3" s="1"/>
  <c r="O286" i="3"/>
  <c r="I345" i="3" l="1"/>
  <c r="J495" i="1" s="1"/>
  <c r="D345" i="3"/>
  <c r="E495" i="1" s="1"/>
  <c r="O281" i="3"/>
  <c r="O226" i="3" s="1"/>
  <c r="O345" i="3" l="1"/>
  <c r="P495" i="1" s="1"/>
  <c r="O179" i="1"/>
  <c r="N179" i="1"/>
  <c r="M179" i="1"/>
  <c r="L179" i="1"/>
  <c r="K179" i="1"/>
  <c r="I179" i="1"/>
  <c r="H179" i="1"/>
  <c r="G179" i="1"/>
  <c r="O180" i="1" l="1"/>
  <c r="N180" i="1"/>
  <c r="M180" i="1"/>
  <c r="L180" i="1"/>
  <c r="I180" i="1"/>
  <c r="H180" i="1"/>
  <c r="G180" i="1"/>
  <c r="J197" i="1"/>
  <c r="E197" i="1"/>
  <c r="E194" i="1"/>
  <c r="P194" i="1" l="1"/>
  <c r="O115" i="3" s="1"/>
  <c r="D118" i="3"/>
  <c r="I118" i="3"/>
  <c r="E182" i="1"/>
  <c r="J182" i="1"/>
  <c r="F179" i="1"/>
  <c r="D115" i="3"/>
  <c r="E177" i="1"/>
  <c r="J177" i="1"/>
  <c r="P197" i="1"/>
  <c r="O118" i="3" l="1"/>
  <c r="P182" i="1"/>
  <c r="P177" i="1"/>
  <c r="N265" i="3"/>
  <c r="M265" i="3"/>
  <c r="L265" i="3"/>
  <c r="K265" i="3"/>
  <c r="J265" i="3"/>
  <c r="H265" i="3"/>
  <c r="G265" i="3"/>
  <c r="F265" i="3"/>
  <c r="E265" i="3"/>
  <c r="F219" i="3" l="1"/>
  <c r="H219" i="3"/>
  <c r="K219" i="3"/>
  <c r="M219" i="3"/>
  <c r="E219" i="3"/>
  <c r="G219" i="3"/>
  <c r="J219" i="3"/>
  <c r="L219" i="3"/>
  <c r="N219" i="3"/>
  <c r="J265" i="1"/>
  <c r="J249" i="1"/>
  <c r="E249" i="1"/>
  <c r="J247" i="1"/>
  <c r="E247" i="1"/>
  <c r="J240" i="1"/>
  <c r="E240" i="1"/>
  <c r="J238" i="1"/>
  <c r="E238" i="1"/>
  <c r="J234" i="1"/>
  <c r="J202" i="1"/>
  <c r="E202" i="1"/>
  <c r="J201" i="1"/>
  <c r="E201" i="1"/>
  <c r="J199" i="1"/>
  <c r="E199" i="1"/>
  <c r="J119" i="1"/>
  <c r="D74" i="3"/>
  <c r="J102" i="1"/>
  <c r="E84" i="1"/>
  <c r="E482" i="1" s="1"/>
  <c r="J101" i="1"/>
  <c r="E78" i="1"/>
  <c r="E480" i="1" s="1"/>
  <c r="J97" i="1"/>
  <c r="J222" i="1" l="1"/>
  <c r="D254" i="3"/>
  <c r="D232" i="3" s="1"/>
  <c r="I50" i="3"/>
  <c r="I56" i="3"/>
  <c r="I30" i="3" s="1"/>
  <c r="I120" i="3"/>
  <c r="I123" i="3"/>
  <c r="D150" i="3"/>
  <c r="D165" i="3"/>
  <c r="I254" i="3"/>
  <c r="I232" i="3" s="1"/>
  <c r="I150" i="3"/>
  <c r="I148" i="3"/>
  <c r="I163" i="3"/>
  <c r="I165" i="3"/>
  <c r="J78" i="1"/>
  <c r="J480" i="1" s="1"/>
  <c r="I74" i="3"/>
  <c r="D148" i="3"/>
  <c r="D163" i="3"/>
  <c r="I181" i="3"/>
  <c r="P133" i="1"/>
  <c r="P86" i="1" s="1"/>
  <c r="D56" i="3"/>
  <c r="D30" i="3" s="1"/>
  <c r="I55" i="3"/>
  <c r="I24" i="3" s="1"/>
  <c r="I341" i="3" s="1"/>
  <c r="D55" i="3"/>
  <c r="D24" i="3" s="1"/>
  <c r="D341" i="3" s="1"/>
  <c r="J299" i="1"/>
  <c r="E299" i="1"/>
  <c r="D123" i="3"/>
  <c r="E180" i="1"/>
  <c r="D120" i="3"/>
  <c r="I88" i="3"/>
  <c r="I32" i="3" s="1"/>
  <c r="D88" i="3"/>
  <c r="D32" i="3" s="1"/>
  <c r="J84" i="1"/>
  <c r="J482" i="1" s="1"/>
  <c r="E234" i="1"/>
  <c r="E144" i="3"/>
  <c r="E265" i="1"/>
  <c r="E181" i="3"/>
  <c r="I144" i="3"/>
  <c r="E179" i="1"/>
  <c r="D122" i="3"/>
  <c r="J179" i="1"/>
  <c r="I122" i="3"/>
  <c r="J180" i="1"/>
  <c r="D50" i="3"/>
  <c r="P238" i="1"/>
  <c r="P240" i="1"/>
  <c r="P247" i="1"/>
  <c r="P249" i="1"/>
  <c r="P199" i="1"/>
  <c r="P201" i="1"/>
  <c r="P202" i="1"/>
  <c r="P101" i="1"/>
  <c r="P102" i="1"/>
  <c r="P119" i="1"/>
  <c r="I343" i="3" l="1"/>
  <c r="J493" i="1" s="1"/>
  <c r="D343" i="3"/>
  <c r="E493" i="1" s="1"/>
  <c r="E491" i="1"/>
  <c r="J491" i="1"/>
  <c r="E222" i="1"/>
  <c r="O150" i="3"/>
  <c r="O120" i="3"/>
  <c r="O254" i="3"/>
  <c r="O232" i="3" s="1"/>
  <c r="O148" i="3"/>
  <c r="O165" i="3"/>
  <c r="I133" i="3"/>
  <c r="O123" i="3"/>
  <c r="O163" i="3"/>
  <c r="O74" i="3"/>
  <c r="O56" i="3"/>
  <c r="O30" i="3" s="1"/>
  <c r="P78" i="1"/>
  <c r="P480" i="1" s="1"/>
  <c r="O55" i="3"/>
  <c r="O24" i="3" s="1"/>
  <c r="O341" i="3" s="1"/>
  <c r="E133" i="3"/>
  <c r="D144" i="3"/>
  <c r="P299" i="1"/>
  <c r="P265" i="1"/>
  <c r="O88" i="3"/>
  <c r="O32" i="3" s="1"/>
  <c r="P84" i="1"/>
  <c r="P482" i="1" s="1"/>
  <c r="D181" i="3"/>
  <c r="P234" i="1"/>
  <c r="P179" i="1"/>
  <c r="O122" i="3"/>
  <c r="P97" i="1"/>
  <c r="P180" i="1"/>
  <c r="O343" i="3" l="1"/>
  <c r="P491" i="1"/>
  <c r="O181" i="3"/>
  <c r="O50" i="3"/>
  <c r="P222" i="1"/>
  <c r="D133" i="3"/>
  <c r="O144" i="3"/>
  <c r="C305" i="3"/>
  <c r="N312" i="3"/>
  <c r="M312" i="3"/>
  <c r="L312" i="3"/>
  <c r="K312" i="3"/>
  <c r="J312" i="3"/>
  <c r="H312" i="3"/>
  <c r="G312" i="3"/>
  <c r="F312" i="3"/>
  <c r="E312" i="3"/>
  <c r="D68" i="1"/>
  <c r="J68" i="1"/>
  <c r="E68" i="1"/>
  <c r="P493" i="1" l="1"/>
  <c r="J18" i="1"/>
  <c r="J483" i="1" s="1"/>
  <c r="E18" i="1"/>
  <c r="E483" i="1" s="1"/>
  <c r="O133" i="3"/>
  <c r="E305" i="3"/>
  <c r="E301" i="3" s="1"/>
  <c r="E344" i="3" s="1"/>
  <c r="F305" i="3"/>
  <c r="F301" i="3" s="1"/>
  <c r="F344" i="3" s="1"/>
  <c r="K305" i="3"/>
  <c r="K301" i="3" s="1"/>
  <c r="K344" i="3" s="1"/>
  <c r="M305" i="3"/>
  <c r="M301" i="3" s="1"/>
  <c r="M344" i="3" s="1"/>
  <c r="H305" i="3"/>
  <c r="H301" i="3" s="1"/>
  <c r="H344" i="3" s="1"/>
  <c r="G305" i="3"/>
  <c r="G301" i="3" s="1"/>
  <c r="G344" i="3" s="1"/>
  <c r="J305" i="3"/>
  <c r="J301" i="3" s="1"/>
  <c r="J344" i="3" s="1"/>
  <c r="L305" i="3"/>
  <c r="L301" i="3" s="1"/>
  <c r="L344" i="3" s="1"/>
  <c r="N305" i="3"/>
  <c r="N301" i="3" s="1"/>
  <c r="N344" i="3" s="1"/>
  <c r="I312" i="3"/>
  <c r="P68" i="1"/>
  <c r="P18" i="1" s="1"/>
  <c r="P483" i="1" s="1"/>
  <c r="D312" i="3"/>
  <c r="H494" i="1" l="1"/>
  <c r="I494" i="1"/>
  <c r="K494" i="1"/>
  <c r="L494" i="1"/>
  <c r="G494" i="1"/>
  <c r="O494" i="1"/>
  <c r="N494" i="1"/>
  <c r="F494" i="1"/>
  <c r="M494" i="1"/>
  <c r="I305" i="3"/>
  <c r="I301" i="3" s="1"/>
  <c r="I344" i="3" s="1"/>
  <c r="D305" i="3"/>
  <c r="D301" i="3" s="1"/>
  <c r="D344" i="3" s="1"/>
  <c r="O312" i="3"/>
  <c r="E494" i="1" l="1"/>
  <c r="J494" i="1"/>
  <c r="O305" i="3"/>
  <c r="O301" i="3" s="1"/>
  <c r="O344" i="3" s="1"/>
  <c r="E204" i="1"/>
  <c r="J75" i="1"/>
  <c r="P494" i="1" l="1"/>
  <c r="I339" i="3"/>
  <c r="D339" i="3"/>
  <c r="P75" i="1"/>
  <c r="O339" i="3" l="1"/>
  <c r="E330" i="1"/>
  <c r="C330" i="1"/>
  <c r="D249" i="3" l="1"/>
  <c r="P330" i="1"/>
  <c r="O249" i="3" s="1"/>
  <c r="J246" i="3" l="1"/>
  <c r="E308" i="3" l="1"/>
  <c r="F308" i="3"/>
  <c r="G308" i="3"/>
  <c r="H308" i="3"/>
  <c r="J308" i="3"/>
  <c r="K308" i="3"/>
  <c r="L308" i="3"/>
  <c r="M308" i="3"/>
  <c r="N308" i="3"/>
  <c r="E360" i="1"/>
  <c r="C360" i="1"/>
  <c r="D360" i="1"/>
  <c r="B360" i="1"/>
  <c r="P360" i="1" l="1"/>
  <c r="E315" i="3" l="1"/>
  <c r="E313" i="3" s="1"/>
  <c r="F315" i="3"/>
  <c r="F313" i="3" s="1"/>
  <c r="G315" i="3"/>
  <c r="G313" i="3" s="1"/>
  <c r="H315" i="3"/>
  <c r="H313" i="3" s="1"/>
  <c r="J315" i="3"/>
  <c r="J313" i="3" s="1"/>
  <c r="K315" i="3"/>
  <c r="K313" i="3" s="1"/>
  <c r="L315" i="3"/>
  <c r="L313" i="3" s="1"/>
  <c r="M315" i="3"/>
  <c r="M313" i="3" s="1"/>
  <c r="N315" i="3"/>
  <c r="N313" i="3" s="1"/>
  <c r="C363" i="1"/>
  <c r="D363" i="1"/>
  <c r="B363" i="1"/>
  <c r="E271" i="3" l="1"/>
  <c r="F271" i="3"/>
  <c r="G271" i="3"/>
  <c r="H271" i="3"/>
  <c r="J271" i="3"/>
  <c r="K271" i="3"/>
  <c r="L271" i="3"/>
  <c r="M271" i="3"/>
  <c r="N271" i="3"/>
  <c r="E52" i="1"/>
  <c r="E54" i="1"/>
  <c r="J51" i="1"/>
  <c r="I268" i="3" s="1"/>
  <c r="J52" i="1"/>
  <c r="I269" i="3" s="1"/>
  <c r="J54" i="1"/>
  <c r="C52" i="1"/>
  <c r="D52" i="1"/>
  <c r="D54" i="1"/>
  <c r="B54" i="1"/>
  <c r="B52" i="1"/>
  <c r="D269" i="3" l="1"/>
  <c r="I271" i="3"/>
  <c r="D271" i="3"/>
  <c r="P54" i="1"/>
  <c r="P52" i="1"/>
  <c r="O269" i="3" s="1"/>
  <c r="O271" i="3" l="1"/>
  <c r="N242" i="3"/>
  <c r="J242" i="3" l="1"/>
  <c r="D275" i="3" l="1"/>
  <c r="D264" i="3" s="1"/>
  <c r="I275" i="3" l="1"/>
  <c r="P347" i="1"/>
  <c r="N251" i="3"/>
  <c r="M251" i="3"/>
  <c r="L251" i="3"/>
  <c r="K251" i="3"/>
  <c r="J251" i="3"/>
  <c r="H251" i="3"/>
  <c r="G251" i="3"/>
  <c r="F251" i="3"/>
  <c r="E251" i="3"/>
  <c r="J206" i="1"/>
  <c r="E206" i="1"/>
  <c r="D206" i="1"/>
  <c r="C206" i="1"/>
  <c r="B206" i="1"/>
  <c r="D407" i="1"/>
  <c r="C407" i="1"/>
  <c r="B407" i="1"/>
  <c r="D331" i="1"/>
  <c r="C331" i="1"/>
  <c r="B331" i="1"/>
  <c r="O275" i="3" l="1"/>
  <c r="P206" i="1"/>
  <c r="J407" i="1"/>
  <c r="E407" i="1"/>
  <c r="D251" i="3" l="1"/>
  <c r="P407" i="1"/>
  <c r="I251" i="3"/>
  <c r="O251" i="3" l="1"/>
  <c r="K432" i="1"/>
  <c r="J414" i="1" l="1"/>
  <c r="E414" i="1"/>
  <c r="P414" i="1" l="1"/>
  <c r="J408" i="1" l="1"/>
  <c r="E408" i="1"/>
  <c r="D253" i="3" l="1"/>
  <c r="I253" i="3"/>
  <c r="P408" i="1"/>
  <c r="O253" i="3" s="1"/>
  <c r="J216" i="1" l="1"/>
  <c r="E216" i="1"/>
  <c r="P216" i="1" l="1"/>
  <c r="D232" i="1"/>
  <c r="B403" i="1" l="1"/>
  <c r="J403" i="1"/>
  <c r="I246" i="3" l="1"/>
  <c r="P403" i="1"/>
  <c r="O246" i="3" l="1"/>
  <c r="D271" i="1"/>
  <c r="G432" i="1"/>
  <c r="H432" i="1"/>
  <c r="L432" i="1"/>
  <c r="M432" i="1"/>
  <c r="N432" i="1"/>
  <c r="O432" i="1"/>
  <c r="G174" i="1"/>
  <c r="H174" i="1"/>
  <c r="I174" i="1"/>
  <c r="L174" i="1"/>
  <c r="M174" i="1"/>
  <c r="N174" i="1"/>
  <c r="I432" i="1" l="1"/>
  <c r="F432" i="1" l="1"/>
  <c r="F174" i="1"/>
  <c r="D371" i="1" l="1"/>
  <c r="O174" i="1" l="1"/>
  <c r="K174" i="1"/>
  <c r="J293" i="1"/>
  <c r="E293" i="1"/>
  <c r="C293" i="1"/>
  <c r="D293" i="1"/>
  <c r="B293" i="1"/>
  <c r="P293" i="1" l="1"/>
  <c r="E14" i="3"/>
  <c r="F14" i="3"/>
  <c r="G14" i="3"/>
  <c r="H14" i="3"/>
  <c r="J14" i="3"/>
  <c r="K14" i="3"/>
  <c r="L14" i="3"/>
  <c r="M14" i="3"/>
  <c r="N14" i="3"/>
  <c r="E114" i="3"/>
  <c r="F114" i="3"/>
  <c r="G114" i="3"/>
  <c r="H114" i="3"/>
  <c r="J114" i="3"/>
  <c r="K114" i="3"/>
  <c r="L114" i="3"/>
  <c r="M114" i="3"/>
  <c r="N114" i="3"/>
  <c r="E117" i="3"/>
  <c r="F117" i="3"/>
  <c r="G117" i="3"/>
  <c r="H117" i="3"/>
  <c r="J117" i="3"/>
  <c r="K117" i="3"/>
  <c r="L117" i="3"/>
  <c r="M117" i="3"/>
  <c r="N117" i="3"/>
  <c r="E119" i="3"/>
  <c r="F119" i="3"/>
  <c r="G119" i="3"/>
  <c r="H119" i="3"/>
  <c r="J119" i="3"/>
  <c r="K119" i="3"/>
  <c r="L119" i="3"/>
  <c r="M119" i="3"/>
  <c r="N119" i="3"/>
  <c r="E121" i="3"/>
  <c r="F121" i="3"/>
  <c r="G121" i="3"/>
  <c r="H121" i="3"/>
  <c r="J121" i="3"/>
  <c r="K121" i="3"/>
  <c r="L121" i="3"/>
  <c r="M121" i="3"/>
  <c r="N121" i="3"/>
  <c r="E124" i="3"/>
  <c r="F124" i="3"/>
  <c r="G124" i="3"/>
  <c r="H124" i="3"/>
  <c r="J124" i="3"/>
  <c r="K124" i="3"/>
  <c r="L124" i="3"/>
  <c r="M124" i="3"/>
  <c r="N124" i="3"/>
  <c r="E125" i="3"/>
  <c r="F125" i="3"/>
  <c r="G125" i="3"/>
  <c r="H125" i="3"/>
  <c r="J125" i="3"/>
  <c r="K125" i="3"/>
  <c r="L125" i="3"/>
  <c r="M125" i="3"/>
  <c r="N125" i="3"/>
  <c r="E141" i="3"/>
  <c r="F141" i="3"/>
  <c r="G141" i="3"/>
  <c r="H141" i="3"/>
  <c r="K141" i="3"/>
  <c r="L141" i="3"/>
  <c r="M141" i="3"/>
  <c r="E142" i="3"/>
  <c r="F142" i="3"/>
  <c r="G142" i="3"/>
  <c r="H142" i="3"/>
  <c r="J142" i="3"/>
  <c r="K142" i="3"/>
  <c r="L142" i="3"/>
  <c r="M142" i="3"/>
  <c r="N142" i="3"/>
  <c r="E143" i="3"/>
  <c r="F143" i="3"/>
  <c r="G143" i="3"/>
  <c r="H143" i="3"/>
  <c r="J143" i="3"/>
  <c r="K143" i="3"/>
  <c r="L143" i="3"/>
  <c r="M143" i="3"/>
  <c r="N143" i="3"/>
  <c r="E145" i="3"/>
  <c r="F145" i="3"/>
  <c r="G145" i="3"/>
  <c r="H145" i="3"/>
  <c r="J145" i="3"/>
  <c r="K145" i="3"/>
  <c r="L145" i="3"/>
  <c r="M145" i="3"/>
  <c r="N145" i="3"/>
  <c r="E146" i="3"/>
  <c r="F146" i="3"/>
  <c r="G146" i="3"/>
  <c r="H146" i="3"/>
  <c r="J146" i="3"/>
  <c r="K146" i="3"/>
  <c r="L146" i="3"/>
  <c r="M146" i="3"/>
  <c r="N146" i="3"/>
  <c r="E147" i="3"/>
  <c r="F147" i="3"/>
  <c r="G147" i="3"/>
  <c r="H147" i="3"/>
  <c r="J147" i="3"/>
  <c r="K147" i="3"/>
  <c r="L147" i="3"/>
  <c r="M147" i="3"/>
  <c r="N147" i="3"/>
  <c r="E149" i="3"/>
  <c r="F149" i="3"/>
  <c r="G149" i="3"/>
  <c r="H149" i="3"/>
  <c r="J149" i="3"/>
  <c r="K149" i="3"/>
  <c r="L149" i="3"/>
  <c r="M149" i="3"/>
  <c r="N149" i="3"/>
  <c r="E151" i="3"/>
  <c r="F151" i="3"/>
  <c r="G151" i="3"/>
  <c r="H151" i="3"/>
  <c r="J151" i="3"/>
  <c r="K151" i="3"/>
  <c r="L151" i="3"/>
  <c r="M151" i="3"/>
  <c r="N151" i="3"/>
  <c r="E152" i="3"/>
  <c r="F152" i="3"/>
  <c r="G152" i="3"/>
  <c r="H152" i="3"/>
  <c r="J152" i="3"/>
  <c r="K152" i="3"/>
  <c r="L152" i="3"/>
  <c r="M152" i="3"/>
  <c r="N152" i="3"/>
  <c r="E153" i="3"/>
  <c r="F153" i="3"/>
  <c r="G153" i="3"/>
  <c r="H153" i="3"/>
  <c r="J153" i="3"/>
  <c r="K153" i="3"/>
  <c r="L153" i="3"/>
  <c r="M153" i="3"/>
  <c r="N153" i="3"/>
  <c r="E154" i="3"/>
  <c r="F154" i="3"/>
  <c r="G154" i="3"/>
  <c r="H154" i="3"/>
  <c r="J154" i="3"/>
  <c r="K154" i="3"/>
  <c r="L154" i="3"/>
  <c r="M154" i="3"/>
  <c r="N154" i="3"/>
  <c r="E156" i="3"/>
  <c r="F156" i="3"/>
  <c r="G156" i="3"/>
  <c r="H156" i="3"/>
  <c r="J156" i="3"/>
  <c r="K156" i="3"/>
  <c r="L156" i="3"/>
  <c r="M156" i="3"/>
  <c r="N156" i="3"/>
  <c r="E159" i="3"/>
  <c r="F159" i="3"/>
  <c r="G159" i="3"/>
  <c r="H159" i="3"/>
  <c r="J159" i="3"/>
  <c r="K159" i="3"/>
  <c r="L159" i="3"/>
  <c r="M159" i="3"/>
  <c r="N159" i="3"/>
  <c r="E162" i="3"/>
  <c r="F162" i="3"/>
  <c r="G162" i="3"/>
  <c r="H162" i="3"/>
  <c r="J162" i="3"/>
  <c r="K162" i="3"/>
  <c r="L162" i="3"/>
  <c r="M162" i="3"/>
  <c r="N162" i="3"/>
  <c r="E164" i="3"/>
  <c r="F164" i="3"/>
  <c r="G164" i="3"/>
  <c r="H164" i="3"/>
  <c r="J164" i="3"/>
  <c r="K164" i="3"/>
  <c r="L164" i="3"/>
  <c r="M164" i="3"/>
  <c r="N164" i="3"/>
  <c r="F166" i="3"/>
  <c r="G166" i="3"/>
  <c r="H166" i="3"/>
  <c r="J166" i="3"/>
  <c r="K166" i="3"/>
  <c r="L166" i="3"/>
  <c r="M166" i="3"/>
  <c r="N166" i="3"/>
  <c r="E167" i="3"/>
  <c r="F167" i="3"/>
  <c r="G167" i="3"/>
  <c r="H167" i="3"/>
  <c r="J167" i="3"/>
  <c r="K167" i="3"/>
  <c r="L167" i="3"/>
  <c r="M167" i="3"/>
  <c r="N167" i="3"/>
  <c r="E168" i="3"/>
  <c r="F168" i="3"/>
  <c r="G168" i="3"/>
  <c r="H168" i="3"/>
  <c r="J168" i="3"/>
  <c r="K168" i="3"/>
  <c r="L168" i="3"/>
  <c r="M168" i="3"/>
  <c r="N168" i="3"/>
  <c r="E171" i="3"/>
  <c r="F171" i="3"/>
  <c r="G171" i="3"/>
  <c r="H171" i="3"/>
  <c r="J171" i="3"/>
  <c r="K171" i="3"/>
  <c r="L171" i="3"/>
  <c r="M171" i="3"/>
  <c r="N171" i="3"/>
  <c r="E172" i="3"/>
  <c r="F172" i="3"/>
  <c r="G172" i="3"/>
  <c r="H172" i="3"/>
  <c r="J172" i="3"/>
  <c r="K172" i="3"/>
  <c r="L172" i="3"/>
  <c r="M172" i="3"/>
  <c r="N172" i="3"/>
  <c r="E179" i="3"/>
  <c r="F179" i="3"/>
  <c r="G179" i="3"/>
  <c r="H179" i="3"/>
  <c r="J179" i="3"/>
  <c r="K179" i="3"/>
  <c r="L179" i="3"/>
  <c r="M179" i="3"/>
  <c r="N179" i="3"/>
  <c r="E185" i="3"/>
  <c r="F185" i="3"/>
  <c r="G185" i="3"/>
  <c r="H185" i="3"/>
  <c r="J185" i="3"/>
  <c r="K185" i="3"/>
  <c r="L185" i="3"/>
  <c r="M185" i="3"/>
  <c r="N185" i="3"/>
  <c r="E186" i="3"/>
  <c r="F186" i="3"/>
  <c r="G186" i="3"/>
  <c r="H186" i="3"/>
  <c r="J186" i="3"/>
  <c r="K186" i="3"/>
  <c r="L186" i="3"/>
  <c r="M186" i="3"/>
  <c r="N186" i="3"/>
  <c r="E188" i="3"/>
  <c r="F188" i="3"/>
  <c r="G188" i="3"/>
  <c r="H188" i="3"/>
  <c r="J188" i="3"/>
  <c r="K188" i="3"/>
  <c r="L188" i="3"/>
  <c r="M188" i="3"/>
  <c r="N188" i="3"/>
  <c r="E189" i="3"/>
  <c r="F189" i="3"/>
  <c r="G189" i="3"/>
  <c r="H189" i="3"/>
  <c r="J189" i="3"/>
  <c r="K189" i="3"/>
  <c r="L189" i="3"/>
  <c r="M189" i="3"/>
  <c r="N189" i="3"/>
  <c r="E193" i="3"/>
  <c r="F193" i="3"/>
  <c r="G193" i="3"/>
  <c r="H193" i="3"/>
  <c r="J193" i="3"/>
  <c r="K193" i="3"/>
  <c r="L193" i="3"/>
  <c r="M193" i="3"/>
  <c r="N193" i="3"/>
  <c r="E194" i="3"/>
  <c r="F194" i="3"/>
  <c r="G194" i="3"/>
  <c r="H194" i="3"/>
  <c r="J194" i="3"/>
  <c r="K194" i="3"/>
  <c r="L194" i="3"/>
  <c r="M194" i="3"/>
  <c r="N194" i="3"/>
  <c r="E198" i="3"/>
  <c r="F198" i="3"/>
  <c r="G198" i="3"/>
  <c r="H198" i="3"/>
  <c r="J198" i="3"/>
  <c r="K198" i="3"/>
  <c r="L198" i="3"/>
  <c r="M198" i="3"/>
  <c r="N198" i="3"/>
  <c r="F199" i="3"/>
  <c r="G199" i="3"/>
  <c r="H199" i="3"/>
  <c r="J199" i="3"/>
  <c r="K199" i="3"/>
  <c r="L199" i="3"/>
  <c r="M199" i="3"/>
  <c r="N199" i="3"/>
  <c r="E200" i="3"/>
  <c r="F200" i="3"/>
  <c r="G200" i="3"/>
  <c r="H200" i="3"/>
  <c r="J200" i="3"/>
  <c r="K200" i="3"/>
  <c r="L200" i="3"/>
  <c r="M200" i="3"/>
  <c r="N200" i="3"/>
  <c r="E204" i="3"/>
  <c r="F204" i="3"/>
  <c r="G204" i="3"/>
  <c r="H204" i="3"/>
  <c r="J204" i="3"/>
  <c r="K204" i="3"/>
  <c r="L204" i="3"/>
  <c r="M204" i="3"/>
  <c r="N204" i="3"/>
  <c r="E205" i="3"/>
  <c r="F205" i="3"/>
  <c r="G205" i="3"/>
  <c r="H205" i="3"/>
  <c r="J205" i="3"/>
  <c r="K205" i="3"/>
  <c r="L205" i="3"/>
  <c r="M205" i="3"/>
  <c r="N205" i="3"/>
  <c r="E208" i="3"/>
  <c r="F208" i="3"/>
  <c r="E209" i="3"/>
  <c r="F209" i="3"/>
  <c r="G209" i="3"/>
  <c r="H209" i="3"/>
  <c r="J209" i="3"/>
  <c r="K209" i="3"/>
  <c r="L209" i="3"/>
  <c r="M209" i="3"/>
  <c r="N209" i="3"/>
  <c r="E212" i="3"/>
  <c r="F212" i="3"/>
  <c r="G212" i="3"/>
  <c r="H212" i="3"/>
  <c r="K212" i="3"/>
  <c r="L212" i="3"/>
  <c r="M212" i="3"/>
  <c r="N212" i="3"/>
  <c r="E216" i="3"/>
  <c r="F216" i="3"/>
  <c r="G216" i="3"/>
  <c r="H216" i="3"/>
  <c r="J216" i="3"/>
  <c r="K216" i="3"/>
  <c r="L216" i="3"/>
  <c r="M216" i="3"/>
  <c r="N216" i="3"/>
  <c r="E229" i="3"/>
  <c r="F229" i="3"/>
  <c r="G229" i="3"/>
  <c r="H229" i="3"/>
  <c r="J229" i="3"/>
  <c r="K229" i="3"/>
  <c r="L229" i="3"/>
  <c r="M229" i="3"/>
  <c r="N229" i="3"/>
  <c r="E237" i="3"/>
  <c r="E231" i="3" s="1"/>
  <c r="F237" i="3"/>
  <c r="F231" i="3" s="1"/>
  <c r="G237" i="3"/>
  <c r="G231" i="3" s="1"/>
  <c r="H237" i="3"/>
  <c r="H231" i="3" s="1"/>
  <c r="J237" i="3"/>
  <c r="J231" i="3" s="1"/>
  <c r="K237" i="3"/>
  <c r="K231" i="3" s="1"/>
  <c r="L237" i="3"/>
  <c r="L231" i="3" s="1"/>
  <c r="M237" i="3"/>
  <c r="M231" i="3" s="1"/>
  <c r="N237" i="3"/>
  <c r="N231" i="3" s="1"/>
  <c r="E252" i="3"/>
  <c r="F252" i="3"/>
  <c r="G252" i="3"/>
  <c r="H252" i="3"/>
  <c r="J252" i="3"/>
  <c r="K252" i="3"/>
  <c r="L252" i="3"/>
  <c r="M252" i="3"/>
  <c r="N252" i="3"/>
  <c r="E264" i="3"/>
  <c r="F264" i="3"/>
  <c r="G264" i="3"/>
  <c r="H264" i="3"/>
  <c r="J264" i="3"/>
  <c r="K264" i="3"/>
  <c r="L264" i="3"/>
  <c r="M264" i="3"/>
  <c r="N264" i="3"/>
  <c r="F294" i="3"/>
  <c r="G294" i="3"/>
  <c r="H294" i="3"/>
  <c r="J294" i="3"/>
  <c r="J279" i="3" s="1"/>
  <c r="K294" i="3"/>
  <c r="K279" i="3" s="1"/>
  <c r="L294" i="3"/>
  <c r="L279" i="3" s="1"/>
  <c r="M294" i="3"/>
  <c r="N294" i="3"/>
  <c r="N279" i="3" s="1"/>
  <c r="E311" i="3"/>
  <c r="F311" i="3"/>
  <c r="G311" i="3"/>
  <c r="H311" i="3"/>
  <c r="J311" i="3"/>
  <c r="K311" i="3"/>
  <c r="L311" i="3"/>
  <c r="M311" i="3"/>
  <c r="N311" i="3"/>
  <c r="E323" i="3"/>
  <c r="E322" i="3" s="1"/>
  <c r="F323" i="3"/>
  <c r="F322" i="3" s="1"/>
  <c r="G323" i="3"/>
  <c r="G322" i="3" s="1"/>
  <c r="H323" i="3"/>
  <c r="H322" i="3" s="1"/>
  <c r="J323" i="3"/>
  <c r="J322" i="3" s="1"/>
  <c r="K323" i="3"/>
  <c r="K322" i="3" s="1"/>
  <c r="L323" i="3"/>
  <c r="L322" i="3" s="1"/>
  <c r="M323" i="3"/>
  <c r="M322" i="3" s="1"/>
  <c r="N323" i="3"/>
  <c r="N322" i="3" s="1"/>
  <c r="E324" i="3"/>
  <c r="F324" i="3"/>
  <c r="G324" i="3"/>
  <c r="H324" i="3"/>
  <c r="J324" i="3"/>
  <c r="K324" i="3"/>
  <c r="L324" i="3"/>
  <c r="M324" i="3"/>
  <c r="N324" i="3"/>
  <c r="D326" i="3"/>
  <c r="D325" i="3" s="1"/>
  <c r="E326" i="3"/>
  <c r="E325" i="3" s="1"/>
  <c r="F326" i="3"/>
  <c r="F325" i="3" s="1"/>
  <c r="G326" i="3"/>
  <c r="G325" i="3" s="1"/>
  <c r="H326" i="3"/>
  <c r="H325" i="3" s="1"/>
  <c r="J326" i="3"/>
  <c r="J325" i="3" s="1"/>
  <c r="K326" i="3"/>
  <c r="K325" i="3" s="1"/>
  <c r="L326" i="3"/>
  <c r="L325" i="3" s="1"/>
  <c r="M326" i="3"/>
  <c r="M325" i="3" s="1"/>
  <c r="N326" i="3"/>
  <c r="N325" i="3" s="1"/>
  <c r="J93" i="1"/>
  <c r="J465" i="1"/>
  <c r="J466" i="1"/>
  <c r="J468" i="1"/>
  <c r="J469" i="1"/>
  <c r="J470" i="1"/>
  <c r="J472" i="1"/>
  <c r="P472" i="1" s="1"/>
  <c r="J463" i="1"/>
  <c r="J434" i="1"/>
  <c r="I230" i="3" s="1"/>
  <c r="J435" i="1"/>
  <c r="J436" i="1"/>
  <c r="J437" i="1"/>
  <c r="J438" i="1"/>
  <c r="J433" i="1"/>
  <c r="J426" i="1"/>
  <c r="J396" i="1"/>
  <c r="J397" i="1"/>
  <c r="J398" i="1"/>
  <c r="J400" i="1"/>
  <c r="J404" i="1"/>
  <c r="J418" i="1"/>
  <c r="J419" i="1"/>
  <c r="J423" i="1"/>
  <c r="J387" i="1"/>
  <c r="J375" i="1"/>
  <c r="J312" i="1"/>
  <c r="J313" i="1"/>
  <c r="J314" i="1"/>
  <c r="I209" i="3"/>
  <c r="J319" i="1"/>
  <c r="J321" i="1"/>
  <c r="J327" i="1"/>
  <c r="I252" i="3"/>
  <c r="J353" i="1"/>
  <c r="J371" i="1"/>
  <c r="J309" i="1"/>
  <c r="J287" i="1"/>
  <c r="J289" i="1"/>
  <c r="J290" i="1"/>
  <c r="J292" i="1"/>
  <c r="J284" i="1"/>
  <c r="J276" i="1"/>
  <c r="J277" i="1"/>
  <c r="J275" i="1"/>
  <c r="J232" i="1"/>
  <c r="J233" i="1"/>
  <c r="J235" i="1"/>
  <c r="J236" i="1"/>
  <c r="J237" i="1"/>
  <c r="J239" i="1"/>
  <c r="J241" i="1"/>
  <c r="J243" i="1"/>
  <c r="J246" i="1"/>
  <c r="J248" i="1"/>
  <c r="J250" i="1"/>
  <c r="J251" i="1"/>
  <c r="J252" i="1"/>
  <c r="J255" i="1"/>
  <c r="J256" i="1"/>
  <c r="J263" i="1"/>
  <c r="J264" i="1"/>
  <c r="J271" i="1"/>
  <c r="J229" i="1"/>
  <c r="J189" i="1"/>
  <c r="J193" i="1"/>
  <c r="J196" i="1"/>
  <c r="J198" i="1"/>
  <c r="J200" i="1"/>
  <c r="J203" i="1"/>
  <c r="J204" i="1"/>
  <c r="J188" i="1"/>
  <c r="J100" i="1"/>
  <c r="J103" i="1"/>
  <c r="J112" i="1"/>
  <c r="J121" i="1"/>
  <c r="J122" i="1"/>
  <c r="J124" i="1"/>
  <c r="J132" i="1"/>
  <c r="J92" i="1"/>
  <c r="J29" i="1"/>
  <c r="J30" i="1"/>
  <c r="J33" i="1"/>
  <c r="J35" i="1"/>
  <c r="J36" i="1"/>
  <c r="J37" i="1"/>
  <c r="J38" i="1"/>
  <c r="J39" i="1"/>
  <c r="J40" i="1"/>
  <c r="J41" i="1"/>
  <c r="J42" i="1"/>
  <c r="J43" i="1"/>
  <c r="J45" i="1"/>
  <c r="J46" i="1"/>
  <c r="J47" i="1"/>
  <c r="I264" i="3"/>
  <c r="J57" i="1"/>
  <c r="J59" i="1"/>
  <c r="J60" i="1"/>
  <c r="J61" i="1"/>
  <c r="J62" i="1"/>
  <c r="J65" i="1"/>
  <c r="J67" i="1"/>
  <c r="J69" i="1"/>
  <c r="J72" i="1"/>
  <c r="I323" i="3"/>
  <c r="I322" i="3" s="1"/>
  <c r="J23" i="1"/>
  <c r="H130" i="3" l="1"/>
  <c r="M130" i="3"/>
  <c r="G130" i="3"/>
  <c r="L130" i="3"/>
  <c r="F130" i="3"/>
  <c r="K130" i="3"/>
  <c r="J17" i="1"/>
  <c r="J461" i="1"/>
  <c r="P23" i="1"/>
  <c r="I338" i="3"/>
  <c r="K218" i="3"/>
  <c r="N218" i="3"/>
  <c r="L218" i="3"/>
  <c r="J218" i="3"/>
  <c r="F106" i="3"/>
  <c r="E106" i="3"/>
  <c r="N106" i="3"/>
  <c r="M106" i="3"/>
  <c r="L106" i="3"/>
  <c r="K106" i="3"/>
  <c r="J106" i="3"/>
  <c r="H106" i="3"/>
  <c r="G106" i="3"/>
  <c r="J282" i="1"/>
  <c r="J273" i="1"/>
  <c r="E201" i="3"/>
  <c r="K201" i="3"/>
  <c r="F201" i="3"/>
  <c r="N201" i="3"/>
  <c r="J201" i="3"/>
  <c r="M201" i="3"/>
  <c r="L201" i="3"/>
  <c r="G201" i="3"/>
  <c r="H201" i="3"/>
  <c r="I210" i="3"/>
  <c r="I158" i="3"/>
  <c r="I16" i="3"/>
  <c r="I39" i="3"/>
  <c r="I77" i="3"/>
  <c r="I54" i="3"/>
  <c r="I121" i="3"/>
  <c r="I167" i="3"/>
  <c r="I159" i="3"/>
  <c r="I185" i="3"/>
  <c r="I229" i="3"/>
  <c r="I324" i="3"/>
  <c r="I311" i="3"/>
  <c r="I294" i="3"/>
  <c r="I195" i="3"/>
  <c r="I308" i="3"/>
  <c r="I291" i="3"/>
  <c r="I200" i="3"/>
  <c r="I194" i="3"/>
  <c r="I156" i="3"/>
  <c r="I76" i="3"/>
  <c r="I119" i="3"/>
  <c r="I166" i="3"/>
  <c r="I151" i="3"/>
  <c r="I145" i="3"/>
  <c r="I153" i="3"/>
  <c r="I205" i="3"/>
  <c r="I290" i="3"/>
  <c r="I199" i="3"/>
  <c r="I193" i="3"/>
  <c r="I154" i="3"/>
  <c r="I87" i="3"/>
  <c r="I66" i="3"/>
  <c r="I125" i="3"/>
  <c r="I117" i="3"/>
  <c r="I171" i="3"/>
  <c r="I164" i="3"/>
  <c r="I149" i="3"/>
  <c r="I152" i="3"/>
  <c r="I242" i="3"/>
  <c r="I289" i="3"/>
  <c r="I330" i="3"/>
  <c r="I329" i="3" s="1"/>
  <c r="I320" i="3"/>
  <c r="I198" i="3"/>
  <c r="I57" i="3"/>
  <c r="I124" i="3"/>
  <c r="I168" i="3"/>
  <c r="I162" i="3"/>
  <c r="I147" i="3"/>
  <c r="I217" i="3"/>
  <c r="I239" i="3"/>
  <c r="I326" i="3"/>
  <c r="I325" i="3" s="1"/>
  <c r="I216" i="3"/>
  <c r="I296" i="3"/>
  <c r="I79" i="3"/>
  <c r="I284" i="3"/>
  <c r="I110" i="3"/>
  <c r="I180" i="3"/>
  <c r="I321" i="3"/>
  <c r="J417" i="1"/>
  <c r="J416" i="1" s="1"/>
  <c r="H279" i="3"/>
  <c r="H218" i="3" s="1"/>
  <c r="F279" i="3"/>
  <c r="F218" i="3" s="1"/>
  <c r="G279" i="3"/>
  <c r="G218" i="3" s="1"/>
  <c r="I278" i="3"/>
  <c r="I277" i="3" s="1"/>
  <c r="I247" i="3"/>
  <c r="I142" i="3"/>
  <c r="I114" i="3"/>
  <c r="I315" i="3"/>
  <c r="I313" i="3" s="1"/>
  <c r="I204" i="3"/>
  <c r="J432" i="1"/>
  <c r="J411" i="1"/>
  <c r="I189" i="3"/>
  <c r="I186" i="3"/>
  <c r="I188" i="3"/>
  <c r="E199" i="3"/>
  <c r="E190" i="3" s="1"/>
  <c r="I237" i="3"/>
  <c r="L304" i="3"/>
  <c r="J304" i="3"/>
  <c r="G304" i="3"/>
  <c r="I143" i="3"/>
  <c r="I172" i="3"/>
  <c r="N304" i="3"/>
  <c r="H304" i="3"/>
  <c r="M304" i="3"/>
  <c r="M300" i="3" s="1"/>
  <c r="K304" i="3"/>
  <c r="K300" i="3" s="1"/>
  <c r="F304" i="3"/>
  <c r="F300" i="3" s="1"/>
  <c r="E304" i="3"/>
  <c r="E300" i="3" s="1"/>
  <c r="I212" i="3"/>
  <c r="M190" i="3"/>
  <c r="F190" i="3"/>
  <c r="I179" i="3"/>
  <c r="I146" i="3"/>
  <c r="K190" i="3"/>
  <c r="L183" i="3"/>
  <c r="H183" i="3"/>
  <c r="N183" i="3"/>
  <c r="J183" i="3"/>
  <c r="G183" i="3"/>
  <c r="M183" i="3"/>
  <c r="K183" i="3"/>
  <c r="F183" i="3"/>
  <c r="E183" i="3"/>
  <c r="N190" i="3"/>
  <c r="L190" i="3"/>
  <c r="J190" i="3"/>
  <c r="H190" i="3"/>
  <c r="G190" i="3"/>
  <c r="J357" i="1"/>
  <c r="J296" i="1" s="1"/>
  <c r="I106" i="3" l="1"/>
  <c r="I231" i="3"/>
  <c r="J295" i="1"/>
  <c r="J381" i="1"/>
  <c r="I201" i="3"/>
  <c r="K340" i="3"/>
  <c r="F340" i="3"/>
  <c r="I295" i="3"/>
  <c r="I190" i="3"/>
  <c r="I304" i="3"/>
  <c r="I318" i="3"/>
  <c r="G300" i="3"/>
  <c r="G340" i="3" s="1"/>
  <c r="L300" i="3"/>
  <c r="L340" i="3" s="1"/>
  <c r="H300" i="3"/>
  <c r="H340" i="3" s="1"/>
  <c r="N300" i="3"/>
  <c r="J300" i="3"/>
  <c r="I335" i="3"/>
  <c r="I327" i="3" s="1"/>
  <c r="I14" i="3"/>
  <c r="I183" i="3"/>
  <c r="E468" i="1"/>
  <c r="D468" i="1"/>
  <c r="B468" i="1"/>
  <c r="I300" i="3" l="1"/>
  <c r="D320" i="3"/>
  <c r="E294" i="3"/>
  <c r="J213" i="1"/>
  <c r="J175" i="1" s="1"/>
  <c r="P468" i="1"/>
  <c r="O320" i="3" l="1"/>
  <c r="I285" i="3"/>
  <c r="I279" i="3" s="1"/>
  <c r="I218" i="3" s="1"/>
  <c r="E279" i="3"/>
  <c r="E218" i="3" s="1"/>
  <c r="J174" i="1" l="1"/>
  <c r="C332" i="1"/>
  <c r="D332" i="1"/>
  <c r="B332" i="1"/>
  <c r="D252" i="3" l="1"/>
  <c r="O252" i="3" l="1"/>
  <c r="E166" i="3"/>
  <c r="E130" i="3" s="1"/>
  <c r="E340" i="3" l="1"/>
  <c r="J94" i="1"/>
  <c r="J77" i="1" s="1"/>
  <c r="J76" i="1" l="1"/>
  <c r="I41" i="3"/>
  <c r="I23" i="3" s="1"/>
  <c r="D61" i="1"/>
  <c r="D423" i="1"/>
  <c r="D357" i="1"/>
  <c r="C287" i="1"/>
  <c r="B287" i="1"/>
  <c r="D276" i="1"/>
  <c r="P471" i="1"/>
  <c r="E465" i="1"/>
  <c r="E469" i="1"/>
  <c r="E470" i="1"/>
  <c r="D330" i="3"/>
  <c r="D329" i="3" s="1"/>
  <c r="K460" i="1"/>
  <c r="L460" i="1"/>
  <c r="M460" i="1"/>
  <c r="N460" i="1"/>
  <c r="O460" i="1"/>
  <c r="F460" i="1"/>
  <c r="G460" i="1"/>
  <c r="H460" i="1"/>
  <c r="I460" i="1"/>
  <c r="E434" i="1"/>
  <c r="D230" i="3" s="1"/>
  <c r="E435" i="1"/>
  <c r="E436" i="1"/>
  <c r="E437" i="1"/>
  <c r="E438" i="1"/>
  <c r="E433" i="1"/>
  <c r="K431" i="1"/>
  <c r="L431" i="1"/>
  <c r="M431" i="1"/>
  <c r="N431" i="1"/>
  <c r="O431" i="1"/>
  <c r="F431" i="1"/>
  <c r="G431" i="1"/>
  <c r="H431" i="1"/>
  <c r="I431" i="1"/>
  <c r="J425" i="1"/>
  <c r="J424" i="1" s="1"/>
  <c r="E426" i="1"/>
  <c r="K425" i="1"/>
  <c r="K424" i="1" s="1"/>
  <c r="L425" i="1"/>
  <c r="L424" i="1" s="1"/>
  <c r="M425" i="1"/>
  <c r="M424" i="1" s="1"/>
  <c r="N425" i="1"/>
  <c r="N424" i="1" s="1"/>
  <c r="O425" i="1"/>
  <c r="O424" i="1" s="1"/>
  <c r="F425" i="1"/>
  <c r="F424" i="1" s="1"/>
  <c r="G425" i="1"/>
  <c r="G424" i="1" s="1"/>
  <c r="H425" i="1"/>
  <c r="H424" i="1" s="1"/>
  <c r="I425" i="1"/>
  <c r="I424" i="1" s="1"/>
  <c r="E419" i="1"/>
  <c r="E423" i="1"/>
  <c r="E418" i="1"/>
  <c r="K416" i="1"/>
  <c r="L416" i="1"/>
  <c r="M416" i="1"/>
  <c r="N416" i="1"/>
  <c r="O416" i="1"/>
  <c r="F416" i="1"/>
  <c r="G416" i="1"/>
  <c r="H416" i="1"/>
  <c r="I416" i="1"/>
  <c r="D216" i="3"/>
  <c r="E397" i="1"/>
  <c r="E398" i="1"/>
  <c r="E400" i="1"/>
  <c r="E404" i="1"/>
  <c r="E411" i="1"/>
  <c r="E387" i="1"/>
  <c r="K380" i="1"/>
  <c r="M380" i="1"/>
  <c r="N380" i="1"/>
  <c r="O380" i="1"/>
  <c r="F380" i="1"/>
  <c r="G380" i="1"/>
  <c r="H380" i="1"/>
  <c r="J374" i="1"/>
  <c r="J373" i="1" s="1"/>
  <c r="E375" i="1"/>
  <c r="K374" i="1"/>
  <c r="K373" i="1" s="1"/>
  <c r="L374" i="1"/>
  <c r="L373" i="1" s="1"/>
  <c r="M374" i="1"/>
  <c r="M373" i="1" s="1"/>
  <c r="N374" i="1"/>
  <c r="N373" i="1" s="1"/>
  <c r="O374" i="1"/>
  <c r="O373" i="1" s="1"/>
  <c r="F374" i="1"/>
  <c r="F373" i="1" s="1"/>
  <c r="G374" i="1"/>
  <c r="G373" i="1" s="1"/>
  <c r="H374" i="1"/>
  <c r="H373" i="1" s="1"/>
  <c r="I374" i="1"/>
  <c r="I373" i="1" s="1"/>
  <c r="E312" i="1"/>
  <c r="E313" i="1"/>
  <c r="E314" i="1"/>
  <c r="E317" i="1"/>
  <c r="E318" i="1"/>
  <c r="E321" i="1"/>
  <c r="E325" i="1"/>
  <c r="E329" i="1"/>
  <c r="E353" i="1"/>
  <c r="E357" i="1"/>
  <c r="P366" i="1"/>
  <c r="E371" i="1"/>
  <c r="E309" i="1"/>
  <c r="E292" i="1"/>
  <c r="E282" i="1" s="1"/>
  <c r="K281" i="1"/>
  <c r="L281" i="1"/>
  <c r="M281" i="1"/>
  <c r="N281" i="1"/>
  <c r="F281" i="1"/>
  <c r="G281" i="1"/>
  <c r="H281" i="1"/>
  <c r="E276" i="1"/>
  <c r="E277" i="1"/>
  <c r="E275" i="1"/>
  <c r="K272" i="1"/>
  <c r="L272" i="1"/>
  <c r="M272" i="1"/>
  <c r="N272" i="1"/>
  <c r="O272" i="1"/>
  <c r="F272" i="1"/>
  <c r="G272" i="1"/>
  <c r="H272" i="1"/>
  <c r="I272" i="1"/>
  <c r="E231" i="1"/>
  <c r="E232" i="1"/>
  <c r="E233" i="1"/>
  <c r="E235" i="1"/>
  <c r="E236" i="1"/>
  <c r="E237" i="1"/>
  <c r="E239" i="1"/>
  <c r="E243" i="1"/>
  <c r="E246" i="1"/>
  <c r="E248" i="1"/>
  <c r="E250" i="1"/>
  <c r="E251" i="1"/>
  <c r="E252" i="1"/>
  <c r="E255" i="1"/>
  <c r="E256" i="1"/>
  <c r="E263" i="1"/>
  <c r="E264" i="1"/>
  <c r="E271" i="1"/>
  <c r="D338" i="3" s="1"/>
  <c r="E229" i="1"/>
  <c r="D110" i="3"/>
  <c r="E193" i="1"/>
  <c r="E196" i="1"/>
  <c r="E198" i="1"/>
  <c r="E200" i="1"/>
  <c r="E203" i="1"/>
  <c r="D125" i="3"/>
  <c r="E213" i="1"/>
  <c r="E188" i="1"/>
  <c r="K76" i="1"/>
  <c r="L76" i="1"/>
  <c r="M76" i="1"/>
  <c r="N76" i="1"/>
  <c r="O76" i="1"/>
  <c r="F76" i="1"/>
  <c r="G76" i="1"/>
  <c r="H76" i="1"/>
  <c r="I76" i="1"/>
  <c r="D57" i="3"/>
  <c r="D66" i="3"/>
  <c r="D76" i="3"/>
  <c r="D77" i="3"/>
  <c r="D79" i="3"/>
  <c r="D87" i="3"/>
  <c r="E25" i="1"/>
  <c r="E29" i="1"/>
  <c r="E30" i="1"/>
  <c r="E31" i="1"/>
  <c r="E33" i="1"/>
  <c r="E35" i="1"/>
  <c r="E36" i="1"/>
  <c r="E37" i="1"/>
  <c r="E38" i="1"/>
  <c r="E39" i="1"/>
  <c r="E40" i="1"/>
  <c r="E41" i="1"/>
  <c r="E42" i="1"/>
  <c r="E43" i="1"/>
  <c r="E45" i="1"/>
  <c r="E46" i="1"/>
  <c r="E47" i="1"/>
  <c r="E56" i="1"/>
  <c r="E57" i="1"/>
  <c r="E59" i="1"/>
  <c r="E60" i="1"/>
  <c r="E61" i="1"/>
  <c r="E62" i="1"/>
  <c r="E65" i="1"/>
  <c r="E67" i="1"/>
  <c r="E69" i="1"/>
  <c r="E72" i="1"/>
  <c r="E73" i="1"/>
  <c r="K16" i="1"/>
  <c r="M16" i="1"/>
  <c r="N16" i="1"/>
  <c r="O16" i="1"/>
  <c r="G16" i="1"/>
  <c r="H16" i="1"/>
  <c r="I16" i="1"/>
  <c r="L16" i="1"/>
  <c r="E296" i="1" l="1"/>
  <c r="E295" i="1" s="1"/>
  <c r="E17" i="1"/>
  <c r="E16" i="1" s="1"/>
  <c r="E220" i="1"/>
  <c r="E461" i="1"/>
  <c r="E460" i="1" s="1"/>
  <c r="E175" i="1"/>
  <c r="E381" i="1"/>
  <c r="E380" i="1" s="1"/>
  <c r="E281" i="1"/>
  <c r="I479" i="1"/>
  <c r="I490" i="1" s="1"/>
  <c r="E273" i="1"/>
  <c r="E272" i="1" s="1"/>
  <c r="F479" i="1"/>
  <c r="F490" i="1" s="1"/>
  <c r="G479" i="1"/>
  <c r="G490" i="1" s="1"/>
  <c r="H479" i="1"/>
  <c r="H490" i="1" s="1"/>
  <c r="M479" i="1"/>
  <c r="M490" i="1" s="1"/>
  <c r="D158" i="3"/>
  <c r="E374" i="1"/>
  <c r="E373" i="1" s="1"/>
  <c r="E425" i="1"/>
  <c r="E424" i="1" s="1"/>
  <c r="K479" i="1"/>
  <c r="P329" i="1"/>
  <c r="P357" i="1"/>
  <c r="D16" i="3"/>
  <c r="D124" i="3"/>
  <c r="D147" i="3"/>
  <c r="D153" i="3"/>
  <c r="D208" i="3"/>
  <c r="D289" i="3"/>
  <c r="D308" i="3"/>
  <c r="D291" i="3"/>
  <c r="D156" i="3"/>
  <c r="D121" i="3"/>
  <c r="D152" i="3"/>
  <c r="D242" i="3"/>
  <c r="D324" i="3"/>
  <c r="D166" i="3"/>
  <c r="D204" i="3"/>
  <c r="D239" i="3"/>
  <c r="D229" i="3"/>
  <c r="D154" i="3"/>
  <c r="D119" i="3"/>
  <c r="D117" i="3"/>
  <c r="D164" i="3"/>
  <c r="D149" i="3"/>
  <c r="D290" i="3"/>
  <c r="D171" i="3"/>
  <c r="D168" i="3"/>
  <c r="D167" i="3"/>
  <c r="D145" i="3"/>
  <c r="D141" i="3"/>
  <c r="D294" i="3"/>
  <c r="D198" i="3"/>
  <c r="D194" i="3"/>
  <c r="D193" i="3"/>
  <c r="D19" i="3"/>
  <c r="D311" i="3"/>
  <c r="E76" i="1"/>
  <c r="D296" i="3"/>
  <c r="D39" i="3"/>
  <c r="D217" i="3"/>
  <c r="D284" i="3"/>
  <c r="D285" i="3"/>
  <c r="O326" i="3"/>
  <c r="O325" i="3" s="1"/>
  <c r="D323" i="3"/>
  <c r="D322" i="3" s="1"/>
  <c r="D41" i="3"/>
  <c r="D54" i="3"/>
  <c r="D321" i="3"/>
  <c r="D318" i="3" s="1"/>
  <c r="D180" i="3"/>
  <c r="E417" i="1"/>
  <c r="E416" i="1" s="1"/>
  <c r="D159" i="3"/>
  <c r="P35" i="1"/>
  <c r="O158" i="3" s="1"/>
  <c r="D200" i="3"/>
  <c r="E432" i="1"/>
  <c r="E431" i="1" s="1"/>
  <c r="D195" i="3"/>
  <c r="D185" i="3"/>
  <c r="D151" i="3"/>
  <c r="D295" i="3"/>
  <c r="D199" i="3"/>
  <c r="D278" i="3"/>
  <c r="D277" i="3" s="1"/>
  <c r="D247" i="3"/>
  <c r="P264" i="1"/>
  <c r="P312" i="1"/>
  <c r="D142" i="3"/>
  <c r="D114" i="3"/>
  <c r="D209" i="3"/>
  <c r="D315" i="3"/>
  <c r="D313" i="3" s="1"/>
  <c r="D210" i="3"/>
  <c r="P371" i="1"/>
  <c r="D205" i="3"/>
  <c r="D212" i="3"/>
  <c r="D162" i="3"/>
  <c r="P309" i="1"/>
  <c r="O281" i="1"/>
  <c r="O479" i="1" s="1"/>
  <c r="D188" i="3"/>
  <c r="D172" i="3"/>
  <c r="D237" i="3"/>
  <c r="D189" i="3"/>
  <c r="D186" i="3"/>
  <c r="J281" i="1"/>
  <c r="P271" i="1"/>
  <c r="O338" i="3" s="1"/>
  <c r="D179" i="3"/>
  <c r="D146" i="3"/>
  <c r="D143" i="3"/>
  <c r="P72" i="1"/>
  <c r="P67" i="1"/>
  <c r="P62" i="1"/>
  <c r="P60" i="1"/>
  <c r="P57" i="1"/>
  <c r="P132" i="1"/>
  <c r="P124" i="1"/>
  <c r="P122" i="1"/>
  <c r="P103" i="1"/>
  <c r="P100" i="1"/>
  <c r="P94" i="1"/>
  <c r="P188" i="1"/>
  <c r="P255" i="1"/>
  <c r="P251" i="1"/>
  <c r="P248" i="1"/>
  <c r="P243" i="1"/>
  <c r="P239" i="1"/>
  <c r="P236" i="1"/>
  <c r="P233" i="1"/>
  <c r="P325" i="1"/>
  <c r="P319" i="1"/>
  <c r="O210" i="3" s="1"/>
  <c r="P314" i="1"/>
  <c r="P398" i="1"/>
  <c r="P73" i="1"/>
  <c r="P69" i="1"/>
  <c r="P65" i="1"/>
  <c r="P61" i="1"/>
  <c r="P59" i="1"/>
  <c r="P56" i="1"/>
  <c r="P121" i="1"/>
  <c r="P112" i="1"/>
  <c r="P229" i="1"/>
  <c r="P256" i="1"/>
  <c r="P252" i="1"/>
  <c r="P250" i="1"/>
  <c r="P246" i="1"/>
  <c r="P241" i="1"/>
  <c r="P237" i="1"/>
  <c r="P235" i="1"/>
  <c r="P232" i="1"/>
  <c r="P321" i="1"/>
  <c r="P318" i="1"/>
  <c r="P317" i="1"/>
  <c r="P400" i="1"/>
  <c r="P463" i="1"/>
  <c r="P353" i="1"/>
  <c r="P418" i="1"/>
  <c r="P419" i="1"/>
  <c r="P436" i="1"/>
  <c r="J431" i="1"/>
  <c r="P469" i="1"/>
  <c r="P465" i="1"/>
  <c r="P277" i="1"/>
  <c r="P276" i="1"/>
  <c r="P51" i="1"/>
  <c r="O268" i="3" s="1"/>
  <c r="P43" i="1"/>
  <c r="P41" i="1"/>
  <c r="P39" i="1"/>
  <c r="P37" i="1"/>
  <c r="P31" i="1"/>
  <c r="P29" i="1"/>
  <c r="P284" i="1"/>
  <c r="P411" i="1"/>
  <c r="P426" i="1"/>
  <c r="P425" i="1" s="1"/>
  <c r="P424" i="1" s="1"/>
  <c r="P437" i="1"/>
  <c r="P435" i="1"/>
  <c r="P434" i="1"/>
  <c r="O230" i="3" s="1"/>
  <c r="P438" i="1"/>
  <c r="P327" i="1"/>
  <c r="P47" i="1"/>
  <c r="P45" i="1"/>
  <c r="P42" i="1"/>
  <c r="P40" i="1"/>
  <c r="P36" i="1"/>
  <c r="P33" i="1"/>
  <c r="P30" i="1"/>
  <c r="P213" i="1"/>
  <c r="P204" i="1"/>
  <c r="P203" i="1"/>
  <c r="P200" i="1"/>
  <c r="P198" i="1"/>
  <c r="P196" i="1"/>
  <c r="P193" i="1"/>
  <c r="P189" i="1"/>
  <c r="J272" i="1"/>
  <c r="P290" i="1"/>
  <c r="P292" i="1"/>
  <c r="P286" i="1"/>
  <c r="P404" i="1"/>
  <c r="P397" i="1"/>
  <c r="P25" i="1"/>
  <c r="P38" i="1"/>
  <c r="P313" i="1"/>
  <c r="P423" i="1"/>
  <c r="P46" i="1"/>
  <c r="P93" i="1"/>
  <c r="P275" i="1"/>
  <c r="P289" i="1"/>
  <c r="P287" i="1"/>
  <c r="P466" i="1"/>
  <c r="P387" i="1"/>
  <c r="P470" i="1"/>
  <c r="J460" i="1"/>
  <c r="P433" i="1"/>
  <c r="P375" i="1"/>
  <c r="P374" i="1" s="1"/>
  <c r="P373" i="1" s="1"/>
  <c r="P92" i="1"/>
  <c r="J16" i="1"/>
  <c r="P263" i="1"/>
  <c r="D130" i="3" l="1"/>
  <c r="D201" i="3"/>
  <c r="P17" i="1"/>
  <c r="P77" i="1"/>
  <c r="P76" i="1" s="1"/>
  <c r="P461" i="1"/>
  <c r="P296" i="1"/>
  <c r="P295" i="1" s="1"/>
  <c r="D106" i="3"/>
  <c r="P175" i="1"/>
  <c r="P174" i="1" s="1"/>
  <c r="P282" i="1"/>
  <c r="D231" i="3"/>
  <c r="P273" i="1"/>
  <c r="D14" i="3"/>
  <c r="O16" i="3"/>
  <c r="E174" i="1"/>
  <c r="D304" i="3"/>
  <c r="D300" i="3" s="1"/>
  <c r="O117" i="3"/>
  <c r="O125" i="3"/>
  <c r="O152" i="3"/>
  <c r="O147" i="3"/>
  <c r="O308" i="3"/>
  <c r="O239" i="3"/>
  <c r="O164" i="3"/>
  <c r="O204" i="3"/>
  <c r="O119" i="3"/>
  <c r="O290" i="3"/>
  <c r="O289" i="3"/>
  <c r="O278" i="3"/>
  <c r="O277" i="3" s="1"/>
  <c r="O324" i="3"/>
  <c r="O153" i="3"/>
  <c r="O151" i="3"/>
  <c r="O110" i="3"/>
  <c r="O121" i="3"/>
  <c r="O154" i="3"/>
  <c r="O242" i="3"/>
  <c r="O162" i="3"/>
  <c r="O291" i="3"/>
  <c r="O149" i="3"/>
  <c r="O124" i="3"/>
  <c r="O156" i="3"/>
  <c r="O229" i="3"/>
  <c r="O264" i="3"/>
  <c r="O208" i="3"/>
  <c r="O166" i="3"/>
  <c r="O330" i="3"/>
  <c r="O329" i="3" s="1"/>
  <c r="O171" i="3"/>
  <c r="O168" i="3"/>
  <c r="O167" i="3"/>
  <c r="O145" i="3"/>
  <c r="O294" i="3"/>
  <c r="O199" i="3"/>
  <c r="O198" i="3"/>
  <c r="O195" i="3"/>
  <c r="O194" i="3"/>
  <c r="O193" i="3"/>
  <c r="O19" i="3"/>
  <c r="O311" i="3"/>
  <c r="O57" i="3"/>
  <c r="O76" i="3"/>
  <c r="O79" i="3"/>
  <c r="O66" i="3"/>
  <c r="O77" i="3"/>
  <c r="O87" i="3"/>
  <c r="O296" i="3"/>
  <c r="O39" i="3"/>
  <c r="D279" i="3"/>
  <c r="O284" i="3"/>
  <c r="O217" i="3"/>
  <c r="O285" i="3"/>
  <c r="O335" i="3"/>
  <c r="O323" i="3"/>
  <c r="O322" i="3" s="1"/>
  <c r="O41" i="3"/>
  <c r="O205" i="3"/>
  <c r="O180" i="3"/>
  <c r="O247" i="3"/>
  <c r="O54" i="3"/>
  <c r="P417" i="1"/>
  <c r="O321" i="3"/>
  <c r="O318" i="3" s="1"/>
  <c r="O159" i="3"/>
  <c r="O200" i="3"/>
  <c r="D335" i="3"/>
  <c r="D327" i="3" s="1"/>
  <c r="O295" i="3"/>
  <c r="D190" i="3"/>
  <c r="O185" i="3"/>
  <c r="O172" i="3"/>
  <c r="O142" i="3"/>
  <c r="O114" i="3"/>
  <c r="O209" i="3"/>
  <c r="O315" i="3"/>
  <c r="O313" i="3" s="1"/>
  <c r="P432" i="1"/>
  <c r="O237" i="3"/>
  <c r="O179" i="3"/>
  <c r="D183" i="3"/>
  <c r="O212" i="3"/>
  <c r="O189" i="3"/>
  <c r="O188" i="3"/>
  <c r="O146" i="3"/>
  <c r="O186" i="3"/>
  <c r="O143" i="3"/>
  <c r="L380" i="1"/>
  <c r="L479" i="1" s="1"/>
  <c r="L490" i="1" s="1"/>
  <c r="O23" i="3" l="1"/>
  <c r="D218" i="3"/>
  <c r="O106" i="3"/>
  <c r="O327" i="3"/>
  <c r="O231" i="3"/>
  <c r="E479" i="1"/>
  <c r="O304" i="3"/>
  <c r="O300" i="3" s="1"/>
  <c r="O190" i="3"/>
  <c r="O14" i="3"/>
  <c r="O279" i="3"/>
  <c r="O183" i="3"/>
  <c r="P396" i="1"/>
  <c r="P381" i="1" s="1"/>
  <c r="J380" i="1"/>
  <c r="O218" i="3" l="1"/>
  <c r="O216" i="3"/>
  <c r="O201" i="3" s="1"/>
  <c r="J141" i="3" l="1"/>
  <c r="J130" i="3" s="1"/>
  <c r="N141" i="3"/>
  <c r="N130" i="3" s="1"/>
  <c r="J231" i="1"/>
  <c r="N340" i="3" l="1"/>
  <c r="O490" i="1" s="1"/>
  <c r="J340" i="3"/>
  <c r="K490" i="1" s="1"/>
  <c r="J220" i="1"/>
  <c r="J479" i="1" s="1"/>
  <c r="I141" i="3"/>
  <c r="I130" i="3" s="1"/>
  <c r="P231" i="1"/>
  <c r="P16" i="1"/>
  <c r="P416" i="1"/>
  <c r="P460" i="1"/>
  <c r="P220" i="1" l="1"/>
  <c r="I340" i="3"/>
  <c r="J490" i="1" s="1"/>
  <c r="O141" i="3"/>
  <c r="O130" i="3" s="1"/>
  <c r="P431" i="1"/>
  <c r="P380" i="1"/>
  <c r="P281" i="1"/>
  <c r="P272" i="1"/>
  <c r="O340" i="3" l="1"/>
  <c r="P479" i="1"/>
  <c r="C67" i="1"/>
  <c r="P490" i="1" l="1"/>
  <c r="C466" i="1"/>
  <c r="D466" i="1"/>
  <c r="B466" i="1"/>
  <c r="C354" i="1"/>
  <c r="D354" i="1"/>
  <c r="B354" i="1"/>
  <c r="C235" i="1" l="1"/>
  <c r="D235" i="1"/>
  <c r="B235" i="1"/>
  <c r="C38" i="1"/>
  <c r="B38" i="1"/>
  <c r="B200" i="1"/>
  <c r="C200" i="1"/>
  <c r="D200" i="1"/>
  <c r="B246" i="1"/>
  <c r="C246" i="1"/>
  <c r="B248" i="1"/>
  <c r="C248" i="1"/>
  <c r="C239" i="1"/>
  <c r="D239" i="1"/>
  <c r="B239" i="1"/>
  <c r="C423" i="1"/>
  <c r="B423" i="1"/>
  <c r="C419" i="1"/>
  <c r="D419" i="1"/>
  <c r="B419" i="1"/>
  <c r="D204" i="1"/>
  <c r="C204" i="1"/>
  <c r="B204" i="1"/>
  <c r="C203" i="1"/>
  <c r="D203" i="1"/>
  <c r="B203" i="1"/>
  <c r="C61" i="1"/>
  <c r="B61" i="1"/>
  <c r="C271" i="1"/>
  <c r="B271" i="1"/>
  <c r="C263" i="1"/>
  <c r="C264" i="1"/>
  <c r="B264" i="1"/>
  <c r="B263" i="1"/>
  <c r="C256" i="1"/>
  <c r="D256" i="1"/>
  <c r="B256" i="1"/>
  <c r="C255" i="1"/>
  <c r="D255" i="1"/>
  <c r="B255" i="1"/>
  <c r="C252" i="1"/>
  <c r="B252" i="1"/>
  <c r="C251" i="1"/>
  <c r="D251" i="1"/>
  <c r="B251" i="1"/>
  <c r="C250" i="1"/>
  <c r="D250" i="1"/>
  <c r="B250" i="1"/>
  <c r="C243" i="1"/>
  <c r="D243" i="1"/>
  <c r="B243" i="1"/>
  <c r="C241" i="1"/>
  <c r="D241" i="1"/>
  <c r="B241" i="1"/>
  <c r="C237" i="1"/>
  <c r="D237" i="1"/>
  <c r="B237" i="1"/>
  <c r="C236" i="1"/>
  <c r="D236" i="1"/>
  <c r="B236" i="1"/>
  <c r="C233" i="1"/>
  <c r="B233" i="1"/>
  <c r="C232" i="1"/>
  <c r="B232" i="1"/>
  <c r="C231" i="1"/>
  <c r="D231" i="1"/>
  <c r="B231" i="1"/>
  <c r="C213" i="1"/>
  <c r="B213" i="1"/>
  <c r="C198" i="1"/>
  <c r="D198" i="1"/>
  <c r="B198" i="1"/>
  <c r="C196" i="1"/>
  <c r="B196" i="1"/>
  <c r="C193" i="1"/>
  <c r="B193" i="1"/>
  <c r="C189" i="1"/>
  <c r="B189" i="1"/>
  <c r="C122" i="1"/>
  <c r="C124" i="1"/>
  <c r="C94" i="1"/>
  <c r="B94" i="1"/>
  <c r="C93" i="1"/>
  <c r="B93" i="1"/>
  <c r="C73" i="1"/>
  <c r="D73" i="1"/>
  <c r="B73" i="1"/>
  <c r="C72" i="1"/>
  <c r="D72" i="1"/>
  <c r="B72" i="1"/>
  <c r="C69" i="1"/>
  <c r="D69" i="1"/>
  <c r="B69" i="1"/>
  <c r="B67" i="1"/>
  <c r="C65" i="1"/>
  <c r="D65" i="1"/>
  <c r="B65" i="1"/>
  <c r="C62" i="1"/>
  <c r="D62" i="1"/>
  <c r="B62" i="1"/>
  <c r="C60" i="1"/>
  <c r="D60" i="1"/>
  <c r="B60" i="1"/>
  <c r="C59" i="1"/>
  <c r="B59" i="1"/>
  <c r="C57" i="1"/>
  <c r="D57" i="1"/>
  <c r="B57" i="1"/>
  <c r="C56" i="1"/>
  <c r="B56" i="1"/>
  <c r="C51" i="1"/>
  <c r="D51" i="1"/>
  <c r="B51" i="1"/>
  <c r="C36" i="1"/>
  <c r="C37" i="1"/>
  <c r="B37" i="1"/>
  <c r="B36" i="1"/>
  <c r="C39" i="1"/>
  <c r="C40" i="1"/>
  <c r="B39" i="1"/>
  <c r="C47" i="1"/>
  <c r="D47" i="1"/>
  <c r="B47" i="1"/>
  <c r="C46" i="1"/>
  <c r="B46" i="1"/>
  <c r="C45" i="1"/>
  <c r="B45" i="1"/>
  <c r="C43" i="1"/>
  <c r="B43" i="1"/>
  <c r="C42" i="1"/>
  <c r="B42" i="1"/>
  <c r="C41" i="1"/>
  <c r="B41" i="1"/>
  <c r="C35" i="1"/>
  <c r="B35" i="1"/>
  <c r="C33" i="1"/>
  <c r="D33" i="1"/>
  <c r="B33" i="1"/>
  <c r="C31" i="1"/>
  <c r="B31" i="1"/>
  <c r="C30" i="1"/>
  <c r="D30" i="1"/>
  <c r="B30" i="1"/>
  <c r="C29" i="1"/>
  <c r="B29" i="1"/>
  <c r="C25" i="1"/>
  <c r="D25" i="1"/>
  <c r="B25" i="1"/>
  <c r="D277" i="1"/>
  <c r="C277" i="1"/>
  <c r="B277" i="1"/>
  <c r="C286" i="1"/>
  <c r="D286" i="1"/>
  <c r="B286" i="1"/>
  <c r="C289" i="1"/>
  <c r="D289" i="1"/>
  <c r="C290" i="1"/>
  <c r="D290" i="1"/>
  <c r="B290" i="1"/>
  <c r="B289" i="1"/>
  <c r="C292" i="1"/>
  <c r="B292" i="1"/>
  <c r="C312" i="1"/>
  <c r="D312" i="1"/>
  <c r="B312" i="1"/>
  <c r="C318" i="1"/>
  <c r="D318" i="1"/>
  <c r="B318" i="1"/>
  <c r="C317" i="1"/>
  <c r="D317" i="1"/>
  <c r="B317" i="1"/>
  <c r="C314" i="1"/>
  <c r="D314" i="1"/>
  <c r="B314" i="1"/>
  <c r="C313" i="1"/>
  <c r="D313" i="1"/>
  <c r="B313" i="1"/>
  <c r="C319" i="1"/>
  <c r="D319" i="1"/>
  <c r="B319" i="1"/>
  <c r="C321" i="1"/>
  <c r="D321" i="1"/>
  <c r="B321" i="1"/>
  <c r="C325" i="1"/>
  <c r="D325" i="1"/>
  <c r="B325" i="1"/>
  <c r="C327" i="1"/>
  <c r="B327" i="1"/>
  <c r="C329" i="1"/>
  <c r="B329" i="1"/>
  <c r="C353" i="1"/>
  <c r="B353" i="1"/>
  <c r="C366" i="1"/>
  <c r="D366" i="1"/>
  <c r="B366" i="1"/>
  <c r="C371" i="1"/>
  <c r="B371" i="1"/>
  <c r="C392" i="1"/>
  <c r="D392" i="1"/>
  <c r="B392" i="1"/>
  <c r="C396" i="1"/>
  <c r="B396" i="1"/>
  <c r="C397" i="1"/>
  <c r="B397" i="1"/>
  <c r="C400" i="1"/>
  <c r="B400" i="1"/>
  <c r="C398" i="1"/>
  <c r="B398" i="1"/>
  <c r="C404" i="1"/>
  <c r="B404" i="1"/>
  <c r="C411" i="1"/>
  <c r="B411" i="1"/>
  <c r="C434" i="1"/>
  <c r="D434" i="1"/>
  <c r="B434" i="1"/>
  <c r="C435" i="1"/>
  <c r="D435" i="1"/>
  <c r="B435" i="1"/>
  <c r="C436" i="1"/>
  <c r="D436" i="1"/>
  <c r="B436" i="1"/>
  <c r="C437" i="1"/>
  <c r="D437" i="1"/>
  <c r="B437" i="1"/>
  <c r="C438" i="1"/>
  <c r="D438" i="1"/>
  <c r="B438" i="1"/>
  <c r="C465" i="1"/>
  <c r="B465" i="1"/>
  <c r="C469" i="1"/>
  <c r="D469" i="1"/>
  <c r="B469" i="1"/>
  <c r="C470" i="1"/>
  <c r="D470" i="1"/>
  <c r="B470" i="1"/>
  <c r="C471" i="1"/>
  <c r="D471" i="1"/>
  <c r="C472" i="1"/>
  <c r="D472" i="1"/>
  <c r="B472" i="1"/>
  <c r="C463" i="1"/>
  <c r="B463" i="1"/>
  <c r="C433" i="1"/>
  <c r="B433" i="1"/>
  <c r="C426" i="1"/>
  <c r="B426" i="1"/>
  <c r="C418" i="1"/>
  <c r="B418" i="1"/>
  <c r="C387" i="1"/>
  <c r="B387" i="1"/>
  <c r="C375" i="1"/>
  <c r="B375" i="1"/>
  <c r="C309" i="1"/>
  <c r="B309" i="1"/>
  <c r="C284" i="1"/>
  <c r="B284" i="1"/>
  <c r="C275" i="1"/>
  <c r="B275" i="1"/>
  <c r="C229" i="1"/>
  <c r="B229" i="1"/>
  <c r="C188" i="1"/>
  <c r="B188" i="1"/>
  <c r="C92" i="1"/>
  <c r="B92" i="1"/>
  <c r="C23" i="1"/>
  <c r="B23" i="1"/>
  <c r="D265" i="3" l="1"/>
  <c r="O265" i="3" l="1"/>
  <c r="D219" i="3" l="1"/>
  <c r="O219" i="3" l="1"/>
  <c r="I219" i="3"/>
  <c r="D102" i="3" l="1"/>
  <c r="D23" i="3" l="1"/>
  <c r="D340" i="3" s="1"/>
  <c r="E490" i="1" s="1"/>
  <c r="M291" i="3"/>
  <c r="M279" i="3" s="1"/>
  <c r="M218" i="3" s="1"/>
  <c r="M340" i="3" s="1"/>
  <c r="N295" i="1"/>
  <c r="N479" i="1" s="1"/>
  <c r="N490" i="1" l="1"/>
</calcChain>
</file>

<file path=xl/sharedStrings.xml><?xml version="1.0" encoding="utf-8"?>
<sst xmlns="http://schemas.openxmlformats.org/spreadsheetml/2006/main" count="1327" uniqueCount="762">
  <si>
    <t>1410160</t>
  </si>
  <si>
    <t>Проектування, реставрація та охорона пам'яток архітектури</t>
  </si>
  <si>
    <t>7640</t>
  </si>
  <si>
    <t>7412</t>
  </si>
  <si>
    <t>7610</t>
  </si>
  <si>
    <t>7670</t>
  </si>
  <si>
    <t>8300</t>
  </si>
  <si>
    <t>8110</t>
  </si>
  <si>
    <t xml:space="preserve">Охорона навколишнього природного середовища </t>
  </si>
  <si>
    <t>8340</t>
  </si>
  <si>
    <t>Природоохоронні заходи за рахунок цільових фондів</t>
  </si>
  <si>
    <t>Обслуговування місцевого боргу</t>
  </si>
  <si>
    <t>9000</t>
  </si>
  <si>
    <t>9700</t>
  </si>
  <si>
    <t>9770</t>
  </si>
  <si>
    <t>Забезпечення діяльності бібліотек</t>
  </si>
  <si>
    <t>Проведення навчально-тренувальних зборів і змагань з неолімпійських видів спорту</t>
  </si>
  <si>
    <t>Інші заходи, пов'язані з економічною діяльністю</t>
  </si>
  <si>
    <t>Інші видатки на соціальний захист ветеранів війни та праці</t>
  </si>
  <si>
    <t>Компенсаційні виплати на пільговий проїзд електротранспортом окремим категоріям громадян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</si>
  <si>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</si>
  <si>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</si>
  <si>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Фінансова підтримка дитячо-юнацьких спортивних шкіл фізкультурно-спортивних товариств</t>
  </si>
  <si>
    <t>Сприяння розвитку малого та середнього підприємництва</t>
  </si>
  <si>
    <t>Управління  освіти і науки Сумської міської ради</t>
  </si>
  <si>
    <t>1000000</t>
  </si>
  <si>
    <t>1400000</t>
  </si>
  <si>
    <t>1500000</t>
  </si>
  <si>
    <t>1510000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</si>
  <si>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</si>
  <si>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Заходи державної політики з питань дітей та їх соціального захисту</t>
  </si>
  <si>
    <t>Департамент інфраструктури міста Сумської міської ради</t>
  </si>
  <si>
    <t>Управління капітального будівництва та дорожнього господарства Сумської міської ради</t>
  </si>
  <si>
    <t>Управління «Інспекція з благоустрою міста Суми» Сумської міської ради</t>
  </si>
  <si>
    <t>Виконавчий комітет Сумської міської ради</t>
  </si>
  <si>
    <t>Регулювання цін на послуги місцевого автотранспорту</t>
  </si>
  <si>
    <t>Організація та проведення громадських робіт</t>
  </si>
  <si>
    <t xml:space="preserve">Департамент соціального захисту населення Сумської міської ради </t>
  </si>
  <si>
    <t>Департамент забезпечення ресурсних платежів Сумської міської ради</t>
  </si>
  <si>
    <t>Управління архітектури та містобудування Сумської міської ради</t>
  </si>
  <si>
    <t>Департамент фінансів, економіки та інвестицій Сумської міської ради</t>
  </si>
  <si>
    <t>Управління державного архітектурно-будівельного контролю Сумської міської ради</t>
  </si>
  <si>
    <t>0100</t>
  </si>
  <si>
    <t>0180</t>
  </si>
  <si>
    <t>0111</t>
  </si>
  <si>
    <t>1000</t>
  </si>
  <si>
    <t>1010</t>
  </si>
  <si>
    <t>0910</t>
  </si>
  <si>
    <t>1020</t>
  </si>
  <si>
    <t>0921</t>
  </si>
  <si>
    <t>1030</t>
  </si>
  <si>
    <t>1060</t>
  </si>
  <si>
    <t>1070</t>
  </si>
  <si>
    <t>0922</t>
  </si>
  <si>
    <t>1090</t>
  </si>
  <si>
    <t>0960</t>
  </si>
  <si>
    <t>0990</t>
  </si>
  <si>
    <t>2000</t>
  </si>
  <si>
    <t>2010</t>
  </si>
  <si>
    <t>0731</t>
  </si>
  <si>
    <t>0733</t>
  </si>
  <si>
    <t>0722</t>
  </si>
  <si>
    <t>0763</t>
  </si>
  <si>
    <t>3000</t>
  </si>
  <si>
    <t>6000</t>
  </si>
  <si>
    <t>0610</t>
  </si>
  <si>
    <t>6020</t>
  </si>
  <si>
    <t>0620</t>
  </si>
  <si>
    <t>4000</t>
  </si>
  <si>
    <t>4030</t>
  </si>
  <si>
    <t>0824</t>
  </si>
  <si>
    <t>0829</t>
  </si>
  <si>
    <t>Засоби масової інформації</t>
  </si>
  <si>
    <t>0830</t>
  </si>
  <si>
    <t>5000</t>
  </si>
  <si>
    <t>5011</t>
  </si>
  <si>
    <t>0810</t>
  </si>
  <si>
    <t>5012</t>
  </si>
  <si>
    <t>0490</t>
  </si>
  <si>
    <t>0421</t>
  </si>
  <si>
    <t>0451</t>
  </si>
  <si>
    <t>7400</t>
  </si>
  <si>
    <t>0470</t>
  </si>
  <si>
    <t>0411</t>
  </si>
  <si>
    <t>7600</t>
  </si>
  <si>
    <t>0320</t>
  </si>
  <si>
    <t>0170</t>
  </si>
  <si>
    <t>9110</t>
  </si>
  <si>
    <t>0540</t>
  </si>
  <si>
    <t>0133</t>
  </si>
  <si>
    <t>8000</t>
  </si>
  <si>
    <t>8600</t>
  </si>
  <si>
    <t>8100</t>
  </si>
  <si>
    <t>7300</t>
  </si>
  <si>
    <t>3031</t>
  </si>
  <si>
    <t>3033</t>
  </si>
  <si>
    <t>1040</t>
  </si>
  <si>
    <t>3050</t>
  </si>
  <si>
    <t>3104</t>
  </si>
  <si>
    <t>3112</t>
  </si>
  <si>
    <t>3180</t>
  </si>
  <si>
    <t>3200</t>
  </si>
  <si>
    <t>1050</t>
  </si>
  <si>
    <t>3131</t>
  </si>
  <si>
    <t>3140</t>
  </si>
  <si>
    <t>3160</t>
  </si>
  <si>
    <t>Реверсна дотація</t>
  </si>
  <si>
    <t>0443</t>
  </si>
  <si>
    <t>5061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</si>
  <si>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</si>
  <si>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</si>
  <si>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5031</t>
  </si>
  <si>
    <t>5032</t>
  </si>
  <si>
    <t>1410000</t>
  </si>
  <si>
    <t>0160</t>
  </si>
  <si>
    <t>2030</t>
  </si>
  <si>
    <t>2100</t>
  </si>
  <si>
    <t>2111</t>
  </si>
  <si>
    <t>Надання інших пільг окремим категоріям громадян відповідно до законодавства</t>
  </si>
  <si>
    <t>3032</t>
  </si>
  <si>
    <t>3036</t>
  </si>
  <si>
    <t>3121</t>
  </si>
  <si>
    <t>6011</t>
  </si>
  <si>
    <t>Експлуатація та технічне обслуговування житлового фонду</t>
  </si>
  <si>
    <t>6013</t>
  </si>
  <si>
    <t>6030</t>
  </si>
  <si>
    <t>Організація благоустрою населених пунктів</t>
  </si>
  <si>
    <t>8400</t>
  </si>
  <si>
    <t>6084</t>
  </si>
  <si>
    <t>7000</t>
  </si>
  <si>
    <t>7130</t>
  </si>
  <si>
    <t>7340</t>
  </si>
  <si>
    <t>1010160</t>
  </si>
  <si>
    <t>1510160</t>
  </si>
  <si>
    <t>6090</t>
  </si>
  <si>
    <t>Інша діяльність у сфері житлово-комунального господарства</t>
  </si>
  <si>
    <t>7100</t>
  </si>
  <si>
    <t>Сільське, лісове, рибне господарство та мисливство</t>
  </si>
  <si>
    <t>1017640</t>
  </si>
  <si>
    <t>1517640</t>
  </si>
  <si>
    <t>8120</t>
  </si>
  <si>
    <t>0200000</t>
  </si>
  <si>
    <t>0210000</t>
  </si>
  <si>
    <t>0210160</t>
  </si>
  <si>
    <t>0213036</t>
  </si>
  <si>
    <t>0213121</t>
  </si>
  <si>
    <t>0213131</t>
  </si>
  <si>
    <t>0213140</t>
  </si>
  <si>
    <t>0215011</t>
  </si>
  <si>
    <t>0215012</t>
  </si>
  <si>
    <t>0215031</t>
  </si>
  <si>
    <t>0215061</t>
  </si>
  <si>
    <t>0217412</t>
  </si>
  <si>
    <t>0217610</t>
  </si>
  <si>
    <t>0217670</t>
  </si>
  <si>
    <t>0218110</t>
  </si>
  <si>
    <t>0218340</t>
  </si>
  <si>
    <t>0600000</t>
  </si>
  <si>
    <t>0610000</t>
  </si>
  <si>
    <t>0610160</t>
  </si>
  <si>
    <t>0611010</t>
  </si>
  <si>
    <t>0700000</t>
  </si>
  <si>
    <t>0710000</t>
  </si>
  <si>
    <t>0710160</t>
  </si>
  <si>
    <t>0712010</t>
  </si>
  <si>
    <t>0717640</t>
  </si>
  <si>
    <t>0712144</t>
  </si>
  <si>
    <t>0712111</t>
  </si>
  <si>
    <t>0712100</t>
  </si>
  <si>
    <t>0712030</t>
  </si>
  <si>
    <t>0800000</t>
  </si>
  <si>
    <t>0810000</t>
  </si>
  <si>
    <t>0810160</t>
  </si>
  <si>
    <t>0813031</t>
  </si>
  <si>
    <t>0813032</t>
  </si>
  <si>
    <t>0813036</t>
  </si>
  <si>
    <t>0813104</t>
  </si>
  <si>
    <t>0813160</t>
  </si>
  <si>
    <t>0813180</t>
  </si>
  <si>
    <t>0813200</t>
  </si>
  <si>
    <t>0900000</t>
  </si>
  <si>
    <t>0910000</t>
  </si>
  <si>
    <t>0910160</t>
  </si>
  <si>
    <t>0913112</t>
  </si>
  <si>
    <t>1010000</t>
  </si>
  <si>
    <t>1014030</t>
  </si>
  <si>
    <t>1200000</t>
  </si>
  <si>
    <t>1210000</t>
  </si>
  <si>
    <t>1210160</t>
  </si>
  <si>
    <t>1216011</t>
  </si>
  <si>
    <t>1216013</t>
  </si>
  <si>
    <t>1216020</t>
  </si>
  <si>
    <t>1216030</t>
  </si>
  <si>
    <t>1217340</t>
  </si>
  <si>
    <t>1217640</t>
  </si>
  <si>
    <t>1218340</t>
  </si>
  <si>
    <t>1219770</t>
  </si>
  <si>
    <t>1516030</t>
  </si>
  <si>
    <t>1516084</t>
  </si>
  <si>
    <t>1600000</t>
  </si>
  <si>
    <t>1610000</t>
  </si>
  <si>
    <t>1610160</t>
  </si>
  <si>
    <t>1710000</t>
  </si>
  <si>
    <t>1710160</t>
  </si>
  <si>
    <t>1700000</t>
  </si>
  <si>
    <t>3100000</t>
  </si>
  <si>
    <t>3110000</t>
  </si>
  <si>
    <t>3110160</t>
  </si>
  <si>
    <t>3117130</t>
  </si>
  <si>
    <t>3117610</t>
  </si>
  <si>
    <t>3700000</t>
  </si>
  <si>
    <t>3710000</t>
  </si>
  <si>
    <t>3710160</t>
  </si>
  <si>
    <t>3718340</t>
  </si>
  <si>
    <t>3718600</t>
  </si>
  <si>
    <t>0218120</t>
  </si>
  <si>
    <t>Загальний фонд</t>
  </si>
  <si>
    <t>Спеціальний фонд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</si>
  <si>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</si>
  <si>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</si>
  <si>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</si>
  <si>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</si>
  <si>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</si>
  <si>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</si>
  <si>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3719110</t>
  </si>
  <si>
    <t>0217530</t>
  </si>
  <si>
    <t>Інші заходи у сфері зв'язку, телекомунікації та інформатики</t>
  </si>
  <si>
    <t>7530</t>
  </si>
  <si>
    <t>0460</t>
  </si>
  <si>
    <t>7500</t>
  </si>
  <si>
    <t>Зв'язок, телекомунікації та інформатика</t>
  </si>
  <si>
    <t>7693</t>
  </si>
  <si>
    <t>0217693</t>
  </si>
  <si>
    <t>0210180</t>
  </si>
  <si>
    <t>Інша діяльність у сфері державного управління</t>
  </si>
  <si>
    <t>0218230</t>
  </si>
  <si>
    <t>8230</t>
  </si>
  <si>
    <t>0380</t>
  </si>
  <si>
    <t>Інші заходи громадського порядку та безпеки</t>
  </si>
  <si>
    <t>0217680</t>
  </si>
  <si>
    <t>7680</t>
  </si>
  <si>
    <t>Членські внески до асоціацій органів місцевого самоврядування</t>
  </si>
  <si>
    <t>8200</t>
  </si>
  <si>
    <t>1216090</t>
  </si>
  <si>
    <t>9100</t>
  </si>
  <si>
    <t>0218420</t>
  </si>
  <si>
    <t>8420</t>
  </si>
  <si>
    <t>Інші заходи у сфері засобів масової інформації</t>
  </si>
  <si>
    <t>0213033</t>
  </si>
  <si>
    <t>3717640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</si>
  <si>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</si>
  <si>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</si>
  <si>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</si>
  <si>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</si>
  <si>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</si>
  <si>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3117693</t>
  </si>
  <si>
    <t>0819770</t>
  </si>
  <si>
    <t>3117650</t>
  </si>
  <si>
    <t>7650</t>
  </si>
  <si>
    <t>3117660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</si>
  <si>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</si>
  <si>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</si>
  <si>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1217310</t>
  </si>
  <si>
    <t>7310</t>
  </si>
  <si>
    <t>1217330</t>
  </si>
  <si>
    <t>7330</t>
  </si>
  <si>
    <t>1517310</t>
  </si>
  <si>
    <t>1517321</t>
  </si>
  <si>
    <t>7321</t>
  </si>
  <si>
    <t>1517322</t>
  </si>
  <si>
    <t>7322</t>
  </si>
  <si>
    <t>1517330</t>
  </si>
  <si>
    <t>Інші програми та заходи у сфері освіти</t>
  </si>
  <si>
    <t>2151</t>
  </si>
  <si>
    <t>2152</t>
  </si>
  <si>
    <t>3191</t>
  </si>
  <si>
    <t>3192</t>
  </si>
  <si>
    <t>3210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</si>
  <si>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</si>
  <si>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</si>
  <si>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</si>
  <si>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4081</t>
  </si>
  <si>
    <t>4082</t>
  </si>
  <si>
    <t>Інші заходи в галузі культури і мистецтва</t>
  </si>
  <si>
    <t>7691</t>
  </si>
  <si>
    <t>Дотації з місцевого бюджету іншим бюджетам</t>
  </si>
  <si>
    <t>1617691</t>
  </si>
  <si>
    <t>1217691</t>
  </si>
  <si>
    <t>0217691</t>
  </si>
  <si>
    <t>1213210</t>
  </si>
  <si>
    <t>0214081</t>
  </si>
  <si>
    <t>0214082</t>
  </si>
  <si>
    <t>0213241</t>
  </si>
  <si>
    <t>0213242</t>
  </si>
  <si>
    <t>0813241</t>
  </si>
  <si>
    <t>0813191</t>
  </si>
  <si>
    <t>0813192</t>
  </si>
  <si>
    <t>0813210</t>
  </si>
  <si>
    <t>1616090</t>
  </si>
  <si>
    <t>0640</t>
  </si>
  <si>
    <t>0726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</si>
  <si>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</si>
  <si>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3090</t>
  </si>
  <si>
    <t>3171</t>
  </si>
  <si>
    <t>3172</t>
  </si>
  <si>
    <t>0214060</t>
  </si>
  <si>
    <t>4060</t>
  </si>
  <si>
    <t>0828</t>
  </si>
  <si>
    <t>Компенсаційні виплати за пільговий проїзд окремих категорій громадян на залізничному транспорті</t>
  </si>
  <si>
    <t>3035</t>
  </si>
  <si>
    <t>0813035</t>
  </si>
  <si>
    <t>0712151</t>
  </si>
  <si>
    <t>0712152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</si>
  <si>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</si>
  <si>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</si>
  <si>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</si>
  <si>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3717693</t>
  </si>
  <si>
    <t>1217670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</si>
  <si>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</si>
  <si>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</si>
  <si>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0913111</t>
  </si>
  <si>
    <t>Відділ культури Сумської міської ради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</si>
  <si>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</si>
  <si>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</si>
  <si>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</si>
  <si>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бюджетної програми згідно з Типовою програмною класифікацією видатків та кредитування місцевого бюджету</t>
  </si>
  <si>
    <t>Здійснення заходів та реалізація проектів на виконання Державної цільової соціальної програми "Молодь України"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</si>
  <si>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</si>
  <si>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Забезпечення обробки інформації з нарахування та виплати допомог і компенсацій</t>
  </si>
  <si>
    <t>Забезпечення діяльності інших закладів в галузі культури і мистецтва</t>
  </si>
  <si>
    <t>Інша діяльність, пов’язана з експлуатацією об’єктів житлово-комунального господарства</t>
  </si>
  <si>
    <t>Здійснення заходів із землеустрою</t>
  </si>
  <si>
    <t>Проведення експертної грошової оцінки земельної ділянки чи права на неї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</si>
  <si>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</si>
  <si>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 xml:space="preserve">Інша діяльність у сфері екології та охорони природних ресурсів </t>
  </si>
  <si>
    <t>0215062</t>
  </si>
  <si>
    <t>0813050</t>
  </si>
  <si>
    <t>0813090</t>
  </si>
  <si>
    <t>0813033</t>
  </si>
  <si>
    <t>0813171</t>
  </si>
  <si>
    <t>0813172</t>
  </si>
  <si>
    <t>0813242</t>
  </si>
  <si>
    <t>Інші субвенції з місцевого бюджету</t>
  </si>
  <si>
    <t>0215032</t>
  </si>
  <si>
    <t>(грн)</t>
  </si>
  <si>
    <t>1517325</t>
  </si>
  <si>
    <t>Надання пільг окремим категоріям громадян з оплати послуг зв'язку</t>
  </si>
  <si>
    <t>0717700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</si>
  <si>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</si>
  <si>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Управління  «Служба у справах дітей» Сумської міської ради</t>
  </si>
  <si>
    <t>Виконання інвестиційних проектів в рамках підтримки розвитку об'єднаних територіальних громад</t>
  </si>
  <si>
    <t>Надання позашкільної освіти закладами позашкільної освіти, заходи із позашкільної роботи з дітьми</t>
  </si>
  <si>
    <t>1517363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</si>
  <si>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</si>
  <si>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1217363</t>
  </si>
  <si>
    <t>1517691</t>
  </si>
  <si>
    <t>1217361</t>
  </si>
  <si>
    <t>1517361</t>
  </si>
  <si>
    <t>Співфінансування інвестиційних проектів, що реалізуються за рахунок коштів державного фонду регіонального розвитку</t>
  </si>
  <si>
    <t>0717361</t>
  </si>
  <si>
    <t>1217462</t>
  </si>
  <si>
    <t>Інші заходи у сфері автотранспорту</t>
  </si>
  <si>
    <t>Інші заходи у сфері електротранспорту</t>
  </si>
  <si>
    <t>0217413</t>
  </si>
  <si>
    <t>0217426</t>
  </si>
  <si>
    <t>1218230</t>
  </si>
  <si>
    <t>1218110</t>
  </si>
  <si>
    <t>0219800</t>
  </si>
  <si>
    <t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</si>
  <si>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</si>
  <si>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субвенції з місцевого бюджету на здійснення переданих видатків у сфері освіти за рахунок коштів освітньої субвенції</t>
  </si>
  <si>
    <t>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</si>
  <si>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</si>
  <si>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дотації з місцевого бюджету на здійснення переданих з державного бюджету видатків з утримання закладів освіти та охорони здоров’я за рахунок відповідної додаткової дотації з державного бюджету</t>
  </si>
  <si>
    <t>субвенції з державного бюджету місцевим бюджетам на здійснення заходів щодо соціально-економічного розвитку окремих територій</t>
  </si>
  <si>
    <t>освітньої субвенції з державного бюджету місцевим бюджетам</t>
  </si>
  <si>
    <t>медичної субвенції з державного бюджету місцевим бюджетам</t>
  </si>
  <si>
    <t>субвенції з місцевого бюджету на здійснення переданих видатків у сфері охорони здоров'я за рахунок коштів медичної субвенції</t>
  </si>
  <si>
    <t>субвенції з місцевого бюджету на здійснення підтримки окремих закладів та заходів у системі охорони здоров’я за рахунок відповідної субвенції з державного бюджету</t>
  </si>
  <si>
    <t>іншої субвенції з місцевого бюджету</t>
  </si>
  <si>
    <t xml:space="preserve">іншої субвенції з місцевого бюджету </t>
  </si>
  <si>
    <t>субвенції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</si>
  <si>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Виконання інвестиційних проектів в рамках здійснення заходів щодо соціально-економічного розвитку окремих територій, у т.ч. за рахунок:</t>
  </si>
  <si>
    <t>Утримання та розвиток автомобільних доріг та дорожньої інфраструктури за рахунок субвенції з державного бюджету, у т.ч. за рахунок:</t>
  </si>
  <si>
    <t>0456</t>
  </si>
  <si>
    <t>Централізовані заходи з лікування хворих на цукровий та нецукровий діабет, у т.ч. за рахунок: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</si>
  <si>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обслуговування, у т.ч. за рахунок:</t>
  </si>
  <si>
    <t>Встановлення телефонів особам з інвалідністю I і II груп, у т.ч. за рахунок:</t>
  </si>
  <si>
    <t>Всього видатків, у т.ч. за рахунок:</t>
  </si>
  <si>
    <t>Пільгове медичне обслуговування осіб, які постраждали внаслідок Чорнобильської катастрофи, у т.ч. за рахунок:</t>
  </si>
  <si>
    <t>Видатки на поховання учасників бойових дій та осіб з інвалідністю внаслідок війни, у т.ч. за рахунок:</t>
  </si>
  <si>
    <t>Компенсаційні виплати на пільговий проїзд автомобільним транспортом окремим категоріям громадян</t>
  </si>
  <si>
    <t>Інші заходи у сфері соціального захисту і соціального забезпечення</t>
  </si>
  <si>
    <t>0453</t>
  </si>
  <si>
    <t>0217325</t>
  </si>
  <si>
    <t>0217330</t>
  </si>
  <si>
    <t>0717322</t>
  </si>
  <si>
    <t>0817323</t>
  </si>
  <si>
    <t>Заходи з енергозбереження, у т. ч. за рахунок:</t>
  </si>
  <si>
    <t>місцевого запозичення</t>
  </si>
  <si>
    <t>Управління капітального будівництва та дорожнього господарства Сумської міської ради, у т. ч. за рахунок:</t>
  </si>
  <si>
    <t>Інші програми та заходи, пов'язані з економічною діяльністю, у т.ч. за рахунок:</t>
  </si>
  <si>
    <t>Заходи з енергозбереження</t>
  </si>
  <si>
    <t>0717363</t>
  </si>
  <si>
    <t>1517340</t>
  </si>
  <si>
    <t>1217530</t>
  </si>
  <si>
    <t>1517370</t>
  </si>
  <si>
    <t>Реалізація інших заходів щодо соціально-економічного розвитку територій</t>
  </si>
  <si>
    <t>0719770</t>
  </si>
  <si>
    <t>Інши субвенції з місцевого бюджету</t>
  </si>
  <si>
    <t>0210191</t>
  </si>
  <si>
    <t>0191</t>
  </si>
  <si>
    <t>Проведення місцевих виборів</t>
  </si>
  <si>
    <t>0916083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</si>
  <si>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</si>
  <si>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</si>
  <si>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0813223</t>
  </si>
  <si>
    <t>0813221</t>
  </si>
  <si>
    <t>субвенція з державного бюджету бюджету Сумської міської об’єднаної територіальної громади на поточний ремонт вулично-дорожньої мережі та штучних споруд м. Суми, вул. Харківська</t>
  </si>
  <si>
    <t>0712020</t>
  </si>
  <si>
    <t>0732</t>
  </si>
  <si>
    <t xml:space="preserve"> Спеціалізована стаціонарна медична допомога населенню</t>
  </si>
  <si>
    <t>0210170</t>
  </si>
  <si>
    <t>Підвищення кваліфікації депутатів місцевих рад та посадових осіб місцевого самоврядування</t>
  </si>
  <si>
    <t>0217450</t>
  </si>
  <si>
    <t>7450</t>
  </si>
  <si>
    <t>1017324</t>
  </si>
  <si>
    <t>7324</t>
  </si>
  <si>
    <t>1617350</t>
  </si>
  <si>
    <t>7350</t>
  </si>
  <si>
    <t>Розроблення схем планування та забудови територій (містобудівної документації)</t>
  </si>
  <si>
    <t>Інша діяльність у сфері транспорту</t>
  </si>
  <si>
    <t>0131</t>
  </si>
  <si>
    <t xml:space="preserve">Управління охорони здоров’я Сумської міської ради  </t>
  </si>
  <si>
    <t>Лікарсько-акушерська допомога вагітним, породіллям та новонародженим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</si>
  <si>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</si>
  <si>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</si>
  <si>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0611021</t>
  </si>
  <si>
    <t>Надання загальної середньої освіти закладами загальної середньої освіти</t>
  </si>
  <si>
    <t>0611022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</si>
  <si>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</si>
  <si>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0611031</t>
  </si>
  <si>
    <t>0611032</t>
  </si>
  <si>
    <t>1032</t>
  </si>
  <si>
    <t>0611070</t>
  </si>
  <si>
    <t>0611141</t>
  </si>
  <si>
    <t>1141</t>
  </si>
  <si>
    <t>0611142</t>
  </si>
  <si>
    <t>1142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</si>
  <si>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</si>
  <si>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</si>
  <si>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</si>
  <si>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</si>
  <si>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</si>
  <si>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0611160</t>
  </si>
  <si>
    <t>1160</t>
  </si>
  <si>
    <t>Забезпечення діяльності центрів професійного розвитку педагогічних працівників</t>
  </si>
  <si>
    <t>0611200</t>
  </si>
  <si>
    <t>1200</t>
  </si>
  <si>
    <t>0613140</t>
  </si>
  <si>
    <t>0613242</t>
  </si>
  <si>
    <t>0615031</t>
  </si>
  <si>
    <t>0617321</t>
  </si>
  <si>
    <t>0617640</t>
  </si>
  <si>
    <t>0618340</t>
  </si>
  <si>
    <t>0619770</t>
  </si>
  <si>
    <t>0617700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</si>
  <si>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</si>
  <si>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Надання дошкільної освіти</t>
  </si>
  <si>
    <t xml:space="preserve"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 у т.ч. за рахунок: </t>
  </si>
  <si>
    <t xml:space="preserve">Надання освіти за рахунок субвенції з державного бюджету місцевим бюджетам на надання державної підтримки особам з особливими освітніми потребами,  у т.ч. за рахунок: </t>
  </si>
  <si>
    <t>1011080</t>
  </si>
  <si>
    <t>Забезпечення діяльності інших закладів у сфері освіти</t>
  </si>
  <si>
    <t>Забезпечення діяльності інклюзивно-ресурсних центрів за рахунок освітньої субвенції, у т.ч. за рахунок: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</si>
  <si>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потребами,  у т.ч. за рахунок:</t>
  </si>
  <si>
    <t>3718710</t>
  </si>
  <si>
    <t>0611210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</si>
  <si>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потребами,  у т.ч. за рахунок: </t>
  </si>
  <si>
    <t>1210</t>
  </si>
  <si>
    <t>0619800</t>
  </si>
  <si>
    <t>1519750</t>
  </si>
  <si>
    <t>Субвенція з місцевого бюджету на співфінансування інвестиційних проектів</t>
  </si>
  <si>
    <t>0611061</t>
  </si>
  <si>
    <t>залишок коштів освітньої субвенції , що утворився на початок бюджетного періоду</t>
  </si>
  <si>
    <t xml:space="preserve">Надання загальної середньої освіти закладами загальної середньої освіти,  у т.ч. за рахунок: </t>
  </si>
  <si>
    <t>0810180</t>
  </si>
  <si>
    <t>0611062</t>
  </si>
  <si>
    <t>0619320</t>
  </si>
  <si>
    <t>Субвенції з місцевого бюджету іншим місцевим бюджетам на здійснення програм у галузі освіти за рахунок субвенцій з державного бюджету,  у т.ч. за рахунок:</t>
  </si>
  <si>
    <t>Субвенція з місцевого бюджету за рахунок залишку коштів освітньої субвенції, що утворився на початок бюджетного періоду,  у т.ч. за рахунок:</t>
  </si>
  <si>
    <t>залишку коштів субвенції з державного бюджету Сумської міської об’єднаної територіальної громади на поточний ремонт вулично-дорожньої мережі та штучних споруд м. Суми, вул. Харківська</t>
  </si>
  <si>
    <t>залишку коштів освітньої субвенції , що утворився на початок бюджетного періоду</t>
  </si>
  <si>
    <t>7462</t>
  </si>
  <si>
    <t>1210180</t>
  </si>
  <si>
    <t>субвенції з місцевого бюджету за рахунок залишку коштів освітньої субвенції, що утворився на початок бюджетного періоду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</si>
  <si>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споруд, установ та закладів фізичної культури і спорту</t>
    </r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</si>
  <si>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установ та закладів соціальної сфери</t>
    </r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</si>
  <si>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установ та закладів культури</t>
    </r>
  </si>
  <si>
    <t>0617363</t>
  </si>
  <si>
    <t>1617370</t>
  </si>
  <si>
    <t>7370</t>
  </si>
  <si>
    <t>0611172</t>
  </si>
  <si>
    <t>0611182</t>
  </si>
  <si>
    <t>1172</t>
  </si>
  <si>
    <t>1182</t>
  </si>
  <si>
    <t>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</si>
  <si>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1517324</t>
  </si>
  <si>
    <t>0813222</t>
  </si>
  <si>
    <t>0217422</t>
  </si>
  <si>
    <t>Регулювання цін на послуги місцевого наземного електротранспорту</t>
  </si>
  <si>
    <t>0611171</t>
  </si>
  <si>
    <t>1171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</si>
  <si>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</si>
  <si>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</si>
  <si>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</si>
  <si>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1219730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</si>
  <si>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</si>
  <si>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(код бюджету)</t>
  </si>
  <si>
    <t>1217463</t>
  </si>
  <si>
    <t>Утримання та розвиток автомобільних доріг та дорожньої інфраструктури за рахунок трансфертів з інших місцевих бюджетів, у т.ч. за рахунок:</t>
  </si>
  <si>
    <t>1217368</t>
  </si>
  <si>
    <t>Виконання інвестиційних проектів за рахунок субвенцій з інших бюджетів, у т.ч. за рахунок:</t>
  </si>
  <si>
    <t>0611025</t>
  </si>
  <si>
    <t>0611035</t>
  </si>
  <si>
    <t xml:space="preserve">субвенції з державного бюджету місцевим бюджетам на реалізацію програми "Спроможна школа для кращих результатів" </t>
  </si>
  <si>
    <t xml:space="preserve"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бюджетам,  у т.ч. за рахунок: </t>
  </si>
  <si>
    <t xml:space="preserve">Субвенція з місцевого бюджету за рахунок залишку коштів освітньої субвенції, що утворився на початок бюджетного періоду,  у т.ч. за рахунок: </t>
  </si>
  <si>
    <t>1216083</t>
  </si>
  <si>
    <t>0219770</t>
  </si>
  <si>
    <t xml:space="preserve">Виконання заходів в рамках реалізації програми "Спроможна школа для кращих результатів" за рахунок субвенції з державного бюджету місцевим бюджетам,  у т.ч. за рахунок: 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</si>
  <si>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</si>
  <si>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Надання спеціалізованої освіти мистецькими школами</t>
  </si>
  <si>
    <t>0217323</t>
  </si>
  <si>
    <t>0213133</t>
  </si>
  <si>
    <t>Інші заходи та заклади молодіжної політики</t>
  </si>
  <si>
    <t>0813140</t>
  </si>
  <si>
    <t>0817640</t>
  </si>
  <si>
    <t>1216071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</si>
  <si>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</si>
  <si>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>1617340</t>
  </si>
  <si>
    <t>0913242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</si>
  <si>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</si>
  <si>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Багатопрофільна стаціонарна медична допомога населенню</t>
  </si>
  <si>
    <t>Транспорт та транспортна інфраструктура, дорожнє господарство</t>
  </si>
  <si>
    <t>Забезпечення діяльності інших закладів у сфері охорони здоров'я</t>
  </si>
  <si>
    <t>Інші програми та заходи у сфері охорони здоров'я</t>
  </si>
  <si>
    <t xml:space="preserve">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</si>
  <si>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Витрати, пов'язані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</si>
  <si>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0611091</t>
  </si>
  <si>
    <t>0930</t>
  </si>
  <si>
    <t>0611092</t>
  </si>
  <si>
    <t xml:space="preserve">Підготовка кадрів закладами професійної (професійно-технічної) освіти та іншими закладами освіти за рахунок освітньої субвенції, у т.ч. за рахунок: </t>
  </si>
  <si>
    <t>Виконання інвестиційних проектів в рамках здійснення заходів щодо соціально-економічного розвитку окремих територій</t>
  </si>
  <si>
    <t>1511010</t>
  </si>
  <si>
    <t>1219750</t>
  </si>
  <si>
    <t>1511021</t>
  </si>
  <si>
    <t>1511022</t>
  </si>
  <si>
    <t>1512010</t>
  </si>
  <si>
    <t>0712070</t>
  </si>
  <si>
    <t>0724</t>
  </si>
  <si>
    <t>Екстрена та швидка медична допомога населенню</t>
  </si>
  <si>
    <t>Інші заходи за рахунок коштів резервного фонду місцевого бюджету</t>
  </si>
  <si>
    <t>0718775</t>
  </si>
  <si>
    <t>0818775</t>
  </si>
  <si>
    <t>1218775</t>
  </si>
  <si>
    <t>0218240</t>
  </si>
  <si>
    <t>Заходи та роботи з територіальної оборони</t>
  </si>
  <si>
    <t>1216014</t>
  </si>
  <si>
    <t>Забезпечення збору та вивезення сміття і відходів</t>
  </si>
  <si>
    <t>0818751</t>
  </si>
  <si>
    <t>1219800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</si>
  <si>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</si>
  <si>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</si>
  <si>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0617693</t>
  </si>
  <si>
    <t>залишку коштів субвенції з державного бюджету місцевим бюджетам на здійснення заходів щодо соціально-економічного розвитку окремих територій</t>
  </si>
  <si>
    <t>залишку коштів освітньої субвенції, що утворився на початок бюджетного періоду</t>
  </si>
  <si>
    <t>залишку кощтів субвенції з державного бюджету місцевим бюджнтам на здійснення заходів щодо соціально-економічного розвитку окремих територій</t>
  </si>
  <si>
    <t>субвенції з місцевого бюджету на закупівлю опорними закладами охорони здоров'я послуг щодо проектування та встановлення кисневих станцій за рахунок залишку коштів відповідної субвенції з державногобюджету, що утворився на початок бюджетного періоду</t>
  </si>
  <si>
    <t>Виконання інвестиційних проектів в рамках здійснення заходів щодо соціально-економічного розвитку окремих територій:</t>
  </si>
  <si>
    <t>Департамент інспекційної роботи Сумської міської ради</t>
  </si>
  <si>
    <t>3600000</t>
  </si>
  <si>
    <t>3610000</t>
  </si>
  <si>
    <t>3610160</t>
  </si>
  <si>
    <t>Управління комунального майна Сумської міської ради</t>
  </si>
  <si>
    <t>3616090</t>
  </si>
  <si>
    <t>3617340</t>
  </si>
  <si>
    <t>3617370</t>
  </si>
  <si>
    <t>3617130</t>
  </si>
  <si>
    <t>3617610</t>
  </si>
  <si>
    <t>3617650</t>
  </si>
  <si>
    <t>3617660</t>
  </si>
  <si>
    <t>3617693</t>
  </si>
  <si>
    <t>3717700</t>
  </si>
  <si>
    <t>0217640</t>
  </si>
  <si>
    <t>1417610</t>
  </si>
  <si>
    <t>Соціальний захист та соціальне забезпечення, у т. ч. за рахунок:</t>
  </si>
  <si>
    <t>Реалізація програм допомоги і грантів Європейського Союзу, урядів іноземних держав, міжнародних організацій, донорських установ, у т.ч. за рахунок:</t>
  </si>
  <si>
    <t>грантів (дарунків)</t>
  </si>
  <si>
    <t>Економічна діяльність, у т.ч. за рахунок:</t>
  </si>
  <si>
    <t>Департамент соціального захисту населення Сумської міської ради, у т.ч. за рахунок:</t>
  </si>
  <si>
    <t>Інші заходи у сфері соціального захисту і соціального забезпечення, у т.ч. за рахунок:</t>
  </si>
  <si>
    <t>Управління  освіти і науки Сумської міської ради,  у т.ч. за рахунок:</t>
  </si>
  <si>
    <t>Освіта, у т.ч. за рахунок: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</si>
  <si>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</si>
  <si>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коштів місцевого бюджету</t>
  </si>
  <si>
    <t xml:space="preserve">Надання загальної середньої освіти закладами загальної середньої освіти за рахунок освітньої субвенції, у т.ч. за рахунок: </t>
  </si>
  <si>
    <t xml:space="preserve"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субвенції,  у т.ч. за рахунок: </t>
  </si>
  <si>
    <t xml:space="preserve"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освітньої субвенції,  у т.ч. за рахунок: </t>
  </si>
  <si>
    <t>Захист населення і територій від надзвичайних ситуацій техногенного та природного характеру, у т.ч. за рахунок:</t>
  </si>
  <si>
    <t>2700000</t>
  </si>
  <si>
    <t>2710160</t>
  </si>
  <si>
    <t>2710000</t>
  </si>
  <si>
    <t>2717610</t>
  </si>
  <si>
    <t>1218240</t>
  </si>
  <si>
    <t>1218312</t>
  </si>
  <si>
    <t>0512</t>
  </si>
  <si>
    <t>Утилізація відходів</t>
  </si>
  <si>
    <t>0618240</t>
  </si>
  <si>
    <t>1853100000</t>
  </si>
  <si>
    <t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</si>
  <si>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Будівництво1 об'єктів житлово-комунального господарства</t>
  </si>
  <si>
    <t>1217383</t>
  </si>
  <si>
    <t>Реалізація проектів (об'єктів, заходів) за рахунок коштів фонду ліквідації наслідків збройної агресії, у т. ч. за рахунок:</t>
  </si>
  <si>
    <t>субвенції з державного бюджету місцевим бюджетам на реалізацію проектів (об'єктів, заходів), спрямованих на ліквідацію наслідків збройної агресії</t>
  </si>
  <si>
    <t xml:space="preserve"> 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</si>
  <si>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</si>
  <si>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0611261</t>
  </si>
  <si>
    <t>0611262</t>
  </si>
  <si>
    <t>субвенції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</si>
  <si>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>1261</t>
  </si>
  <si>
    <t>1262</t>
  </si>
  <si>
    <t>1511261</t>
  </si>
  <si>
    <t>1511262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</si>
  <si>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умов, у т.ч. за рахунок: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</si>
  <si>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умов, у т.ч. за рахунок: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</si>
  <si>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умов, у т.ч. за рахунок:</t>
  </si>
  <si>
    <t>субвенції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</si>
  <si>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субвенції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</si>
  <si>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</si>
  <si>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1217461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</si>
  <si>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</si>
  <si>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</si>
  <si>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</si>
  <si>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5010000</t>
  </si>
  <si>
    <t>5010160</t>
  </si>
  <si>
    <t>1217375</t>
  </si>
  <si>
    <t>до                    наказу             Сумської</t>
  </si>
  <si>
    <t>міської       військової     адміністрації</t>
  </si>
  <si>
    <t xml:space="preserve">РОЗПОДІЛ
видатків бюджету Сумської міської територіальної громади на 2024 рік за головними розпорядниками бюджетних коштів </t>
  </si>
  <si>
    <t>РОЗПОДІЛ
видатків бюджету Сумської міської територіальної громади на 2024 рік за програмною класифікацією видатків та кредитування місцевого бюджету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</si>
  <si>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об'єктів житлово-комунального господарства</t>
    </r>
  </si>
  <si>
    <t>Інші заходи у сфері соціального захисту і соціального забезпечення,    у т. ч. за рахунок:</t>
  </si>
  <si>
    <t>Сумська міська військова адміністрація Сумського району Сумської області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</si>
  <si>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закладах, що надають загальну середню освіту</t>
  </si>
  <si>
    <t>трансфертів з державного бюджету</t>
  </si>
  <si>
    <t>трансфертів з місцевого бюджету до інших місцевих бюджетів за рахунок трансфертів з державного бюджету</t>
  </si>
  <si>
    <t xml:space="preserve">трансфертів з місцевих бюджетів </t>
  </si>
  <si>
    <t>Виконавчий комітет Сумської міської ради, у т. ч. за рахунок:</t>
  </si>
  <si>
    <t>Інша діяльність, у т. ч. за рахунок:</t>
  </si>
  <si>
    <t>Заходи з організації рятування на водах, у т. ч. за рахунок:</t>
  </si>
  <si>
    <t>0617384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</si>
  <si>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банку, у т.ч за рахунок:</t>
  </si>
  <si>
    <t>Департамент інфраструктури міста Сумської міської ради, у т.ч. за рахунок:</t>
  </si>
  <si>
    <t>1217384</t>
  </si>
  <si>
    <t>Будівництво та регіональний розвиток, у т.ч. за рахунок:</t>
  </si>
  <si>
    <t>субвенції з місцевого бюджету на проектування, відновлення, будівництво, модернізацію, облаштування, ремонт об’єктів будівництва громадського призначення, соціальної сфери, культурної спадщини, житлово-комунального господарства, інших об`єктів, що мають вплив на життєдіяльність населення, за рахунок відповідної субвенції з державного бюджету</t>
  </si>
  <si>
    <t>до                 наказу             Сумської</t>
  </si>
  <si>
    <t>міської     військової    адміністрації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</si>
  <si>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допомоги, у т.ч. за рахунок:</t>
  </si>
  <si>
    <t>залишку коштів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Федерації, що утворився станом на 01.01.2024 року</t>
  </si>
  <si>
    <t>Надання загальної середньої освіти закладами загальної середньої освіти за рахунок коштів місцевого бюджету, у т.ч. за рахунок:</t>
  </si>
  <si>
    <t xml:space="preserve">залишку коштів по запозиченню від ЄІБ «Підвищення енергоефективності в дошкільних закладах м. Суми», що склався станом на 01.01.2024 року 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</si>
  <si>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</si>
  <si>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</si>
  <si>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бюджету), у т.ч. за рахунок: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</si>
  <si>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</si>
  <si>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</si>
  <si>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0611291</t>
  </si>
  <si>
    <t>1222</t>
  </si>
  <si>
    <t xml:space="preserve"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бюджетам, у т.ч. за рахунок: </t>
  </si>
  <si>
    <t>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</si>
  <si>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0611222</t>
  </si>
  <si>
    <t>Управління охорони здоров’я Сумської міської ради, у т. ч. за рахунок:</t>
  </si>
  <si>
    <t>0611221</t>
  </si>
  <si>
    <t>1221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</si>
  <si>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</si>
  <si>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субвенціі з державного бюджету місцевим бюджетам на облаштування безпечних умов у закладах, що надають загальну середню освіту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</si>
  <si>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</si>
  <si>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 xml:space="preserve">Виконання заходів щодо облаштування безпечних умов у закладах, що надають загальну середню освіту, за рахунок субвенції з державного бюджету місцевим бюджетам, у т.ч. за рахунок: </t>
  </si>
  <si>
    <t>1019770</t>
  </si>
  <si>
    <t>0611241</t>
  </si>
  <si>
    <t>1241</t>
  </si>
  <si>
    <t>Співфінансування заходів, що реалізуються за рахунок субвенції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t>
  </si>
  <si>
    <t>0611094</t>
  </si>
  <si>
    <t>Підготовка кадрів закладами професійної (професійно-технічної) освіти та іншими закладами освіти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періодах), у т.ч. за рахунок:</t>
  </si>
  <si>
    <t>0712161</t>
  </si>
  <si>
    <t>0712162</t>
  </si>
  <si>
    <t>Виконання заходів щодо облаштування безпечних умов у закладах охорони здоров'я за рахунок субвенції з державного бюджету місцевим бюджетам, у т.ч. за рахунок:</t>
  </si>
  <si>
    <t>субвенції з державного бюджету місцевим бюджетам на облаштування безпечних умов у закладах охорони здоров'я</t>
  </si>
  <si>
    <t>Охорона здоров’я, у т.ч. за рахунок:</t>
  </si>
  <si>
    <t>1217130</t>
  </si>
  <si>
    <t>1242</t>
  </si>
  <si>
    <t>Виконання заходів щодо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 за рахунок субвенції з державного бюджету місцевим бюджетам, у т.ч. за рахунок:</t>
  </si>
  <si>
    <t>субвенції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t>
  </si>
  <si>
    <t>0611242</t>
  </si>
  <si>
    <t>Підготовка кадрів закладами професійної (професійно-технічної) освіти та іншими закладами освіти за рахунок коштів місцевого бюджету, у т.ч. за рахунок:</t>
  </si>
  <si>
    <t>Заходи із запобігання та ліквідації надзвичайних ситуацій та наслідків стихійного лиха, у т.ч. за рахунок:</t>
  </si>
  <si>
    <t>Департамент фінансів, економіки та інвестицій Сумської міської ради, у т.ч. за рахунок:</t>
  </si>
  <si>
    <t>Керівництво і управління у відповідній сфері у містах (місті Києві), селищах, селах, територіальних громадах, у т.ч. за рахунок: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</si>
  <si>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інших об'єктів комунальної власності, у т.ч. за рахунок:</t>
    </r>
  </si>
  <si>
    <t>Сумська міська військова адміністрація Сумського району Сумської області, у т.ч. за рахунок:</t>
  </si>
  <si>
    <t>Багатопрофільна стаціонарна медична допомога населенню, у т.ч. за рахунок: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</si>
  <si>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бюджету), у т.ч. за рахунок:</t>
  </si>
  <si>
    <t>Інша діяльність у сфері державного управління, у т.ч.за рахунок:</t>
  </si>
  <si>
    <t>Керівництво і управління у відповідній сфері у містах (місті Києві), селищах, селах, територіальних громадах</t>
  </si>
  <si>
    <t>3719770</t>
  </si>
  <si>
    <t>Будівництво1 інших об'єктів комунальної власності</t>
  </si>
  <si>
    <t>0217700</t>
  </si>
  <si>
    <t>1217700</t>
  </si>
  <si>
    <t>Забезпечення діяльності палаців i будинків культури, клубів, центрів дозвілля та iнших клубних закладів, у т.ч. за рахунок:</t>
  </si>
  <si>
    <t xml:space="preserve"> Культура і мистецтво, у т.ч. за рахунок:</t>
  </si>
  <si>
    <t>Відділ культури Сумської міської ради, у т.ч. за рахунок:</t>
  </si>
  <si>
    <t>Житлово-комунальне господарство, у т.ч. за рахунок:</t>
  </si>
  <si>
    <t>Забезпечення діяльності водопровідно-каналізаційного господарства,  у т.ч. за рахунок:</t>
  </si>
  <si>
    <t>Забезпечення функціонування підприємств, установ та організацій, що виробляють, виконують та/або надають житлово-комунальні послуги,  у т.ч. за рахунок:</t>
  </si>
  <si>
    <t>Внески до статутного капіталу суб'єктів господарювання,  у т.ч. за рахунок: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</si>
  <si>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освітніх установ та закладів, у т.ч. за рахунок:</t>
    </r>
  </si>
  <si>
    <t>1217412</t>
  </si>
  <si>
    <t>1217422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</si>
  <si>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</si>
  <si>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бюджетам, у т.ч. за рахунок:</t>
  </si>
  <si>
    <t>субвенції з державного бюджету місцевим бюджетам на забезпечення харчуванням учнів початкових класів закладів загальної середньої освіти</t>
  </si>
  <si>
    <t>0611403</t>
  </si>
  <si>
    <t>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</si>
  <si>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в т.ч. дотац</t>
  </si>
  <si>
    <t>трансфертів з державного бюджету, в т.ч.:</t>
  </si>
  <si>
    <t>Утримання та навчально-тренувальна робота комунальних дитячо-юнацьких спортивних шкіл, у т.ч. за рахунок:</t>
  </si>
  <si>
    <t>Фізична культура і спорт, у т.ч. за рахунок: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</si>
  <si>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охорони здоров'я, у т.ч. за рахунок:</t>
  </si>
  <si>
    <t>Інші заходи, пов'язані з економічною діяльністю, у т.ч. за рахунок:</t>
  </si>
  <si>
    <t>Управління комунального майна Сумської міської ради,у т.ч. за рахунок:</t>
  </si>
  <si>
    <t>Державне управління, у т.ч. за рахунок:</t>
  </si>
  <si>
    <t>Лариса СКИРТАЧ</t>
  </si>
  <si>
    <t xml:space="preserve">Перший заступник директора Департаменту фінансів, економіки та  інвестицій Сумської міської ради                                           </t>
  </si>
  <si>
    <t xml:space="preserve">Перший заступник директора Департаменту фінансів, економіки та  інвестицій Сумської міської ради      </t>
  </si>
  <si>
    <t>Утримання та забезпечення діяльності центрів соціальних служб, у т.ч. за рахунок:</t>
  </si>
  <si>
    <t>дотація 490,0</t>
  </si>
  <si>
    <t xml:space="preserve"> Реалізація проектів (заходів) з відновлення об'єктів житлового фонду, пошкоджених / знищених внаслідок збройної агресії, за рахунок коштів місцевих бюджетів, у т.ч. за рахунок:</t>
  </si>
  <si>
    <t xml:space="preserve"> Реалізація проектів (заходів) з відновлення об'єктів житлового фонду, пошкоджених / знищених внаслідок збройної агресії, за рахунок коштів місцевих бюджетів</t>
  </si>
  <si>
    <t>Резервний фонд, у т.ч. за рахунок:</t>
  </si>
  <si>
    <t>Резервний фонд місцевого бюджету</t>
  </si>
  <si>
    <t>Міжбюджетні трансферти</t>
  </si>
  <si>
    <t>Забезпечення діяльності інших закладів у сфері соціального захисту і соціального забезпечення, у т.ч за рахунок:</t>
  </si>
  <si>
    <t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</si>
  <si>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Забезпечення діяльності інших закладів у сфері соціального захисту і соціального забезпечення, у т.ч. за рахунок:</t>
  </si>
  <si>
    <t>Громадський порядок та безпека</t>
  </si>
  <si>
    <t xml:space="preserve">                     Додаток 7</t>
  </si>
  <si>
    <t xml:space="preserve">                     Додаток 3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</si>
  <si>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медичних установ та закладіву т.ч. за рахунок:</t>
    </r>
  </si>
  <si>
    <t>0813193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</si>
  <si>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у т.ч. за рахунок:</t>
  </si>
  <si>
    <t>від 19.12.2024 № 392 - СМР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</si>
</sst>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* #,##0.00;* \-#,##0.00;* &quot;-&quot;??;@"/>
  </numFmts>
  <fonts count="48" x14ac:knownFonts="1">
    <font>
      <sz val="10"/>
      <name val="Times New Roman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25"/>
      <name val="Times New Roman"/>
      <family val="1"/>
      <charset val="204"/>
    </font>
    <font>
      <b/>
      <sz val="27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23"/>
      <name val="Times New Roman"/>
      <family val="1"/>
      <charset val="204"/>
    </font>
    <font>
      <sz val="24"/>
      <name val="Times New Roman"/>
      <family val="1"/>
      <charset val="204"/>
    </font>
    <font>
      <sz val="1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9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6" fillId="7" borderId="1" applyNumberFormat="0" applyAlignment="0" applyProtection="0"/>
    <xf numFmtId="0" fontId="7" fillId="22" borderId="2" applyNumberFormat="0" applyAlignment="0" applyProtection="0"/>
    <xf numFmtId="0" fontId="14" fillId="22" borderId="1" applyNumberFormat="0" applyAlignment="0" applyProtection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>
      <alignment vertical="top"/>
    </xf>
    <xf numFmtId="0" fontId="11" fillId="0" borderId="3" applyNumberFormat="0" applyFill="0" applyAlignment="0" applyProtection="0"/>
    <xf numFmtId="0" fontId="9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19" fillId="0" borderId="0"/>
    <xf numFmtId="0" fontId="5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10" borderId="5" applyNumberFormat="0" applyFont="0" applyAlignment="0" applyProtection="0"/>
    <xf numFmtId="0" fontId="17" fillId="0" borderId="6" applyNumberFormat="0" applyFill="0" applyAlignment="0" applyProtection="0"/>
    <xf numFmtId="0" fontId="18" fillId="0" borderId="0"/>
    <xf numFmtId="0" fontId="8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32" fillId="24" borderId="0" applyNumberFormat="0" applyBorder="0" applyAlignment="0" applyProtection="0"/>
    <xf numFmtId="0" fontId="32" fillId="30" borderId="0" applyNumberFormat="0" applyBorder="0" applyAlignment="0" applyProtection="0"/>
    <xf numFmtId="0" fontId="33" fillId="36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3" fillId="37" borderId="0" applyNumberFormat="0" applyBorder="0" applyAlignment="0" applyProtection="0"/>
    <xf numFmtId="0" fontId="32" fillId="26" borderId="0" applyNumberFormat="0" applyBorder="0" applyAlignment="0" applyProtection="0"/>
    <xf numFmtId="0" fontId="32" fillId="32" borderId="0" applyNumberFormat="0" applyBorder="0" applyAlignment="0" applyProtection="0"/>
    <xf numFmtId="0" fontId="33" fillId="38" borderId="0" applyNumberFormat="0" applyBorder="0" applyAlignment="0" applyProtection="0"/>
    <xf numFmtId="0" fontId="32" fillId="27" borderId="0" applyNumberFormat="0" applyBorder="0" applyAlignment="0" applyProtection="0"/>
    <xf numFmtId="0" fontId="32" fillId="33" borderId="0" applyNumberFormat="0" applyBorder="0" applyAlignment="0" applyProtection="0"/>
    <xf numFmtId="0" fontId="33" fillId="39" borderId="0" applyNumberFormat="0" applyBorder="0" applyAlignment="0" applyProtection="0"/>
    <xf numFmtId="0" fontId="32" fillId="28" borderId="0" applyNumberFormat="0" applyBorder="0" applyAlignment="0" applyProtection="0"/>
    <xf numFmtId="0" fontId="32" fillId="34" borderId="0" applyNumberFormat="0" applyBorder="0" applyAlignment="0" applyProtection="0"/>
    <xf numFmtId="0" fontId="33" fillId="40" borderId="0" applyNumberFormat="0" applyBorder="0" applyAlignment="0" applyProtection="0"/>
    <xf numFmtId="0" fontId="32" fillId="29" borderId="0" applyNumberFormat="0" applyBorder="0" applyAlignment="0" applyProtection="0"/>
    <xf numFmtId="0" fontId="32" fillId="35" borderId="0" applyNumberFormat="0" applyBorder="0" applyAlignment="0" applyProtection="0"/>
    <xf numFmtId="0" fontId="33" fillId="41" borderId="0" applyNumberFormat="0" applyBorder="0" applyAlignment="0" applyProtection="0"/>
  </cellStyleXfs>
  <cellXfs count="161">
    <xf numFmtId="0" fontId="0" fillId="0" borderId="0" xfId="0"/>
    <xf numFmtId="4" fontId="21" fillId="0" borderId="7" xfId="29" applyNumberFormat="1" applyFont="1" applyFill="1" applyBorder="1" applyAlignment="1">
      <alignment horizontal="right" wrapText="1"/>
    </xf>
    <xf numFmtId="49" fontId="23" fillId="0" borderId="0" xfId="0" applyNumberFormat="1" applyFont="1" applyFill="1" applyAlignment="1">
      <alignment horizontal="center"/>
    </xf>
    <xf numFmtId="3" fontId="23" fillId="0" borderId="0" xfId="0" applyNumberFormat="1" applyFont="1" applyFill="1" applyAlignment="1">
      <alignment horizontal="center"/>
    </xf>
    <xf numFmtId="3" fontId="23" fillId="0" borderId="0" xfId="0" applyNumberFormat="1" applyFont="1" applyFill="1" applyAlignment="1">
      <alignment horizontal="left" wrapText="1"/>
    </xf>
    <xf numFmtId="4" fontId="23" fillId="0" borderId="0" xfId="0" applyNumberFormat="1" applyFont="1" applyFill="1" applyAlignment="1">
      <alignment horizontal="center"/>
    </xf>
    <xf numFmtId="3" fontId="2" fillId="0" borderId="0" xfId="0" applyNumberFormat="1" applyFont="1" applyFill="1"/>
    <xf numFmtId="4" fontId="43" fillId="0" borderId="0" xfId="0" applyNumberFormat="1" applyFont="1" applyFill="1" applyAlignment="1">
      <alignment vertical="center"/>
    </xf>
    <xf numFmtId="3" fontId="34" fillId="0" borderId="0" xfId="0" applyNumberFormat="1" applyFont="1" applyFill="1"/>
    <xf numFmtId="49" fontId="23" fillId="0" borderId="0" xfId="0" applyNumberFormat="1" applyFont="1" applyFill="1" applyAlignment="1">
      <alignment horizontal="center" wrapText="1"/>
    </xf>
    <xf numFmtId="3" fontId="23" fillId="0" borderId="0" xfId="0" applyNumberFormat="1" applyFont="1" applyFill="1" applyAlignment="1">
      <alignment horizontal="center" wrapText="1"/>
    </xf>
    <xf numFmtId="4" fontId="23" fillId="0" borderId="0" xfId="0" applyNumberFormat="1" applyFont="1" applyFill="1" applyAlignment="1">
      <alignment horizontal="center" wrapText="1"/>
    </xf>
    <xf numFmtId="4" fontId="31" fillId="0" borderId="0" xfId="0" applyNumberFormat="1" applyFont="1" applyFill="1" applyAlignment="1">
      <alignment horizontal="center" wrapText="1"/>
    </xf>
    <xf numFmtId="3" fontId="23" fillId="0" borderId="0" xfId="0" applyNumberFormat="1" applyFont="1" applyFill="1"/>
    <xf numFmtId="3" fontId="24" fillId="0" borderId="0" xfId="0" applyNumberFormat="1" applyFont="1" applyFill="1" applyAlignment="1">
      <alignment horizontal="center" vertical="center" wrapText="1"/>
    </xf>
    <xf numFmtId="4" fontId="28" fillId="0" borderId="7" xfId="0" applyNumberFormat="1" applyFont="1" applyFill="1" applyBorder="1" applyAlignment="1">
      <alignment horizontal="right" wrapText="1"/>
    </xf>
    <xf numFmtId="3" fontId="24" fillId="0" borderId="0" xfId="0" applyNumberFormat="1" applyFont="1" applyFill="1" applyAlignment="1">
      <alignment vertical="center"/>
    </xf>
    <xf numFmtId="49" fontId="30" fillId="0" borderId="7" xfId="0" applyNumberFormat="1" applyFont="1" applyFill="1" applyBorder="1" applyAlignment="1">
      <alignment horizontal="center" vertical="center" wrapText="1"/>
    </xf>
    <xf numFmtId="3" fontId="30" fillId="0" borderId="7" xfId="0" applyNumberFormat="1" applyFont="1" applyFill="1" applyBorder="1" applyAlignment="1">
      <alignment horizontal="center" vertical="center" wrapText="1"/>
    </xf>
    <xf numFmtId="3" fontId="30" fillId="0" borderId="7" xfId="0" applyNumberFormat="1" applyFont="1" applyFill="1" applyBorder="1" applyAlignment="1">
      <alignment horizontal="left" vertical="center" wrapText="1"/>
    </xf>
    <xf numFmtId="4" fontId="30" fillId="0" borderId="7" xfId="0" applyNumberFormat="1" applyFont="1" applyFill="1" applyBorder="1" applyAlignment="1">
      <alignment horizontal="right" wrapText="1"/>
    </xf>
    <xf numFmtId="3" fontId="26" fillId="0" borderId="0" xfId="0" applyNumberFormat="1" applyFont="1" applyFill="1" applyAlignment="1">
      <alignment vertical="center"/>
    </xf>
    <xf numFmtId="49" fontId="21" fillId="0" borderId="7" xfId="0" applyNumberFormat="1" applyFont="1" applyFill="1" applyBorder="1" applyAlignment="1">
      <alignment horizontal="center" vertical="center" wrapText="1"/>
    </xf>
    <xf numFmtId="1" fontId="21" fillId="0" borderId="7" xfId="0" applyNumberFormat="1" applyFont="1" applyFill="1" applyBorder="1" applyAlignment="1">
      <alignment horizontal="center" vertical="center" wrapText="1"/>
    </xf>
    <xf numFmtId="3" fontId="21" fillId="0" borderId="7" xfId="0" applyNumberFormat="1" applyFont="1" applyFill="1" applyBorder="1" applyAlignment="1">
      <alignment horizontal="left" vertical="center" wrapText="1"/>
    </xf>
    <xf numFmtId="4" fontId="21" fillId="0" borderId="7" xfId="0" applyNumberFormat="1" applyFont="1" applyFill="1" applyBorder="1" applyAlignment="1">
      <alignment horizontal="right" wrapText="1"/>
    </xf>
    <xf numFmtId="3" fontId="23" fillId="0" borderId="0" xfId="0" applyNumberFormat="1" applyFont="1" applyFill="1" applyAlignment="1">
      <alignment vertical="center"/>
    </xf>
    <xf numFmtId="49" fontId="29" fillId="0" borderId="7" xfId="0" applyNumberFormat="1" applyFont="1" applyFill="1" applyBorder="1" applyAlignment="1">
      <alignment horizontal="center" vertical="center" wrapText="1"/>
    </xf>
    <xf numFmtId="1" fontId="29" fillId="0" borderId="7" xfId="0" applyNumberFormat="1" applyFont="1" applyFill="1" applyBorder="1" applyAlignment="1">
      <alignment horizontal="center" vertical="center" wrapText="1"/>
    </xf>
    <xf numFmtId="3" fontId="29" fillId="0" borderId="7" xfId="0" applyNumberFormat="1" applyFont="1" applyFill="1" applyBorder="1" applyAlignment="1">
      <alignment horizontal="left" vertical="center" wrapText="1"/>
    </xf>
    <xf numFmtId="4" fontId="29" fillId="0" borderId="7" xfId="0" applyNumberFormat="1" applyFont="1" applyFill="1" applyBorder="1" applyAlignment="1">
      <alignment horizontal="right" wrapText="1"/>
    </xf>
    <xf numFmtId="3" fontId="25" fillId="0" borderId="0" xfId="0" applyNumberFormat="1" applyFont="1" applyFill="1" applyAlignment="1">
      <alignment vertical="center"/>
    </xf>
    <xf numFmtId="3" fontId="29" fillId="0" borderId="7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left" vertical="center" wrapText="1"/>
    </xf>
    <xf numFmtId="49" fontId="21" fillId="0" borderId="7" xfId="0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 wrapText="1"/>
    </xf>
    <xf numFmtId="1" fontId="21" fillId="0" borderId="7" xfId="0" applyNumberFormat="1" applyFont="1" applyFill="1" applyBorder="1" applyAlignment="1">
      <alignment horizontal="left" vertical="center" wrapText="1"/>
    </xf>
    <xf numFmtId="49" fontId="28" fillId="0" borderId="7" xfId="0" applyNumberFormat="1" applyFont="1" applyFill="1" applyBorder="1" applyAlignment="1">
      <alignment horizontal="center" vertical="center" wrapText="1"/>
    </xf>
    <xf numFmtId="1" fontId="28" fillId="0" borderId="7" xfId="0" applyNumberFormat="1" applyFont="1" applyFill="1" applyBorder="1" applyAlignment="1">
      <alignment horizontal="center" vertical="center" wrapText="1"/>
    </xf>
    <xf numFmtId="3" fontId="28" fillId="0" borderId="7" xfId="0" applyNumberFormat="1" applyFont="1" applyFill="1" applyBorder="1" applyAlignment="1">
      <alignment horizontal="left" vertical="center" wrapText="1"/>
    </xf>
    <xf numFmtId="1" fontId="30" fillId="0" borderId="7" xfId="0" applyNumberFormat="1" applyFont="1" applyFill="1" applyBorder="1" applyAlignment="1">
      <alignment horizontal="center" vertical="center" wrapText="1"/>
    </xf>
    <xf numFmtId="1" fontId="42" fillId="0" borderId="7" xfId="0" applyNumberFormat="1" applyFont="1" applyFill="1" applyBorder="1" applyAlignment="1">
      <alignment horizontal="center" vertical="center" wrapText="1"/>
    </xf>
    <xf numFmtId="49" fontId="21" fillId="0" borderId="7" xfId="0" applyNumberFormat="1" applyFont="1" applyFill="1" applyBorder="1" applyAlignment="1">
      <alignment horizontal="left" vertical="center" wrapText="1"/>
    </xf>
    <xf numFmtId="1" fontId="29" fillId="0" borderId="7" xfId="0" applyNumberFormat="1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vertical="center" wrapText="1"/>
    </xf>
    <xf numFmtId="1" fontId="21" fillId="0" borderId="7" xfId="0" applyNumberFormat="1" applyFont="1" applyFill="1" applyBorder="1" applyAlignment="1">
      <alignment horizontal="center" vertical="center"/>
    </xf>
    <xf numFmtId="3" fontId="25" fillId="0" borderId="7" xfId="0" applyNumberFormat="1" applyFont="1" applyFill="1" applyBorder="1" applyAlignment="1">
      <alignment vertical="center"/>
    </xf>
    <xf numFmtId="4" fontId="21" fillId="0" borderId="7" xfId="0" applyNumberFormat="1" applyFont="1" applyFill="1" applyBorder="1"/>
    <xf numFmtId="0" fontId="29" fillId="0" borderId="7" xfId="0" applyFont="1" applyFill="1" applyBorder="1" applyAlignment="1">
      <alignment horizontal="left" vertical="center" wrapText="1"/>
    </xf>
    <xf numFmtId="3" fontId="21" fillId="0" borderId="7" xfId="0" applyNumberFormat="1" applyFont="1" applyFill="1" applyBorder="1" applyAlignment="1">
      <alignment horizontal="left" vertical="center" wrapText="1" shrinkToFit="1"/>
    </xf>
    <xf numFmtId="3" fontId="29" fillId="0" borderId="7" xfId="0" applyNumberFormat="1" applyFont="1" applyFill="1" applyBorder="1" applyAlignment="1">
      <alignment horizontal="left" vertical="center" wrapText="1" shrinkToFit="1"/>
    </xf>
    <xf numFmtId="4" fontId="29" fillId="0" borderId="7" xfId="0" applyNumberFormat="1" applyFont="1" applyFill="1" applyBorder="1"/>
    <xf numFmtId="49" fontId="30" fillId="0" borderId="7" xfId="0" applyNumberFormat="1" applyFont="1" applyFill="1" applyBorder="1" applyAlignment="1">
      <alignment horizontal="left" vertical="center" wrapText="1"/>
    </xf>
    <xf numFmtId="49" fontId="29" fillId="0" borderId="7" xfId="0" applyNumberFormat="1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3" fontId="23" fillId="0" borderId="0" xfId="0" applyNumberFormat="1" applyFont="1" applyFill="1" applyAlignment="1">
      <alignment horizontal="center" vertical="center"/>
    </xf>
    <xf numFmtId="49" fontId="30" fillId="0" borderId="0" xfId="0" applyNumberFormat="1" applyFont="1" applyFill="1" applyAlignment="1">
      <alignment horizontal="center" vertical="center" wrapText="1"/>
    </xf>
    <xf numFmtId="1" fontId="30" fillId="0" borderId="0" xfId="0" applyNumberFormat="1" applyFont="1" applyFill="1" applyAlignment="1">
      <alignment horizontal="center" vertical="center" wrapText="1"/>
    </xf>
    <xf numFmtId="3" fontId="30" fillId="0" borderId="0" xfId="0" applyNumberFormat="1" applyFont="1" applyFill="1" applyAlignment="1">
      <alignment horizontal="left" vertical="center" wrapText="1"/>
    </xf>
    <xf numFmtId="4" fontId="30" fillId="0" borderId="0" xfId="0" applyNumberFormat="1" applyFont="1" applyFill="1" applyAlignment="1">
      <alignment horizontal="right" wrapText="1"/>
    </xf>
    <xf numFmtId="3" fontId="44" fillId="0" borderId="0" xfId="0" applyNumberFormat="1" applyFont="1" applyFill="1"/>
    <xf numFmtId="4" fontId="44" fillId="0" borderId="0" xfId="0" applyNumberFormat="1" applyFont="1" applyFill="1" applyAlignment="1">
      <alignment horizontal="center"/>
    </xf>
    <xf numFmtId="49" fontId="27" fillId="0" borderId="0" xfId="0" applyNumberFormat="1" applyFont="1" applyFill="1" applyAlignment="1">
      <alignment horizontal="center"/>
    </xf>
    <xf numFmtId="3" fontId="27" fillId="0" borderId="0" xfId="0" applyNumberFormat="1" applyFont="1" applyFill="1" applyAlignment="1">
      <alignment horizontal="center"/>
    </xf>
    <xf numFmtId="4" fontId="45" fillId="0" borderId="7" xfId="0" applyNumberFormat="1" applyFont="1" applyFill="1" applyBorder="1" applyAlignment="1">
      <alignment horizontal="center"/>
    </xf>
    <xf numFmtId="3" fontId="27" fillId="0" borderId="0" xfId="0" applyNumberFormat="1" applyFont="1" applyFill="1"/>
    <xf numFmtId="4" fontId="46" fillId="0" borderId="7" xfId="0" applyNumberFormat="1" applyFont="1" applyFill="1" applyBorder="1" applyAlignment="1">
      <alignment horizontal="center"/>
    </xf>
    <xf numFmtId="4" fontId="47" fillId="0" borderId="7" xfId="0" applyNumberFormat="1" applyFont="1" applyFill="1" applyBorder="1" applyAlignment="1">
      <alignment horizontal="center"/>
    </xf>
    <xf numFmtId="4" fontId="23" fillId="0" borderId="9" xfId="0" applyNumberFormat="1" applyFont="1" applyFill="1" applyBorder="1" applyAlignment="1">
      <alignment horizontal="center"/>
    </xf>
    <xf numFmtId="49" fontId="21" fillId="0" borderId="0" xfId="0" applyNumberFormat="1" applyFont="1" applyFill="1" applyAlignment="1">
      <alignment horizontal="center" vertical="center"/>
    </xf>
    <xf numFmtId="0" fontId="21" fillId="0" borderId="0" xfId="0" applyFont="1" applyFill="1"/>
    <xf numFmtId="0" fontId="21" fillId="0" borderId="0" xfId="0" applyFont="1" applyFill="1" applyAlignment="1">
      <alignment wrapText="1"/>
    </xf>
    <xf numFmtId="4" fontId="21" fillId="0" borderId="0" xfId="0" applyNumberFormat="1" applyFont="1" applyFill="1"/>
    <xf numFmtId="49" fontId="31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 wrapText="1"/>
    </xf>
    <xf numFmtId="4" fontId="31" fillId="0" borderId="0" xfId="0" applyNumberFormat="1" applyFont="1" applyFill="1"/>
    <xf numFmtId="0" fontId="31" fillId="0" borderId="0" xfId="0" applyFont="1" applyFill="1"/>
    <xf numFmtId="0" fontId="28" fillId="0" borderId="0" xfId="0" applyFont="1" applyFill="1"/>
    <xf numFmtId="49" fontId="28" fillId="0" borderId="7" xfId="0" applyNumberFormat="1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vertical="center" wrapText="1"/>
    </xf>
    <xf numFmtId="4" fontId="28" fillId="0" borderId="7" xfId="0" applyNumberFormat="1" applyFont="1" applyFill="1" applyBorder="1" applyAlignment="1">
      <alignment horizontal="right"/>
    </xf>
    <xf numFmtId="4" fontId="30" fillId="0" borderId="7" xfId="0" applyNumberFormat="1" applyFont="1" applyFill="1" applyBorder="1" applyAlignment="1">
      <alignment horizontal="right"/>
    </xf>
    <xf numFmtId="4" fontId="21" fillId="0" borderId="7" xfId="0" applyNumberFormat="1" applyFont="1" applyFill="1" applyBorder="1" applyAlignment="1">
      <alignment horizontal="right"/>
    </xf>
    <xf numFmtId="4" fontId="29" fillId="0" borderId="7" xfId="0" applyNumberFormat="1" applyFont="1" applyFill="1" applyBorder="1" applyAlignment="1">
      <alignment horizontal="right"/>
    </xf>
    <xf numFmtId="1" fontId="29" fillId="0" borderId="7" xfId="0" applyNumberFormat="1" applyFont="1" applyFill="1" applyBorder="1" applyAlignment="1">
      <alignment horizontal="center" vertical="center"/>
    </xf>
    <xf numFmtId="0" fontId="29" fillId="0" borderId="0" xfId="0" applyFont="1" applyFill="1"/>
    <xf numFmtId="1" fontId="28" fillId="0" borderId="7" xfId="0" applyNumberFormat="1" applyFont="1" applyFill="1" applyBorder="1" applyAlignment="1">
      <alignment horizontal="center" vertical="center"/>
    </xf>
    <xf numFmtId="1" fontId="30" fillId="0" borderId="7" xfId="0" applyNumberFormat="1" applyFont="1" applyFill="1" applyBorder="1" applyAlignment="1">
      <alignment horizontal="center" vertical="center"/>
    </xf>
    <xf numFmtId="0" fontId="30" fillId="0" borderId="0" xfId="0" applyFont="1" applyFill="1"/>
    <xf numFmtId="3" fontId="21" fillId="0" borderId="7" xfId="0" applyNumberFormat="1" applyFont="1" applyFill="1" applyBorder="1" applyAlignment="1">
      <alignment horizontal="left" wrapText="1"/>
    </xf>
    <xf numFmtId="1" fontId="28" fillId="0" borderId="7" xfId="0" applyNumberFormat="1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1" fontId="30" fillId="0" borderId="7" xfId="0" applyNumberFormat="1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top" wrapText="1"/>
    </xf>
    <xf numFmtId="4" fontId="21" fillId="0" borderId="7" xfId="0" applyNumberFormat="1" applyFont="1" applyFill="1" applyBorder="1" applyAlignment="1">
      <alignment horizontal="right" vertical="center"/>
    </xf>
    <xf numFmtId="4" fontId="29" fillId="0" borderId="7" xfId="0" applyNumberFormat="1" applyFont="1" applyFill="1" applyBorder="1" applyAlignment="1">
      <alignment horizontal="right" vertical="center"/>
    </xf>
    <xf numFmtId="49" fontId="29" fillId="0" borderId="7" xfId="0" applyNumberFormat="1" applyFont="1" applyFill="1" applyBorder="1" applyAlignment="1">
      <alignment horizontal="center" vertical="center"/>
    </xf>
    <xf numFmtId="4" fontId="30" fillId="0" borderId="7" xfId="0" applyNumberFormat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vertical="center" wrapText="1"/>
    </xf>
    <xf numFmtId="49" fontId="28" fillId="0" borderId="7" xfId="0" applyNumberFormat="1" applyFont="1" applyFill="1" applyBorder="1" applyAlignment="1">
      <alignment horizontal="left" vertical="center" wrapText="1"/>
    </xf>
    <xf numFmtId="4" fontId="29" fillId="0" borderId="7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49" fontId="30" fillId="0" borderId="7" xfId="0" applyNumberFormat="1" applyFont="1" applyFill="1" applyBorder="1" applyAlignment="1">
      <alignment horizontal="center" vertical="center"/>
    </xf>
    <xf numFmtId="4" fontId="30" fillId="0" borderId="0" xfId="0" applyNumberFormat="1" applyFont="1" applyFill="1"/>
    <xf numFmtId="1" fontId="30" fillId="0" borderId="0" xfId="0" applyNumberFormat="1" applyFont="1" applyFill="1" applyAlignment="1">
      <alignment horizontal="center" vertical="center"/>
    </xf>
    <xf numFmtId="4" fontId="30" fillId="0" borderId="0" xfId="0" applyNumberFormat="1" applyFont="1" applyFill="1" applyAlignment="1">
      <alignment horizontal="right"/>
    </xf>
    <xf numFmtId="3" fontId="23" fillId="42" borderId="0" xfId="0" applyNumberFormat="1" applyFont="1" applyFill="1" applyAlignment="1">
      <alignment vertical="center"/>
    </xf>
    <xf numFmtId="3" fontId="24" fillId="0" borderId="7" xfId="0" applyNumberFormat="1" applyFont="1" applyFill="1" applyBorder="1" applyAlignment="1">
      <alignment horizontal="center" vertical="center" wrapText="1"/>
    </xf>
    <xf numFmtId="3" fontId="27" fillId="0" borderId="0" xfId="0" applyNumberFormat="1" applyFont="1" applyFill="1" applyAlignment="1">
      <alignment horizontal="center" vertical="center" textRotation="180"/>
    </xf>
    <xf numFmtId="49" fontId="28" fillId="0" borderId="8" xfId="0" applyNumberFormat="1" applyFont="1" applyFill="1" applyBorder="1" applyAlignment="1">
      <alignment horizontal="center" vertical="center" wrapText="1"/>
    </xf>
    <xf numFmtId="3" fontId="28" fillId="0" borderId="8" xfId="0" applyNumberFormat="1" applyFont="1" applyFill="1" applyBorder="1" applyAlignment="1">
      <alignment horizontal="center" vertical="center" wrapText="1"/>
    </xf>
    <xf numFmtId="3" fontId="28" fillId="0" borderId="8" xfId="0" applyNumberFormat="1" applyFont="1" applyFill="1" applyBorder="1" applyAlignment="1">
      <alignment horizontal="left" vertical="center" wrapText="1"/>
    </xf>
    <xf numFmtId="3" fontId="27" fillId="0" borderId="10" xfId="0" applyNumberFormat="1" applyFont="1" applyFill="1" applyBorder="1" applyAlignment="1">
      <alignment vertical="center" textRotation="180"/>
    </xf>
    <xf numFmtId="3" fontId="25" fillId="42" borderId="0" xfId="0" applyNumberFormat="1" applyFont="1" applyFill="1" applyAlignment="1">
      <alignment vertical="center"/>
    </xf>
    <xf numFmtId="3" fontId="26" fillId="42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center" vertical="center" textRotation="180"/>
    </xf>
    <xf numFmtId="0" fontId="21" fillId="42" borderId="0" xfId="0" applyFont="1" applyFill="1"/>
    <xf numFmtId="0" fontId="29" fillId="42" borderId="0" xfId="0" applyFont="1" applyFill="1"/>
    <xf numFmtId="0" fontId="30" fillId="42" borderId="0" xfId="0" applyFont="1" applyFill="1"/>
    <xf numFmtId="3" fontId="27" fillId="0" borderId="0" xfId="0" applyNumberFormat="1" applyFont="1" applyFill="1" applyAlignment="1">
      <alignment horizontal="center" vertical="center" textRotation="180"/>
    </xf>
    <xf numFmtId="4" fontId="43" fillId="0" borderId="0" xfId="0" applyNumberFormat="1" applyFont="1" applyFill="1"/>
    <xf numFmtId="4" fontId="43" fillId="0" borderId="0" xfId="0" applyNumberFormat="1" applyFont="1" applyFill="1" applyAlignment="1">
      <alignment horizontal="left" indent="1"/>
    </xf>
    <xf numFmtId="4" fontId="24" fillId="0" borderId="7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 applyAlignment="1">
      <alignment horizontal="center"/>
    </xf>
    <xf numFmtId="3" fontId="27" fillId="0" borderId="0" xfId="0" applyNumberFormat="1" applyFont="1" applyFill="1" applyAlignment="1">
      <alignment vertical="center" textRotation="180"/>
    </xf>
    <xf numFmtId="0" fontId="27" fillId="0" borderId="10" xfId="0" applyFont="1" applyFill="1" applyBorder="1" applyAlignment="1">
      <alignment vertical="center" textRotation="180"/>
    </xf>
    <xf numFmtId="1" fontId="21" fillId="42" borderId="7" xfId="0" applyNumberFormat="1" applyFont="1" applyFill="1" applyBorder="1" applyAlignment="1">
      <alignment horizontal="center" vertical="center" wrapText="1"/>
    </xf>
    <xf numFmtId="1" fontId="21" fillId="42" borderId="7" xfId="0" applyNumberFormat="1" applyFont="1" applyFill="1" applyBorder="1" applyAlignment="1">
      <alignment horizontal="center" vertical="center"/>
    </xf>
    <xf numFmtId="1" fontId="29" fillId="42" borderId="7" xfId="0" applyNumberFormat="1" applyFont="1" applyFill="1" applyBorder="1" applyAlignment="1">
      <alignment horizontal="left" vertical="center" wrapText="1"/>
    </xf>
    <xf numFmtId="4" fontId="29" fillId="42" borderId="7" xfId="0" applyNumberFormat="1" applyFont="1" applyFill="1" applyBorder="1" applyAlignment="1">
      <alignment horizontal="right"/>
    </xf>
    <xf numFmtId="3" fontId="23" fillId="43" borderId="0" xfId="0" applyNumberFormat="1" applyFont="1" applyFill="1" applyAlignment="1">
      <alignment vertical="center"/>
    </xf>
    <xf numFmtId="3" fontId="25" fillId="43" borderId="0" xfId="0" applyNumberFormat="1" applyFont="1" applyFill="1" applyAlignment="1">
      <alignment vertical="center"/>
    </xf>
    <xf numFmtId="49" fontId="28" fillId="0" borderId="7" xfId="0" applyNumberFormat="1" applyFont="1" applyFill="1" applyBorder="1" applyAlignment="1">
      <alignment horizontal="left" vertical="center"/>
    </xf>
    <xf numFmtId="4" fontId="28" fillId="0" borderId="7" xfId="0" applyNumberFormat="1" applyFont="1" applyFill="1" applyBorder="1" applyAlignment="1">
      <alignment horizontal="center" vertical="center" wrapText="1"/>
    </xf>
    <xf numFmtId="3" fontId="28" fillId="0" borderId="7" xfId="0" applyNumberFormat="1" applyFont="1" applyFill="1" applyBorder="1" applyAlignment="1">
      <alignment horizontal="center" vertical="center" wrapText="1"/>
    </xf>
    <xf numFmtId="164" fontId="21" fillId="0" borderId="7" xfId="29" applyFont="1" applyFill="1" applyBorder="1" applyAlignment="1">
      <alignment horizontal="right" wrapText="1"/>
    </xf>
    <xf numFmtId="4" fontId="21" fillId="0" borderId="7" xfId="0" applyNumberFormat="1" applyFont="1" applyFill="1" applyBorder="1" applyAlignment="1">
      <alignment vertical="center"/>
    </xf>
    <xf numFmtId="4" fontId="29" fillId="0" borderId="7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horizontal="center" vertical="center" textRotation="180"/>
    </xf>
    <xf numFmtId="3" fontId="44" fillId="0" borderId="0" xfId="0" applyNumberFormat="1" applyFont="1" applyFill="1" applyAlignment="1">
      <alignment horizontal="center" vertical="top" wrapText="1"/>
    </xf>
    <xf numFmtId="3" fontId="44" fillId="0" borderId="0" xfId="0" applyNumberFormat="1" applyFont="1" applyFill="1" applyAlignment="1">
      <alignment horizontal="center"/>
    </xf>
    <xf numFmtId="49" fontId="38" fillId="0" borderId="0" xfId="0" applyNumberFormat="1" applyFont="1" applyFill="1" applyAlignment="1">
      <alignment horizontal="center"/>
    </xf>
    <xf numFmtId="3" fontId="44" fillId="0" borderId="0" xfId="0" applyNumberFormat="1" applyFont="1" applyFill="1" applyAlignment="1">
      <alignment horizontal="left" vertical="top" wrapText="1"/>
    </xf>
    <xf numFmtId="4" fontId="43" fillId="0" borderId="0" xfId="0" applyNumberFormat="1" applyFont="1" applyFill="1"/>
    <xf numFmtId="4" fontId="28" fillId="0" borderId="7" xfId="0" applyNumberFormat="1" applyFont="1" applyFill="1" applyBorder="1" applyAlignment="1">
      <alignment horizontal="center" vertical="center" wrapText="1"/>
    </xf>
    <xf numFmtId="4" fontId="40" fillId="0" borderId="7" xfId="0" applyNumberFormat="1" applyFont="1" applyFill="1" applyBorder="1" applyAlignment="1">
      <alignment horizontal="center" vertical="center" wrapText="1"/>
    </xf>
    <xf numFmtId="4" fontId="39" fillId="0" borderId="7" xfId="0" applyNumberFormat="1" applyFont="1" applyFill="1" applyBorder="1" applyAlignment="1">
      <alignment horizontal="center" vertical="center" wrapText="1"/>
    </xf>
    <xf numFmtId="4" fontId="43" fillId="0" borderId="0" xfId="0" applyNumberFormat="1" applyFont="1" applyFill="1" applyAlignment="1">
      <alignment horizontal="left" indent="1"/>
    </xf>
    <xf numFmtId="3" fontId="36" fillId="0" borderId="0" xfId="0" applyNumberFormat="1" applyFont="1" applyFill="1" applyAlignment="1">
      <alignment horizontal="center" vertical="top" wrapText="1"/>
    </xf>
    <xf numFmtId="49" fontId="24" fillId="0" borderId="7" xfId="0" applyNumberFormat="1" applyFont="1" applyFill="1" applyBorder="1" applyAlignment="1">
      <alignment horizontal="center" vertical="center" wrapText="1"/>
    </xf>
    <xf numFmtId="3" fontId="24" fillId="0" borderId="7" xfId="0" applyNumberFormat="1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top"/>
    </xf>
    <xf numFmtId="3" fontId="27" fillId="0" borderId="0" xfId="0" applyNumberFormat="1" applyFont="1" applyFill="1" applyBorder="1" applyAlignment="1">
      <alignment horizontal="center" vertical="center" textRotation="180"/>
    </xf>
    <xf numFmtId="0" fontId="27" fillId="0" borderId="0" xfId="0" applyFont="1" applyFill="1" applyAlignment="1">
      <alignment horizontal="center" vertical="center" textRotation="180"/>
    </xf>
    <xf numFmtId="4" fontId="24" fillId="0" borderId="7" xfId="0" applyNumberFormat="1" applyFont="1" applyFill="1" applyBorder="1" applyAlignment="1">
      <alignment horizontal="center" vertical="center" wrapText="1"/>
    </xf>
    <xf numFmtId="49" fontId="38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horizontal="center" vertical="top" wrapText="1"/>
    </xf>
    <xf numFmtId="3" fontId="28" fillId="0" borderId="7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textRotation="180"/>
    </xf>
  </cellXfs>
  <cellStyles count="80">
    <cellStyle name="20% - Акцент1" xfId="1"/>
    <cellStyle name="20% — акцент1" xfId="62" builtinId="30" hidden="1"/>
    <cellStyle name="20% - Акцент2" xfId="2"/>
    <cellStyle name="20% — акцент2" xfId="65" builtinId="34" hidden="1"/>
    <cellStyle name="20% - Акцент3" xfId="3"/>
    <cellStyle name="20% — акцент3" xfId="68" builtinId="38" hidden="1"/>
    <cellStyle name="20% - Акцент4" xfId="4"/>
    <cellStyle name="20% — акцент4" xfId="71" builtinId="42" hidden="1"/>
    <cellStyle name="20% - Акцент5" xfId="5"/>
    <cellStyle name="20% — акцент5" xfId="74" builtinId="46" hidden="1"/>
    <cellStyle name="20% - Акцент6" xfId="6"/>
    <cellStyle name="20% — акцент6" xfId="77" builtinId="50" hidden="1"/>
    <cellStyle name="40% - Акцент1" xfId="7"/>
    <cellStyle name="40% — акцент1" xfId="63" builtinId="31" hidden="1"/>
    <cellStyle name="40% - Акцент2" xfId="8"/>
    <cellStyle name="40% — акцент2" xfId="66" builtinId="35" hidden="1"/>
    <cellStyle name="40% - Акцент3" xfId="9"/>
    <cellStyle name="40% — акцент3" xfId="69" builtinId="39" hidden="1"/>
    <cellStyle name="40% - Акцент4" xfId="10"/>
    <cellStyle name="40% — акцент4" xfId="72" builtinId="43" hidden="1"/>
    <cellStyle name="40% - Акцент5" xfId="11"/>
    <cellStyle name="40% — акцент5" xfId="75" builtinId="47" hidden="1"/>
    <cellStyle name="40% - Акцент6" xfId="12"/>
    <cellStyle name="40% — акцент6" xfId="78" builtinId="51" hidden="1"/>
    <cellStyle name="60% - Акцент1" xfId="13"/>
    <cellStyle name="60% — акцент1" xfId="64" builtinId="32" hidden="1"/>
    <cellStyle name="60% - Акцент2" xfId="14"/>
    <cellStyle name="60% — акцент2" xfId="67" builtinId="36" hidden="1"/>
    <cellStyle name="60% - Акцент3" xfId="15"/>
    <cellStyle name="60% — акцент3" xfId="70" builtinId="40" hidden="1"/>
    <cellStyle name="60% - Акцент4" xfId="16"/>
    <cellStyle name="60% — акцент4" xfId="73" builtinId="44" hidden="1"/>
    <cellStyle name="60% - Акцент5" xfId="17"/>
    <cellStyle name="60% — акцент5" xfId="76" builtinId="48" hidden="1"/>
    <cellStyle name="60% - Акцент6" xfId="18"/>
    <cellStyle name="60% — акцент6" xfId="79" builtinId="52" hidden="1"/>
    <cellStyle name="Normal_meresha_07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вод " xfId="26"/>
    <cellStyle name="Вывод" xfId="27"/>
    <cellStyle name="Вычисление" xfId="28"/>
    <cellStyle name="Денежный" xfId="29" builtinId="4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" xfId="50"/>
    <cellStyle name="Контрольная ячейка" xfId="51"/>
    <cellStyle name="Название" xfId="52"/>
    <cellStyle name="Нейтральный" xfId="53"/>
    <cellStyle name="Обычный" xfId="0" builtinId="0"/>
    <cellStyle name="Обычный 2" xfId="54"/>
    <cellStyle name="Плохой" xfId="55"/>
    <cellStyle name="Пояснение" xfId="56"/>
    <cellStyle name="Примечание" xfId="57"/>
    <cellStyle name="Связанная ячейка" xfId="58"/>
    <cellStyle name="Стиль 1" xfId="59"/>
    <cellStyle name="Текст предупреждения" xfId="60"/>
    <cellStyle name="Хороший" xfId="6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TE1794"/>
  <sheetViews>
    <sheetView showGridLines="0" showZeros="0" view="pageBreakPreview" zoomScale="70" zoomScaleNormal="82" zoomScaleSheetLayoutView="70" workbookViewId="0">
      <selection activeCell="K5" sqref="K5:P5"/>
    </sheetView>
  </sheetViews>
  <sheetFormatPr defaultColWidth="9.140625" defaultRowHeight="13.9" x14ac:dyDescent="0.4"/>
  <cols>
    <col min="1" max="1" width="16.140625" style="2" customWidth="1"/>
    <col min="2" max="2" width="15.35546875" style="3" customWidth="1"/>
    <col min="3" max="3" width="14.640625" style="3" customWidth="1"/>
    <col min="4" max="4" width="62" style="4" customWidth="1"/>
    <col min="5" max="5" width="22.35546875" style="5" customWidth="1"/>
    <col min="6" max="6" width="22.5" style="5" customWidth="1"/>
    <col min="7" max="7" width="22.85546875" style="5" customWidth="1"/>
    <col min="8" max="8" width="22.5" style="5" customWidth="1"/>
    <col min="9" max="9" width="22.140625" style="5" customWidth="1"/>
    <col min="10" max="10" width="22.35546875" style="5" customWidth="1"/>
    <col min="11" max="11" width="21.640625" style="5" customWidth="1"/>
    <col min="12" max="12" width="21.140625" style="5" customWidth="1"/>
    <col min="13" max="13" width="19.5" style="5" customWidth="1"/>
    <col min="14" max="14" width="17.140625" style="5" customWidth="1"/>
    <col min="15" max="15" width="23.640625" style="5" customWidth="1"/>
    <col min="16" max="16" width="27.85546875" style="68" customWidth="1"/>
    <col min="17" max="17" width="6.640625" style="110" customWidth="1"/>
    <col min="18" max="18" width="21" style="6" customWidth="1"/>
    <col min="19" max="16384" width="9.140625" style="6"/>
  </cols>
  <sheetData>
    <row r="1" spans="1:525" ht="26.25" customHeight="1" x14ac:dyDescent="0.85">
      <c r="K1" s="122" t="s">
        <v>757</v>
      </c>
      <c r="P1" s="5"/>
      <c r="Q1" s="126"/>
    </row>
    <row r="2" spans="1:525" ht="26.25" customHeight="1" x14ac:dyDescent="0.4">
      <c r="K2" s="7" t="s">
        <v>666</v>
      </c>
      <c r="L2" s="7"/>
      <c r="M2" s="7"/>
      <c r="N2" s="7"/>
      <c r="O2" s="7"/>
      <c r="P2" s="7"/>
      <c r="Q2" s="126"/>
    </row>
    <row r="3" spans="1:525" ht="26.25" customHeight="1" x14ac:dyDescent="0.4">
      <c r="K3" s="7" t="s">
        <v>667</v>
      </c>
      <c r="L3" s="7"/>
      <c r="M3" s="7"/>
      <c r="N3" s="7"/>
      <c r="O3" s="7"/>
      <c r="P3" s="7"/>
      <c r="Q3" s="126"/>
    </row>
    <row r="4" spans="1:525" ht="26.25" customHeight="1" x14ac:dyDescent="0.85">
      <c r="K4" s="145" t="s">
        <v>761</v>
      </c>
      <c r="L4" s="145"/>
      <c r="M4" s="145"/>
      <c r="N4" s="145"/>
      <c r="O4" s="145"/>
      <c r="P4" s="145"/>
      <c r="Q4" s="126"/>
    </row>
    <row r="5" spans="1:525" ht="26.25" customHeight="1" x14ac:dyDescent="0.85">
      <c r="K5" s="149"/>
      <c r="L5" s="149"/>
      <c r="M5" s="149"/>
      <c r="N5" s="149"/>
      <c r="O5" s="149"/>
      <c r="P5" s="149"/>
      <c r="Q5" s="126"/>
    </row>
    <row r="6" spans="1:525" ht="26.25" customHeight="1" x14ac:dyDescent="0.85">
      <c r="K6" s="123"/>
      <c r="L6" s="123"/>
      <c r="M6" s="123"/>
      <c r="N6" s="123"/>
      <c r="O6" s="123"/>
      <c r="P6" s="123"/>
      <c r="Q6" s="126"/>
    </row>
    <row r="7" spans="1:525" ht="26.25" customHeight="1" x14ac:dyDescent="0.85">
      <c r="K7" s="149"/>
      <c r="L7" s="149"/>
      <c r="M7" s="149"/>
      <c r="N7" s="149"/>
      <c r="O7" s="149"/>
      <c r="P7" s="149"/>
      <c r="Q7" s="126"/>
    </row>
    <row r="8" spans="1:525" ht="60" customHeight="1" x14ac:dyDescent="0.85">
      <c r="K8" s="122"/>
      <c r="L8" s="122"/>
      <c r="M8" s="122"/>
      <c r="N8" s="122"/>
      <c r="O8" s="122"/>
      <c r="P8" s="122"/>
      <c r="Q8" s="126"/>
    </row>
    <row r="9" spans="1:525" s="8" customFormat="1" ht="71.25" customHeight="1" x14ac:dyDescent="0.55000000000000004">
      <c r="A9" s="150" t="s">
        <v>648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26"/>
    </row>
    <row r="10" spans="1:525" s="8" customFormat="1" ht="23.25" customHeight="1" x14ac:dyDescent="0.65">
      <c r="A10" s="143" t="s">
        <v>618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26"/>
    </row>
    <row r="11" spans="1:525" s="8" customFormat="1" ht="19.5" customHeight="1" x14ac:dyDescent="0.55000000000000004">
      <c r="A11" s="153" t="s">
        <v>517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26"/>
    </row>
    <row r="12" spans="1:525" s="13" customFormat="1" ht="22.5" customHeight="1" x14ac:dyDescent="0.55000000000000004">
      <c r="A12" s="9"/>
      <c r="B12" s="10"/>
      <c r="C12" s="10"/>
      <c r="D12" s="4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 t="s">
        <v>344</v>
      </c>
      <c r="Q12" s="126"/>
    </row>
    <row r="13" spans="1:525" s="109" customFormat="1" ht="20.25" customHeight="1" x14ac:dyDescent="0.4">
      <c r="A13" s="151" t="s">
        <v>322</v>
      </c>
      <c r="B13" s="152" t="s">
        <v>323</v>
      </c>
      <c r="C13" s="152" t="s">
        <v>313</v>
      </c>
      <c r="D13" s="152" t="s">
        <v>324</v>
      </c>
      <c r="E13" s="147" t="s">
        <v>216</v>
      </c>
      <c r="F13" s="147"/>
      <c r="G13" s="147"/>
      <c r="H13" s="147"/>
      <c r="I13" s="147"/>
      <c r="J13" s="147" t="s">
        <v>217</v>
      </c>
      <c r="K13" s="147"/>
      <c r="L13" s="147"/>
      <c r="M13" s="147"/>
      <c r="N13" s="147"/>
      <c r="O13" s="147"/>
      <c r="P13" s="147" t="s">
        <v>218</v>
      </c>
      <c r="Q13" s="126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  <c r="IX13" s="14"/>
      <c r="IY13" s="14"/>
      <c r="IZ13" s="14"/>
      <c r="JA13" s="14"/>
      <c r="JB13" s="14"/>
      <c r="JC13" s="14"/>
      <c r="JD13" s="14"/>
      <c r="JE13" s="14"/>
      <c r="JF13" s="14"/>
      <c r="JG13" s="14"/>
      <c r="JH13" s="14"/>
      <c r="JI13" s="14"/>
      <c r="JJ13" s="14"/>
      <c r="JK13" s="14"/>
      <c r="JL13" s="14"/>
      <c r="JM13" s="14"/>
      <c r="JN13" s="14"/>
      <c r="JO13" s="14"/>
      <c r="JP13" s="14"/>
      <c r="JQ13" s="14"/>
      <c r="JR13" s="14"/>
      <c r="JS13" s="14"/>
      <c r="JT13" s="14"/>
      <c r="JU13" s="14"/>
      <c r="JV13" s="14"/>
      <c r="JW13" s="14"/>
      <c r="JX13" s="14"/>
      <c r="JY13" s="14"/>
      <c r="JZ13" s="14"/>
      <c r="KA13" s="14"/>
      <c r="KB13" s="14"/>
      <c r="KC13" s="14"/>
      <c r="KD13" s="14"/>
      <c r="KE13" s="14"/>
      <c r="KF13" s="14"/>
      <c r="KG13" s="14"/>
      <c r="KH13" s="14"/>
      <c r="KI13" s="14"/>
      <c r="KJ13" s="14"/>
      <c r="KK13" s="14"/>
      <c r="KL13" s="14"/>
      <c r="KM13" s="14"/>
      <c r="KN13" s="14"/>
      <c r="KO13" s="14"/>
      <c r="KP13" s="14"/>
      <c r="KQ13" s="14"/>
      <c r="KR13" s="14"/>
      <c r="KS13" s="14"/>
      <c r="KT13" s="14"/>
      <c r="KU13" s="14"/>
      <c r="KV13" s="14"/>
      <c r="KW13" s="14"/>
      <c r="KX13" s="14"/>
      <c r="KY13" s="14"/>
      <c r="KZ13" s="14"/>
      <c r="LA13" s="14"/>
      <c r="LB13" s="14"/>
      <c r="LC13" s="14"/>
      <c r="LD13" s="14"/>
      <c r="LE13" s="14"/>
      <c r="LF13" s="14"/>
      <c r="LG13" s="14"/>
      <c r="LH13" s="14"/>
      <c r="LI13" s="14"/>
      <c r="LJ13" s="14"/>
      <c r="LK13" s="14"/>
      <c r="LL13" s="14"/>
      <c r="LM13" s="14"/>
      <c r="LN13" s="14"/>
      <c r="LO13" s="14"/>
      <c r="LP13" s="14"/>
      <c r="LQ13" s="14"/>
      <c r="LR13" s="14"/>
      <c r="LS13" s="14"/>
      <c r="LT13" s="14"/>
      <c r="LU13" s="14"/>
      <c r="LV13" s="14"/>
      <c r="LW13" s="14"/>
      <c r="LX13" s="14"/>
      <c r="LY13" s="14"/>
      <c r="LZ13" s="14"/>
      <c r="MA13" s="14"/>
      <c r="MB13" s="14"/>
      <c r="MC13" s="14"/>
      <c r="MD13" s="14"/>
      <c r="ME13" s="14"/>
      <c r="MF13" s="14"/>
      <c r="MG13" s="14"/>
      <c r="MH13" s="14"/>
      <c r="MI13" s="14"/>
      <c r="MJ13" s="14"/>
      <c r="MK13" s="14"/>
      <c r="ML13" s="14"/>
      <c r="MM13" s="14"/>
      <c r="MN13" s="14"/>
      <c r="MO13" s="14"/>
      <c r="MP13" s="14"/>
      <c r="MQ13" s="14"/>
      <c r="MR13" s="14"/>
      <c r="MS13" s="14"/>
      <c r="MT13" s="14"/>
      <c r="MU13" s="14"/>
      <c r="MV13" s="14"/>
      <c r="MW13" s="14"/>
      <c r="MX13" s="14"/>
      <c r="MY13" s="14"/>
      <c r="MZ13" s="14"/>
      <c r="NA13" s="14"/>
      <c r="NB13" s="14"/>
      <c r="NC13" s="14"/>
      <c r="ND13" s="14"/>
      <c r="NE13" s="14"/>
      <c r="NF13" s="14"/>
      <c r="NG13" s="14"/>
      <c r="NH13" s="14"/>
      <c r="NI13" s="14"/>
      <c r="NJ13" s="14"/>
      <c r="NK13" s="14"/>
      <c r="NL13" s="14"/>
      <c r="NM13" s="14"/>
      <c r="NN13" s="14"/>
      <c r="NO13" s="14"/>
      <c r="NP13" s="14"/>
      <c r="NQ13" s="14"/>
      <c r="NR13" s="14"/>
      <c r="NS13" s="14"/>
      <c r="NT13" s="14"/>
      <c r="NU13" s="14"/>
      <c r="NV13" s="14"/>
      <c r="NW13" s="14"/>
      <c r="NX13" s="14"/>
      <c r="NY13" s="14"/>
      <c r="NZ13" s="14"/>
      <c r="OA13" s="14"/>
      <c r="OB13" s="14"/>
      <c r="OC13" s="14"/>
      <c r="OD13" s="14"/>
      <c r="OE13" s="14"/>
      <c r="OF13" s="14"/>
      <c r="OG13" s="14"/>
      <c r="OH13" s="14"/>
      <c r="OI13" s="14"/>
      <c r="OJ13" s="14"/>
      <c r="OK13" s="14"/>
      <c r="OL13" s="14"/>
      <c r="OM13" s="14"/>
      <c r="ON13" s="14"/>
      <c r="OO13" s="14"/>
      <c r="OP13" s="14"/>
      <c r="OQ13" s="14"/>
      <c r="OR13" s="14"/>
      <c r="OS13" s="14"/>
      <c r="OT13" s="14"/>
      <c r="OU13" s="14"/>
      <c r="OV13" s="14"/>
      <c r="OW13" s="14"/>
      <c r="OX13" s="14"/>
      <c r="OY13" s="14"/>
      <c r="OZ13" s="14"/>
      <c r="PA13" s="14"/>
      <c r="PB13" s="14"/>
      <c r="PC13" s="14"/>
      <c r="PD13" s="14"/>
      <c r="PE13" s="14"/>
      <c r="PF13" s="14"/>
      <c r="PG13" s="14"/>
      <c r="PH13" s="14"/>
      <c r="PI13" s="14"/>
      <c r="PJ13" s="14"/>
      <c r="PK13" s="14"/>
      <c r="PL13" s="14"/>
      <c r="PM13" s="14"/>
      <c r="PN13" s="14"/>
      <c r="PO13" s="14"/>
      <c r="PP13" s="14"/>
      <c r="PQ13" s="14"/>
      <c r="PR13" s="14"/>
      <c r="PS13" s="14"/>
      <c r="PT13" s="14"/>
      <c r="PU13" s="14"/>
      <c r="PV13" s="14"/>
      <c r="PW13" s="14"/>
      <c r="PX13" s="14"/>
      <c r="PY13" s="14"/>
      <c r="PZ13" s="14"/>
      <c r="QA13" s="14"/>
      <c r="QB13" s="14"/>
      <c r="QC13" s="14"/>
      <c r="QD13" s="14"/>
      <c r="QE13" s="14"/>
      <c r="QF13" s="14"/>
      <c r="QG13" s="14"/>
      <c r="QH13" s="14"/>
      <c r="QI13" s="14"/>
      <c r="QJ13" s="14"/>
      <c r="QK13" s="14"/>
      <c r="QL13" s="14"/>
      <c r="QM13" s="14"/>
      <c r="QN13" s="14"/>
      <c r="QO13" s="14"/>
      <c r="QP13" s="14"/>
      <c r="QQ13" s="14"/>
      <c r="QR13" s="14"/>
      <c r="QS13" s="14"/>
      <c r="QT13" s="14"/>
      <c r="QU13" s="14"/>
      <c r="QV13" s="14"/>
      <c r="QW13" s="14"/>
      <c r="QX13" s="14"/>
      <c r="QY13" s="14"/>
      <c r="QZ13" s="14"/>
      <c r="RA13" s="14"/>
      <c r="RB13" s="14"/>
      <c r="RC13" s="14"/>
      <c r="RD13" s="14"/>
      <c r="RE13" s="14"/>
      <c r="RF13" s="14"/>
      <c r="RG13" s="14"/>
      <c r="RH13" s="14"/>
      <c r="RI13" s="14"/>
      <c r="RJ13" s="14"/>
      <c r="RK13" s="14"/>
      <c r="RL13" s="14"/>
      <c r="RM13" s="14"/>
      <c r="RN13" s="14"/>
      <c r="RO13" s="14"/>
      <c r="RP13" s="14"/>
      <c r="RQ13" s="14"/>
      <c r="RR13" s="14"/>
      <c r="RS13" s="14"/>
      <c r="RT13" s="14"/>
      <c r="RU13" s="14"/>
      <c r="RV13" s="14"/>
      <c r="RW13" s="14"/>
      <c r="RX13" s="14"/>
      <c r="RY13" s="14"/>
      <c r="RZ13" s="14"/>
      <c r="SA13" s="14"/>
      <c r="SB13" s="14"/>
      <c r="SC13" s="14"/>
      <c r="SD13" s="14"/>
      <c r="SE13" s="14"/>
      <c r="SF13" s="14"/>
      <c r="SG13" s="14"/>
      <c r="SH13" s="14"/>
      <c r="SI13" s="14"/>
      <c r="SJ13" s="14"/>
      <c r="SK13" s="14"/>
      <c r="SL13" s="14"/>
      <c r="SM13" s="14"/>
      <c r="SN13" s="14"/>
      <c r="SO13" s="14"/>
      <c r="SP13" s="14"/>
      <c r="SQ13" s="14"/>
      <c r="SR13" s="14"/>
      <c r="SS13" s="14"/>
      <c r="ST13" s="14"/>
      <c r="SU13" s="14"/>
      <c r="SV13" s="14"/>
      <c r="SW13" s="14"/>
      <c r="SX13" s="14"/>
      <c r="SY13" s="14"/>
      <c r="SZ13" s="14"/>
      <c r="TA13" s="14"/>
      <c r="TB13" s="14"/>
      <c r="TC13" s="14"/>
      <c r="TD13" s="14"/>
      <c r="TE13" s="14"/>
    </row>
    <row r="14" spans="1:525" s="109" customFormat="1" ht="19.5" customHeight="1" x14ac:dyDescent="0.4">
      <c r="A14" s="151"/>
      <c r="B14" s="152"/>
      <c r="C14" s="152"/>
      <c r="D14" s="152"/>
      <c r="E14" s="146" t="s">
        <v>314</v>
      </c>
      <c r="F14" s="146" t="s">
        <v>219</v>
      </c>
      <c r="G14" s="148" t="s">
        <v>220</v>
      </c>
      <c r="H14" s="148"/>
      <c r="I14" s="146" t="s">
        <v>221</v>
      </c>
      <c r="J14" s="146" t="s">
        <v>314</v>
      </c>
      <c r="K14" s="146" t="s">
        <v>315</v>
      </c>
      <c r="L14" s="146" t="s">
        <v>219</v>
      </c>
      <c r="M14" s="148" t="s">
        <v>220</v>
      </c>
      <c r="N14" s="148"/>
      <c r="O14" s="146" t="s">
        <v>221</v>
      </c>
      <c r="P14" s="147"/>
      <c r="Q14" s="126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/>
      <c r="KU14" s="14"/>
      <c r="KV14" s="14"/>
      <c r="KW14" s="14"/>
      <c r="KX14" s="14"/>
      <c r="KY14" s="14"/>
      <c r="KZ14" s="14"/>
      <c r="LA14" s="14"/>
      <c r="LB14" s="14"/>
      <c r="LC14" s="14"/>
      <c r="LD14" s="14"/>
      <c r="LE14" s="14"/>
      <c r="LF14" s="14"/>
      <c r="LG14" s="14"/>
      <c r="LH14" s="14"/>
      <c r="LI14" s="14"/>
      <c r="LJ14" s="14"/>
      <c r="LK14" s="14"/>
      <c r="LL14" s="14"/>
      <c r="LM14" s="14"/>
      <c r="LN14" s="14"/>
      <c r="LO14" s="14"/>
      <c r="LP14" s="14"/>
      <c r="LQ14" s="14"/>
      <c r="LR14" s="14"/>
      <c r="LS14" s="14"/>
      <c r="LT14" s="14"/>
      <c r="LU14" s="14"/>
      <c r="LV14" s="14"/>
      <c r="LW14" s="14"/>
      <c r="LX14" s="14"/>
      <c r="LY14" s="14"/>
      <c r="LZ14" s="14"/>
      <c r="MA14" s="14"/>
      <c r="MB14" s="14"/>
      <c r="MC14" s="14"/>
      <c r="MD14" s="14"/>
      <c r="ME14" s="14"/>
      <c r="MF14" s="14"/>
      <c r="MG14" s="14"/>
      <c r="MH14" s="14"/>
      <c r="MI14" s="14"/>
      <c r="MJ14" s="14"/>
      <c r="MK14" s="14"/>
      <c r="ML14" s="14"/>
      <c r="MM14" s="14"/>
      <c r="MN14" s="14"/>
      <c r="MO14" s="14"/>
      <c r="MP14" s="14"/>
      <c r="MQ14" s="14"/>
      <c r="MR14" s="14"/>
      <c r="MS14" s="14"/>
      <c r="MT14" s="14"/>
      <c r="MU14" s="14"/>
      <c r="MV14" s="14"/>
      <c r="MW14" s="14"/>
      <c r="MX14" s="14"/>
      <c r="MY14" s="14"/>
      <c r="MZ14" s="14"/>
      <c r="NA14" s="14"/>
      <c r="NB14" s="14"/>
      <c r="NC14" s="14"/>
      <c r="ND14" s="14"/>
      <c r="NE14" s="14"/>
      <c r="NF14" s="14"/>
      <c r="NG14" s="14"/>
      <c r="NH14" s="14"/>
      <c r="NI14" s="14"/>
      <c r="NJ14" s="14"/>
      <c r="NK14" s="14"/>
      <c r="NL14" s="14"/>
      <c r="NM14" s="14"/>
      <c r="NN14" s="14"/>
      <c r="NO14" s="14"/>
      <c r="NP14" s="14"/>
      <c r="NQ14" s="14"/>
      <c r="NR14" s="14"/>
      <c r="NS14" s="14"/>
      <c r="NT14" s="14"/>
      <c r="NU14" s="14"/>
      <c r="NV14" s="14"/>
      <c r="NW14" s="14"/>
      <c r="NX14" s="14"/>
      <c r="NY14" s="14"/>
      <c r="NZ14" s="14"/>
      <c r="OA14" s="14"/>
      <c r="OB14" s="14"/>
      <c r="OC14" s="14"/>
      <c r="OD14" s="14"/>
      <c r="OE14" s="14"/>
      <c r="OF14" s="14"/>
      <c r="OG14" s="14"/>
      <c r="OH14" s="14"/>
      <c r="OI14" s="14"/>
      <c r="OJ14" s="14"/>
      <c r="OK14" s="14"/>
      <c r="OL14" s="14"/>
      <c r="OM14" s="14"/>
      <c r="ON14" s="14"/>
      <c r="OO14" s="14"/>
      <c r="OP14" s="14"/>
      <c r="OQ14" s="14"/>
      <c r="OR14" s="14"/>
      <c r="OS14" s="14"/>
      <c r="OT14" s="14"/>
      <c r="OU14" s="14"/>
      <c r="OV14" s="14"/>
      <c r="OW14" s="14"/>
      <c r="OX14" s="14"/>
      <c r="OY14" s="14"/>
      <c r="OZ14" s="14"/>
      <c r="PA14" s="14"/>
      <c r="PB14" s="14"/>
      <c r="PC14" s="14"/>
      <c r="PD14" s="14"/>
      <c r="PE14" s="14"/>
      <c r="PF14" s="14"/>
      <c r="PG14" s="14"/>
      <c r="PH14" s="14"/>
      <c r="PI14" s="14"/>
      <c r="PJ14" s="14"/>
      <c r="PK14" s="14"/>
      <c r="PL14" s="14"/>
      <c r="PM14" s="14"/>
      <c r="PN14" s="14"/>
      <c r="PO14" s="14"/>
      <c r="PP14" s="14"/>
      <c r="PQ14" s="14"/>
      <c r="PR14" s="14"/>
      <c r="PS14" s="14"/>
      <c r="PT14" s="14"/>
      <c r="PU14" s="14"/>
      <c r="PV14" s="14"/>
      <c r="PW14" s="14"/>
      <c r="PX14" s="14"/>
      <c r="PY14" s="14"/>
      <c r="PZ14" s="14"/>
      <c r="QA14" s="14"/>
      <c r="QB14" s="14"/>
      <c r="QC14" s="14"/>
      <c r="QD14" s="14"/>
      <c r="QE14" s="14"/>
      <c r="QF14" s="14"/>
      <c r="QG14" s="14"/>
      <c r="QH14" s="14"/>
      <c r="QI14" s="14"/>
      <c r="QJ14" s="14"/>
      <c r="QK14" s="14"/>
      <c r="QL14" s="14"/>
      <c r="QM14" s="14"/>
      <c r="QN14" s="14"/>
      <c r="QO14" s="14"/>
      <c r="QP14" s="14"/>
      <c r="QQ14" s="14"/>
      <c r="QR14" s="14"/>
      <c r="QS14" s="14"/>
      <c r="QT14" s="14"/>
      <c r="QU14" s="14"/>
      <c r="QV14" s="14"/>
      <c r="QW14" s="14"/>
      <c r="QX14" s="14"/>
      <c r="QY14" s="14"/>
      <c r="QZ14" s="14"/>
      <c r="RA14" s="14"/>
      <c r="RB14" s="14"/>
      <c r="RC14" s="14"/>
      <c r="RD14" s="14"/>
      <c r="RE14" s="14"/>
      <c r="RF14" s="14"/>
      <c r="RG14" s="14"/>
      <c r="RH14" s="14"/>
      <c r="RI14" s="14"/>
      <c r="RJ14" s="14"/>
      <c r="RK14" s="14"/>
      <c r="RL14" s="14"/>
      <c r="RM14" s="14"/>
      <c r="RN14" s="14"/>
      <c r="RO14" s="14"/>
      <c r="RP14" s="14"/>
      <c r="RQ14" s="14"/>
      <c r="RR14" s="14"/>
      <c r="RS14" s="14"/>
      <c r="RT14" s="14"/>
      <c r="RU14" s="14"/>
      <c r="RV14" s="14"/>
      <c r="RW14" s="14"/>
      <c r="RX14" s="14"/>
      <c r="RY14" s="14"/>
      <c r="RZ14" s="14"/>
      <c r="SA14" s="14"/>
      <c r="SB14" s="14"/>
      <c r="SC14" s="14"/>
      <c r="SD14" s="14"/>
      <c r="SE14" s="14"/>
      <c r="SF14" s="14"/>
      <c r="SG14" s="14"/>
      <c r="SH14" s="14"/>
      <c r="SI14" s="14"/>
      <c r="SJ14" s="14"/>
      <c r="SK14" s="14"/>
      <c r="SL14" s="14"/>
      <c r="SM14" s="14"/>
      <c r="SN14" s="14"/>
      <c r="SO14" s="14"/>
      <c r="SP14" s="14"/>
      <c r="SQ14" s="14"/>
      <c r="SR14" s="14"/>
      <c r="SS14" s="14"/>
      <c r="ST14" s="14"/>
      <c r="SU14" s="14"/>
      <c r="SV14" s="14"/>
      <c r="SW14" s="14"/>
      <c r="SX14" s="14"/>
      <c r="SY14" s="14"/>
      <c r="SZ14" s="14"/>
      <c r="TA14" s="14"/>
      <c r="TB14" s="14"/>
      <c r="TC14" s="14"/>
      <c r="TD14" s="14"/>
      <c r="TE14" s="14"/>
    </row>
    <row r="15" spans="1:525" s="109" customFormat="1" ht="87.75" customHeight="1" x14ac:dyDescent="0.4">
      <c r="A15" s="151"/>
      <c r="B15" s="152"/>
      <c r="C15" s="152"/>
      <c r="D15" s="152"/>
      <c r="E15" s="146"/>
      <c r="F15" s="146"/>
      <c r="G15" s="135" t="s">
        <v>222</v>
      </c>
      <c r="H15" s="135" t="s">
        <v>223</v>
      </c>
      <c r="I15" s="146"/>
      <c r="J15" s="146"/>
      <c r="K15" s="146"/>
      <c r="L15" s="146"/>
      <c r="M15" s="135" t="s">
        <v>222</v>
      </c>
      <c r="N15" s="135" t="s">
        <v>223</v>
      </c>
      <c r="O15" s="146"/>
      <c r="P15" s="147"/>
      <c r="Q15" s="126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  <c r="OY15" s="14"/>
      <c r="OZ15" s="14"/>
      <c r="PA15" s="14"/>
      <c r="PB15" s="14"/>
      <c r="PC15" s="14"/>
      <c r="PD15" s="14"/>
      <c r="PE15" s="14"/>
      <c r="PF15" s="14"/>
      <c r="PG15" s="14"/>
      <c r="PH15" s="14"/>
      <c r="PI15" s="14"/>
      <c r="PJ15" s="14"/>
      <c r="PK15" s="14"/>
      <c r="PL15" s="14"/>
      <c r="PM15" s="14"/>
      <c r="PN15" s="14"/>
      <c r="PO15" s="14"/>
      <c r="PP15" s="14"/>
      <c r="PQ15" s="14"/>
      <c r="PR15" s="14"/>
      <c r="PS15" s="14"/>
      <c r="PT15" s="14"/>
      <c r="PU15" s="14"/>
      <c r="PV15" s="14"/>
      <c r="PW15" s="14"/>
      <c r="PX15" s="14"/>
      <c r="PY15" s="14"/>
      <c r="PZ15" s="14"/>
      <c r="QA15" s="14"/>
      <c r="QB15" s="14"/>
      <c r="QC15" s="14"/>
      <c r="QD15" s="14"/>
      <c r="QE15" s="14"/>
      <c r="QF15" s="14"/>
      <c r="QG15" s="14"/>
      <c r="QH15" s="14"/>
      <c r="QI15" s="14"/>
      <c r="QJ15" s="14"/>
      <c r="QK15" s="14"/>
      <c r="QL15" s="14"/>
      <c r="QM15" s="14"/>
      <c r="QN15" s="14"/>
      <c r="QO15" s="14"/>
      <c r="QP15" s="14"/>
      <c r="QQ15" s="14"/>
      <c r="QR15" s="14"/>
      <c r="QS15" s="14"/>
      <c r="QT15" s="14"/>
      <c r="QU15" s="14"/>
      <c r="QV15" s="14"/>
      <c r="QW15" s="14"/>
      <c r="QX15" s="14"/>
      <c r="QY15" s="14"/>
      <c r="QZ15" s="14"/>
      <c r="RA15" s="14"/>
      <c r="RB15" s="14"/>
      <c r="RC15" s="14"/>
      <c r="RD15" s="14"/>
      <c r="RE15" s="14"/>
      <c r="RF15" s="14"/>
      <c r="RG15" s="14"/>
      <c r="RH15" s="14"/>
      <c r="RI15" s="14"/>
      <c r="RJ15" s="14"/>
      <c r="RK15" s="14"/>
      <c r="RL15" s="14"/>
      <c r="RM15" s="14"/>
      <c r="RN15" s="14"/>
      <c r="RO15" s="14"/>
      <c r="RP15" s="14"/>
      <c r="RQ15" s="14"/>
      <c r="RR15" s="14"/>
      <c r="RS15" s="14"/>
      <c r="RT15" s="14"/>
      <c r="RU15" s="14"/>
      <c r="RV15" s="14"/>
      <c r="RW15" s="14"/>
      <c r="RX15" s="14"/>
      <c r="RY15" s="14"/>
      <c r="RZ15" s="14"/>
      <c r="SA15" s="14"/>
      <c r="SB15" s="14"/>
      <c r="SC15" s="14"/>
      <c r="SD15" s="14"/>
      <c r="SE15" s="14"/>
      <c r="SF15" s="14"/>
      <c r="SG15" s="14"/>
      <c r="SH15" s="14"/>
      <c r="SI15" s="14"/>
      <c r="SJ15" s="14"/>
      <c r="SK15" s="14"/>
      <c r="SL15" s="14"/>
      <c r="SM15" s="14"/>
      <c r="SN15" s="14"/>
      <c r="SO15" s="14"/>
      <c r="SP15" s="14"/>
      <c r="SQ15" s="14"/>
      <c r="SR15" s="14"/>
      <c r="SS15" s="14"/>
      <c r="ST15" s="14"/>
      <c r="SU15" s="14"/>
      <c r="SV15" s="14"/>
      <c r="SW15" s="14"/>
      <c r="SX15" s="14"/>
      <c r="SY15" s="14"/>
      <c r="SZ15" s="14"/>
      <c r="TA15" s="14"/>
      <c r="TB15" s="14"/>
      <c r="TC15" s="14"/>
      <c r="TD15" s="14"/>
      <c r="TE15" s="14"/>
    </row>
    <row r="16" spans="1:525" s="16" customFormat="1" ht="24" customHeight="1" x14ac:dyDescent="0.4">
      <c r="A16" s="111" t="s">
        <v>141</v>
      </c>
      <c r="B16" s="112"/>
      <c r="C16" s="112"/>
      <c r="D16" s="113" t="s">
        <v>34</v>
      </c>
      <c r="E16" s="15">
        <f>E17</f>
        <v>352921872.42000002</v>
      </c>
      <c r="F16" s="15">
        <f>F17</f>
        <v>286423304.41999996</v>
      </c>
      <c r="G16" s="15">
        <f t="shared" ref="G16:J16" si="0">G17</f>
        <v>139121462</v>
      </c>
      <c r="H16" s="15">
        <f t="shared" si="0"/>
        <v>16085202.58</v>
      </c>
      <c r="I16" s="15">
        <f t="shared" si="0"/>
        <v>66498568</v>
      </c>
      <c r="J16" s="15">
        <f t="shared" si="0"/>
        <v>81218357.599999994</v>
      </c>
      <c r="K16" s="15">
        <f t="shared" ref="K16" si="1">K17</f>
        <v>80455752.599999994</v>
      </c>
      <c r="L16" s="15">
        <f t="shared" ref="L16" si="2">L17</f>
        <v>762605</v>
      </c>
      <c r="M16" s="15">
        <f t="shared" ref="M16" si="3">M17</f>
        <v>345344</v>
      </c>
      <c r="N16" s="15">
        <f t="shared" ref="N16" si="4">N17</f>
        <v>103112</v>
      </c>
      <c r="O16" s="15">
        <f t="shared" ref="O16:P16" si="5">O17</f>
        <v>80455752.599999994</v>
      </c>
      <c r="P16" s="15">
        <f t="shared" si="5"/>
        <v>434140230.01999998</v>
      </c>
      <c r="Q16" s="126"/>
    </row>
    <row r="17" spans="1:18" s="21" customFormat="1" ht="31.5" customHeight="1" x14ac:dyDescent="0.4">
      <c r="A17" s="17" t="s">
        <v>142</v>
      </c>
      <c r="B17" s="18"/>
      <c r="C17" s="18"/>
      <c r="D17" s="19" t="s">
        <v>657</v>
      </c>
      <c r="E17" s="20">
        <f>E23+E24+E25+E27+E29+E30+E31+E33+E35+E36+E37+E38+E39+E40+E41+E42+E43+E45+E46+E47+E49+E50+E51+E53+E55+E56+E57+E59+E60+E61+E62+E65+E67+E69+E72+E73+E52+E54+E75+E74+E48+E34+E70+E58+E63</f>
        <v>352921872.42000002</v>
      </c>
      <c r="F17" s="20">
        <f t="shared" ref="F17:P17" si="6">F23+F24+F25+F27+F29+F30+F31+F33+F35+F36+F37+F38+F39+F40+F41+F42+F43+F45+F46+F47+F49+F50+F51+F53+F55+F56+F57+F59+F60+F61+F62+F65+F67+F69+F72+F73+F52+F54+F75+F74+F48+F34+F70+F58+F63</f>
        <v>286423304.41999996</v>
      </c>
      <c r="G17" s="20">
        <f t="shared" si="6"/>
        <v>139121462</v>
      </c>
      <c r="H17" s="20">
        <f t="shared" si="6"/>
        <v>16085202.58</v>
      </c>
      <c r="I17" s="20">
        <f t="shared" si="6"/>
        <v>66498568</v>
      </c>
      <c r="J17" s="20">
        <f t="shared" si="6"/>
        <v>81218357.599999994</v>
      </c>
      <c r="K17" s="20">
        <f t="shared" si="6"/>
        <v>80455752.599999994</v>
      </c>
      <c r="L17" s="20">
        <f t="shared" si="6"/>
        <v>762605</v>
      </c>
      <c r="M17" s="20">
        <f t="shared" si="6"/>
        <v>345344</v>
      </c>
      <c r="N17" s="20">
        <f t="shared" si="6"/>
        <v>103112</v>
      </c>
      <c r="O17" s="20">
        <f t="shared" si="6"/>
        <v>80455752.599999994</v>
      </c>
      <c r="P17" s="20">
        <f t="shared" si="6"/>
        <v>434140230.01999998</v>
      </c>
      <c r="Q17" s="126"/>
    </row>
    <row r="18" spans="1:18" s="21" customFormat="1" ht="50.25" customHeight="1" x14ac:dyDescent="0.4">
      <c r="A18" s="17"/>
      <c r="B18" s="18"/>
      <c r="C18" s="18"/>
      <c r="D18" s="19" t="s">
        <v>368</v>
      </c>
      <c r="E18" s="20">
        <f>E68</f>
        <v>410600</v>
      </c>
      <c r="F18" s="20">
        <f t="shared" ref="F18:P18" si="7">F68</f>
        <v>410600</v>
      </c>
      <c r="G18" s="20">
        <f t="shared" si="7"/>
        <v>336800</v>
      </c>
      <c r="H18" s="20">
        <f t="shared" si="7"/>
        <v>0</v>
      </c>
      <c r="I18" s="20">
        <f t="shared" si="7"/>
        <v>0</v>
      </c>
      <c r="J18" s="20">
        <f t="shared" si="7"/>
        <v>0</v>
      </c>
      <c r="K18" s="20">
        <f t="shared" si="7"/>
        <v>0</v>
      </c>
      <c r="L18" s="20">
        <f t="shared" si="7"/>
        <v>0</v>
      </c>
      <c r="M18" s="20">
        <f t="shared" si="7"/>
        <v>0</v>
      </c>
      <c r="N18" s="20">
        <f t="shared" si="7"/>
        <v>0</v>
      </c>
      <c r="O18" s="20">
        <f t="shared" si="7"/>
        <v>0</v>
      </c>
      <c r="P18" s="20">
        <f t="shared" si="7"/>
        <v>410600</v>
      </c>
      <c r="Q18" s="126"/>
    </row>
    <row r="19" spans="1:18" s="21" customFormat="1" ht="98.25" customHeight="1" x14ac:dyDescent="0.4">
      <c r="A19" s="17"/>
      <c r="B19" s="18"/>
      <c r="C19" s="18"/>
      <c r="D19" s="19" t="str">
        <f>D66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19" s="20">
        <f t="shared" ref="E19:P19" si="8">E66+E26+E44</f>
        <v>464000</v>
      </c>
      <c r="F19" s="20">
        <f t="shared" si="8"/>
        <v>464000</v>
      </c>
      <c r="G19" s="20">
        <f t="shared" si="8"/>
        <v>0</v>
      </c>
      <c r="H19" s="20">
        <f t="shared" si="8"/>
        <v>0</v>
      </c>
      <c r="I19" s="20">
        <f t="shared" si="8"/>
        <v>0</v>
      </c>
      <c r="J19" s="20">
        <f t="shared" si="8"/>
        <v>20350</v>
      </c>
      <c r="K19" s="20">
        <f t="shared" si="8"/>
        <v>20350</v>
      </c>
      <c r="L19" s="20">
        <f t="shared" si="8"/>
        <v>0</v>
      </c>
      <c r="M19" s="20">
        <f t="shared" si="8"/>
        <v>0</v>
      </c>
      <c r="N19" s="20">
        <f t="shared" si="8"/>
        <v>0</v>
      </c>
      <c r="O19" s="20">
        <f t="shared" si="8"/>
        <v>20350</v>
      </c>
      <c r="P19" s="20">
        <f t="shared" si="8"/>
        <v>484350</v>
      </c>
      <c r="Q19" s="126"/>
    </row>
    <row r="20" spans="1:18" s="116" customFormat="1" ht="58.5" customHeight="1" x14ac:dyDescent="0.4">
      <c r="A20" s="17"/>
      <c r="B20" s="18"/>
      <c r="C20" s="18"/>
      <c r="D20" s="19" t="s">
        <v>733</v>
      </c>
      <c r="E20" s="20">
        <f>E32</f>
        <v>0</v>
      </c>
      <c r="F20" s="20">
        <f t="shared" ref="F20:P20" si="9">F32</f>
        <v>0</v>
      </c>
      <c r="G20" s="20">
        <f t="shared" si="9"/>
        <v>0</v>
      </c>
      <c r="H20" s="20">
        <f t="shared" si="9"/>
        <v>0</v>
      </c>
      <c r="I20" s="20">
        <f t="shared" si="9"/>
        <v>0</v>
      </c>
      <c r="J20" s="20">
        <f t="shared" si="9"/>
        <v>2000000</v>
      </c>
      <c r="K20" s="20">
        <f t="shared" si="9"/>
        <v>2000000</v>
      </c>
      <c r="L20" s="20">
        <f t="shared" si="9"/>
        <v>0</v>
      </c>
      <c r="M20" s="20">
        <f t="shared" si="9"/>
        <v>0</v>
      </c>
      <c r="N20" s="20">
        <f t="shared" si="9"/>
        <v>0</v>
      </c>
      <c r="O20" s="20">
        <f t="shared" si="9"/>
        <v>2000000</v>
      </c>
      <c r="P20" s="20">
        <f t="shared" si="9"/>
        <v>2000000</v>
      </c>
      <c r="Q20" s="126"/>
      <c r="R20" s="21"/>
    </row>
    <row r="21" spans="1:18" s="116" customFormat="1" ht="26.65" hidden="1" customHeight="1" x14ac:dyDescent="0.4">
      <c r="A21" s="17"/>
      <c r="B21" s="18"/>
      <c r="C21" s="18"/>
      <c r="D21" s="19" t="str">
        <f>D71</f>
        <v>іншої субвенції з місцевого бюджету</v>
      </c>
      <c r="E21" s="20">
        <f>E71</f>
        <v>0</v>
      </c>
      <c r="F21" s="20">
        <f t="shared" ref="F21:P21" si="10">F71</f>
        <v>0</v>
      </c>
      <c r="G21" s="20">
        <f t="shared" si="10"/>
        <v>0</v>
      </c>
      <c r="H21" s="20">
        <f t="shared" si="10"/>
        <v>0</v>
      </c>
      <c r="I21" s="20">
        <f t="shared" si="10"/>
        <v>0</v>
      </c>
      <c r="J21" s="20">
        <f t="shared" si="10"/>
        <v>0</v>
      </c>
      <c r="K21" s="20">
        <f t="shared" si="10"/>
        <v>0</v>
      </c>
      <c r="L21" s="20">
        <f t="shared" si="10"/>
        <v>0</v>
      </c>
      <c r="M21" s="20">
        <f t="shared" si="10"/>
        <v>0</v>
      </c>
      <c r="N21" s="20">
        <f t="shared" si="10"/>
        <v>0</v>
      </c>
      <c r="O21" s="20">
        <f t="shared" si="10"/>
        <v>0</v>
      </c>
      <c r="P21" s="20">
        <f t="shared" si="10"/>
        <v>0</v>
      </c>
      <c r="Q21" s="126"/>
      <c r="R21" s="21"/>
    </row>
    <row r="22" spans="1:18" s="21" customFormat="1" ht="15" x14ac:dyDescent="0.4">
      <c r="A22" s="17"/>
      <c r="B22" s="18"/>
      <c r="C22" s="18"/>
      <c r="D22" s="19" t="str">
        <f>D64</f>
        <v>грантів (дарунків)</v>
      </c>
      <c r="E22" s="20">
        <f>E64</f>
        <v>0</v>
      </c>
      <c r="F22" s="20">
        <f t="shared" ref="F22:P22" si="11">F64</f>
        <v>0</v>
      </c>
      <c r="G22" s="20">
        <f t="shared" si="11"/>
        <v>0</v>
      </c>
      <c r="H22" s="20">
        <f t="shared" si="11"/>
        <v>0</v>
      </c>
      <c r="I22" s="20">
        <f t="shared" si="11"/>
        <v>0</v>
      </c>
      <c r="J22" s="20">
        <f t="shared" si="11"/>
        <v>85265</v>
      </c>
      <c r="K22" s="20">
        <f t="shared" si="11"/>
        <v>0</v>
      </c>
      <c r="L22" s="20">
        <f t="shared" si="11"/>
        <v>85265</v>
      </c>
      <c r="M22" s="20">
        <f t="shared" si="11"/>
        <v>0</v>
      </c>
      <c r="N22" s="20">
        <f t="shared" si="11"/>
        <v>0</v>
      </c>
      <c r="O22" s="20">
        <f t="shared" si="11"/>
        <v>0</v>
      </c>
      <c r="P22" s="20">
        <f t="shared" si="11"/>
        <v>85265</v>
      </c>
      <c r="Q22" s="126"/>
    </row>
    <row r="23" spans="1:18" s="132" customFormat="1" ht="45.75" customHeight="1" x14ac:dyDescent="0.45">
      <c r="A23" s="22" t="s">
        <v>143</v>
      </c>
      <c r="B23" s="23" t="str">
        <f>'дод 7'!A16</f>
        <v>0160</v>
      </c>
      <c r="C23" s="23" t="str">
        <f>'дод 7'!B16</f>
        <v>0111</v>
      </c>
      <c r="D23" s="24" t="s">
        <v>714</v>
      </c>
      <c r="E23" s="25">
        <f>F23+I23</f>
        <v>140737685.56</v>
      </c>
      <c r="F23" s="25">
        <f>127421600-92800+5000+610000-324900-213300-499580-835600+2387051+782800+9744200+1769000+191575.56+172403-52600+91600-418764</f>
        <v>140737685.56</v>
      </c>
      <c r="G23" s="25">
        <f>92423800-266300-174850-409550-684900+1956648+641800+7993600+1450000-343249+400000-87000</f>
        <v>102899999</v>
      </c>
      <c r="H23" s="25">
        <f>6355400-92800+5000</f>
        <v>6267600</v>
      </c>
      <c r="I23" s="25"/>
      <c r="J23" s="25">
        <f>L23+O23</f>
        <v>14643479</v>
      </c>
      <c r="K23" s="25">
        <f>4000000+10590879+52600</f>
        <v>14643479</v>
      </c>
      <c r="L23" s="25"/>
      <c r="M23" s="25"/>
      <c r="N23" s="25"/>
      <c r="O23" s="25">
        <f>4000000+10590879+52600</f>
        <v>14643479</v>
      </c>
      <c r="P23" s="25">
        <f>E23+J23</f>
        <v>155381164.56</v>
      </c>
      <c r="Q23" s="126"/>
      <c r="R23" s="26"/>
    </row>
    <row r="24" spans="1:18" s="26" customFormat="1" ht="35.25" hidden="1" customHeight="1" x14ac:dyDescent="0.45">
      <c r="A24" s="22" t="s">
        <v>422</v>
      </c>
      <c r="B24" s="22" t="s">
        <v>86</v>
      </c>
      <c r="C24" s="22" t="s">
        <v>432</v>
      </c>
      <c r="D24" s="24" t="s">
        <v>423</v>
      </c>
      <c r="E24" s="25">
        <f t="shared" ref="E24:E74" si="12">F24+I24</f>
        <v>0</v>
      </c>
      <c r="F24" s="25"/>
      <c r="G24" s="25"/>
      <c r="H24" s="25"/>
      <c r="I24" s="25"/>
      <c r="J24" s="25">
        <f>L24+O24</f>
        <v>0</v>
      </c>
      <c r="K24" s="25"/>
      <c r="L24" s="25"/>
      <c r="M24" s="25"/>
      <c r="N24" s="25"/>
      <c r="O24" s="25"/>
      <c r="P24" s="25">
        <f t="shared" ref="P24:P75" si="13">E24+J24</f>
        <v>0</v>
      </c>
      <c r="Q24" s="126"/>
    </row>
    <row r="25" spans="1:18" s="26" customFormat="1" ht="27.75" customHeight="1" x14ac:dyDescent="0.45">
      <c r="A25" s="22" t="s">
        <v>233</v>
      </c>
      <c r="B25" s="23" t="str">
        <f>'дод 7'!A19</f>
        <v>0180</v>
      </c>
      <c r="C25" s="23" t="str">
        <f>'дод 7'!B19</f>
        <v>0133</v>
      </c>
      <c r="D25" s="24" t="str">
        <f>'дод 7'!C19</f>
        <v>Інша діяльність у сфері державного управління, у т.ч.за рахунок:</v>
      </c>
      <c r="E25" s="25">
        <f t="shared" si="12"/>
        <v>2318600</v>
      </c>
      <c r="F25" s="25">
        <f>1000000+3200400+208800-1084000-795000-560200+48600+300000</f>
        <v>2318600</v>
      </c>
      <c r="G25" s="25"/>
      <c r="H25" s="25"/>
      <c r="I25" s="25"/>
      <c r="J25" s="25">
        <f t="shared" ref="J25:J28" si="14">L25+O25</f>
        <v>0</v>
      </c>
      <c r="K25" s="25"/>
      <c r="L25" s="25"/>
      <c r="M25" s="25"/>
      <c r="N25" s="25"/>
      <c r="O25" s="25"/>
      <c r="P25" s="25">
        <f t="shared" si="13"/>
        <v>2318600</v>
      </c>
      <c r="Q25" s="126"/>
    </row>
    <row r="26" spans="1:18" s="31" customFormat="1" ht="102" customHeight="1" x14ac:dyDescent="0.45">
      <c r="A26" s="27"/>
      <c r="B26" s="28"/>
      <c r="C26" s="28"/>
      <c r="D26" s="29" t="str">
        <f>'дод 7'!C20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26" s="30">
        <f t="shared" ref="E26" si="15">F26+I26</f>
        <v>300000</v>
      </c>
      <c r="F26" s="30">
        <v>300000</v>
      </c>
      <c r="G26" s="30"/>
      <c r="H26" s="30"/>
      <c r="I26" s="30"/>
      <c r="J26" s="30">
        <f t="shared" ref="J26" si="16">L26+O26</f>
        <v>0</v>
      </c>
      <c r="K26" s="30"/>
      <c r="L26" s="30"/>
      <c r="M26" s="30"/>
      <c r="N26" s="30"/>
      <c r="O26" s="30"/>
      <c r="P26" s="30">
        <f t="shared" ref="P26" si="17">E26+J26</f>
        <v>300000</v>
      </c>
      <c r="Q26" s="126"/>
    </row>
    <row r="27" spans="1:18" s="26" customFormat="1" ht="15.75" hidden="1" customHeight="1" x14ac:dyDescent="0.45">
      <c r="A27" s="22" t="s">
        <v>410</v>
      </c>
      <c r="B27" s="22" t="s">
        <v>411</v>
      </c>
      <c r="C27" s="22" t="s">
        <v>114</v>
      </c>
      <c r="D27" s="24" t="s">
        <v>412</v>
      </c>
      <c r="E27" s="25">
        <f t="shared" si="12"/>
        <v>0</v>
      </c>
      <c r="F27" s="25"/>
      <c r="G27" s="25"/>
      <c r="H27" s="25"/>
      <c r="I27" s="25"/>
      <c r="J27" s="25">
        <f t="shared" si="14"/>
        <v>0</v>
      </c>
      <c r="K27" s="25"/>
      <c r="L27" s="25"/>
      <c r="M27" s="25"/>
      <c r="N27" s="25"/>
      <c r="O27" s="25"/>
      <c r="P27" s="25">
        <f t="shared" si="13"/>
        <v>0</v>
      </c>
      <c r="Q27" s="126"/>
    </row>
    <row r="28" spans="1:18" s="31" customFormat="1" ht="61.5" hidden="1" customHeight="1" x14ac:dyDescent="0.45">
      <c r="A28" s="27"/>
      <c r="B28" s="32"/>
      <c r="C28" s="32"/>
      <c r="D28" s="29" t="str">
        <f>'дод 7'!C22</f>
        <v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v>
      </c>
      <c r="E28" s="30">
        <f t="shared" si="12"/>
        <v>0</v>
      </c>
      <c r="F28" s="30"/>
      <c r="G28" s="30"/>
      <c r="H28" s="30"/>
      <c r="I28" s="30"/>
      <c r="J28" s="30">
        <f t="shared" si="14"/>
        <v>0</v>
      </c>
      <c r="K28" s="30"/>
      <c r="L28" s="30"/>
      <c r="M28" s="30"/>
      <c r="N28" s="30"/>
      <c r="O28" s="30"/>
      <c r="P28" s="30">
        <f t="shared" si="13"/>
        <v>0</v>
      </c>
      <c r="Q28" s="126"/>
    </row>
    <row r="29" spans="1:18" s="26" customFormat="1" ht="47.25" customHeight="1" x14ac:dyDescent="0.45">
      <c r="A29" s="22" t="s">
        <v>248</v>
      </c>
      <c r="B29" s="23" t="str">
        <f>'дод 7'!A143</f>
        <v>3033</v>
      </c>
      <c r="C29" s="23" t="str">
        <f>'дод 7'!B143</f>
        <v>1070</v>
      </c>
      <c r="D29" s="24" t="s">
        <v>391</v>
      </c>
      <c r="E29" s="25">
        <f t="shared" si="12"/>
        <v>555700</v>
      </c>
      <c r="F29" s="25">
        <v>555700</v>
      </c>
      <c r="G29" s="25"/>
      <c r="H29" s="25"/>
      <c r="I29" s="25"/>
      <c r="J29" s="25">
        <f t="shared" ref="J29:J75" si="18">L29+O29</f>
        <v>0</v>
      </c>
      <c r="K29" s="25"/>
      <c r="L29" s="25"/>
      <c r="M29" s="25"/>
      <c r="N29" s="25"/>
      <c r="O29" s="25"/>
      <c r="P29" s="25">
        <f t="shared" si="13"/>
        <v>555700</v>
      </c>
      <c r="Q29" s="126"/>
    </row>
    <row r="30" spans="1:18" s="26" customFormat="1" ht="31.5" customHeight="1" x14ac:dyDescent="0.45">
      <c r="A30" s="22" t="s">
        <v>144</v>
      </c>
      <c r="B30" s="23" t="str">
        <f>'дод 7'!A146</f>
        <v>3036</v>
      </c>
      <c r="C30" s="23" t="str">
        <f>'дод 7'!B146</f>
        <v>1070</v>
      </c>
      <c r="D30" s="24" t="str">
        <f>'дод 7'!C146</f>
        <v>Компенсаційні виплати на пільговий проїзд електротранспортом окремим категоріям громадян</v>
      </c>
      <c r="E30" s="25">
        <f t="shared" si="12"/>
        <v>966300</v>
      </c>
      <c r="F30" s="25">
        <v>966300</v>
      </c>
      <c r="G30" s="25"/>
      <c r="H30" s="25"/>
      <c r="I30" s="25"/>
      <c r="J30" s="25">
        <f t="shared" si="18"/>
        <v>0</v>
      </c>
      <c r="K30" s="25"/>
      <c r="L30" s="25"/>
      <c r="M30" s="25"/>
      <c r="N30" s="25"/>
      <c r="O30" s="25"/>
      <c r="P30" s="25">
        <f t="shared" si="13"/>
        <v>966300</v>
      </c>
      <c r="Q30" s="126"/>
    </row>
    <row r="31" spans="1:18" s="108" customFormat="1" ht="36" customHeight="1" x14ac:dyDescent="0.45">
      <c r="A31" s="22" t="s">
        <v>145</v>
      </c>
      <c r="B31" s="23" t="str">
        <f>'дод 7'!A154</f>
        <v>3121</v>
      </c>
      <c r="C31" s="23" t="str">
        <f>'дод 7'!B154</f>
        <v>1040</v>
      </c>
      <c r="D31" s="24" t="str">
        <f>'дод 7'!C154</f>
        <v>Утримання та забезпечення діяльності центрів соціальних служб, у т.ч. за рахунок:</v>
      </c>
      <c r="E31" s="25">
        <f t="shared" si="12"/>
        <v>4262000</v>
      </c>
      <c r="F31" s="25">
        <f>4383800-231800+110000</f>
        <v>4262000</v>
      </c>
      <c r="G31" s="25">
        <f>3236100-190000</f>
        <v>3046100</v>
      </c>
      <c r="H31" s="25">
        <v>106600</v>
      </c>
      <c r="I31" s="25"/>
      <c r="J31" s="25">
        <f t="shared" si="18"/>
        <v>2100000</v>
      </c>
      <c r="K31" s="25">
        <f>100000+2000000</f>
        <v>2100000</v>
      </c>
      <c r="L31" s="25"/>
      <c r="M31" s="25"/>
      <c r="N31" s="25"/>
      <c r="O31" s="25">
        <f>100000+2000000</f>
        <v>2100000</v>
      </c>
      <c r="P31" s="25">
        <f t="shared" si="13"/>
        <v>6362000</v>
      </c>
      <c r="Q31" s="126"/>
      <c r="R31" s="26"/>
    </row>
    <row r="32" spans="1:18" s="115" customFormat="1" ht="80.650000000000006" customHeight="1" x14ac:dyDescent="0.45">
      <c r="A32" s="27"/>
      <c r="B32" s="28">
        <f>'дод 7'!A155</f>
        <v>0</v>
      </c>
      <c r="C32" s="28">
        <f>'дод 7'!B155</f>
        <v>0</v>
      </c>
      <c r="D32" s="43" t="str">
        <f>'дод 7'!C155</f>
        <v>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v>
      </c>
      <c r="E32" s="30">
        <f t="shared" si="12"/>
        <v>0</v>
      </c>
      <c r="F32" s="30"/>
      <c r="G32" s="30"/>
      <c r="H32" s="30"/>
      <c r="I32" s="30"/>
      <c r="J32" s="30">
        <f t="shared" si="18"/>
        <v>2000000</v>
      </c>
      <c r="K32" s="30">
        <v>2000000</v>
      </c>
      <c r="L32" s="30"/>
      <c r="M32" s="30"/>
      <c r="N32" s="30"/>
      <c r="O32" s="30">
        <v>2000000</v>
      </c>
      <c r="P32" s="30">
        <f t="shared" si="13"/>
        <v>2000000</v>
      </c>
      <c r="Q32" s="126"/>
      <c r="R32" s="31"/>
    </row>
    <row r="33" spans="1:18" s="26" customFormat="1" ht="42" customHeight="1" x14ac:dyDescent="0.45">
      <c r="A33" s="22" t="s">
        <v>146</v>
      </c>
      <c r="B33" s="23" t="str">
        <f>'дод 7'!A156</f>
        <v>3131</v>
      </c>
      <c r="C33" s="23" t="str">
        <f>'дод 7'!B156</f>
        <v>1040</v>
      </c>
      <c r="D33" s="24" t="str">
        <f>'дод 7'!C156</f>
        <v>Здійснення заходів та реалізація проектів на виконання Державної цільової соціальної програми "Молодь України"</v>
      </c>
      <c r="E33" s="25">
        <f t="shared" si="12"/>
        <v>500000</v>
      </c>
      <c r="F33" s="25">
        <f>1000000-500000</f>
        <v>500000</v>
      </c>
      <c r="G33" s="25"/>
      <c r="H33" s="25"/>
      <c r="I33" s="25"/>
      <c r="J33" s="25">
        <f t="shared" si="18"/>
        <v>0</v>
      </c>
      <c r="K33" s="25"/>
      <c r="L33" s="25"/>
      <c r="M33" s="25"/>
      <c r="N33" s="25"/>
      <c r="O33" s="25"/>
      <c r="P33" s="25">
        <f t="shared" si="13"/>
        <v>500000</v>
      </c>
      <c r="Q33" s="126"/>
    </row>
    <row r="34" spans="1:18" s="108" customFormat="1" ht="21.75" customHeight="1" x14ac:dyDescent="0.45">
      <c r="A34" s="22" t="s">
        <v>533</v>
      </c>
      <c r="B34" s="23">
        <v>3133</v>
      </c>
      <c r="C34" s="23">
        <v>1040</v>
      </c>
      <c r="D34" s="24" t="str">
        <f>'дод 7'!C157</f>
        <v>Інші заходи та заклади молодіжної політики</v>
      </c>
      <c r="E34" s="25">
        <f t="shared" si="12"/>
        <v>6017000</v>
      </c>
      <c r="F34" s="25">
        <f>6227600+70000-280600</f>
        <v>6017000</v>
      </c>
      <c r="G34" s="25">
        <f>3587200-230000</f>
        <v>3357200</v>
      </c>
      <c r="H34" s="25">
        <v>1085700</v>
      </c>
      <c r="I34" s="25"/>
      <c r="J34" s="25">
        <f t="shared" si="18"/>
        <v>10000</v>
      </c>
      <c r="K34" s="25"/>
      <c r="L34" s="25">
        <v>10000</v>
      </c>
      <c r="M34" s="25"/>
      <c r="N34" s="25">
        <v>3500</v>
      </c>
      <c r="O34" s="25"/>
      <c r="P34" s="25">
        <f t="shared" si="13"/>
        <v>6027000</v>
      </c>
      <c r="Q34" s="126"/>
      <c r="R34" s="26"/>
    </row>
    <row r="35" spans="1:18" s="26" customFormat="1" ht="78.75" hidden="1" customHeight="1" x14ac:dyDescent="0.45">
      <c r="A35" s="22" t="s">
        <v>147</v>
      </c>
      <c r="B35" s="23" t="str">
        <f>'дод 7'!A158</f>
        <v>3140</v>
      </c>
      <c r="C35" s="23" t="str">
        <f>'дод 7'!B158</f>
        <v>1040</v>
      </c>
      <c r="D35" s="24" t="str">
        <f>'дод 7'!C158</f>
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</c>
      <c r="E35" s="25">
        <f t="shared" si="12"/>
        <v>0</v>
      </c>
      <c r="F35" s="25"/>
      <c r="G35" s="25"/>
      <c r="H35" s="25"/>
      <c r="I35" s="25"/>
      <c r="J35" s="25">
        <f t="shared" si="18"/>
        <v>0</v>
      </c>
      <c r="K35" s="25"/>
      <c r="L35" s="25"/>
      <c r="M35" s="25"/>
      <c r="N35" s="25"/>
      <c r="O35" s="25"/>
      <c r="P35" s="25">
        <f t="shared" si="13"/>
        <v>0</v>
      </c>
      <c r="Q35" s="126"/>
    </row>
    <row r="36" spans="1:18" s="108" customFormat="1" ht="32.25" customHeight="1" x14ac:dyDescent="0.45">
      <c r="A36" s="22" t="s">
        <v>292</v>
      </c>
      <c r="B36" s="23" t="str">
        <f>'дод 7'!A179</f>
        <v>3241</v>
      </c>
      <c r="C36" s="23" t="str">
        <f>'дод 7'!B179</f>
        <v>1090</v>
      </c>
      <c r="D36" s="33" t="s">
        <v>280</v>
      </c>
      <c r="E36" s="25">
        <f t="shared" si="12"/>
        <v>1852953</v>
      </c>
      <c r="F36" s="25">
        <f>1931700-121000+42253</f>
        <v>1852953</v>
      </c>
      <c r="G36" s="25">
        <f>1270900-100000+42253</f>
        <v>1213153</v>
      </c>
      <c r="H36" s="25">
        <v>258800</v>
      </c>
      <c r="I36" s="25"/>
      <c r="J36" s="25">
        <f t="shared" si="18"/>
        <v>0</v>
      </c>
      <c r="K36" s="25"/>
      <c r="L36" s="25"/>
      <c r="M36" s="25"/>
      <c r="N36" s="25"/>
      <c r="O36" s="25"/>
      <c r="P36" s="25">
        <f t="shared" si="13"/>
        <v>1852953</v>
      </c>
      <c r="Q36" s="140">
        <v>2</v>
      </c>
      <c r="R36" s="26"/>
    </row>
    <row r="37" spans="1:18" s="108" customFormat="1" ht="33.75" customHeight="1" x14ac:dyDescent="0.45">
      <c r="A37" s="22" t="s">
        <v>293</v>
      </c>
      <c r="B37" s="23" t="str">
        <f>'дод 7'!A180</f>
        <v>3242</v>
      </c>
      <c r="C37" s="23" t="str">
        <f>'дод 7'!B180</f>
        <v>1090</v>
      </c>
      <c r="D37" s="24" t="s">
        <v>392</v>
      </c>
      <c r="E37" s="25">
        <f t="shared" si="12"/>
        <v>178232</v>
      </c>
      <c r="F37" s="25">
        <f>157100+21132</f>
        <v>178232</v>
      </c>
      <c r="G37" s="25"/>
      <c r="H37" s="25"/>
      <c r="I37" s="25"/>
      <c r="J37" s="25">
        <f t="shared" si="18"/>
        <v>0</v>
      </c>
      <c r="K37" s="25"/>
      <c r="L37" s="25"/>
      <c r="M37" s="25"/>
      <c r="N37" s="25"/>
      <c r="O37" s="25"/>
      <c r="P37" s="25">
        <f t="shared" si="13"/>
        <v>178232</v>
      </c>
      <c r="Q37" s="140"/>
      <c r="R37" s="26"/>
    </row>
    <row r="38" spans="1:18" s="26" customFormat="1" ht="50.25" hidden="1" customHeight="1" x14ac:dyDescent="0.45">
      <c r="A38" s="22" t="s">
        <v>305</v>
      </c>
      <c r="B38" s="23" t="str">
        <f>'дод 7'!A186</f>
        <v>4060</v>
      </c>
      <c r="C38" s="23" t="str">
        <f>'дод 7'!B186</f>
        <v>0828</v>
      </c>
      <c r="D38" s="24" t="str">
        <f>'дод 7'!C186</f>
        <v>Забезпечення діяльності палаців i будинків культури, клубів, центрів дозвілля та iнших клубних закладів, у т.ч. за рахунок:</v>
      </c>
      <c r="E38" s="25">
        <f t="shared" si="12"/>
        <v>0</v>
      </c>
      <c r="F38" s="1"/>
      <c r="G38" s="25"/>
      <c r="H38" s="25"/>
      <c r="I38" s="25"/>
      <c r="J38" s="25">
        <f t="shared" si="18"/>
        <v>0</v>
      </c>
      <c r="K38" s="25"/>
      <c r="L38" s="25"/>
      <c r="M38" s="25"/>
      <c r="N38" s="25"/>
      <c r="O38" s="25"/>
      <c r="P38" s="25">
        <f t="shared" si="13"/>
        <v>0</v>
      </c>
      <c r="Q38" s="140"/>
    </row>
    <row r="39" spans="1:18" s="132" customFormat="1" ht="30.75" customHeight="1" x14ac:dyDescent="0.45">
      <c r="A39" s="22" t="s">
        <v>290</v>
      </c>
      <c r="B39" s="23" t="str">
        <f>'дод 7'!A188</f>
        <v>4081</v>
      </c>
      <c r="C39" s="23" t="str">
        <f>'дод 7'!B188</f>
        <v>0829</v>
      </c>
      <c r="D39" s="24" t="str">
        <f>'дод 7'!C188</f>
        <v>Забезпечення діяльності інших закладів в галузі культури і мистецтва</v>
      </c>
      <c r="E39" s="25">
        <f t="shared" si="12"/>
        <v>2998800</v>
      </c>
      <c r="F39" s="25">
        <f>3157300-158500</f>
        <v>2998800</v>
      </c>
      <c r="G39" s="25">
        <f>2128600-130000-3990</f>
        <v>1994610</v>
      </c>
      <c r="H39" s="25">
        <f>211100+39000</f>
        <v>250100</v>
      </c>
      <c r="I39" s="25"/>
      <c r="J39" s="25">
        <f t="shared" si="18"/>
        <v>0</v>
      </c>
      <c r="K39" s="25"/>
      <c r="L39" s="25"/>
      <c r="M39" s="25"/>
      <c r="N39" s="25"/>
      <c r="O39" s="25"/>
      <c r="P39" s="25">
        <f t="shared" si="13"/>
        <v>2998800</v>
      </c>
      <c r="Q39" s="140"/>
      <c r="R39" s="26"/>
    </row>
    <row r="40" spans="1:18" s="26" customFormat="1" ht="25.5" hidden="1" customHeight="1" x14ac:dyDescent="0.45">
      <c r="A40" s="22" t="s">
        <v>291</v>
      </c>
      <c r="B40" s="23">
        <v>4082</v>
      </c>
      <c r="C40" s="23" t="str">
        <f>'дод 7'!B189</f>
        <v>0829</v>
      </c>
      <c r="D40" s="24" t="str">
        <f>'дод 7'!C189</f>
        <v>Інші заходи в галузі культури і мистецтва</v>
      </c>
      <c r="E40" s="25">
        <f t="shared" si="12"/>
        <v>0</v>
      </c>
      <c r="F40" s="25"/>
      <c r="G40" s="25"/>
      <c r="H40" s="25"/>
      <c r="I40" s="25"/>
      <c r="J40" s="25">
        <f t="shared" si="18"/>
        <v>0</v>
      </c>
      <c r="K40" s="25"/>
      <c r="L40" s="25"/>
      <c r="M40" s="25"/>
      <c r="N40" s="25"/>
      <c r="O40" s="25"/>
      <c r="P40" s="25">
        <f t="shared" si="13"/>
        <v>0</v>
      </c>
      <c r="Q40" s="140"/>
    </row>
    <row r="41" spans="1:18" s="26" customFormat="1" ht="36.75" customHeight="1" x14ac:dyDescent="0.45">
      <c r="A41" s="22" t="s">
        <v>148</v>
      </c>
      <c r="B41" s="23" t="str">
        <f>'дод 7'!A193</f>
        <v>5011</v>
      </c>
      <c r="C41" s="23" t="str">
        <f>'дод 7'!B193</f>
        <v>0810</v>
      </c>
      <c r="D41" s="24" t="str">
        <f>'дод 7'!C193</f>
        <v>Проведення навчально-тренувальних зборів і змагань з олімпійських видів спорту</v>
      </c>
      <c r="E41" s="25">
        <f t="shared" si="12"/>
        <v>1237920</v>
      </c>
      <c r="F41" s="25">
        <f>500000-100000+1387920-150000-400000</f>
        <v>1237920</v>
      </c>
      <c r="G41" s="25"/>
      <c r="H41" s="25"/>
      <c r="I41" s="25"/>
      <c r="J41" s="25">
        <f t="shared" si="18"/>
        <v>0</v>
      </c>
      <c r="K41" s="25"/>
      <c r="L41" s="25"/>
      <c r="M41" s="25"/>
      <c r="N41" s="25"/>
      <c r="O41" s="25"/>
      <c r="P41" s="25">
        <f t="shared" si="13"/>
        <v>1237920</v>
      </c>
      <c r="Q41" s="140"/>
    </row>
    <row r="42" spans="1:18" s="26" customFormat="1" ht="34.5" customHeight="1" x14ac:dyDescent="0.45">
      <c r="A42" s="22" t="s">
        <v>149</v>
      </c>
      <c r="B42" s="23" t="str">
        <f>'дод 7'!A194</f>
        <v>5012</v>
      </c>
      <c r="C42" s="23" t="str">
        <f>'дод 7'!B194</f>
        <v>0810</v>
      </c>
      <c r="D42" s="24" t="str">
        <f>'дод 7'!C194</f>
        <v>Проведення навчально-тренувальних зборів і змагань з неолімпійських видів спорту</v>
      </c>
      <c r="E42" s="25">
        <f t="shared" si="12"/>
        <v>1540000</v>
      </c>
      <c r="F42" s="25">
        <f>500000-100000+740000+400000</f>
        <v>1540000</v>
      </c>
      <c r="G42" s="25"/>
      <c r="H42" s="25"/>
      <c r="I42" s="25"/>
      <c r="J42" s="25">
        <f t="shared" si="18"/>
        <v>0</v>
      </c>
      <c r="K42" s="25"/>
      <c r="L42" s="25"/>
      <c r="M42" s="25"/>
      <c r="N42" s="25"/>
      <c r="O42" s="25"/>
      <c r="P42" s="25">
        <f t="shared" si="13"/>
        <v>1540000</v>
      </c>
      <c r="Q42" s="140"/>
    </row>
    <row r="43" spans="1:18" s="108" customFormat="1" ht="39.75" customHeight="1" x14ac:dyDescent="0.45">
      <c r="A43" s="22" t="s">
        <v>150</v>
      </c>
      <c r="B43" s="23" t="str">
        <f>'дод 7'!A195</f>
        <v>5031</v>
      </c>
      <c r="C43" s="23" t="str">
        <f>'дод 7'!B195</f>
        <v>0810</v>
      </c>
      <c r="D43" s="24" t="str">
        <f>'дод 7'!C195</f>
        <v>Утримання та навчально-тренувальна робота комунальних дитячо-юнацьких спортивних шкіл, у т.ч. за рахунок:</v>
      </c>
      <c r="E43" s="25">
        <f t="shared" si="12"/>
        <v>27863370</v>
      </c>
      <c r="F43" s="25">
        <f>28174800-20000+942070+500000+190000+136500-2060000</f>
        <v>27863370</v>
      </c>
      <c r="G43" s="25">
        <f>21075000-1700000</f>
        <v>19375000</v>
      </c>
      <c r="H43" s="25">
        <v>1904100</v>
      </c>
      <c r="I43" s="25"/>
      <c r="J43" s="25">
        <f t="shared" si="18"/>
        <v>150350</v>
      </c>
      <c r="K43" s="25">
        <f>130000+20350</f>
        <v>150350</v>
      </c>
      <c r="L43" s="25"/>
      <c r="M43" s="25"/>
      <c r="N43" s="25"/>
      <c r="O43" s="25">
        <f>130000+20350</f>
        <v>150350</v>
      </c>
      <c r="P43" s="25">
        <f t="shared" si="13"/>
        <v>28013720</v>
      </c>
      <c r="Q43" s="140"/>
      <c r="R43" s="26"/>
    </row>
    <row r="44" spans="1:18" s="31" customFormat="1" ht="96" customHeight="1" x14ac:dyDescent="0.45">
      <c r="A44" s="27"/>
      <c r="B44" s="28"/>
      <c r="C44" s="28"/>
      <c r="D44" s="48" t="s">
        <v>619</v>
      </c>
      <c r="E44" s="30">
        <f t="shared" si="12"/>
        <v>0</v>
      </c>
      <c r="F44" s="30"/>
      <c r="G44" s="30"/>
      <c r="H44" s="30"/>
      <c r="I44" s="30"/>
      <c r="J44" s="30">
        <f t="shared" si="18"/>
        <v>20350</v>
      </c>
      <c r="K44" s="30">
        <v>20350</v>
      </c>
      <c r="L44" s="30"/>
      <c r="M44" s="30"/>
      <c r="N44" s="30"/>
      <c r="O44" s="30">
        <v>20350</v>
      </c>
      <c r="P44" s="30">
        <f t="shared" si="13"/>
        <v>20350</v>
      </c>
      <c r="Q44" s="140"/>
    </row>
    <row r="45" spans="1:18" s="108" customFormat="1" ht="44.25" customHeight="1" x14ac:dyDescent="0.45">
      <c r="A45" s="22" t="s">
        <v>343</v>
      </c>
      <c r="B45" s="23" t="str">
        <f>'дод 7'!A198</f>
        <v>5032</v>
      </c>
      <c r="C45" s="23" t="str">
        <f>'дод 7'!B198</f>
        <v>0810</v>
      </c>
      <c r="D45" s="24" t="str">
        <f>'дод 7'!C198</f>
        <v>Фінансова підтримка дитячо-юнацьких спортивних шкіл фізкультурно-спортивних товариств</v>
      </c>
      <c r="E45" s="25">
        <f t="shared" si="12"/>
        <v>21067610</v>
      </c>
      <c r="F45" s="25">
        <f>21982100-7000+630010+157500-1695000</f>
        <v>21067610</v>
      </c>
      <c r="G45" s="25"/>
      <c r="H45" s="25"/>
      <c r="I45" s="25"/>
      <c r="J45" s="25">
        <f t="shared" si="18"/>
        <v>0</v>
      </c>
      <c r="K45" s="25"/>
      <c r="L45" s="25"/>
      <c r="M45" s="25"/>
      <c r="N45" s="25"/>
      <c r="O45" s="25"/>
      <c r="P45" s="25">
        <f t="shared" si="13"/>
        <v>21067610</v>
      </c>
      <c r="Q45" s="140"/>
      <c r="R45" s="26"/>
    </row>
    <row r="46" spans="1:18" s="26" customFormat="1" ht="64.5" customHeight="1" x14ac:dyDescent="0.45">
      <c r="A46" s="22" t="s">
        <v>151</v>
      </c>
      <c r="B46" s="23" t="str">
        <f>'дод 7'!A199</f>
        <v>5061</v>
      </c>
      <c r="C46" s="23" t="str">
        <f>'дод 7'!B199</f>
        <v>0810</v>
      </c>
      <c r="D46" s="24" t="str">
        <f>'дод 7'!C199</f>
        <v xml:space="preserve">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</c>
      <c r="E46" s="25">
        <f t="shared" si="12"/>
        <v>6952500</v>
      </c>
      <c r="F46" s="25">
        <v>6952500</v>
      </c>
      <c r="G46" s="25">
        <v>4148000</v>
      </c>
      <c r="H46" s="25">
        <v>839400</v>
      </c>
      <c r="I46" s="25"/>
      <c r="J46" s="25">
        <f t="shared" si="18"/>
        <v>990440</v>
      </c>
      <c r="K46" s="25">
        <v>450000</v>
      </c>
      <c r="L46" s="25">
        <v>540440</v>
      </c>
      <c r="M46" s="25">
        <v>345344</v>
      </c>
      <c r="N46" s="25">
        <v>98012</v>
      </c>
      <c r="O46" s="25">
        <v>450000</v>
      </c>
      <c r="P46" s="25">
        <f t="shared" si="13"/>
        <v>7942940</v>
      </c>
      <c r="Q46" s="140"/>
    </row>
    <row r="47" spans="1:18" s="108" customFormat="1" ht="30.75" x14ac:dyDescent="0.45">
      <c r="A47" s="22" t="s">
        <v>335</v>
      </c>
      <c r="B47" s="23" t="str">
        <f>'дод 7'!A200</f>
        <v>5062</v>
      </c>
      <c r="C47" s="23" t="str">
        <f>'дод 7'!B200</f>
        <v>0810</v>
      </c>
      <c r="D47" s="24" t="str">
        <f>'дод 7'!C200</f>
        <v>Підтримка спорту вищих досягнень та організацій, які здійснюють фізкультурно-спортивну діяльність в регіоні</v>
      </c>
      <c r="E47" s="25">
        <f t="shared" si="12"/>
        <v>15423204</v>
      </c>
      <c r="F47" s="25">
        <f>14430400-500000-800000+500000+264867+517349+1158008+227180+150000-524600</f>
        <v>15423204</v>
      </c>
      <c r="G47" s="25"/>
      <c r="H47" s="25"/>
      <c r="I47" s="25"/>
      <c r="J47" s="25">
        <f t="shared" si="18"/>
        <v>0</v>
      </c>
      <c r="K47" s="25"/>
      <c r="L47" s="25"/>
      <c r="M47" s="25"/>
      <c r="N47" s="25"/>
      <c r="O47" s="25"/>
      <c r="P47" s="25">
        <f t="shared" si="13"/>
        <v>15423204</v>
      </c>
      <c r="Q47" s="140"/>
      <c r="R47" s="26"/>
    </row>
    <row r="48" spans="1:18" s="26" customFormat="1" ht="37.5" hidden="1" customHeight="1" x14ac:dyDescent="0.45">
      <c r="A48" s="22" t="s">
        <v>532</v>
      </c>
      <c r="B48" s="23">
        <v>7323</v>
      </c>
      <c r="C48" s="22" t="s">
        <v>107</v>
      </c>
      <c r="D48" s="24" t="str">
        <f>'дод 7'!C244</f>
        <v>Будівництво1 установ та закладів соціальної сфери</v>
      </c>
      <c r="E48" s="25">
        <f t="shared" si="12"/>
        <v>0</v>
      </c>
      <c r="F48" s="25"/>
      <c r="G48" s="25"/>
      <c r="H48" s="25"/>
      <c r="I48" s="25"/>
      <c r="J48" s="25">
        <f t="shared" si="18"/>
        <v>0</v>
      </c>
      <c r="K48" s="25"/>
      <c r="L48" s="25"/>
      <c r="M48" s="25"/>
      <c r="N48" s="25"/>
      <c r="O48" s="25"/>
      <c r="P48" s="25">
        <f t="shared" si="13"/>
        <v>0</v>
      </c>
      <c r="Q48" s="140"/>
    </row>
    <row r="49" spans="1:18" s="26" customFormat="1" ht="31.5" hidden="1" customHeight="1" x14ac:dyDescent="0.45">
      <c r="A49" s="22" t="s">
        <v>394</v>
      </c>
      <c r="B49" s="23">
        <v>7325</v>
      </c>
      <c r="C49" s="34" t="s">
        <v>107</v>
      </c>
      <c r="D49" s="35" t="str">
        <f>'дод 7'!C246</f>
        <v>Будівництво1 споруд, установ та закладів фізичної культури і спорту</v>
      </c>
      <c r="E49" s="25">
        <f t="shared" si="12"/>
        <v>0</v>
      </c>
      <c r="F49" s="25"/>
      <c r="G49" s="25"/>
      <c r="H49" s="25"/>
      <c r="I49" s="25"/>
      <c r="J49" s="25">
        <f t="shared" si="18"/>
        <v>0</v>
      </c>
      <c r="K49" s="25"/>
      <c r="L49" s="25"/>
      <c r="M49" s="25"/>
      <c r="N49" s="25"/>
      <c r="O49" s="25"/>
      <c r="P49" s="25">
        <f t="shared" si="13"/>
        <v>0</v>
      </c>
      <c r="Q49" s="140"/>
    </row>
    <row r="50" spans="1:18" s="26" customFormat="1" ht="15.75" hidden="1" customHeight="1" x14ac:dyDescent="0.45">
      <c r="A50" s="22" t="s">
        <v>395</v>
      </c>
      <c r="B50" s="23">
        <v>7330</v>
      </c>
      <c r="C50" s="34" t="s">
        <v>107</v>
      </c>
      <c r="D50" s="35" t="str">
        <f>'дод 7'!C247</f>
        <v>Будівництво1 інших об'єктів комунальної власності, у т.ч. за рахунок:</v>
      </c>
      <c r="E50" s="25">
        <f t="shared" si="12"/>
        <v>0</v>
      </c>
      <c r="F50" s="25"/>
      <c r="G50" s="25"/>
      <c r="H50" s="25"/>
      <c r="I50" s="25"/>
      <c r="J50" s="25">
        <f t="shared" si="18"/>
        <v>0</v>
      </c>
      <c r="K50" s="25"/>
      <c r="L50" s="25"/>
      <c r="M50" s="25"/>
      <c r="N50" s="25"/>
      <c r="O50" s="25"/>
      <c r="P50" s="25">
        <f t="shared" si="13"/>
        <v>0</v>
      </c>
      <c r="Q50" s="140"/>
    </row>
    <row r="51" spans="1:18" s="26" customFormat="1" ht="33" customHeight="1" x14ac:dyDescent="0.45">
      <c r="A51" s="22" t="s">
        <v>152</v>
      </c>
      <c r="B51" s="23" t="str">
        <f>'дод 7'!A268</f>
        <v>7412</v>
      </c>
      <c r="C51" s="23" t="str">
        <f>'дод 7'!B268</f>
        <v>0451</v>
      </c>
      <c r="D51" s="24" t="str">
        <f>'дод 7'!C268</f>
        <v>Регулювання цін на послуги місцевого автотранспорту</v>
      </c>
      <c r="E51" s="25">
        <f t="shared" si="12"/>
        <v>19615344</v>
      </c>
      <c r="G51" s="25"/>
      <c r="H51" s="25"/>
      <c r="I51" s="25">
        <f>27600000-1500000-6484656</f>
        <v>19615344</v>
      </c>
      <c r="J51" s="25">
        <f t="shared" si="18"/>
        <v>0</v>
      </c>
      <c r="K51" s="25"/>
      <c r="L51" s="25"/>
      <c r="M51" s="25"/>
      <c r="N51" s="25"/>
      <c r="O51" s="25"/>
      <c r="P51" s="25">
        <f t="shared" si="13"/>
        <v>19615344</v>
      </c>
      <c r="Q51" s="140"/>
    </row>
    <row r="52" spans="1:18" s="26" customFormat="1" ht="24" hidden="1" customHeight="1" x14ac:dyDescent="0.45">
      <c r="A52" s="22" t="s">
        <v>363</v>
      </c>
      <c r="B52" s="23">
        <f>'дод 7'!A269</f>
        <v>7413</v>
      </c>
      <c r="C52" s="23" t="str">
        <f>'дод 7'!B269</f>
        <v>0451</v>
      </c>
      <c r="D52" s="36" t="str">
        <f>'дод 7'!C269</f>
        <v>Інші заходи у сфері автотранспорту</v>
      </c>
      <c r="E52" s="25">
        <f t="shared" si="12"/>
        <v>0</v>
      </c>
      <c r="F52" s="25"/>
      <c r="G52" s="25"/>
      <c r="H52" s="25"/>
      <c r="I52" s="25"/>
      <c r="J52" s="25">
        <f t="shared" si="18"/>
        <v>0</v>
      </c>
      <c r="K52" s="25"/>
      <c r="L52" s="25"/>
      <c r="M52" s="25"/>
      <c r="N52" s="25"/>
      <c r="O52" s="25"/>
      <c r="P52" s="25">
        <f t="shared" si="13"/>
        <v>0</v>
      </c>
      <c r="Q52" s="140"/>
    </row>
    <row r="53" spans="1:18" s="26" customFormat="1" ht="33" customHeight="1" x14ac:dyDescent="0.45">
      <c r="A53" s="22" t="s">
        <v>508</v>
      </c>
      <c r="B53" s="23">
        <v>7422</v>
      </c>
      <c r="C53" s="22" t="s">
        <v>393</v>
      </c>
      <c r="D53" s="36" t="str">
        <f>'дод 7'!C270</f>
        <v>Регулювання цін на послуги місцевого наземного електротранспорту</v>
      </c>
      <c r="E53" s="25">
        <f t="shared" si="12"/>
        <v>46883224</v>
      </c>
      <c r="F53" s="25"/>
      <c r="G53" s="25"/>
      <c r="H53" s="25"/>
      <c r="I53" s="25">
        <f>69010000-4050000-18076776</f>
        <v>46883224</v>
      </c>
      <c r="J53" s="25">
        <f t="shared" si="18"/>
        <v>0</v>
      </c>
      <c r="K53" s="25"/>
      <c r="L53" s="25"/>
      <c r="M53" s="25"/>
      <c r="N53" s="25"/>
      <c r="O53" s="25"/>
      <c r="P53" s="25">
        <f t="shared" si="13"/>
        <v>46883224</v>
      </c>
      <c r="Q53" s="140"/>
    </row>
    <row r="54" spans="1:18" s="26" customFormat="1" ht="24" hidden="1" customHeight="1" x14ac:dyDescent="0.45">
      <c r="A54" s="22" t="s">
        <v>364</v>
      </c>
      <c r="B54" s="23">
        <f>'дод 7'!A271</f>
        <v>7426</v>
      </c>
      <c r="C54" s="22" t="s">
        <v>393</v>
      </c>
      <c r="D54" s="36" t="str">
        <f>'дод 7'!C271</f>
        <v>Інші заходи у сфері електротранспорту</v>
      </c>
      <c r="E54" s="25">
        <f t="shared" si="12"/>
        <v>0</v>
      </c>
      <c r="F54" s="25"/>
      <c r="G54" s="25"/>
      <c r="H54" s="25"/>
      <c r="I54" s="25"/>
      <c r="J54" s="25">
        <f t="shared" si="18"/>
        <v>0</v>
      </c>
      <c r="K54" s="25"/>
      <c r="L54" s="25"/>
      <c r="M54" s="25"/>
      <c r="N54" s="25"/>
      <c r="O54" s="25"/>
      <c r="P54" s="25">
        <f t="shared" si="13"/>
        <v>0</v>
      </c>
      <c r="Q54" s="140"/>
    </row>
    <row r="55" spans="1:18" s="26" customFormat="1" ht="21.75" hidden="1" customHeight="1" x14ac:dyDescent="0.45">
      <c r="A55" s="22" t="s">
        <v>424</v>
      </c>
      <c r="B55" s="22" t="s">
        <v>425</v>
      </c>
      <c r="C55" s="22" t="s">
        <v>384</v>
      </c>
      <c r="D55" s="36" t="str">
        <f>'дод 7'!C273</f>
        <v>Інша діяльність у сфері транспорту</v>
      </c>
      <c r="E55" s="25">
        <f t="shared" si="12"/>
        <v>0</v>
      </c>
      <c r="F55" s="25">
        <f>1500000+321000-1500000-321000</f>
        <v>0</v>
      </c>
      <c r="G55" s="25"/>
      <c r="H55" s="25"/>
      <c r="I55" s="25"/>
      <c r="J55" s="25">
        <f t="shared" si="18"/>
        <v>0</v>
      </c>
      <c r="K55" s="25"/>
      <c r="L55" s="25"/>
      <c r="M55" s="25"/>
      <c r="N55" s="25"/>
      <c r="O55" s="25"/>
      <c r="P55" s="25">
        <f t="shared" si="13"/>
        <v>0</v>
      </c>
      <c r="Q55" s="140"/>
    </row>
    <row r="56" spans="1:18" s="108" customFormat="1" ht="30.75" customHeight="1" x14ac:dyDescent="0.45">
      <c r="A56" s="22" t="s">
        <v>225</v>
      </c>
      <c r="B56" s="23" t="str">
        <f>'дод 7'!A278</f>
        <v>7530</v>
      </c>
      <c r="C56" s="23" t="str">
        <f>'дод 7'!B278</f>
        <v>0460</v>
      </c>
      <c r="D56" s="24" t="str">
        <f>'дод 7'!C278</f>
        <v>Інші заходи у сфері зв'язку, телекомунікації та інформатики</v>
      </c>
      <c r="E56" s="25">
        <f t="shared" si="12"/>
        <v>5710468</v>
      </c>
      <c r="F56" s="25">
        <f>5323200+180000+193200+75200-40000-21132</f>
        <v>5710468</v>
      </c>
      <c r="G56" s="25"/>
      <c r="H56" s="25"/>
      <c r="I56" s="25"/>
      <c r="J56" s="25">
        <f>L56+O56</f>
        <v>1000000</v>
      </c>
      <c r="K56" s="25">
        <f>19036280-18036280</f>
        <v>1000000</v>
      </c>
      <c r="L56" s="25"/>
      <c r="M56" s="25"/>
      <c r="N56" s="25"/>
      <c r="O56" s="25">
        <f>19036280-18036280</f>
        <v>1000000</v>
      </c>
      <c r="P56" s="25">
        <f t="shared" si="13"/>
        <v>6710468</v>
      </c>
      <c r="Q56" s="140"/>
      <c r="R56" s="26"/>
    </row>
    <row r="57" spans="1:18" s="26" customFormat="1" ht="31.5" hidden="1" customHeight="1" x14ac:dyDescent="0.45">
      <c r="A57" s="22" t="s">
        <v>153</v>
      </c>
      <c r="B57" s="23" t="str">
        <f>'дод 7'!A284</f>
        <v>7610</v>
      </c>
      <c r="C57" s="23" t="str">
        <f>'дод 7'!B284</f>
        <v>0411</v>
      </c>
      <c r="D57" s="24" t="str">
        <f>'дод 7'!C284</f>
        <v>Сприяння розвитку малого та середнього підприємництва</v>
      </c>
      <c r="E57" s="25">
        <f t="shared" si="12"/>
        <v>0</v>
      </c>
      <c r="F57" s="25"/>
      <c r="G57" s="25"/>
      <c r="H57" s="25"/>
      <c r="I57" s="25"/>
      <c r="J57" s="25">
        <f t="shared" si="18"/>
        <v>0</v>
      </c>
      <c r="K57" s="25"/>
      <c r="L57" s="25"/>
      <c r="M57" s="25"/>
      <c r="N57" s="25"/>
      <c r="O57" s="25"/>
      <c r="P57" s="25">
        <f t="shared" si="13"/>
        <v>0</v>
      </c>
      <c r="Q57" s="140"/>
    </row>
    <row r="58" spans="1:18" s="26" customFormat="1" ht="24.75" customHeight="1" x14ac:dyDescent="0.45">
      <c r="A58" s="22" t="s">
        <v>593</v>
      </c>
      <c r="B58" s="23" t="str">
        <f>'дод 7'!A285</f>
        <v>7640</v>
      </c>
      <c r="C58" s="23" t="str">
        <f>'дод 7'!B285</f>
        <v>0470</v>
      </c>
      <c r="D58" s="36" t="s">
        <v>402</v>
      </c>
      <c r="E58" s="25">
        <f t="shared" ref="E58" si="19">F58+I58</f>
        <v>0</v>
      </c>
      <c r="F58" s="25"/>
      <c r="G58" s="25"/>
      <c r="H58" s="25"/>
      <c r="I58" s="25"/>
      <c r="J58" s="25">
        <f t="shared" ref="J58" si="20">L58+O58</f>
        <v>10000000</v>
      </c>
      <c r="K58" s="25">
        <v>10000000</v>
      </c>
      <c r="L58" s="25"/>
      <c r="M58" s="25"/>
      <c r="N58" s="25"/>
      <c r="O58" s="25">
        <v>10000000</v>
      </c>
      <c r="P58" s="25">
        <f t="shared" ref="P58" si="21">E58+J58</f>
        <v>10000000</v>
      </c>
      <c r="Q58" s="140"/>
    </row>
    <row r="59" spans="1:18" s="26" customFormat="1" ht="33.75" hidden="1" customHeight="1" x14ac:dyDescent="0.45">
      <c r="A59" s="22" t="s">
        <v>154</v>
      </c>
      <c r="B59" s="23" t="str">
        <f>'дод 7'!A291</f>
        <v>7670</v>
      </c>
      <c r="C59" s="23" t="str">
        <f>'дод 7'!B291</f>
        <v>0490</v>
      </c>
      <c r="D59" s="24" t="str">
        <f>'дод 7'!C291</f>
        <v>Внески до статутного капіталу суб'єктів господарювання,  у т.ч. за рахунок:</v>
      </c>
      <c r="E59" s="25">
        <f t="shared" si="12"/>
        <v>0</v>
      </c>
      <c r="F59" s="25"/>
      <c r="G59" s="25"/>
      <c r="H59" s="25"/>
      <c r="I59" s="25"/>
      <c r="J59" s="25">
        <f t="shared" si="18"/>
        <v>0</v>
      </c>
      <c r="K59" s="25">
        <f>1580400-1580400</f>
        <v>0</v>
      </c>
      <c r="L59" s="25"/>
      <c r="M59" s="25"/>
      <c r="N59" s="25"/>
      <c r="O59" s="25">
        <v>0</v>
      </c>
      <c r="P59" s="25">
        <f t="shared" si="13"/>
        <v>0</v>
      </c>
      <c r="Q59" s="140"/>
    </row>
    <row r="60" spans="1:18" s="26" customFormat="1" ht="34.5" customHeight="1" x14ac:dyDescent="0.45">
      <c r="A60" s="22" t="s">
        <v>239</v>
      </c>
      <c r="B60" s="23" t="str">
        <f>'дод 7'!A294</f>
        <v>7680</v>
      </c>
      <c r="C60" s="23" t="str">
        <f>'дод 7'!B294</f>
        <v>0490</v>
      </c>
      <c r="D60" s="24" t="str">
        <f>'дод 7'!C294</f>
        <v>Членські внески до асоціацій органів місцевого самоврядування</v>
      </c>
      <c r="E60" s="25">
        <f t="shared" si="12"/>
        <v>441318</v>
      </c>
      <c r="F60" s="25">
        <f>279854+167500-6036</f>
        <v>441318</v>
      </c>
      <c r="G60" s="25"/>
      <c r="H60" s="25"/>
      <c r="I60" s="25"/>
      <c r="J60" s="25">
        <f t="shared" si="18"/>
        <v>0</v>
      </c>
      <c r="K60" s="25"/>
      <c r="L60" s="25"/>
      <c r="M60" s="25"/>
      <c r="N60" s="25"/>
      <c r="O60" s="25"/>
      <c r="P60" s="25">
        <f t="shared" si="13"/>
        <v>441318</v>
      </c>
      <c r="Q60" s="140"/>
    </row>
    <row r="61" spans="1:18" s="26" customFormat="1" ht="111" customHeight="1" x14ac:dyDescent="0.45">
      <c r="A61" s="22" t="s">
        <v>288</v>
      </c>
      <c r="B61" s="23" t="str">
        <f>'дод 7'!A295</f>
        <v>7691</v>
      </c>
      <c r="C61" s="23" t="str">
        <f>'дод 7'!B295</f>
        <v>0490</v>
      </c>
      <c r="D61" s="24" t="str">
        <f>'дод 7'!C295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61" s="25">
        <f t="shared" si="12"/>
        <v>0</v>
      </c>
      <c r="F61" s="25"/>
      <c r="G61" s="25"/>
      <c r="H61" s="25"/>
      <c r="I61" s="25"/>
      <c r="J61" s="25">
        <f t="shared" si="18"/>
        <v>50000</v>
      </c>
      <c r="K61" s="25"/>
      <c r="L61" s="25">
        <v>50000</v>
      </c>
      <c r="M61" s="25"/>
      <c r="N61" s="25"/>
      <c r="O61" s="25"/>
      <c r="P61" s="25">
        <f t="shared" si="13"/>
        <v>50000</v>
      </c>
      <c r="Q61" s="140"/>
    </row>
    <row r="62" spans="1:18" s="26" customFormat="1" ht="23.25" customHeight="1" x14ac:dyDescent="0.45">
      <c r="A62" s="22" t="s">
        <v>232</v>
      </c>
      <c r="B62" s="23" t="str">
        <f>'дод 7'!A296</f>
        <v>7693</v>
      </c>
      <c r="C62" s="23" t="str">
        <f>'дод 7'!B296</f>
        <v>0490</v>
      </c>
      <c r="D62" s="24" t="str">
        <f>'дод 7'!C296</f>
        <v>Інші заходи, пов'язані з економічною діяльністю, у т.ч. за рахунок:</v>
      </c>
      <c r="E62" s="25">
        <f t="shared" si="12"/>
        <v>900000</v>
      </c>
      <c r="F62" s="25">
        <f>1944700-1044700</f>
        <v>900000</v>
      </c>
      <c r="G62" s="25"/>
      <c r="H62" s="25"/>
      <c r="I62" s="25"/>
      <c r="J62" s="25">
        <f t="shared" si="18"/>
        <v>0</v>
      </c>
      <c r="K62" s="25"/>
      <c r="L62" s="25"/>
      <c r="M62" s="25"/>
      <c r="N62" s="25"/>
      <c r="O62" s="25"/>
      <c r="P62" s="25">
        <f t="shared" si="13"/>
        <v>900000</v>
      </c>
      <c r="Q62" s="140"/>
    </row>
    <row r="63" spans="1:18" s="26" customFormat="1" ht="62.25" customHeight="1" x14ac:dyDescent="0.45">
      <c r="A63" s="22" t="s">
        <v>717</v>
      </c>
      <c r="B63" s="23">
        <f>'дод 7'!A298</f>
        <v>7700</v>
      </c>
      <c r="C63" s="23" t="str">
        <f>'дод 7'!B298</f>
        <v>0133</v>
      </c>
      <c r="D63" s="36" t="str">
        <f>'дод 7'!C298</f>
        <v>Реалізація програм допомоги і грантів Європейського Союзу, урядів іноземних держав, міжнародних організацій, донорських установ, у т.ч. за рахунок:</v>
      </c>
      <c r="E63" s="25">
        <f t="shared" ref="E63:E64" si="22">F63+I63</f>
        <v>0</v>
      </c>
      <c r="F63" s="25"/>
      <c r="G63" s="25"/>
      <c r="H63" s="25"/>
      <c r="I63" s="25"/>
      <c r="J63" s="25">
        <f t="shared" ref="J63:J64" si="23">L63+O63</f>
        <v>85265</v>
      </c>
      <c r="K63" s="25"/>
      <c r="L63" s="25">
        <v>85265</v>
      </c>
      <c r="M63" s="25"/>
      <c r="N63" s="25"/>
      <c r="O63" s="25"/>
      <c r="P63" s="25">
        <f t="shared" ref="P63:P64" si="24">E63+J63</f>
        <v>85265</v>
      </c>
      <c r="Q63" s="140"/>
    </row>
    <row r="64" spans="1:18" s="31" customFormat="1" ht="23.25" customHeight="1" x14ac:dyDescent="0.45">
      <c r="A64" s="27"/>
      <c r="B64" s="28"/>
      <c r="C64" s="28"/>
      <c r="D64" s="29" t="str">
        <f>'дод 7'!C299</f>
        <v>грантів (дарунків)</v>
      </c>
      <c r="E64" s="30">
        <f t="shared" si="22"/>
        <v>0</v>
      </c>
      <c r="F64" s="30"/>
      <c r="G64" s="30"/>
      <c r="H64" s="30"/>
      <c r="I64" s="30"/>
      <c r="J64" s="30">
        <f t="shared" si="23"/>
        <v>85265</v>
      </c>
      <c r="K64" s="30"/>
      <c r="L64" s="30">
        <v>85265</v>
      </c>
      <c r="M64" s="30"/>
      <c r="N64" s="30"/>
      <c r="O64" s="30"/>
      <c r="P64" s="30">
        <f t="shared" si="24"/>
        <v>85265</v>
      </c>
      <c r="Q64" s="140"/>
    </row>
    <row r="65" spans="1:18" s="108" customFormat="1" ht="34.5" customHeight="1" x14ac:dyDescent="0.45">
      <c r="A65" s="22" t="s">
        <v>155</v>
      </c>
      <c r="B65" s="23" t="str">
        <f>'дод 7'!A308</f>
        <v>8110</v>
      </c>
      <c r="C65" s="23" t="str">
        <f>'дод 7'!B308</f>
        <v>0320</v>
      </c>
      <c r="D65" s="24" t="str">
        <f>'дод 7'!C308</f>
        <v>Заходи із запобігання та ліквідації надзвичайних ситуацій та наслідків стихійного лиха, у т.ч. за рахунок:</v>
      </c>
      <c r="E65" s="25">
        <f t="shared" si="12"/>
        <v>5238300</v>
      </c>
      <c r="F65" s="25">
        <f>3718400+36000+825000+20000-130000+62400+130000+370000+164000+42500</f>
        <v>5238300</v>
      </c>
      <c r="G65" s="25"/>
      <c r="H65" s="25">
        <f>28500+20000+24000</f>
        <v>72500</v>
      </c>
      <c r="I65" s="25"/>
      <c r="J65" s="25">
        <f t="shared" si="18"/>
        <v>3525500</v>
      </c>
      <c r="K65" s="25">
        <f>795000+2730500+130000-130000</f>
        <v>3525500</v>
      </c>
      <c r="L65" s="25"/>
      <c r="M65" s="25"/>
      <c r="N65" s="25"/>
      <c r="O65" s="25">
        <f>795000+2730500+130000-130000</f>
        <v>3525500</v>
      </c>
      <c r="P65" s="25">
        <f t="shared" si="13"/>
        <v>8763800</v>
      </c>
      <c r="Q65" s="140"/>
      <c r="R65" s="26"/>
    </row>
    <row r="66" spans="1:18" s="31" customFormat="1" ht="93" customHeight="1" x14ac:dyDescent="0.45">
      <c r="A66" s="27"/>
      <c r="B66" s="28"/>
      <c r="C66" s="28"/>
      <c r="D66" s="29" t="str">
        <f>'дод 7'!C310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66" s="30">
        <f t="shared" ref="E66" si="25">F66+I66</f>
        <v>164000</v>
      </c>
      <c r="F66" s="30">
        <v>164000</v>
      </c>
      <c r="G66" s="30"/>
      <c r="H66" s="30"/>
      <c r="I66" s="30"/>
      <c r="J66" s="30">
        <f t="shared" ref="J66" si="26">L66+O66</f>
        <v>0</v>
      </c>
      <c r="K66" s="30"/>
      <c r="L66" s="30"/>
      <c r="M66" s="30"/>
      <c r="N66" s="30"/>
      <c r="O66" s="30"/>
      <c r="P66" s="30">
        <f t="shared" ref="P66" si="27">E66+J66</f>
        <v>164000</v>
      </c>
      <c r="Q66" s="140"/>
    </row>
    <row r="67" spans="1:18" s="26" customFormat="1" ht="30" customHeight="1" x14ac:dyDescent="0.45">
      <c r="A67" s="22" t="s">
        <v>215</v>
      </c>
      <c r="B67" s="23" t="str">
        <f>'дод 7'!A311</f>
        <v>8120</v>
      </c>
      <c r="C67" s="23" t="str">
        <f>'дод 7'!B311</f>
        <v>0320</v>
      </c>
      <c r="D67" s="24" t="str">
        <f>'дод 7'!C311</f>
        <v>Заходи з організації рятування на водах, у т. ч. за рахунок:</v>
      </c>
      <c r="E67" s="25">
        <f t="shared" si="12"/>
        <v>4386700</v>
      </c>
      <c r="F67" s="25">
        <f>3131100+2000+1302200-48600</f>
        <v>4386700</v>
      </c>
      <c r="G67" s="25">
        <f>2400000+687400</f>
        <v>3087400</v>
      </c>
      <c r="H67" s="25">
        <v>109000</v>
      </c>
      <c r="I67" s="25"/>
      <c r="J67" s="25">
        <f t="shared" si="18"/>
        <v>134000</v>
      </c>
      <c r="K67" s="25">
        <f>80500-2000+48600</f>
        <v>127100</v>
      </c>
      <c r="L67" s="25">
        <v>6900</v>
      </c>
      <c r="M67" s="25"/>
      <c r="N67" s="25">
        <v>1600</v>
      </c>
      <c r="O67" s="25">
        <f>80500-2000+48600</f>
        <v>127100</v>
      </c>
      <c r="P67" s="25">
        <f t="shared" si="13"/>
        <v>4520700</v>
      </c>
      <c r="Q67" s="140"/>
    </row>
    <row r="68" spans="1:18" s="31" customFormat="1" ht="47.25" customHeight="1" x14ac:dyDescent="0.45">
      <c r="A68" s="27"/>
      <c r="B68" s="28"/>
      <c r="C68" s="28"/>
      <c r="D68" s="29" t="str">
        <f>'дод 7'!C312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E68" s="30">
        <f t="shared" si="12"/>
        <v>410600</v>
      </c>
      <c r="F68" s="30">
        <v>410600</v>
      </c>
      <c r="G68" s="30">
        <v>336800</v>
      </c>
      <c r="H68" s="30"/>
      <c r="I68" s="30"/>
      <c r="J68" s="30">
        <f t="shared" si="18"/>
        <v>0</v>
      </c>
      <c r="K68" s="30"/>
      <c r="L68" s="30"/>
      <c r="M68" s="30"/>
      <c r="N68" s="30"/>
      <c r="O68" s="30"/>
      <c r="P68" s="30">
        <f t="shared" si="13"/>
        <v>410600</v>
      </c>
      <c r="Q68" s="140"/>
    </row>
    <row r="69" spans="1:18" s="26" customFormat="1" ht="27" customHeight="1" x14ac:dyDescent="0.45">
      <c r="A69" s="22" t="s">
        <v>235</v>
      </c>
      <c r="B69" s="23" t="str">
        <f>'дод 7'!A315</f>
        <v>8230</v>
      </c>
      <c r="C69" s="23" t="str">
        <f>'дод 7'!B315</f>
        <v>0380</v>
      </c>
      <c r="D69" s="24" t="str">
        <f>'дод 7'!C315</f>
        <v>Інші заходи громадського порядку та безпеки</v>
      </c>
      <c r="E69" s="25">
        <f t="shared" si="12"/>
        <v>1158892</v>
      </c>
      <c r="F69" s="25">
        <f>743000+25892+150000+40000+200000</f>
        <v>1158892</v>
      </c>
      <c r="G69" s="25"/>
      <c r="H69" s="25">
        <f>546600+40000</f>
        <v>586600</v>
      </c>
      <c r="I69" s="25"/>
      <c r="J69" s="25">
        <f t="shared" si="18"/>
        <v>0</v>
      </c>
      <c r="K69" s="25"/>
      <c r="L69" s="25"/>
      <c r="M69" s="25"/>
      <c r="N69" s="25"/>
      <c r="O69" s="25"/>
      <c r="P69" s="25">
        <f t="shared" si="13"/>
        <v>1158892</v>
      </c>
      <c r="Q69" s="140"/>
    </row>
    <row r="70" spans="1:18" s="132" customFormat="1" ht="20.25" customHeight="1" x14ac:dyDescent="0.45">
      <c r="A70" s="22" t="s">
        <v>565</v>
      </c>
      <c r="B70" s="23">
        <f>'дод 7'!A316</f>
        <v>8240</v>
      </c>
      <c r="C70" s="23" t="str">
        <f>'дод 7'!B316</f>
        <v>0380</v>
      </c>
      <c r="D70" s="24" t="s">
        <v>566</v>
      </c>
      <c r="E70" s="25">
        <f t="shared" ref="E70" si="28">F70+I70</f>
        <v>14637735.879999999</v>
      </c>
      <c r="F70" s="25">
        <f>22706200-39999-97332+27533.88-7958667</f>
        <v>14637735.879999999</v>
      </c>
      <c r="G70" s="25"/>
      <c r="H70" s="25">
        <f>5530100-925297.42</f>
        <v>4604802.58</v>
      </c>
      <c r="I70" s="25"/>
      <c r="J70" s="25">
        <f t="shared" ref="J70:J71" si="29">L70+O70</f>
        <v>845998</v>
      </c>
      <c r="K70" s="25">
        <f>750000+39999+97332-41333</f>
        <v>845998</v>
      </c>
      <c r="L70" s="25"/>
      <c r="M70" s="25"/>
      <c r="N70" s="25"/>
      <c r="O70" s="25">
        <f>750000+39999+97332-41333</f>
        <v>845998</v>
      </c>
      <c r="P70" s="25">
        <f t="shared" ref="P70:P71" si="30">E70+J70</f>
        <v>15483733.879999999</v>
      </c>
      <c r="Q70" s="140"/>
      <c r="R70" s="26"/>
    </row>
    <row r="71" spans="1:18" s="115" customFormat="1" ht="21.4" hidden="1" customHeight="1" x14ac:dyDescent="0.45">
      <c r="A71" s="27"/>
      <c r="B71" s="28"/>
      <c r="C71" s="28"/>
      <c r="D71" s="43" t="s">
        <v>379</v>
      </c>
      <c r="E71" s="30"/>
      <c r="F71" s="30"/>
      <c r="G71" s="30"/>
      <c r="H71" s="30"/>
      <c r="I71" s="30"/>
      <c r="J71" s="30">
        <f t="shared" si="29"/>
        <v>0</v>
      </c>
      <c r="K71" s="30"/>
      <c r="L71" s="30"/>
      <c r="M71" s="30"/>
      <c r="N71" s="30"/>
      <c r="O71" s="30"/>
      <c r="P71" s="30">
        <f t="shared" si="30"/>
        <v>0</v>
      </c>
      <c r="Q71" s="114"/>
      <c r="R71" s="31"/>
    </row>
    <row r="72" spans="1:18" s="26" customFormat="1" ht="15.4" x14ac:dyDescent="0.45">
      <c r="A72" s="22" t="s">
        <v>156</v>
      </c>
      <c r="B72" s="23" t="str">
        <f>'дод 7'!A321</f>
        <v>8340</v>
      </c>
      <c r="C72" s="23" t="str">
        <f>'дод 7'!B321</f>
        <v>0540</v>
      </c>
      <c r="D72" s="24" t="str">
        <f>'дод 7'!C321</f>
        <v>Природоохоронні заходи за рахунок цільових фондів</v>
      </c>
      <c r="E72" s="25">
        <f t="shared" si="12"/>
        <v>0</v>
      </c>
      <c r="F72" s="25"/>
      <c r="G72" s="25"/>
      <c r="H72" s="25"/>
      <c r="I72" s="25"/>
      <c r="J72" s="25">
        <f t="shared" si="18"/>
        <v>70000</v>
      </c>
      <c r="K72" s="25"/>
      <c r="L72" s="25">
        <v>70000</v>
      </c>
      <c r="M72" s="25"/>
      <c r="N72" s="25"/>
      <c r="O72" s="25"/>
      <c r="P72" s="25">
        <f t="shared" si="13"/>
        <v>70000</v>
      </c>
      <c r="Q72" s="140">
        <v>3</v>
      </c>
    </row>
    <row r="73" spans="1:18" s="26" customFormat="1" ht="15.75" hidden="1" customHeight="1" x14ac:dyDescent="0.45">
      <c r="A73" s="22" t="s">
        <v>245</v>
      </c>
      <c r="B73" s="23" t="str">
        <f>'дод 7'!A323</f>
        <v>8420</v>
      </c>
      <c r="C73" s="23" t="str">
        <f>'дод 7'!B323</f>
        <v>0830</v>
      </c>
      <c r="D73" s="24" t="str">
        <f>'дод 7'!C323</f>
        <v>Інші заходи у сфері засобів масової інформації</v>
      </c>
      <c r="E73" s="25">
        <f t="shared" si="12"/>
        <v>0</v>
      </c>
      <c r="F73" s="25"/>
      <c r="G73" s="25"/>
      <c r="H73" s="25"/>
      <c r="I73" s="25"/>
      <c r="J73" s="25">
        <f t="shared" si="18"/>
        <v>0</v>
      </c>
      <c r="K73" s="25"/>
      <c r="L73" s="25"/>
      <c r="M73" s="25"/>
      <c r="N73" s="25"/>
      <c r="O73" s="25"/>
      <c r="P73" s="25">
        <f t="shared" si="13"/>
        <v>0</v>
      </c>
      <c r="Q73" s="140"/>
    </row>
    <row r="74" spans="1:18" s="26" customFormat="1" ht="18.75" customHeight="1" x14ac:dyDescent="0.45">
      <c r="A74" s="22" t="s">
        <v>528</v>
      </c>
      <c r="B74" s="23">
        <v>9770</v>
      </c>
      <c r="C74" s="22" t="s">
        <v>43</v>
      </c>
      <c r="D74" s="24" t="s">
        <v>342</v>
      </c>
      <c r="E74" s="25">
        <f t="shared" si="12"/>
        <v>1400000</v>
      </c>
      <c r="F74" s="25">
        <f>800000+300000+300000</f>
        <v>1400000</v>
      </c>
      <c r="G74" s="25"/>
      <c r="H74" s="25"/>
      <c r="I74" s="25"/>
      <c r="J74" s="25">
        <f t="shared" si="18"/>
        <v>4179664</v>
      </c>
      <c r="K74" s="25">
        <f>2900000+355664+924000</f>
        <v>4179664</v>
      </c>
      <c r="L74" s="25"/>
      <c r="M74" s="25"/>
      <c r="N74" s="25"/>
      <c r="O74" s="25">
        <f>2900000+355664+924000</f>
        <v>4179664</v>
      </c>
      <c r="P74" s="25">
        <f t="shared" si="13"/>
        <v>5579664</v>
      </c>
      <c r="Q74" s="140"/>
    </row>
    <row r="75" spans="1:18" s="108" customFormat="1" ht="47.25" customHeight="1" x14ac:dyDescent="0.45">
      <c r="A75" s="22" t="s">
        <v>367</v>
      </c>
      <c r="B75" s="23">
        <v>9800</v>
      </c>
      <c r="C75" s="22" t="s">
        <v>43</v>
      </c>
      <c r="D75" s="24" t="s">
        <v>353</v>
      </c>
      <c r="E75" s="25">
        <f>F75+I75</f>
        <v>18078015.98</v>
      </c>
      <c r="F75" s="25">
        <f>540000+340000+2270000+150000+2500000+626900+70000+300000+100000+20000+300000+450000+350000+50000+250000+200000-300000+1414599-116600+300000+250000+13116.98+8000000</f>
        <v>18078015.98</v>
      </c>
      <c r="G75" s="25"/>
      <c r="H75" s="25"/>
      <c r="I75" s="25"/>
      <c r="J75" s="25">
        <f t="shared" si="18"/>
        <v>43433661.600000001</v>
      </c>
      <c r="K75" s="25">
        <f>19170000+600000+300000+1500000+950000+3420500+2000000+5000000+222000+1027350+2000000+140000+2000000+420000+930000+1300000+200000-300000+1550000+195000+350000+475000-16188.4+8000000-8000000</f>
        <v>43433661.600000001</v>
      </c>
      <c r="L75" s="25"/>
      <c r="M75" s="25"/>
      <c r="N75" s="25"/>
      <c r="O75" s="25">
        <f>19170000+600000+300000+1500000+950000+3420500+2000000+5000000+222000+1027350+2000000+140000+2000000+420000+930000+1300000+200000-300000+1550000+195000+350000+475000-16188.4+8000000-8000000</f>
        <v>43433661.600000001</v>
      </c>
      <c r="P75" s="25">
        <f t="shared" si="13"/>
        <v>61511677.579999998</v>
      </c>
      <c r="Q75" s="140"/>
      <c r="R75" s="26"/>
    </row>
    <row r="76" spans="1:18" s="16" customFormat="1" ht="29.25" customHeight="1" x14ac:dyDescent="0.4">
      <c r="A76" s="37" t="s">
        <v>157</v>
      </c>
      <c r="B76" s="38"/>
      <c r="C76" s="38"/>
      <c r="D76" s="39" t="s">
        <v>24</v>
      </c>
      <c r="E76" s="15">
        <f>E77</f>
        <v>1502178233.1700001</v>
      </c>
      <c r="F76" s="15">
        <f t="shared" ref="F76:I76" si="31">F77</f>
        <v>1502178233.1700001</v>
      </c>
      <c r="G76" s="15">
        <f t="shared" si="31"/>
        <v>1007935361</v>
      </c>
      <c r="H76" s="15">
        <f t="shared" si="31"/>
        <v>145311765</v>
      </c>
      <c r="I76" s="15">
        <f t="shared" si="31"/>
        <v>0</v>
      </c>
      <c r="J76" s="15">
        <f>J77</f>
        <v>548079964.65999997</v>
      </c>
      <c r="K76" s="15">
        <f t="shared" ref="K76" si="32">K77</f>
        <v>369953661</v>
      </c>
      <c r="L76" s="15">
        <f t="shared" ref="L76" si="33">L77</f>
        <v>112797223</v>
      </c>
      <c r="M76" s="15">
        <f t="shared" ref="M76" si="34">M77</f>
        <v>6739662</v>
      </c>
      <c r="N76" s="15">
        <f t="shared" ref="N76" si="35">N77</f>
        <v>5594400</v>
      </c>
      <c r="O76" s="15">
        <f t="shared" ref="O76:P76" si="36">O77</f>
        <v>435282741.65999997</v>
      </c>
      <c r="P76" s="15">
        <f t="shared" si="36"/>
        <v>2050258197.8300002</v>
      </c>
      <c r="Q76" s="140"/>
      <c r="R76" s="140"/>
    </row>
    <row r="77" spans="1:18" s="21" customFormat="1" ht="33" customHeight="1" x14ac:dyDescent="0.4">
      <c r="A77" s="17" t="s">
        <v>158</v>
      </c>
      <c r="B77" s="40"/>
      <c r="C77" s="40"/>
      <c r="D77" s="19" t="s">
        <v>601</v>
      </c>
      <c r="E77" s="20">
        <f>E92+E93+E94+E97+E99+E100+E103+E105+E107+E110+E112+E119+E120+E121+E122+E124+E125+E126+E128+E130+E132+E134+E136+E153+E154+E156+E158+E163+E164+E169+E170+E172+E173+E113+E115+E162+E165+E168+E166+E143+E144+E150+E160+E148+E146+E138+E137+E140+E117+E141+E151</f>
        <v>1502178233.1700001</v>
      </c>
      <c r="F77" s="20">
        <f t="shared" ref="F77:P77" si="37">F92+F93+F94+F97+F99+F100+F103+F105+F107+F110+F112+F119+F120+F121+F122+F124+F125+F126+F128+F130+F132+F134+F136+F153+F154+F156+F158+F163+F164+F169+F170+F172+F173+F113+F115+F162+F165+F168+F166+F143+F144+F150+F160+F148+F146+F138+F137+F140+F117+F141+F151</f>
        <v>1502178233.1700001</v>
      </c>
      <c r="G77" s="20">
        <f t="shared" si="37"/>
        <v>1007935361</v>
      </c>
      <c r="H77" s="20">
        <f t="shared" si="37"/>
        <v>145311765</v>
      </c>
      <c r="I77" s="20">
        <f t="shared" si="37"/>
        <v>0</v>
      </c>
      <c r="J77" s="20">
        <f t="shared" si="37"/>
        <v>548079964.65999997</v>
      </c>
      <c r="K77" s="20">
        <f t="shared" si="37"/>
        <v>369953661</v>
      </c>
      <c r="L77" s="20">
        <f t="shared" si="37"/>
        <v>112797223</v>
      </c>
      <c r="M77" s="20">
        <f t="shared" si="37"/>
        <v>6739662</v>
      </c>
      <c r="N77" s="20">
        <f t="shared" si="37"/>
        <v>5594400</v>
      </c>
      <c r="O77" s="20">
        <f t="shared" si="37"/>
        <v>435282741.65999997</v>
      </c>
      <c r="P77" s="20">
        <f t="shared" si="37"/>
        <v>2050258197.8300002</v>
      </c>
      <c r="Q77" s="140"/>
      <c r="R77" s="140"/>
    </row>
    <row r="78" spans="1:18" s="21" customFormat="1" ht="31.5" customHeight="1" x14ac:dyDescent="0.4">
      <c r="A78" s="17"/>
      <c r="B78" s="40"/>
      <c r="C78" s="40"/>
      <c r="D78" s="19" t="s">
        <v>375</v>
      </c>
      <c r="E78" s="20">
        <f>E101+E104+E106+E116</f>
        <v>551078300</v>
      </c>
      <c r="F78" s="20">
        <f t="shared" ref="F78:P78" si="38">F101+F104+F106+F116</f>
        <v>551078300</v>
      </c>
      <c r="G78" s="20">
        <f t="shared" si="38"/>
        <v>452384600</v>
      </c>
      <c r="H78" s="20">
        <f t="shared" si="38"/>
        <v>0</v>
      </c>
      <c r="I78" s="20">
        <f t="shared" si="38"/>
        <v>0</v>
      </c>
      <c r="J78" s="20">
        <f t="shared" si="38"/>
        <v>0</v>
      </c>
      <c r="K78" s="20">
        <f t="shared" si="38"/>
        <v>0</v>
      </c>
      <c r="L78" s="20">
        <f t="shared" si="38"/>
        <v>0</v>
      </c>
      <c r="M78" s="20">
        <f t="shared" si="38"/>
        <v>0</v>
      </c>
      <c r="N78" s="20">
        <f t="shared" si="38"/>
        <v>0</v>
      </c>
      <c r="O78" s="20">
        <f t="shared" si="38"/>
        <v>0</v>
      </c>
      <c r="P78" s="20">
        <f t="shared" si="38"/>
        <v>551078300</v>
      </c>
      <c r="Q78" s="140"/>
      <c r="R78" s="140"/>
    </row>
    <row r="79" spans="1:18" s="21" customFormat="1" ht="31.5" customHeight="1" x14ac:dyDescent="0.4">
      <c r="A79" s="17"/>
      <c r="B79" s="40"/>
      <c r="C79" s="40"/>
      <c r="D79" s="19" t="s">
        <v>575</v>
      </c>
      <c r="E79" s="20">
        <f>E109</f>
        <v>351767.89</v>
      </c>
      <c r="F79" s="20">
        <f t="shared" ref="F79:P79" si="39">F109</f>
        <v>351767.89</v>
      </c>
      <c r="G79" s="20">
        <f t="shared" si="39"/>
        <v>290000</v>
      </c>
      <c r="H79" s="20">
        <f t="shared" si="39"/>
        <v>0</v>
      </c>
      <c r="I79" s="20">
        <f t="shared" si="39"/>
        <v>0</v>
      </c>
      <c r="J79" s="20">
        <f t="shared" si="39"/>
        <v>0</v>
      </c>
      <c r="K79" s="20">
        <f t="shared" si="39"/>
        <v>0</v>
      </c>
      <c r="L79" s="20">
        <f t="shared" si="39"/>
        <v>0</v>
      </c>
      <c r="M79" s="20">
        <f t="shared" si="39"/>
        <v>0</v>
      </c>
      <c r="N79" s="20">
        <f t="shared" si="39"/>
        <v>0</v>
      </c>
      <c r="O79" s="20">
        <f t="shared" si="39"/>
        <v>0</v>
      </c>
      <c r="P79" s="20">
        <f t="shared" si="39"/>
        <v>351767.89</v>
      </c>
      <c r="Q79" s="140"/>
      <c r="R79" s="140"/>
    </row>
    <row r="80" spans="1:18" s="21" customFormat="1" ht="45" x14ac:dyDescent="0.4">
      <c r="A80" s="17"/>
      <c r="B80" s="40"/>
      <c r="C80" s="40"/>
      <c r="D80" s="19" t="str">
        <f>D139</f>
        <v>субвенції з державного бюджету місцевим бюджетам на створення навчально-практичних центрів сучасної професійної (професійно-технічної) освіти</v>
      </c>
      <c r="E80" s="20">
        <f t="shared" ref="E80:P80" si="40">E139</f>
        <v>2847046</v>
      </c>
      <c r="F80" s="20">
        <f t="shared" si="40"/>
        <v>2847046</v>
      </c>
      <c r="G80" s="20">
        <f t="shared" si="40"/>
        <v>0</v>
      </c>
      <c r="H80" s="20">
        <f t="shared" si="40"/>
        <v>0</v>
      </c>
      <c r="I80" s="20">
        <f t="shared" si="40"/>
        <v>0</v>
      </c>
      <c r="J80" s="20">
        <f t="shared" si="40"/>
        <v>5552954</v>
      </c>
      <c r="K80" s="20">
        <f t="shared" si="40"/>
        <v>5552954</v>
      </c>
      <c r="L80" s="20">
        <f t="shared" si="40"/>
        <v>0</v>
      </c>
      <c r="M80" s="20">
        <f t="shared" si="40"/>
        <v>0</v>
      </c>
      <c r="N80" s="20">
        <f t="shared" si="40"/>
        <v>0</v>
      </c>
      <c r="O80" s="20">
        <f t="shared" si="40"/>
        <v>5552954</v>
      </c>
      <c r="P80" s="20">
        <f t="shared" si="40"/>
        <v>8400000</v>
      </c>
      <c r="Q80" s="140"/>
      <c r="R80" s="140"/>
    </row>
    <row r="81" spans="1:18" s="21" customFormat="1" ht="67.5" customHeight="1" x14ac:dyDescent="0.4">
      <c r="A81" s="17"/>
      <c r="B81" s="40"/>
      <c r="C81" s="40"/>
      <c r="D81" s="19" t="str">
        <f>D142</f>
        <v>субвенції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v>
      </c>
      <c r="E81" s="20">
        <f>E142</f>
        <v>0</v>
      </c>
      <c r="F81" s="20">
        <f t="shared" ref="F81:P81" si="41">F142</f>
        <v>0</v>
      </c>
      <c r="G81" s="20">
        <f t="shared" si="41"/>
        <v>0</v>
      </c>
      <c r="H81" s="20">
        <f t="shared" si="41"/>
        <v>0</v>
      </c>
      <c r="I81" s="20">
        <f t="shared" si="41"/>
        <v>0</v>
      </c>
      <c r="J81" s="20">
        <f t="shared" si="41"/>
        <v>82600800</v>
      </c>
      <c r="K81" s="20">
        <f t="shared" si="41"/>
        <v>82600800</v>
      </c>
      <c r="L81" s="20">
        <f t="shared" si="41"/>
        <v>0</v>
      </c>
      <c r="M81" s="20">
        <f t="shared" si="41"/>
        <v>0</v>
      </c>
      <c r="N81" s="20">
        <f t="shared" si="41"/>
        <v>0</v>
      </c>
      <c r="O81" s="20">
        <f t="shared" si="41"/>
        <v>82600800</v>
      </c>
      <c r="P81" s="20">
        <f t="shared" si="41"/>
        <v>82600800</v>
      </c>
      <c r="Q81" s="140"/>
      <c r="R81" s="140"/>
    </row>
    <row r="82" spans="1:18" s="21" customFormat="1" ht="67.5" customHeight="1" x14ac:dyDescent="0.4">
      <c r="A82" s="17"/>
      <c r="B82" s="40"/>
      <c r="C82" s="40"/>
      <c r="D82" s="19" t="str">
        <f>D152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E82" s="20">
        <f>E152</f>
        <v>12935800</v>
      </c>
      <c r="F82" s="20">
        <f t="shared" ref="F82:P82" si="42">F152</f>
        <v>12935800</v>
      </c>
      <c r="G82" s="20">
        <f t="shared" si="42"/>
        <v>0</v>
      </c>
      <c r="H82" s="20">
        <f t="shared" si="42"/>
        <v>0</v>
      </c>
      <c r="I82" s="20">
        <f t="shared" si="42"/>
        <v>0</v>
      </c>
      <c r="J82" s="20">
        <f t="shared" si="42"/>
        <v>0</v>
      </c>
      <c r="K82" s="20">
        <f t="shared" si="42"/>
        <v>0</v>
      </c>
      <c r="L82" s="20">
        <f t="shared" si="42"/>
        <v>0</v>
      </c>
      <c r="M82" s="20">
        <f t="shared" si="42"/>
        <v>0</v>
      </c>
      <c r="N82" s="20">
        <f t="shared" si="42"/>
        <v>0</v>
      </c>
      <c r="O82" s="20">
        <f t="shared" si="42"/>
        <v>0</v>
      </c>
      <c r="P82" s="20">
        <f t="shared" si="42"/>
        <v>12935800</v>
      </c>
      <c r="Q82" s="140"/>
      <c r="R82" s="140"/>
    </row>
    <row r="83" spans="1:18" s="21" customFormat="1" ht="99.75" customHeight="1" x14ac:dyDescent="0.4">
      <c r="A83" s="17"/>
      <c r="B83" s="40"/>
      <c r="C83" s="40"/>
      <c r="D83" s="19" t="str">
        <f>D114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83" s="20">
        <f>E114+E147+E96+E98</f>
        <v>1686473</v>
      </c>
      <c r="F83" s="20">
        <f t="shared" ref="F83:P83" si="43">F114+F147+F96+F98</f>
        <v>1686473</v>
      </c>
      <c r="G83" s="20">
        <f t="shared" si="43"/>
        <v>0</v>
      </c>
      <c r="H83" s="20">
        <f t="shared" si="43"/>
        <v>0</v>
      </c>
      <c r="I83" s="20">
        <f t="shared" si="43"/>
        <v>0</v>
      </c>
      <c r="J83" s="20">
        <f t="shared" si="43"/>
        <v>39145989</v>
      </c>
      <c r="K83" s="20">
        <f t="shared" si="43"/>
        <v>39145989</v>
      </c>
      <c r="L83" s="20">
        <f t="shared" si="43"/>
        <v>0</v>
      </c>
      <c r="M83" s="20">
        <f t="shared" si="43"/>
        <v>0</v>
      </c>
      <c r="N83" s="20">
        <f t="shared" si="43"/>
        <v>0</v>
      </c>
      <c r="O83" s="20">
        <f t="shared" si="43"/>
        <v>39145989</v>
      </c>
      <c r="P83" s="20">
        <f t="shared" si="43"/>
        <v>40832462</v>
      </c>
      <c r="Q83" s="140"/>
      <c r="R83" s="140"/>
    </row>
    <row r="84" spans="1:18" s="21" customFormat="1" ht="47.25" customHeight="1" x14ac:dyDescent="0.4">
      <c r="A84" s="17"/>
      <c r="B84" s="40"/>
      <c r="C84" s="40"/>
      <c r="D84" s="19" t="s">
        <v>370</v>
      </c>
      <c r="E84" s="20">
        <f>E102+E123</f>
        <v>4320175</v>
      </c>
      <c r="F84" s="20">
        <f t="shared" ref="F84:P84" si="44">F102+F123</f>
        <v>4320175</v>
      </c>
      <c r="G84" s="20">
        <f t="shared" si="44"/>
        <v>1714570</v>
      </c>
      <c r="H84" s="20">
        <f t="shared" si="44"/>
        <v>0</v>
      </c>
      <c r="I84" s="20">
        <f t="shared" si="44"/>
        <v>0</v>
      </c>
      <c r="J84" s="20">
        <f t="shared" si="44"/>
        <v>0</v>
      </c>
      <c r="K84" s="20">
        <f t="shared" si="44"/>
        <v>0</v>
      </c>
      <c r="L84" s="20">
        <f t="shared" si="44"/>
        <v>0</v>
      </c>
      <c r="M84" s="20">
        <f t="shared" si="44"/>
        <v>0</v>
      </c>
      <c r="N84" s="20">
        <f t="shared" si="44"/>
        <v>0</v>
      </c>
      <c r="O84" s="20">
        <f t="shared" si="44"/>
        <v>0</v>
      </c>
      <c r="P84" s="20">
        <f t="shared" si="44"/>
        <v>4320175</v>
      </c>
      <c r="Q84" s="140"/>
      <c r="R84" s="140"/>
    </row>
    <row r="85" spans="1:18" s="21" customFormat="1" ht="45" customHeight="1" x14ac:dyDescent="0.4">
      <c r="A85" s="17"/>
      <c r="B85" s="40"/>
      <c r="C85" s="40"/>
      <c r="D85" s="19" t="s">
        <v>372</v>
      </c>
      <c r="E85" s="20">
        <f>E108+E149+E118</f>
        <v>0</v>
      </c>
      <c r="F85" s="20">
        <f t="shared" ref="F85:P85" si="45">F108+F149+F118</f>
        <v>0</v>
      </c>
      <c r="G85" s="20">
        <f t="shared" si="45"/>
        <v>0</v>
      </c>
      <c r="H85" s="20">
        <f t="shared" si="45"/>
        <v>0</v>
      </c>
      <c r="I85" s="20">
        <f t="shared" si="45"/>
        <v>0</v>
      </c>
      <c r="J85" s="20">
        <f t="shared" si="45"/>
        <v>25887830</v>
      </c>
      <c r="K85" s="20">
        <f>K108+K149+K118</f>
        <v>7819500</v>
      </c>
      <c r="L85" s="20">
        <f t="shared" si="45"/>
        <v>4558902</v>
      </c>
      <c r="M85" s="20">
        <f t="shared" si="45"/>
        <v>0</v>
      </c>
      <c r="N85" s="20">
        <f t="shared" si="45"/>
        <v>0</v>
      </c>
      <c r="O85" s="20">
        <f t="shared" si="45"/>
        <v>21328928</v>
      </c>
      <c r="P85" s="20">
        <f t="shared" si="45"/>
        <v>25887830</v>
      </c>
      <c r="Q85" s="140"/>
      <c r="R85" s="140"/>
    </row>
    <row r="86" spans="1:18" s="21" customFormat="1" ht="63" customHeight="1" x14ac:dyDescent="0.4">
      <c r="A86" s="17"/>
      <c r="B86" s="40"/>
      <c r="C86" s="40"/>
      <c r="D86" s="19" t="s">
        <v>675</v>
      </c>
      <c r="E86" s="20">
        <f>E133</f>
        <v>2233488.84</v>
      </c>
      <c r="F86" s="20">
        <f t="shared" ref="F86:P86" si="46">F133</f>
        <v>2233488.84</v>
      </c>
      <c r="G86" s="20">
        <f t="shared" si="46"/>
        <v>1830728</v>
      </c>
      <c r="H86" s="20">
        <f t="shared" si="46"/>
        <v>0</v>
      </c>
      <c r="I86" s="20">
        <f t="shared" si="46"/>
        <v>0</v>
      </c>
      <c r="J86" s="20">
        <f t="shared" si="46"/>
        <v>0</v>
      </c>
      <c r="K86" s="20">
        <f t="shared" si="46"/>
        <v>0</v>
      </c>
      <c r="L86" s="20">
        <f t="shared" si="46"/>
        <v>0</v>
      </c>
      <c r="M86" s="20">
        <f t="shared" si="46"/>
        <v>0</v>
      </c>
      <c r="N86" s="20">
        <f t="shared" si="46"/>
        <v>0</v>
      </c>
      <c r="O86" s="20">
        <f t="shared" si="46"/>
        <v>0</v>
      </c>
      <c r="P86" s="20">
        <f t="shared" si="46"/>
        <v>2233488.84</v>
      </c>
      <c r="Q86" s="140"/>
      <c r="R86" s="140"/>
    </row>
    <row r="87" spans="1:18" s="21" customFormat="1" ht="70.900000000000006" customHeight="1" x14ac:dyDescent="0.4">
      <c r="A87" s="17"/>
      <c r="B87" s="41"/>
      <c r="C87" s="40"/>
      <c r="D87" s="19" t="s">
        <v>676</v>
      </c>
      <c r="E87" s="20">
        <f>E135</f>
        <v>872618.44</v>
      </c>
      <c r="F87" s="20">
        <f t="shared" ref="F87:P87" si="47">F135</f>
        <v>872618.44</v>
      </c>
      <c r="G87" s="20">
        <f t="shared" si="47"/>
        <v>715261</v>
      </c>
      <c r="H87" s="20">
        <f t="shared" si="47"/>
        <v>0</v>
      </c>
      <c r="I87" s="20">
        <f t="shared" si="47"/>
        <v>0</v>
      </c>
      <c r="J87" s="20">
        <f t="shared" si="47"/>
        <v>0</v>
      </c>
      <c r="K87" s="20">
        <f t="shared" si="47"/>
        <v>0</v>
      </c>
      <c r="L87" s="20">
        <f t="shared" si="47"/>
        <v>0</v>
      </c>
      <c r="M87" s="20">
        <f t="shared" si="47"/>
        <v>0</v>
      </c>
      <c r="N87" s="20">
        <f t="shared" si="47"/>
        <v>0</v>
      </c>
      <c r="O87" s="20">
        <f t="shared" si="47"/>
        <v>0</v>
      </c>
      <c r="P87" s="20">
        <f t="shared" si="47"/>
        <v>872618.44</v>
      </c>
      <c r="Q87" s="140"/>
      <c r="R87" s="140"/>
    </row>
    <row r="88" spans="1:18" s="21" customFormat="1" ht="78.75" customHeight="1" x14ac:dyDescent="0.4">
      <c r="A88" s="17"/>
      <c r="B88" s="40"/>
      <c r="C88" s="40"/>
      <c r="D88" s="19" t="str">
        <f>D131</f>
        <v>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v>
      </c>
      <c r="E88" s="20">
        <f>E131</f>
        <v>577400</v>
      </c>
      <c r="F88" s="20">
        <f t="shared" ref="F88:P88" si="48">F131</f>
        <v>577400</v>
      </c>
      <c r="G88" s="20">
        <f t="shared" si="48"/>
        <v>0</v>
      </c>
      <c r="H88" s="20">
        <f t="shared" si="48"/>
        <v>0</v>
      </c>
      <c r="I88" s="20">
        <f t="shared" si="48"/>
        <v>0</v>
      </c>
      <c r="J88" s="20">
        <f t="shared" si="48"/>
        <v>10157256</v>
      </c>
      <c r="K88" s="20">
        <f t="shared" si="48"/>
        <v>10157256</v>
      </c>
      <c r="L88" s="20">
        <f t="shared" si="48"/>
        <v>0</v>
      </c>
      <c r="M88" s="20">
        <f t="shared" si="48"/>
        <v>0</v>
      </c>
      <c r="N88" s="20">
        <f t="shared" si="48"/>
        <v>0</v>
      </c>
      <c r="O88" s="20">
        <f t="shared" si="48"/>
        <v>10157256</v>
      </c>
      <c r="P88" s="20">
        <f t="shared" si="48"/>
        <v>10734656</v>
      </c>
      <c r="Q88" s="140"/>
      <c r="R88" s="140"/>
    </row>
    <row r="89" spans="1:18" s="21" customFormat="1" ht="26.25" hidden="1" customHeight="1" x14ac:dyDescent="0.4">
      <c r="A89" s="17"/>
      <c r="B89" s="40"/>
      <c r="C89" s="37"/>
      <c r="D89" s="19" t="s">
        <v>524</v>
      </c>
      <c r="E89" s="20">
        <f>E127</f>
        <v>0</v>
      </c>
      <c r="F89" s="20">
        <f t="shared" ref="F89:P89" si="49">F127</f>
        <v>0</v>
      </c>
      <c r="G89" s="20">
        <f t="shared" si="49"/>
        <v>0</v>
      </c>
      <c r="H89" s="20">
        <f t="shared" si="49"/>
        <v>0</v>
      </c>
      <c r="I89" s="20">
        <f t="shared" si="49"/>
        <v>0</v>
      </c>
      <c r="J89" s="20">
        <f t="shared" si="49"/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140"/>
      <c r="R89" s="140"/>
    </row>
    <row r="90" spans="1:18" s="21" customFormat="1" ht="20.25" customHeight="1" x14ac:dyDescent="0.4">
      <c r="A90" s="17"/>
      <c r="B90" s="40"/>
      <c r="C90" s="40"/>
      <c r="D90" s="19" t="s">
        <v>380</v>
      </c>
      <c r="E90" s="20">
        <f>E95+E159</f>
        <v>0</v>
      </c>
      <c r="F90" s="20">
        <f t="shared" ref="F90:P90" si="50">F95+F159</f>
        <v>0</v>
      </c>
      <c r="G90" s="20">
        <f t="shared" si="50"/>
        <v>0</v>
      </c>
      <c r="H90" s="20">
        <f t="shared" si="50"/>
        <v>0</v>
      </c>
      <c r="I90" s="20">
        <f t="shared" si="50"/>
        <v>0</v>
      </c>
      <c r="J90" s="20">
        <f t="shared" si="50"/>
        <v>6564196</v>
      </c>
      <c r="K90" s="20">
        <f t="shared" si="50"/>
        <v>0</v>
      </c>
      <c r="L90" s="20">
        <f t="shared" si="50"/>
        <v>6564196</v>
      </c>
      <c r="M90" s="20">
        <f t="shared" si="50"/>
        <v>0</v>
      </c>
      <c r="N90" s="20">
        <f t="shared" si="50"/>
        <v>0</v>
      </c>
      <c r="O90" s="20">
        <f t="shared" si="50"/>
        <v>0</v>
      </c>
      <c r="P90" s="20">
        <f t="shared" si="50"/>
        <v>6564196</v>
      </c>
      <c r="Q90" s="140"/>
      <c r="R90" s="140"/>
    </row>
    <row r="91" spans="1:18" s="21" customFormat="1" ht="110.65" customHeight="1" x14ac:dyDescent="0.4">
      <c r="A91" s="17"/>
      <c r="B91" s="40"/>
      <c r="C91" s="40"/>
      <c r="D91" s="19" t="s">
        <v>665</v>
      </c>
      <c r="E91" s="20">
        <f>E161</f>
        <v>0</v>
      </c>
      <c r="F91" s="20">
        <f t="shared" ref="F91:P91" si="51">F161</f>
        <v>0</v>
      </c>
      <c r="G91" s="20">
        <f t="shared" si="51"/>
        <v>0</v>
      </c>
      <c r="H91" s="20">
        <f t="shared" si="51"/>
        <v>0</v>
      </c>
      <c r="I91" s="20">
        <f t="shared" si="51"/>
        <v>0</v>
      </c>
      <c r="J91" s="20">
        <f t="shared" si="51"/>
        <v>51527652.659999996</v>
      </c>
      <c r="K91" s="20">
        <f t="shared" si="51"/>
        <v>0</v>
      </c>
      <c r="L91" s="20">
        <f t="shared" si="51"/>
        <v>0</v>
      </c>
      <c r="M91" s="20">
        <f t="shared" si="51"/>
        <v>0</v>
      </c>
      <c r="N91" s="20">
        <f t="shared" si="51"/>
        <v>0</v>
      </c>
      <c r="O91" s="20">
        <f t="shared" si="51"/>
        <v>51527652.659999996</v>
      </c>
      <c r="P91" s="20">
        <f t="shared" si="51"/>
        <v>51527652.659999996</v>
      </c>
      <c r="Q91" s="140"/>
      <c r="R91" s="140"/>
    </row>
    <row r="92" spans="1:18" s="26" customFormat="1" ht="45.75" customHeight="1" x14ac:dyDescent="0.45">
      <c r="A92" s="22" t="s">
        <v>159</v>
      </c>
      <c r="B92" s="23" t="str">
        <f>'дод 7'!A16</f>
        <v>0160</v>
      </c>
      <c r="C92" s="23" t="str">
        <f>'дод 7'!B16</f>
        <v>0111</v>
      </c>
      <c r="D92" s="24" t="s">
        <v>714</v>
      </c>
      <c r="E92" s="25">
        <f t="shared" ref="E92:E169" si="52">F92+I92</f>
        <v>5152200</v>
      </c>
      <c r="F92" s="25">
        <f>4452800+324900+374500</f>
        <v>5152200</v>
      </c>
      <c r="G92" s="25">
        <f>3309400+266300+307200</f>
        <v>3882900</v>
      </c>
      <c r="H92" s="25">
        <v>111200</v>
      </c>
      <c r="I92" s="25"/>
      <c r="J92" s="25">
        <f>L92+O92</f>
        <v>0</v>
      </c>
      <c r="K92" s="25">
        <v>0</v>
      </c>
      <c r="L92" s="25"/>
      <c r="M92" s="25"/>
      <c r="N92" s="25"/>
      <c r="O92" s="25">
        <v>0</v>
      </c>
      <c r="P92" s="25">
        <f t="shared" ref="P92:P173" si="53">E92+J92</f>
        <v>5152200</v>
      </c>
      <c r="Q92" s="140"/>
      <c r="R92" s="140"/>
    </row>
    <row r="93" spans="1:18" s="132" customFormat="1" ht="21.75" customHeight="1" x14ac:dyDescent="0.45">
      <c r="A93" s="22" t="s">
        <v>160</v>
      </c>
      <c r="B93" s="23" t="str">
        <f>'дод 7'!A39</f>
        <v>1010</v>
      </c>
      <c r="C93" s="23" t="str">
        <f>'дод 7'!B39</f>
        <v>0910</v>
      </c>
      <c r="D93" s="24" t="str">
        <f>'дод 7'!C39</f>
        <v>Надання дошкільної освіти</v>
      </c>
      <c r="E93" s="25">
        <f t="shared" si="52"/>
        <v>372814754</v>
      </c>
      <c r="F93" s="25">
        <f>387213800-11201080-750000+3500000+343793+3500000-375957-99500-2300280-300000-601222+1200000-7513800+199000</f>
        <v>372814754</v>
      </c>
      <c r="G93" s="25">
        <f>260000000-315000-100220-441000-1905000-250000-501022-6499000</f>
        <v>249988758</v>
      </c>
      <c r="H93" s="25">
        <f>46345800-250000</f>
        <v>46095800</v>
      </c>
      <c r="I93" s="25"/>
      <c r="J93" s="25">
        <f>L93+O93</f>
        <v>86173859</v>
      </c>
      <c r="K93" s="25">
        <f>20000000+390000+193770+31455908+1954092+995200+375957+99500+601222+189060</f>
        <v>56254709</v>
      </c>
      <c r="L93" s="25">
        <v>29919150</v>
      </c>
      <c r="M93" s="25"/>
      <c r="N93" s="25"/>
      <c r="O93" s="25">
        <f>20000000+390000+193770+31455908+1954092+995200+375957+99500+601222+189060</f>
        <v>56254709</v>
      </c>
      <c r="P93" s="25">
        <f t="shared" si="53"/>
        <v>458988613</v>
      </c>
      <c r="Q93" s="140"/>
      <c r="R93" s="140"/>
    </row>
    <row r="94" spans="1:18" s="132" customFormat="1" ht="54" customHeight="1" x14ac:dyDescent="0.45">
      <c r="A94" s="22" t="s">
        <v>437</v>
      </c>
      <c r="B94" s="22">
        <f>'дод 7'!A41</f>
        <v>1021</v>
      </c>
      <c r="C94" s="23" t="str">
        <f>'дод 7'!B41</f>
        <v>0921</v>
      </c>
      <c r="D94" s="24" t="str">
        <f>'дод 7'!C41</f>
        <v>Надання загальної середньої освіти закладами загальної середньої освіти за рахунок коштів місцевого бюджету, у т.ч. за рахунок:</v>
      </c>
      <c r="E94" s="25">
        <f t="shared" si="52"/>
        <v>259665872</v>
      </c>
      <c r="F94" s="25">
        <f>276972600-11595000-750000+3638040+1200000+34100+114370+1500000+115600-69500+241942+29495+75672-1183703-45000-21541-2300282-1200034-100000-1123937+2920000-1200000-9050-4447900-3000000-130000</f>
        <v>259665872</v>
      </c>
      <c r="G94" s="25">
        <f>146950000-985000-182850-516900-1905000-1000000-335000-950000-4000000</f>
        <v>137075250</v>
      </c>
      <c r="H94" s="25">
        <f>64072800-250000-69500-130000</f>
        <v>63623300</v>
      </c>
      <c r="I94" s="25"/>
      <c r="J94" s="25">
        <f t="shared" ref="J94:J173" si="54">L94+O94</f>
        <v>84505320</v>
      </c>
      <c r="K94" s="25">
        <f>10653058-3498324+2000000+2000000+320460+1913540+5285000+30000+1183703+45000+100000+1123937</f>
        <v>21156374</v>
      </c>
      <c r="L94" s="25">
        <f>56784750+6564196</f>
        <v>63348946</v>
      </c>
      <c r="M94" s="25">
        <v>2197510</v>
      </c>
      <c r="N94" s="25">
        <v>276700</v>
      </c>
      <c r="O94" s="137">
        <f>10653058-3498324+2000000+2000000+320460+1913540+5285000+30000+1183703+45000+100000+1123937</f>
        <v>21156374</v>
      </c>
      <c r="P94" s="25">
        <f t="shared" si="53"/>
        <v>344171192</v>
      </c>
      <c r="Q94" s="140"/>
      <c r="R94" s="140"/>
    </row>
    <row r="95" spans="1:18" s="31" customFormat="1" ht="22.15" customHeight="1" x14ac:dyDescent="0.45">
      <c r="A95" s="27"/>
      <c r="B95" s="27"/>
      <c r="C95" s="28"/>
      <c r="D95" s="29" t="str">
        <f>'дод 7'!C43</f>
        <v>іншої субвенції з місцевого бюджету</v>
      </c>
      <c r="E95" s="30">
        <f t="shared" si="52"/>
        <v>0</v>
      </c>
      <c r="F95" s="30"/>
      <c r="G95" s="30"/>
      <c r="H95" s="30"/>
      <c r="I95" s="30"/>
      <c r="J95" s="30">
        <f t="shared" si="54"/>
        <v>6564196</v>
      </c>
      <c r="K95" s="30"/>
      <c r="L95" s="30">
        <v>6564196</v>
      </c>
      <c r="M95" s="30"/>
      <c r="N95" s="30"/>
      <c r="O95" s="30"/>
      <c r="P95" s="30">
        <f t="shared" si="53"/>
        <v>6564196</v>
      </c>
      <c r="Q95" s="114"/>
      <c r="R95" s="140"/>
    </row>
    <row r="96" spans="1:18" s="31" customFormat="1" ht="92.25" x14ac:dyDescent="0.45">
      <c r="A96" s="27"/>
      <c r="B96" s="27"/>
      <c r="C96" s="28"/>
      <c r="D96" s="29" t="str">
        <f>'дод 7'!C42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96" s="30">
        <f t="shared" si="52"/>
        <v>325568</v>
      </c>
      <c r="F96" s="30">
        <f>241942+29495+75672-21541</f>
        <v>325568</v>
      </c>
      <c r="G96" s="30"/>
      <c r="H96" s="30"/>
      <c r="I96" s="30"/>
      <c r="J96" s="30">
        <f t="shared" si="54"/>
        <v>30000</v>
      </c>
      <c r="K96" s="30">
        <v>30000</v>
      </c>
      <c r="L96" s="30"/>
      <c r="M96" s="30"/>
      <c r="N96" s="30"/>
      <c r="O96" s="30">
        <v>30000</v>
      </c>
      <c r="P96" s="30">
        <f t="shared" si="53"/>
        <v>355568</v>
      </c>
      <c r="Q96" s="140">
        <v>4</v>
      </c>
    </row>
    <row r="97" spans="1:18" s="132" customFormat="1" ht="80.25" customHeight="1" x14ac:dyDescent="0.45">
      <c r="A97" s="22" t="s">
        <v>439</v>
      </c>
      <c r="B97" s="23">
        <v>1022</v>
      </c>
      <c r="C97" s="22" t="s">
        <v>53</v>
      </c>
      <c r="D97" s="24" t="str">
        <f>'дод 7'!C50</f>
        <v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v>
      </c>
      <c r="E97" s="25">
        <f t="shared" si="52"/>
        <v>18169841</v>
      </c>
      <c r="F97" s="25">
        <f>19640200+69500+21541-491400-1200000+130000</f>
        <v>18169841</v>
      </c>
      <c r="G97" s="25">
        <f>11259000-8200-400000</f>
        <v>10850800</v>
      </c>
      <c r="H97" s="25">
        <f>2667000+69500+130000</f>
        <v>2866500</v>
      </c>
      <c r="I97" s="25"/>
      <c r="J97" s="25">
        <f t="shared" si="54"/>
        <v>0</v>
      </c>
      <c r="K97" s="25"/>
      <c r="L97" s="25"/>
      <c r="M97" s="25"/>
      <c r="N97" s="25"/>
      <c r="O97" s="25"/>
      <c r="P97" s="25">
        <f t="shared" si="53"/>
        <v>18169841</v>
      </c>
      <c r="Q97" s="140"/>
      <c r="R97" s="26"/>
    </row>
    <row r="98" spans="1:18" s="26" customFormat="1" ht="92.25" x14ac:dyDescent="0.45">
      <c r="A98" s="22"/>
      <c r="B98" s="23"/>
      <c r="C98" s="22"/>
      <c r="D98" s="48" t="s">
        <v>619</v>
      </c>
      <c r="E98" s="30">
        <f t="shared" ref="E98" si="55">F98+I98</f>
        <v>21541</v>
      </c>
      <c r="F98" s="30">
        <v>21541</v>
      </c>
      <c r="G98" s="30"/>
      <c r="H98" s="30"/>
      <c r="I98" s="30"/>
      <c r="J98" s="30">
        <f t="shared" ref="J98" si="56">L98+O98</f>
        <v>0</v>
      </c>
      <c r="K98" s="30"/>
      <c r="L98" s="30"/>
      <c r="M98" s="30"/>
      <c r="N98" s="30"/>
      <c r="O98" s="30"/>
      <c r="P98" s="30">
        <f t="shared" ref="P98" si="57">E98+J98</f>
        <v>21541</v>
      </c>
      <c r="Q98" s="140"/>
    </row>
    <row r="99" spans="1:18" s="108" customFormat="1" ht="83.25" customHeight="1" x14ac:dyDescent="0.45">
      <c r="A99" s="22" t="s">
        <v>522</v>
      </c>
      <c r="B99" s="23">
        <v>1025</v>
      </c>
      <c r="C99" s="22" t="s">
        <v>53</v>
      </c>
      <c r="D99" s="24" t="str">
        <f>'дод 7'!C53</f>
        <v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коштів місцевого бюджету</v>
      </c>
      <c r="E99" s="25">
        <f t="shared" si="52"/>
        <v>13539100</v>
      </c>
      <c r="F99" s="25">
        <f>14028100-329000-160000</f>
        <v>13539100</v>
      </c>
      <c r="G99" s="25">
        <f>9815000-250000</f>
        <v>9565000</v>
      </c>
      <c r="H99" s="25">
        <v>1219000</v>
      </c>
      <c r="I99" s="25"/>
      <c r="J99" s="25">
        <f t="shared" si="54"/>
        <v>0</v>
      </c>
      <c r="K99" s="25"/>
      <c r="L99" s="25"/>
      <c r="M99" s="25"/>
      <c r="N99" s="25"/>
      <c r="O99" s="25"/>
      <c r="P99" s="25">
        <f t="shared" si="53"/>
        <v>13539100</v>
      </c>
      <c r="Q99" s="140"/>
      <c r="R99" s="26"/>
    </row>
    <row r="100" spans="1:18" s="26" customFormat="1" ht="54" customHeight="1" x14ac:dyDescent="0.45">
      <c r="A100" s="22" t="s">
        <v>441</v>
      </c>
      <c r="B100" s="23">
        <v>1031</v>
      </c>
      <c r="C100" s="22" t="s">
        <v>49</v>
      </c>
      <c r="D100" s="24" t="str">
        <f>'дод 7'!C54</f>
        <v xml:space="preserve">Надання загальної середньої освіти закладами загальної середньої освіти за рахунок освітньої субвенції, у т.ч. за рахунок: </v>
      </c>
      <c r="E100" s="25">
        <f t="shared" si="52"/>
        <v>508400300</v>
      </c>
      <c r="F100" s="25">
        <v>508400300</v>
      </c>
      <c r="G100" s="25">
        <v>415576000</v>
      </c>
      <c r="H100" s="25"/>
      <c r="I100" s="25"/>
      <c r="J100" s="25">
        <f t="shared" si="54"/>
        <v>0</v>
      </c>
      <c r="K100" s="25"/>
      <c r="L100" s="25"/>
      <c r="M100" s="25"/>
      <c r="N100" s="25"/>
      <c r="O100" s="25"/>
      <c r="P100" s="25">
        <f t="shared" si="53"/>
        <v>508400300</v>
      </c>
      <c r="Q100" s="140"/>
    </row>
    <row r="101" spans="1:18" s="31" customFormat="1" ht="31.5" customHeight="1" x14ac:dyDescent="0.45">
      <c r="A101" s="27"/>
      <c r="B101" s="28"/>
      <c r="C101" s="28"/>
      <c r="D101" s="29" t="s">
        <v>375</v>
      </c>
      <c r="E101" s="30">
        <f t="shared" si="52"/>
        <v>506171900</v>
      </c>
      <c r="F101" s="30">
        <v>506171900</v>
      </c>
      <c r="G101" s="30">
        <v>415576000</v>
      </c>
      <c r="H101" s="30"/>
      <c r="I101" s="30"/>
      <c r="J101" s="30">
        <f t="shared" si="54"/>
        <v>0</v>
      </c>
      <c r="K101" s="30"/>
      <c r="L101" s="30"/>
      <c r="M101" s="30"/>
      <c r="N101" s="30"/>
      <c r="O101" s="30"/>
      <c r="P101" s="30">
        <f t="shared" si="53"/>
        <v>506171900</v>
      </c>
      <c r="Q101" s="140"/>
    </row>
    <row r="102" spans="1:18" s="31" customFormat="1" ht="46.15" x14ac:dyDescent="0.45">
      <c r="A102" s="27"/>
      <c r="B102" s="28"/>
      <c r="C102" s="28"/>
      <c r="D102" s="29" t="s">
        <v>370</v>
      </c>
      <c r="E102" s="30">
        <f t="shared" si="52"/>
        <v>2228400</v>
      </c>
      <c r="F102" s="30">
        <v>2228400</v>
      </c>
      <c r="G102" s="30"/>
      <c r="H102" s="30"/>
      <c r="I102" s="30"/>
      <c r="J102" s="30">
        <f t="shared" si="54"/>
        <v>0</v>
      </c>
      <c r="K102" s="30"/>
      <c r="L102" s="30"/>
      <c r="M102" s="30"/>
      <c r="N102" s="30"/>
      <c r="O102" s="30"/>
      <c r="P102" s="30">
        <f t="shared" si="53"/>
        <v>2228400</v>
      </c>
      <c r="Q102" s="140"/>
    </row>
    <row r="103" spans="1:18" s="26" customFormat="1" ht="84" customHeight="1" x14ac:dyDescent="0.45">
      <c r="A103" s="22" t="s">
        <v>442</v>
      </c>
      <c r="B103" s="22" t="s">
        <v>443</v>
      </c>
      <c r="C103" s="22" t="s">
        <v>53</v>
      </c>
      <c r="D103" s="24" t="str">
        <f>'дод 7'!C57</f>
        <v xml:space="preserve"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субвенції,  у т.ч. за рахунок: </v>
      </c>
      <c r="E103" s="25">
        <f t="shared" si="52"/>
        <v>20154300</v>
      </c>
      <c r="F103" s="25">
        <v>20154300</v>
      </c>
      <c r="G103" s="25">
        <v>16520000</v>
      </c>
      <c r="H103" s="25"/>
      <c r="I103" s="25"/>
      <c r="J103" s="25">
        <f t="shared" si="54"/>
        <v>0</v>
      </c>
      <c r="K103" s="25"/>
      <c r="L103" s="25"/>
      <c r="M103" s="25"/>
      <c r="N103" s="25"/>
      <c r="O103" s="25"/>
      <c r="P103" s="25">
        <f t="shared" si="53"/>
        <v>20154300</v>
      </c>
      <c r="Q103" s="140"/>
    </row>
    <row r="104" spans="1:18" s="31" customFormat="1" ht="33" customHeight="1" x14ac:dyDescent="0.45">
      <c r="A104" s="27"/>
      <c r="B104" s="28"/>
      <c r="C104" s="28"/>
      <c r="D104" s="29" t="s">
        <v>375</v>
      </c>
      <c r="E104" s="30">
        <f t="shared" si="52"/>
        <v>20154300</v>
      </c>
      <c r="F104" s="30">
        <v>20154300</v>
      </c>
      <c r="G104" s="30">
        <v>16520000</v>
      </c>
      <c r="H104" s="30"/>
      <c r="I104" s="30"/>
      <c r="J104" s="30">
        <f t="shared" ref="J104:J106" si="58">L104+O104</f>
        <v>0</v>
      </c>
      <c r="K104" s="30"/>
      <c r="L104" s="30"/>
      <c r="M104" s="30"/>
      <c r="N104" s="30"/>
      <c r="O104" s="30"/>
      <c r="P104" s="30">
        <f t="shared" ref="P104:P106" si="59">E104+J104</f>
        <v>20154300</v>
      </c>
      <c r="Q104" s="140"/>
    </row>
    <row r="105" spans="1:18" s="26" customFormat="1" ht="61.5" x14ac:dyDescent="0.45">
      <c r="A105" s="22" t="s">
        <v>523</v>
      </c>
      <c r="B105" s="23">
        <v>1035</v>
      </c>
      <c r="C105" s="22" t="s">
        <v>53</v>
      </c>
      <c r="D105" s="24" t="str">
        <f>'дод 7'!C59</f>
        <v xml:space="preserve"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освітньої субвенції,  у т.ч. за рахунок: </v>
      </c>
      <c r="E105" s="25">
        <f t="shared" si="52"/>
        <v>1773800</v>
      </c>
      <c r="F105" s="25">
        <v>1773800</v>
      </c>
      <c r="G105" s="25">
        <v>1454000</v>
      </c>
      <c r="H105" s="25"/>
      <c r="I105" s="25"/>
      <c r="J105" s="25">
        <f t="shared" si="54"/>
        <v>0</v>
      </c>
      <c r="K105" s="25"/>
      <c r="L105" s="25"/>
      <c r="M105" s="25"/>
      <c r="N105" s="25"/>
      <c r="O105" s="25"/>
      <c r="P105" s="25">
        <f t="shared" si="53"/>
        <v>1773800</v>
      </c>
      <c r="Q105" s="140"/>
    </row>
    <row r="106" spans="1:18" s="31" customFormat="1" ht="31.5" customHeight="1" x14ac:dyDescent="0.45">
      <c r="A106" s="27"/>
      <c r="B106" s="28"/>
      <c r="C106" s="27"/>
      <c r="D106" s="29" t="s">
        <v>375</v>
      </c>
      <c r="E106" s="30">
        <f t="shared" si="52"/>
        <v>1773800</v>
      </c>
      <c r="F106" s="30">
        <v>1773800</v>
      </c>
      <c r="G106" s="30">
        <v>1454000</v>
      </c>
      <c r="H106" s="30"/>
      <c r="I106" s="30"/>
      <c r="J106" s="30">
        <f t="shared" si="58"/>
        <v>0</v>
      </c>
      <c r="K106" s="30"/>
      <c r="L106" s="30"/>
      <c r="M106" s="30"/>
      <c r="N106" s="30"/>
      <c r="O106" s="30"/>
      <c r="P106" s="30">
        <f t="shared" si="59"/>
        <v>1773800</v>
      </c>
      <c r="Q106" s="140"/>
    </row>
    <row r="107" spans="1:18" s="31" customFormat="1" ht="31.5" customHeight="1" x14ac:dyDescent="0.45">
      <c r="A107" s="22" t="s">
        <v>482</v>
      </c>
      <c r="B107" s="23">
        <v>1061</v>
      </c>
      <c r="C107" s="22" t="s">
        <v>49</v>
      </c>
      <c r="D107" s="24" t="s">
        <v>438</v>
      </c>
      <c r="E107" s="25">
        <f t="shared" si="52"/>
        <v>351767.89</v>
      </c>
      <c r="F107" s="25">
        <v>351767.89</v>
      </c>
      <c r="G107" s="30">
        <v>290000</v>
      </c>
      <c r="H107" s="30"/>
      <c r="I107" s="30"/>
      <c r="J107" s="25">
        <f t="shared" si="54"/>
        <v>0</v>
      </c>
      <c r="K107" s="25"/>
      <c r="L107" s="25">
        <f>262064-262064</f>
        <v>0</v>
      </c>
      <c r="M107" s="25"/>
      <c r="N107" s="25"/>
      <c r="O107" s="25"/>
      <c r="P107" s="25">
        <f t="shared" si="53"/>
        <v>351767.89</v>
      </c>
      <c r="Q107" s="140"/>
    </row>
    <row r="108" spans="1:18" s="31" customFormat="1" ht="55.15" hidden="1" customHeight="1" x14ac:dyDescent="0.45">
      <c r="A108" s="27"/>
      <c r="B108" s="28"/>
      <c r="C108" s="27"/>
      <c r="D108" s="29" t="s">
        <v>494</v>
      </c>
      <c r="E108" s="25">
        <f t="shared" si="52"/>
        <v>0</v>
      </c>
      <c r="F108" s="30"/>
      <c r="G108" s="30"/>
      <c r="H108" s="30"/>
      <c r="I108" s="30"/>
      <c r="J108" s="30">
        <f>L108+O108</f>
        <v>0</v>
      </c>
      <c r="K108" s="30"/>
      <c r="L108" s="30">
        <f>262064-262064</f>
        <v>0</v>
      </c>
      <c r="M108" s="30"/>
      <c r="N108" s="30"/>
      <c r="O108" s="30"/>
      <c r="P108" s="30">
        <f t="shared" si="53"/>
        <v>0</v>
      </c>
      <c r="Q108" s="140"/>
    </row>
    <row r="109" spans="1:18" s="31" customFormat="1" ht="31.5" customHeight="1" x14ac:dyDescent="0.45">
      <c r="A109" s="27"/>
      <c r="B109" s="28"/>
      <c r="C109" s="27"/>
      <c r="D109" s="29" t="s">
        <v>491</v>
      </c>
      <c r="E109" s="30">
        <f t="shared" si="52"/>
        <v>351767.89</v>
      </c>
      <c r="F109" s="30">
        <v>351767.89</v>
      </c>
      <c r="G109" s="30">
        <v>290000</v>
      </c>
      <c r="H109" s="30"/>
      <c r="I109" s="30"/>
      <c r="J109" s="30">
        <f t="shared" ref="J109" si="60">L109+O109</f>
        <v>0</v>
      </c>
      <c r="K109" s="30"/>
      <c r="L109" s="30"/>
      <c r="M109" s="30"/>
      <c r="N109" s="30"/>
      <c r="O109" s="30"/>
      <c r="P109" s="30">
        <f t="shared" si="53"/>
        <v>351767.89</v>
      </c>
      <c r="Q109" s="140"/>
    </row>
    <row r="110" spans="1:18" s="31" customFormat="1" ht="63" hidden="1" customHeight="1" x14ac:dyDescent="0.45">
      <c r="A110" s="22" t="s">
        <v>486</v>
      </c>
      <c r="B110" s="23">
        <v>1062</v>
      </c>
      <c r="C110" s="22" t="s">
        <v>53</v>
      </c>
      <c r="D110" s="24" t="s">
        <v>469</v>
      </c>
      <c r="E110" s="25">
        <f t="shared" si="52"/>
        <v>0</v>
      </c>
      <c r="F110" s="25"/>
      <c r="G110" s="30"/>
      <c r="H110" s="30"/>
      <c r="I110" s="30"/>
      <c r="J110" s="25">
        <f>L110+O110</f>
        <v>0</v>
      </c>
      <c r="K110" s="30"/>
      <c r="L110" s="30"/>
      <c r="M110" s="30"/>
      <c r="N110" s="30"/>
      <c r="O110" s="30"/>
      <c r="P110" s="25">
        <f t="shared" si="53"/>
        <v>0</v>
      </c>
      <c r="Q110" s="140"/>
    </row>
    <row r="111" spans="1:18" s="31" customFormat="1" ht="31.5" hidden="1" customHeight="1" x14ac:dyDescent="0.45">
      <c r="A111" s="27"/>
      <c r="B111" s="28"/>
      <c r="C111" s="27"/>
      <c r="D111" s="29" t="s">
        <v>491</v>
      </c>
      <c r="E111" s="25">
        <f t="shared" si="52"/>
        <v>0</v>
      </c>
      <c r="F111" s="30"/>
      <c r="G111" s="30"/>
      <c r="H111" s="30"/>
      <c r="I111" s="30"/>
      <c r="J111" s="30">
        <f>L111+O111</f>
        <v>0</v>
      </c>
      <c r="K111" s="25"/>
      <c r="L111" s="30"/>
      <c r="M111" s="30"/>
      <c r="N111" s="30"/>
      <c r="O111" s="25"/>
      <c r="P111" s="30">
        <f t="shared" si="53"/>
        <v>0</v>
      </c>
      <c r="Q111" s="140"/>
    </row>
    <row r="112" spans="1:18" s="108" customFormat="1" ht="42" customHeight="1" x14ac:dyDescent="0.45">
      <c r="A112" s="22" t="s">
        <v>444</v>
      </c>
      <c r="B112" s="22" t="s">
        <v>52</v>
      </c>
      <c r="C112" s="22" t="s">
        <v>55</v>
      </c>
      <c r="D112" s="24" t="str">
        <f>'дод 7'!C66</f>
        <v>Надання позашкільної освіти закладами позашкільної освіти, заходи із позашкільної роботи з дітьми</v>
      </c>
      <c r="E112" s="25">
        <f t="shared" si="52"/>
        <v>47641500</v>
      </c>
      <c r="F112" s="25">
        <f>49233900-1592400</f>
        <v>47641500</v>
      </c>
      <c r="G112" s="25">
        <f>34500000-69800-1300000</f>
        <v>33130200</v>
      </c>
      <c r="H112" s="25">
        <v>6479900</v>
      </c>
      <c r="I112" s="25"/>
      <c r="J112" s="25">
        <f t="shared" si="54"/>
        <v>4042440</v>
      </c>
      <c r="K112" s="25">
        <f>1000000+2255000+976500-189060</f>
        <v>4042440</v>
      </c>
      <c r="L112" s="25"/>
      <c r="M112" s="25"/>
      <c r="N112" s="25"/>
      <c r="O112" s="25">
        <f>1000000+2255000+976500-189060</f>
        <v>4042440</v>
      </c>
      <c r="P112" s="25">
        <f t="shared" si="53"/>
        <v>51683940</v>
      </c>
      <c r="Q112" s="140"/>
      <c r="R112" s="26"/>
    </row>
    <row r="113" spans="1:18" s="108" customFormat="1" ht="66.75" customHeight="1" x14ac:dyDescent="0.45">
      <c r="A113" s="22" t="s">
        <v>548</v>
      </c>
      <c r="B113" s="23">
        <v>1091</v>
      </c>
      <c r="C113" s="22" t="s">
        <v>549</v>
      </c>
      <c r="D113" s="24" t="str">
        <f>'дод 7'!C68</f>
        <v>Підготовка кадрів закладами професійної (професійно-технічної) освіти та іншими закладами освіти за рахунок коштів місцевого бюджету, у т.ч. за рахунок:</v>
      </c>
      <c r="E113" s="25">
        <f t="shared" si="52"/>
        <v>160316700</v>
      </c>
      <c r="F113" s="25">
        <f>166005300-500000-744000-4444600</f>
        <v>160316700</v>
      </c>
      <c r="G113" s="25">
        <f>91215400-609000-1720606-3559300</f>
        <v>85326494</v>
      </c>
      <c r="H113" s="25">
        <f>18732100+2139565</f>
        <v>20871665</v>
      </c>
      <c r="I113" s="25"/>
      <c r="J113" s="25">
        <f>L113+O113</f>
        <v>51702725</v>
      </c>
      <c r="K113" s="25">
        <v>37122000</v>
      </c>
      <c r="L113" s="25">
        <v>14430725</v>
      </c>
      <c r="M113" s="25">
        <v>4542152</v>
      </c>
      <c r="N113" s="25">
        <v>5317700</v>
      </c>
      <c r="O113" s="25">
        <f>150000+37122000</f>
        <v>37272000</v>
      </c>
      <c r="P113" s="25">
        <f t="shared" si="53"/>
        <v>212019425</v>
      </c>
      <c r="Q113" s="140"/>
      <c r="R113" s="26"/>
    </row>
    <row r="114" spans="1:18" s="31" customFormat="1" ht="92.25" x14ac:dyDescent="0.45">
      <c r="A114" s="27"/>
      <c r="B114" s="28"/>
      <c r="C114" s="27"/>
      <c r="D114" s="29" t="str">
        <f>'дод 7'!C69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114" s="30"/>
      <c r="F114" s="30"/>
      <c r="G114" s="30"/>
      <c r="H114" s="30"/>
      <c r="I114" s="30"/>
      <c r="J114" s="30">
        <f>L114+O114</f>
        <v>37122000</v>
      </c>
      <c r="K114" s="30">
        <v>37122000</v>
      </c>
      <c r="L114" s="30"/>
      <c r="M114" s="30"/>
      <c r="N114" s="30"/>
      <c r="O114" s="30">
        <v>37122000</v>
      </c>
      <c r="P114" s="30">
        <f t="shared" si="53"/>
        <v>37122000</v>
      </c>
      <c r="Q114" s="140"/>
    </row>
    <row r="115" spans="1:18" s="26" customFormat="1" ht="63" customHeight="1" x14ac:dyDescent="0.45">
      <c r="A115" s="22" t="s">
        <v>550</v>
      </c>
      <c r="B115" s="23">
        <v>1092</v>
      </c>
      <c r="C115" s="22" t="s">
        <v>549</v>
      </c>
      <c r="D115" s="24" t="str">
        <f>'дод 7'!C70</f>
        <v xml:space="preserve">Підготовка кадрів закладами професійної (професійно-технічної) освіти та іншими закладами освіти за рахунок освітньої субвенції, у т.ч. за рахунок: </v>
      </c>
      <c r="E115" s="25">
        <f t="shared" si="52"/>
        <v>22978300</v>
      </c>
      <c r="F115" s="25">
        <v>22978300</v>
      </c>
      <c r="G115" s="25">
        <v>18834600</v>
      </c>
      <c r="H115" s="25"/>
      <c r="I115" s="25"/>
      <c r="J115" s="25">
        <f t="shared" si="54"/>
        <v>0</v>
      </c>
      <c r="K115" s="25"/>
      <c r="L115" s="25"/>
      <c r="M115" s="25"/>
      <c r="N115" s="25"/>
      <c r="O115" s="25"/>
      <c r="P115" s="25">
        <f t="shared" si="53"/>
        <v>22978300</v>
      </c>
      <c r="Q115" s="140">
        <v>5</v>
      </c>
    </row>
    <row r="116" spans="1:18" s="31" customFormat="1" ht="31.5" customHeight="1" x14ac:dyDescent="0.45">
      <c r="A116" s="27"/>
      <c r="B116" s="28"/>
      <c r="C116" s="27"/>
      <c r="D116" s="29" t="s">
        <v>375</v>
      </c>
      <c r="E116" s="30">
        <f t="shared" si="52"/>
        <v>22978300</v>
      </c>
      <c r="F116" s="30">
        <v>22978300</v>
      </c>
      <c r="G116" s="30">
        <v>18834600</v>
      </c>
      <c r="H116" s="30"/>
      <c r="I116" s="30"/>
      <c r="J116" s="30">
        <f t="shared" si="54"/>
        <v>0</v>
      </c>
      <c r="K116" s="30"/>
      <c r="L116" s="30"/>
      <c r="M116" s="30"/>
      <c r="N116" s="30"/>
      <c r="O116" s="30"/>
      <c r="P116" s="30">
        <f t="shared" si="53"/>
        <v>22978300</v>
      </c>
      <c r="Q116" s="140"/>
    </row>
    <row r="117" spans="1:18" s="26" customFormat="1" ht="107.65" x14ac:dyDescent="0.45">
      <c r="A117" s="22" t="s">
        <v>693</v>
      </c>
      <c r="B117" s="23">
        <v>1094</v>
      </c>
      <c r="C117" s="22" t="s">
        <v>549</v>
      </c>
      <c r="D117" s="24" t="s">
        <v>694</v>
      </c>
      <c r="E117" s="25">
        <f t="shared" ref="E117" si="61">F117+I117</f>
        <v>0</v>
      </c>
      <c r="F117" s="25"/>
      <c r="G117" s="25"/>
      <c r="H117" s="25"/>
      <c r="I117" s="25"/>
      <c r="J117" s="25">
        <f t="shared" ref="J117" si="62">L117+O117</f>
        <v>7819500</v>
      </c>
      <c r="K117" s="25">
        <v>7819500</v>
      </c>
      <c r="L117" s="25"/>
      <c r="M117" s="25"/>
      <c r="N117" s="25"/>
      <c r="O117" s="25">
        <v>7819500</v>
      </c>
      <c r="P117" s="25">
        <f t="shared" ref="P117" si="63">E117+J117</f>
        <v>7819500</v>
      </c>
      <c r="Q117" s="140"/>
    </row>
    <row r="118" spans="1:18" s="31" customFormat="1" ht="46.15" x14ac:dyDescent="0.45">
      <c r="A118" s="27"/>
      <c r="B118" s="28"/>
      <c r="C118" s="27"/>
      <c r="D118" s="29" t="s">
        <v>494</v>
      </c>
      <c r="E118" s="30">
        <f t="shared" ref="E118" si="64">F118+I118</f>
        <v>0</v>
      </c>
      <c r="F118" s="30"/>
      <c r="G118" s="30"/>
      <c r="H118" s="30"/>
      <c r="I118" s="30"/>
      <c r="J118" s="30">
        <f t="shared" ref="J118" si="65">L118+O118</f>
        <v>7819500</v>
      </c>
      <c r="K118" s="30">
        <v>7819500</v>
      </c>
      <c r="L118" s="30"/>
      <c r="M118" s="30"/>
      <c r="N118" s="30"/>
      <c r="O118" s="30">
        <v>7819500</v>
      </c>
      <c r="P118" s="30">
        <f t="shared" ref="P118" si="66">E118+J118</f>
        <v>7819500</v>
      </c>
      <c r="Q118" s="140"/>
    </row>
    <row r="119" spans="1:18" s="108" customFormat="1" ht="34.5" customHeight="1" x14ac:dyDescent="0.45">
      <c r="A119" s="22" t="s">
        <v>445</v>
      </c>
      <c r="B119" s="22" t="s">
        <v>446</v>
      </c>
      <c r="C119" s="22" t="s">
        <v>56</v>
      </c>
      <c r="D119" s="24" t="str">
        <f>'дод 7'!C74</f>
        <v>Забезпечення діяльності інших закладів у сфері освіти</v>
      </c>
      <c r="E119" s="25">
        <f t="shared" si="52"/>
        <v>13487200</v>
      </c>
      <c r="F119" s="25">
        <f>13653300-166100</f>
        <v>13487200</v>
      </c>
      <c r="G119" s="25">
        <f>9562000-150000</f>
        <v>9412000</v>
      </c>
      <c r="H119" s="25">
        <v>1300700</v>
      </c>
      <c r="I119" s="25"/>
      <c r="J119" s="25">
        <f t="shared" si="54"/>
        <v>0</v>
      </c>
      <c r="K119" s="25"/>
      <c r="L119" s="25"/>
      <c r="M119" s="25"/>
      <c r="N119" s="25"/>
      <c r="O119" s="25"/>
      <c r="P119" s="25">
        <f t="shared" si="53"/>
        <v>13487200</v>
      </c>
      <c r="Q119" s="140"/>
      <c r="R119" s="26"/>
    </row>
    <row r="120" spans="1:18" s="26" customFormat="1" ht="27.75" customHeight="1" x14ac:dyDescent="0.45">
      <c r="A120" s="22" t="s">
        <v>447</v>
      </c>
      <c r="B120" s="22" t="s">
        <v>448</v>
      </c>
      <c r="C120" s="22" t="s">
        <v>56</v>
      </c>
      <c r="D120" s="24" t="str">
        <f>'дод 7'!C75</f>
        <v>Інші програми та заходи у сфері освіти</v>
      </c>
      <c r="E120" s="25">
        <f t="shared" si="52"/>
        <v>134000</v>
      </c>
      <c r="F120" s="25">
        <v>134000</v>
      </c>
      <c r="G120" s="25"/>
      <c r="H120" s="25"/>
      <c r="I120" s="25"/>
      <c r="J120" s="25">
        <f t="shared" ref="J120" si="67">L120+O120</f>
        <v>0</v>
      </c>
      <c r="K120" s="25"/>
      <c r="L120" s="25"/>
      <c r="M120" s="25"/>
      <c r="N120" s="25"/>
      <c r="O120" s="25"/>
      <c r="P120" s="25">
        <f t="shared" ref="P120" si="68">E120+J120</f>
        <v>134000</v>
      </c>
      <c r="Q120" s="140"/>
    </row>
    <row r="121" spans="1:18" s="26" customFormat="1" ht="35.25" customHeight="1" x14ac:dyDescent="0.45">
      <c r="A121" s="22" t="s">
        <v>449</v>
      </c>
      <c r="B121" s="22" t="s">
        <v>450</v>
      </c>
      <c r="C121" s="22" t="s">
        <v>56</v>
      </c>
      <c r="D121" s="24" t="str">
        <f>'дод 7'!C76</f>
        <v>Забезпечення діяльності інклюзивно-ресурсних центрів за рахунок коштів місцевого бюджету</v>
      </c>
      <c r="E121" s="25">
        <f t="shared" si="52"/>
        <v>174700</v>
      </c>
      <c r="F121" s="25">
        <v>174700</v>
      </c>
      <c r="G121" s="25"/>
      <c r="H121" s="25">
        <v>122400</v>
      </c>
      <c r="I121" s="25"/>
      <c r="J121" s="25">
        <f t="shared" si="54"/>
        <v>0</v>
      </c>
      <c r="K121" s="25"/>
      <c r="L121" s="25"/>
      <c r="M121" s="25"/>
      <c r="N121" s="25"/>
      <c r="O121" s="25"/>
      <c r="P121" s="25">
        <f t="shared" si="53"/>
        <v>174700</v>
      </c>
      <c r="Q121" s="140"/>
    </row>
    <row r="122" spans="1:18" s="26" customFormat="1" ht="30.75" x14ac:dyDescent="0.45">
      <c r="A122" s="22" t="s">
        <v>452</v>
      </c>
      <c r="B122" s="22" t="s">
        <v>453</v>
      </c>
      <c r="C122" s="22" t="str">
        <f>'дод 7'!B76</f>
        <v>0990</v>
      </c>
      <c r="D122" s="24" t="str">
        <f>'дод 7'!C77</f>
        <v>Забезпечення діяльності інклюзивно-ресурсних центрів за рахунок освітньої субвенції, у т.ч. за рахунок:</v>
      </c>
      <c r="E122" s="25">
        <f t="shared" si="52"/>
        <v>2091775</v>
      </c>
      <c r="F122" s="25">
        <v>2091775</v>
      </c>
      <c r="G122" s="25">
        <v>1714570</v>
      </c>
      <c r="H122" s="25"/>
      <c r="I122" s="25"/>
      <c r="J122" s="25">
        <f t="shared" si="54"/>
        <v>0</v>
      </c>
      <c r="K122" s="25"/>
      <c r="L122" s="25"/>
      <c r="M122" s="25"/>
      <c r="N122" s="25"/>
      <c r="O122" s="25"/>
      <c r="P122" s="25">
        <f t="shared" si="53"/>
        <v>2091775</v>
      </c>
      <c r="Q122" s="140"/>
    </row>
    <row r="123" spans="1:18" s="31" customFormat="1" ht="46.15" x14ac:dyDescent="0.45">
      <c r="A123" s="27"/>
      <c r="B123" s="27"/>
      <c r="C123" s="27"/>
      <c r="D123" s="29" t="s">
        <v>370</v>
      </c>
      <c r="E123" s="30">
        <f t="shared" si="52"/>
        <v>2091775</v>
      </c>
      <c r="F123" s="30">
        <v>2091775</v>
      </c>
      <c r="G123" s="30">
        <v>1714570</v>
      </c>
      <c r="H123" s="30"/>
      <c r="I123" s="30"/>
      <c r="J123" s="30">
        <f t="shared" si="54"/>
        <v>0</v>
      </c>
      <c r="K123" s="30"/>
      <c r="L123" s="30"/>
      <c r="M123" s="30"/>
      <c r="N123" s="30"/>
      <c r="O123" s="30"/>
      <c r="P123" s="30">
        <f t="shared" si="53"/>
        <v>2091775</v>
      </c>
      <c r="Q123" s="140"/>
    </row>
    <row r="124" spans="1:18" s="108" customFormat="1" ht="36" customHeight="1" x14ac:dyDescent="0.45">
      <c r="A124" s="22" t="s">
        <v>454</v>
      </c>
      <c r="B124" s="22" t="s">
        <v>455</v>
      </c>
      <c r="C124" s="22" t="str">
        <f>'дод 7'!B77</f>
        <v>0990</v>
      </c>
      <c r="D124" s="24" t="str">
        <f>'дод 7'!C79</f>
        <v>Забезпечення діяльності центрів професійного розвитку педагогічних працівників</v>
      </c>
      <c r="E124" s="25">
        <f t="shared" si="52"/>
        <v>3521300</v>
      </c>
      <c r="F124" s="25">
        <f>3661000+244000-383700</f>
        <v>3521300</v>
      </c>
      <c r="G124" s="25">
        <f>2625000+200000-300000</f>
        <v>2525000</v>
      </c>
      <c r="H124" s="25">
        <v>303800</v>
      </c>
      <c r="I124" s="25"/>
      <c r="J124" s="25">
        <f t="shared" si="54"/>
        <v>0</v>
      </c>
      <c r="K124" s="25"/>
      <c r="L124" s="25"/>
      <c r="M124" s="25"/>
      <c r="N124" s="25"/>
      <c r="O124" s="25"/>
      <c r="P124" s="25">
        <f t="shared" si="53"/>
        <v>3521300</v>
      </c>
      <c r="Q124" s="140"/>
      <c r="R124" s="26"/>
    </row>
    <row r="125" spans="1:18" s="26" customFormat="1" ht="63" hidden="1" customHeight="1" x14ac:dyDescent="0.45">
      <c r="A125" s="22" t="s">
        <v>510</v>
      </c>
      <c r="B125" s="22" t="s">
        <v>511</v>
      </c>
      <c r="C125" s="22" t="s">
        <v>56</v>
      </c>
      <c r="D125" s="24" t="str">
        <f>'дод 7'!C80</f>
        <v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v>
      </c>
      <c r="E125" s="25">
        <f t="shared" si="52"/>
        <v>0</v>
      </c>
      <c r="F125" s="25"/>
      <c r="G125" s="25"/>
      <c r="H125" s="25"/>
      <c r="I125" s="25"/>
      <c r="J125" s="25">
        <f t="shared" si="54"/>
        <v>0</v>
      </c>
      <c r="K125" s="25"/>
      <c r="L125" s="25"/>
      <c r="M125" s="25"/>
      <c r="N125" s="25"/>
      <c r="O125" s="25"/>
      <c r="P125" s="25">
        <f t="shared" si="53"/>
        <v>0</v>
      </c>
      <c r="Q125" s="140"/>
    </row>
    <row r="126" spans="1:18" s="26" customFormat="1" ht="63" hidden="1" customHeight="1" x14ac:dyDescent="0.45">
      <c r="A126" s="22" t="s">
        <v>501</v>
      </c>
      <c r="B126" s="22" t="s">
        <v>503</v>
      </c>
      <c r="C126" s="22" t="s">
        <v>56</v>
      </c>
      <c r="D126" s="24" t="s">
        <v>529</v>
      </c>
      <c r="E126" s="25">
        <f t="shared" si="52"/>
        <v>0</v>
      </c>
      <c r="F126" s="25"/>
      <c r="G126" s="25"/>
      <c r="H126" s="25"/>
      <c r="I126" s="25"/>
      <c r="J126" s="25">
        <f t="shared" si="54"/>
        <v>0</v>
      </c>
      <c r="K126" s="25"/>
      <c r="L126" s="25"/>
      <c r="M126" s="25"/>
      <c r="N126" s="25"/>
      <c r="O126" s="25"/>
      <c r="P126" s="25">
        <f t="shared" si="53"/>
        <v>0</v>
      </c>
      <c r="Q126" s="140"/>
    </row>
    <row r="127" spans="1:18" s="31" customFormat="1" ht="47.25" hidden="1" customHeight="1" x14ac:dyDescent="0.45">
      <c r="A127" s="27"/>
      <c r="B127" s="27"/>
      <c r="C127" s="27"/>
      <c r="D127" s="29" t="s">
        <v>524</v>
      </c>
      <c r="E127" s="25">
        <f t="shared" si="52"/>
        <v>0</v>
      </c>
      <c r="F127" s="30"/>
      <c r="G127" s="30"/>
      <c r="H127" s="30"/>
      <c r="I127" s="30"/>
      <c r="J127" s="30">
        <f t="shared" si="54"/>
        <v>0</v>
      </c>
      <c r="K127" s="30"/>
      <c r="L127" s="30"/>
      <c r="M127" s="30"/>
      <c r="N127" s="30"/>
      <c r="O127" s="30"/>
      <c r="P127" s="30">
        <f t="shared" si="53"/>
        <v>0</v>
      </c>
      <c r="Q127" s="140"/>
    </row>
    <row r="128" spans="1:18" s="132" customFormat="1" ht="78.75" customHeight="1" x14ac:dyDescent="0.45">
      <c r="A128" s="22" t="s">
        <v>512</v>
      </c>
      <c r="B128" s="22" t="s">
        <v>513</v>
      </c>
      <c r="C128" s="22" t="s">
        <v>56</v>
      </c>
      <c r="D128" s="24" t="str">
        <f>'дод 7'!C83</f>
        <v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v>
      </c>
      <c r="E128" s="25">
        <f t="shared" si="52"/>
        <v>247457</v>
      </c>
      <c r="F128" s="25">
        <f>202786+44671</f>
        <v>247457</v>
      </c>
      <c r="G128" s="25"/>
      <c r="H128" s="25"/>
      <c r="I128" s="25"/>
      <c r="J128" s="25">
        <f t="shared" si="54"/>
        <v>4353105</v>
      </c>
      <c r="K128" s="25">
        <f>4397776-44671</f>
        <v>4353105</v>
      </c>
      <c r="L128" s="25"/>
      <c r="M128" s="25"/>
      <c r="N128" s="25"/>
      <c r="O128" s="25">
        <f>4397776-44671</f>
        <v>4353105</v>
      </c>
      <c r="P128" s="25">
        <f t="shared" si="53"/>
        <v>4600562</v>
      </c>
      <c r="Q128" s="140"/>
      <c r="R128" s="26"/>
    </row>
    <row r="129" spans="1:18" s="26" customFormat="1" ht="15.75" hidden="1" customHeight="1" x14ac:dyDescent="0.45">
      <c r="A129" s="22"/>
      <c r="B129" s="22"/>
      <c r="C129" s="22"/>
      <c r="D129" s="29" t="s">
        <v>380</v>
      </c>
      <c r="E129" s="25">
        <f t="shared" si="52"/>
        <v>0</v>
      </c>
      <c r="F129" s="30"/>
      <c r="G129" s="25"/>
      <c r="H129" s="25"/>
      <c r="I129" s="25"/>
      <c r="J129" s="30">
        <f t="shared" si="54"/>
        <v>0</v>
      </c>
      <c r="K129" s="25"/>
      <c r="L129" s="25"/>
      <c r="M129" s="25"/>
      <c r="N129" s="25"/>
      <c r="O129" s="25"/>
      <c r="P129" s="30">
        <f t="shared" si="53"/>
        <v>0</v>
      </c>
      <c r="Q129" s="140"/>
    </row>
    <row r="130" spans="1:18" s="132" customFormat="1" ht="78.75" customHeight="1" x14ac:dyDescent="0.45">
      <c r="A130" s="22" t="s">
        <v>502</v>
      </c>
      <c r="B130" s="22" t="s">
        <v>504</v>
      </c>
      <c r="C130" s="22" t="s">
        <v>56</v>
      </c>
      <c r="D130" s="24" t="s">
        <v>525</v>
      </c>
      <c r="E130" s="25">
        <f t="shared" si="52"/>
        <v>577400</v>
      </c>
      <c r="F130" s="25">
        <f>473167+104233</f>
        <v>577400</v>
      </c>
      <c r="G130" s="25"/>
      <c r="H130" s="25"/>
      <c r="I130" s="25"/>
      <c r="J130" s="25">
        <f t="shared" si="54"/>
        <v>10157256</v>
      </c>
      <c r="K130" s="25">
        <f>10261489-104233</f>
        <v>10157256</v>
      </c>
      <c r="L130" s="25"/>
      <c r="M130" s="25"/>
      <c r="N130" s="25"/>
      <c r="O130" s="25">
        <f>10261489-104233</f>
        <v>10157256</v>
      </c>
      <c r="P130" s="25">
        <f t="shared" si="53"/>
        <v>10734656</v>
      </c>
      <c r="Q130" s="140"/>
      <c r="R130" s="26"/>
    </row>
    <row r="131" spans="1:18" s="133" customFormat="1" ht="63" customHeight="1" x14ac:dyDescent="0.45">
      <c r="A131" s="27"/>
      <c r="B131" s="27"/>
      <c r="C131" s="27"/>
      <c r="D131" s="29" t="s">
        <v>505</v>
      </c>
      <c r="E131" s="30">
        <f t="shared" si="52"/>
        <v>577400</v>
      </c>
      <c r="F131" s="30">
        <f>473167+104233</f>
        <v>577400</v>
      </c>
      <c r="G131" s="30"/>
      <c r="H131" s="30"/>
      <c r="I131" s="30"/>
      <c r="J131" s="30">
        <f t="shared" si="54"/>
        <v>10157256</v>
      </c>
      <c r="K131" s="30">
        <f>10261489-104233</f>
        <v>10157256</v>
      </c>
      <c r="L131" s="30"/>
      <c r="M131" s="30"/>
      <c r="N131" s="30"/>
      <c r="O131" s="30">
        <f>10261489-104233</f>
        <v>10157256</v>
      </c>
      <c r="P131" s="30">
        <f t="shared" si="53"/>
        <v>10734656</v>
      </c>
      <c r="Q131" s="140"/>
      <c r="R131" s="31"/>
    </row>
    <row r="132" spans="1:18" s="108" customFormat="1" ht="65.25" customHeight="1" x14ac:dyDescent="0.45">
      <c r="A132" s="22" t="s">
        <v>457</v>
      </c>
      <c r="B132" s="22" t="s">
        <v>458</v>
      </c>
      <c r="C132" s="22" t="s">
        <v>56</v>
      </c>
      <c r="D132" s="42" t="s">
        <v>470</v>
      </c>
      <c r="E132" s="25">
        <f t="shared" si="52"/>
        <v>2233488.84</v>
      </c>
      <c r="F132" s="25">
        <f>1331125+902363.84</f>
        <v>2233488.84</v>
      </c>
      <c r="G132" s="25">
        <f>1091086+739642</f>
        <v>1830728</v>
      </c>
      <c r="H132" s="25"/>
      <c r="I132" s="25"/>
      <c r="J132" s="25">
        <f t="shared" si="54"/>
        <v>0</v>
      </c>
      <c r="K132" s="25"/>
      <c r="L132" s="25"/>
      <c r="M132" s="25"/>
      <c r="N132" s="25"/>
      <c r="O132" s="25"/>
      <c r="P132" s="25">
        <f t="shared" si="53"/>
        <v>2233488.84</v>
      </c>
      <c r="Q132" s="140"/>
      <c r="R132" s="26"/>
    </row>
    <row r="133" spans="1:18" s="115" customFormat="1" ht="63" customHeight="1" x14ac:dyDescent="0.45">
      <c r="A133" s="27"/>
      <c r="B133" s="28"/>
      <c r="C133" s="28"/>
      <c r="D133" s="29" t="s">
        <v>675</v>
      </c>
      <c r="E133" s="30">
        <f t="shared" si="52"/>
        <v>2233488.84</v>
      </c>
      <c r="F133" s="30">
        <f>1331125+902363.84</f>
        <v>2233488.84</v>
      </c>
      <c r="G133" s="30">
        <f>1091086+739642</f>
        <v>1830728</v>
      </c>
      <c r="H133" s="30"/>
      <c r="I133" s="30"/>
      <c r="J133" s="30">
        <f t="shared" si="54"/>
        <v>0</v>
      </c>
      <c r="K133" s="30"/>
      <c r="L133" s="30"/>
      <c r="M133" s="30"/>
      <c r="N133" s="30"/>
      <c r="O133" s="30"/>
      <c r="P133" s="30">
        <f t="shared" si="53"/>
        <v>2233488.84</v>
      </c>
      <c r="Q133" s="140"/>
      <c r="R133" s="31"/>
    </row>
    <row r="134" spans="1:18" s="115" customFormat="1" ht="70.5" customHeight="1" x14ac:dyDescent="0.45">
      <c r="A134" s="22" t="s">
        <v>476</v>
      </c>
      <c r="B134" s="23">
        <v>1210</v>
      </c>
      <c r="C134" s="22" t="s">
        <v>56</v>
      </c>
      <c r="D134" s="24" t="s">
        <v>477</v>
      </c>
      <c r="E134" s="25">
        <f t="shared" si="52"/>
        <v>872618.44</v>
      </c>
      <c r="F134" s="25">
        <f>714100.24+158518.2</f>
        <v>872618.44</v>
      </c>
      <c r="G134" s="25">
        <f>585328+129933</f>
        <v>715261</v>
      </c>
      <c r="H134" s="30"/>
      <c r="I134" s="30"/>
      <c r="J134" s="25">
        <f t="shared" si="54"/>
        <v>0</v>
      </c>
      <c r="K134" s="30"/>
      <c r="L134" s="30"/>
      <c r="M134" s="30"/>
      <c r="N134" s="30"/>
      <c r="O134" s="30"/>
      <c r="P134" s="25">
        <f t="shared" si="53"/>
        <v>872618.44</v>
      </c>
      <c r="Q134" s="140"/>
      <c r="R134" s="31"/>
    </row>
    <row r="135" spans="1:18" s="115" customFormat="1" ht="64.5" customHeight="1" x14ac:dyDescent="0.45">
      <c r="A135" s="27"/>
      <c r="B135" s="28"/>
      <c r="C135" s="28"/>
      <c r="D135" s="29" t="s">
        <v>676</v>
      </c>
      <c r="E135" s="30">
        <f t="shared" si="52"/>
        <v>872618.44</v>
      </c>
      <c r="F135" s="30">
        <f>714100.24+158518.2</f>
        <v>872618.44</v>
      </c>
      <c r="G135" s="30">
        <f>585328+129933</f>
        <v>715261</v>
      </c>
      <c r="H135" s="30"/>
      <c r="I135" s="30"/>
      <c r="J135" s="30">
        <f t="shared" si="54"/>
        <v>0</v>
      </c>
      <c r="K135" s="30"/>
      <c r="L135" s="30"/>
      <c r="M135" s="30"/>
      <c r="N135" s="30"/>
      <c r="O135" s="30"/>
      <c r="P135" s="30">
        <f t="shared" si="53"/>
        <v>872618.44</v>
      </c>
      <c r="Q135" s="140"/>
      <c r="R135" s="31"/>
    </row>
    <row r="136" spans="1:18" s="31" customFormat="1" ht="64.5" hidden="1" customHeight="1" x14ac:dyDescent="0.45">
      <c r="A136" s="22" t="s">
        <v>459</v>
      </c>
      <c r="B136" s="23">
        <v>3140</v>
      </c>
      <c r="C136" s="23">
        <v>1040</v>
      </c>
      <c r="D136" s="35" t="str">
        <f>'дод 7'!C158</f>
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</c>
      <c r="E136" s="25">
        <f t="shared" si="52"/>
        <v>0</v>
      </c>
      <c r="F136" s="25"/>
      <c r="G136" s="25"/>
      <c r="H136" s="25"/>
      <c r="I136" s="25"/>
      <c r="J136" s="25">
        <f t="shared" si="54"/>
        <v>0</v>
      </c>
      <c r="K136" s="30"/>
      <c r="L136" s="30"/>
      <c r="M136" s="30"/>
      <c r="N136" s="30"/>
      <c r="O136" s="30"/>
      <c r="P136" s="25">
        <f t="shared" si="53"/>
        <v>0</v>
      </c>
      <c r="Q136" s="140"/>
    </row>
    <row r="137" spans="1:18" s="31" customFormat="1" ht="69" customHeight="1" x14ac:dyDescent="0.45">
      <c r="A137" s="22" t="s">
        <v>683</v>
      </c>
      <c r="B137" s="23" t="str">
        <f>'дод 7'!A91</f>
        <v>1221</v>
      </c>
      <c r="C137" s="23" t="str">
        <f>'дод 7'!B91</f>
        <v>0990</v>
      </c>
      <c r="D137" s="36" t="str">
        <f>'дод 7'!C91</f>
        <v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v>
      </c>
      <c r="E137" s="25">
        <f t="shared" si="52"/>
        <v>2000000</v>
      </c>
      <c r="F137" s="25">
        <v>2000000</v>
      </c>
      <c r="G137" s="25"/>
      <c r="H137" s="30"/>
      <c r="I137" s="30"/>
      <c r="J137" s="25">
        <f t="shared" si="54"/>
        <v>0</v>
      </c>
      <c r="K137" s="25"/>
      <c r="L137" s="25"/>
      <c r="M137" s="25"/>
      <c r="N137" s="25"/>
      <c r="O137" s="25"/>
      <c r="P137" s="25">
        <f t="shared" si="53"/>
        <v>2000000</v>
      </c>
      <c r="Q137" s="140"/>
    </row>
    <row r="138" spans="1:18" s="133" customFormat="1" ht="64.5" customHeight="1" x14ac:dyDescent="0.45">
      <c r="A138" s="22" t="s">
        <v>681</v>
      </c>
      <c r="B138" s="23" t="str">
        <f>'дод 7'!A92</f>
        <v>1222</v>
      </c>
      <c r="C138" s="23" t="str">
        <f>'дод 7'!B92</f>
        <v>0990</v>
      </c>
      <c r="D138" s="36" t="str">
        <f>'дод 7'!C92</f>
        <v xml:space="preserve"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бюджетам, у т.ч. за рахунок: </v>
      </c>
      <c r="E138" s="25">
        <f t="shared" ref="E138:E140" si="69">F138+I138</f>
        <v>2847046</v>
      </c>
      <c r="F138" s="25">
        <f>2843700+3346</f>
        <v>2847046</v>
      </c>
      <c r="G138" s="25"/>
      <c r="H138" s="30"/>
      <c r="I138" s="30"/>
      <c r="J138" s="25">
        <f t="shared" ref="J138:J140" si="70">L138+O138</f>
        <v>5552954</v>
      </c>
      <c r="K138" s="25">
        <f>5556300-3346</f>
        <v>5552954</v>
      </c>
      <c r="L138" s="25"/>
      <c r="M138" s="25"/>
      <c r="N138" s="25"/>
      <c r="O138" s="25">
        <f>5556300-3346</f>
        <v>5552954</v>
      </c>
      <c r="P138" s="25">
        <f t="shared" ref="P138:P140" si="71">E138+J138</f>
        <v>8400000</v>
      </c>
      <c r="Q138" s="140">
        <v>6</v>
      </c>
      <c r="R138" s="31"/>
    </row>
    <row r="139" spans="1:18" s="133" customFormat="1" ht="64.5" customHeight="1" x14ac:dyDescent="0.45">
      <c r="A139" s="27"/>
      <c r="B139" s="28">
        <f>'дод 7'!A93</f>
        <v>0</v>
      </c>
      <c r="C139" s="28">
        <f>'дод 7'!B93</f>
        <v>0</v>
      </c>
      <c r="D139" s="43" t="str">
        <f>'дод 7'!C93</f>
        <v>субвенції з державного бюджету місцевим бюджетам на створення навчально-практичних центрів сучасної професійної (професійно-технічної) освіти</v>
      </c>
      <c r="E139" s="30">
        <f t="shared" si="69"/>
        <v>2847046</v>
      </c>
      <c r="F139" s="30">
        <f>2843700+3346</f>
        <v>2847046</v>
      </c>
      <c r="G139" s="30"/>
      <c r="H139" s="30"/>
      <c r="I139" s="30"/>
      <c r="J139" s="30">
        <f t="shared" si="70"/>
        <v>5552954</v>
      </c>
      <c r="K139" s="30">
        <f>5556300-3346</f>
        <v>5552954</v>
      </c>
      <c r="L139" s="30"/>
      <c r="M139" s="30"/>
      <c r="N139" s="30"/>
      <c r="O139" s="30">
        <f>5556300-3346</f>
        <v>5552954</v>
      </c>
      <c r="P139" s="30">
        <f t="shared" si="71"/>
        <v>8400000</v>
      </c>
      <c r="Q139" s="140"/>
      <c r="R139" s="31"/>
    </row>
    <row r="140" spans="1:18" s="26" customFormat="1" ht="93.75" customHeight="1" x14ac:dyDescent="0.45">
      <c r="A140" s="22" t="s">
        <v>690</v>
      </c>
      <c r="B140" s="22" t="s">
        <v>691</v>
      </c>
      <c r="C140" s="22" t="s">
        <v>56</v>
      </c>
      <c r="D140" s="36" t="s">
        <v>692</v>
      </c>
      <c r="E140" s="25">
        <f t="shared" si="69"/>
        <v>0</v>
      </c>
      <c r="F140" s="25"/>
      <c r="G140" s="25"/>
      <c r="H140" s="25"/>
      <c r="I140" s="25"/>
      <c r="J140" s="25">
        <f t="shared" si="70"/>
        <v>37015300</v>
      </c>
      <c r="K140" s="25">
        <v>37015300</v>
      </c>
      <c r="L140" s="25"/>
      <c r="M140" s="25"/>
      <c r="N140" s="25"/>
      <c r="O140" s="25">
        <v>37015300</v>
      </c>
      <c r="P140" s="25">
        <f t="shared" si="71"/>
        <v>37015300</v>
      </c>
      <c r="Q140" s="140"/>
    </row>
    <row r="141" spans="1:18" s="26" customFormat="1" ht="93.75" customHeight="1" x14ac:dyDescent="0.45">
      <c r="A141" s="22" t="s">
        <v>704</v>
      </c>
      <c r="B141" s="22" t="s">
        <v>701</v>
      </c>
      <c r="C141" s="22" t="s">
        <v>56</v>
      </c>
      <c r="D141" s="36" t="s">
        <v>702</v>
      </c>
      <c r="E141" s="25">
        <f t="shared" ref="E141:E142" si="72">F141+I141</f>
        <v>0</v>
      </c>
      <c r="F141" s="25"/>
      <c r="G141" s="25"/>
      <c r="H141" s="30"/>
      <c r="I141" s="30"/>
      <c r="J141" s="25">
        <f t="shared" ref="J141:J142" si="73">L141+O141</f>
        <v>82600800</v>
      </c>
      <c r="K141" s="25">
        <v>82600800</v>
      </c>
      <c r="L141" s="25"/>
      <c r="M141" s="25"/>
      <c r="N141" s="25"/>
      <c r="O141" s="25">
        <v>82600800</v>
      </c>
      <c r="P141" s="25">
        <f t="shared" ref="P141:P142" si="74">E141+J141</f>
        <v>82600800</v>
      </c>
      <c r="Q141" s="140"/>
    </row>
    <row r="142" spans="1:18" s="31" customFormat="1" ht="93.75" customHeight="1" x14ac:dyDescent="0.45">
      <c r="A142" s="27"/>
      <c r="B142" s="27"/>
      <c r="C142" s="27"/>
      <c r="D142" s="43" t="s">
        <v>703</v>
      </c>
      <c r="E142" s="30">
        <f t="shared" si="72"/>
        <v>0</v>
      </c>
      <c r="F142" s="30"/>
      <c r="G142" s="30"/>
      <c r="H142" s="30"/>
      <c r="I142" s="30"/>
      <c r="J142" s="30">
        <f t="shared" si="73"/>
        <v>82600800</v>
      </c>
      <c r="K142" s="30">
        <v>82600800</v>
      </c>
      <c r="L142" s="30"/>
      <c r="M142" s="30"/>
      <c r="N142" s="30"/>
      <c r="O142" s="30">
        <v>82600800</v>
      </c>
      <c r="P142" s="30">
        <f t="shared" si="74"/>
        <v>82600800</v>
      </c>
      <c r="Q142" s="140"/>
    </row>
    <row r="143" spans="1:18" s="31" customFormat="1" ht="64.5" customHeight="1" x14ac:dyDescent="0.45">
      <c r="A143" s="22" t="s">
        <v>626</v>
      </c>
      <c r="B143" s="23">
        <v>1261</v>
      </c>
      <c r="C143" s="22" t="s">
        <v>56</v>
      </c>
      <c r="D143" s="35" t="s">
        <v>625</v>
      </c>
      <c r="E143" s="25">
        <f t="shared" si="52"/>
        <v>0</v>
      </c>
      <c r="F143" s="25"/>
      <c r="G143" s="25"/>
      <c r="H143" s="25"/>
      <c r="I143" s="25"/>
      <c r="J143" s="25">
        <f t="shared" si="54"/>
        <v>2500000</v>
      </c>
      <c r="K143" s="25">
        <f>1200000+1300000</f>
        <v>2500000</v>
      </c>
      <c r="L143" s="25"/>
      <c r="M143" s="25"/>
      <c r="N143" s="25"/>
      <c r="O143" s="25">
        <f>1200000+1300000</f>
        <v>2500000</v>
      </c>
      <c r="P143" s="25">
        <f t="shared" si="53"/>
        <v>2500000</v>
      </c>
      <c r="Q143" s="140"/>
    </row>
    <row r="144" spans="1:18" s="31" customFormat="1" ht="64.5" hidden="1" customHeight="1" x14ac:dyDescent="0.45">
      <c r="A144" s="22" t="s">
        <v>627</v>
      </c>
      <c r="B144" s="23">
        <v>1262</v>
      </c>
      <c r="C144" s="22" t="s">
        <v>56</v>
      </c>
      <c r="D144" s="35" t="s">
        <v>688</v>
      </c>
      <c r="E144" s="25">
        <f t="shared" si="52"/>
        <v>0</v>
      </c>
      <c r="F144" s="25"/>
      <c r="G144" s="25"/>
      <c r="H144" s="25"/>
      <c r="I144" s="25"/>
      <c r="J144" s="25">
        <f t="shared" si="54"/>
        <v>0</v>
      </c>
      <c r="K144" s="25"/>
      <c r="L144" s="25"/>
      <c r="M144" s="25"/>
      <c r="N144" s="25"/>
      <c r="O144" s="25"/>
      <c r="P144" s="25">
        <f t="shared" si="53"/>
        <v>0</v>
      </c>
      <c r="Q144" s="140"/>
    </row>
    <row r="145" spans="1:18" s="31" customFormat="1" ht="64.5" hidden="1" customHeight="1" x14ac:dyDescent="0.45">
      <c r="A145" s="22"/>
      <c r="B145" s="23"/>
      <c r="C145" s="23"/>
      <c r="D145" s="44" t="s">
        <v>628</v>
      </c>
      <c r="E145" s="25">
        <f t="shared" si="52"/>
        <v>0</v>
      </c>
      <c r="F145" s="25"/>
      <c r="G145" s="25"/>
      <c r="H145" s="25"/>
      <c r="I145" s="25"/>
      <c r="J145" s="30">
        <f t="shared" si="54"/>
        <v>0</v>
      </c>
      <c r="K145" s="30"/>
      <c r="L145" s="30"/>
      <c r="M145" s="30"/>
      <c r="N145" s="30"/>
      <c r="O145" s="30"/>
      <c r="P145" s="30">
        <f t="shared" si="53"/>
        <v>0</v>
      </c>
      <c r="Q145" s="140"/>
    </row>
    <row r="146" spans="1:18" s="31" customFormat="1" ht="96.75" customHeight="1" x14ac:dyDescent="0.45">
      <c r="A146" s="22" t="s">
        <v>677</v>
      </c>
      <c r="B146" s="23">
        <v>1291</v>
      </c>
      <c r="C146" s="22" t="s">
        <v>56</v>
      </c>
      <c r="D146" s="35" t="str">
        <f>'дод 7'!C100</f>
        <v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бюджету), у т.ч. за рахунок:</v>
      </c>
      <c r="E146" s="25">
        <f t="shared" si="52"/>
        <v>1841503</v>
      </c>
      <c r="F146" s="25">
        <f>1830302+10238+65027-141859+426874-349079</f>
        <v>1841503</v>
      </c>
      <c r="G146" s="25"/>
      <c r="H146" s="25"/>
      <c r="I146" s="25"/>
      <c r="J146" s="25">
        <f t="shared" si="54"/>
        <v>5789756</v>
      </c>
      <c r="K146" s="25">
        <f>3097872+1503051-10238-65027+141859+773160+349079</f>
        <v>5789756</v>
      </c>
      <c r="L146" s="25"/>
      <c r="M146" s="25"/>
      <c r="N146" s="25"/>
      <c r="O146" s="25">
        <f>3097872+1503051-10238-65027+141859+773160+349079</f>
        <v>5789756</v>
      </c>
      <c r="P146" s="25">
        <f t="shared" si="53"/>
        <v>7631259</v>
      </c>
      <c r="Q146" s="140"/>
    </row>
    <row r="147" spans="1:18" s="31" customFormat="1" ht="92.25" x14ac:dyDescent="0.45">
      <c r="A147" s="27"/>
      <c r="B147" s="28"/>
      <c r="C147" s="27"/>
      <c r="D147" s="44" t="str">
        <f>'дод 7'!C101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147" s="30">
        <f t="shared" ref="E147" si="75">F147+I147</f>
        <v>1339364</v>
      </c>
      <c r="F147" s="30">
        <f>1830302-141859-349079</f>
        <v>1339364</v>
      </c>
      <c r="G147" s="30"/>
      <c r="H147" s="30"/>
      <c r="I147" s="30"/>
      <c r="J147" s="30">
        <f t="shared" ref="J147" si="76">L147+O147</f>
        <v>1993989</v>
      </c>
      <c r="K147" s="30">
        <f>1503051+141859+349079</f>
        <v>1993989</v>
      </c>
      <c r="L147" s="30"/>
      <c r="M147" s="30"/>
      <c r="N147" s="30"/>
      <c r="O147" s="30">
        <f>1503051+141859+349079</f>
        <v>1993989</v>
      </c>
      <c r="P147" s="30">
        <f t="shared" ref="P147" si="77">E147+J147</f>
        <v>3333353</v>
      </c>
      <c r="Q147" s="140"/>
    </row>
    <row r="148" spans="1:18" s="115" customFormat="1" ht="92.25" x14ac:dyDescent="0.45">
      <c r="A148" s="22" t="s">
        <v>672</v>
      </c>
      <c r="B148" s="23" t="str">
        <f>'дод 7'!A102</f>
        <v>1292</v>
      </c>
      <c r="C148" s="23" t="str">
        <f>'дод 7'!B102</f>
        <v>0990</v>
      </c>
      <c r="D148" s="36" t="str">
        <f>'дод 7'!C102</f>
        <v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бюджету), у т.ч. за рахунок:</v>
      </c>
      <c r="E148" s="25">
        <f t="shared" ref="E148:E149" si="78">F148+I148</f>
        <v>0</v>
      </c>
      <c r="F148" s="25"/>
      <c r="G148" s="25"/>
      <c r="H148" s="25"/>
      <c r="I148" s="25"/>
      <c r="J148" s="25">
        <f t="shared" ref="J148:J149" si="79">L148+O148</f>
        <v>18068330</v>
      </c>
      <c r="K148" s="25"/>
      <c r="L148" s="25">
        <f>262064+23890+4270702+151729-331003-814519+996039</f>
        <v>4558902</v>
      </c>
      <c r="M148" s="25"/>
      <c r="N148" s="25"/>
      <c r="O148" s="25">
        <f>7228366-23890+3507119-151729+331003+814519+1804040</f>
        <v>13509428</v>
      </c>
      <c r="P148" s="25">
        <f t="shared" ref="P148:P149" si="80">E148+J148</f>
        <v>18068330</v>
      </c>
      <c r="Q148" s="140"/>
      <c r="R148" s="31"/>
    </row>
    <row r="149" spans="1:18" s="115" customFormat="1" ht="64.5" customHeight="1" x14ac:dyDescent="0.45">
      <c r="A149" s="27"/>
      <c r="B149" s="28"/>
      <c r="C149" s="28"/>
      <c r="D149" s="29" t="s">
        <v>494</v>
      </c>
      <c r="E149" s="30">
        <f t="shared" si="78"/>
        <v>0</v>
      </c>
      <c r="F149" s="30"/>
      <c r="G149" s="30"/>
      <c r="H149" s="30"/>
      <c r="I149" s="30"/>
      <c r="J149" s="30">
        <f t="shared" si="79"/>
        <v>18068330</v>
      </c>
      <c r="K149" s="30"/>
      <c r="L149" s="30">
        <f>262064+23890+4270702+151729-331003-814519+996039</f>
        <v>4558902</v>
      </c>
      <c r="M149" s="30"/>
      <c r="N149" s="30"/>
      <c r="O149" s="30">
        <f>7228366-23890+3507119-151729+331003+814519+1804040</f>
        <v>13509428</v>
      </c>
      <c r="P149" s="30">
        <f t="shared" si="80"/>
        <v>18068330</v>
      </c>
      <c r="Q149" s="140"/>
      <c r="R149" s="31"/>
    </row>
    <row r="150" spans="1:18" s="31" customFormat="1" ht="64.5" hidden="1" customHeight="1" x14ac:dyDescent="0.45">
      <c r="A150" s="22" t="s">
        <v>459</v>
      </c>
      <c r="B150" s="23">
        <v>3140</v>
      </c>
      <c r="C150" s="23">
        <v>1040</v>
      </c>
      <c r="D150" s="35" t="s">
        <v>20</v>
      </c>
      <c r="E150" s="25">
        <f t="shared" si="52"/>
        <v>0</v>
      </c>
      <c r="F150" s="25">
        <f>2000000-2000000</f>
        <v>0</v>
      </c>
      <c r="G150" s="25"/>
      <c r="H150" s="25"/>
      <c r="I150" s="25"/>
      <c r="J150" s="30">
        <f t="shared" si="54"/>
        <v>0</v>
      </c>
      <c r="K150" s="30"/>
      <c r="L150" s="30"/>
      <c r="M150" s="30"/>
      <c r="N150" s="30"/>
      <c r="O150" s="30"/>
      <c r="P150" s="25">
        <f t="shared" si="53"/>
        <v>0</v>
      </c>
      <c r="Q150" s="140"/>
    </row>
    <row r="151" spans="1:18" s="115" customFormat="1" ht="64.5" customHeight="1" x14ac:dyDescent="0.45">
      <c r="A151" s="22" t="s">
        <v>732</v>
      </c>
      <c r="B151" s="23" t="str">
        <f>'дод 7'!A104</f>
        <v>1403</v>
      </c>
      <c r="C151" s="23" t="str">
        <f>'дод 7'!B104</f>
        <v>0990</v>
      </c>
      <c r="D151" s="36" t="str">
        <f>'дод 7'!C104</f>
        <v>Забезпечення харчуванням учнів початкових класів закладів загальної середньої освіти за рахунок субвенції з державного бюджету місцевим бюджетам, у т.ч. за рахунок:</v>
      </c>
      <c r="E151" s="25">
        <f t="shared" si="52"/>
        <v>12935800</v>
      </c>
      <c r="F151" s="25">
        <f>19506700-6570900</f>
        <v>12935800</v>
      </c>
      <c r="G151" s="25"/>
      <c r="H151" s="25"/>
      <c r="I151" s="25"/>
      <c r="J151" s="25">
        <f t="shared" si="54"/>
        <v>0</v>
      </c>
      <c r="K151" s="25"/>
      <c r="L151" s="25"/>
      <c r="M151" s="25"/>
      <c r="N151" s="25"/>
      <c r="O151" s="25"/>
      <c r="P151" s="25">
        <f t="shared" si="53"/>
        <v>12935800</v>
      </c>
      <c r="Q151" s="140"/>
      <c r="R151" s="31"/>
    </row>
    <row r="152" spans="1:18" s="115" customFormat="1" ht="66" customHeight="1" x14ac:dyDescent="0.45">
      <c r="A152" s="27"/>
      <c r="B152" s="28">
        <f>'дод 7'!A105</f>
        <v>0</v>
      </c>
      <c r="C152" s="28">
        <f>'дод 7'!B105</f>
        <v>0</v>
      </c>
      <c r="D152" s="43" t="str">
        <f>'дод 7'!C105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E152" s="30">
        <f t="shared" si="52"/>
        <v>12935800</v>
      </c>
      <c r="F152" s="30">
        <f>19506700-6570900</f>
        <v>12935800</v>
      </c>
      <c r="G152" s="30"/>
      <c r="H152" s="30"/>
      <c r="I152" s="30"/>
      <c r="J152" s="30">
        <f t="shared" si="54"/>
        <v>0</v>
      </c>
      <c r="K152" s="30"/>
      <c r="L152" s="30"/>
      <c r="M152" s="30"/>
      <c r="N152" s="30"/>
      <c r="O152" s="30"/>
      <c r="P152" s="30">
        <f t="shared" si="53"/>
        <v>12935800</v>
      </c>
      <c r="Q152" s="140"/>
      <c r="R152" s="31"/>
    </row>
    <row r="153" spans="1:18" s="115" customFormat="1" ht="39.75" customHeight="1" x14ac:dyDescent="0.45">
      <c r="A153" s="22" t="s">
        <v>460</v>
      </c>
      <c r="B153" s="23">
        <v>3242</v>
      </c>
      <c r="C153" s="23">
        <v>1090</v>
      </c>
      <c r="D153" s="24" t="s">
        <v>392</v>
      </c>
      <c r="E153" s="25">
        <f t="shared" si="52"/>
        <v>74250</v>
      </c>
      <c r="F153" s="25">
        <f>65200+9050</f>
        <v>74250</v>
      </c>
      <c r="G153" s="25"/>
      <c r="H153" s="25"/>
      <c r="I153" s="25"/>
      <c r="J153" s="25">
        <f t="shared" si="54"/>
        <v>0</v>
      </c>
      <c r="K153" s="30"/>
      <c r="L153" s="30"/>
      <c r="M153" s="30"/>
      <c r="N153" s="30"/>
      <c r="O153" s="30"/>
      <c r="P153" s="25">
        <f t="shared" si="53"/>
        <v>74250</v>
      </c>
      <c r="Q153" s="140"/>
      <c r="R153" s="31"/>
    </row>
    <row r="154" spans="1:18" s="115" customFormat="1" ht="34.5" customHeight="1" x14ac:dyDescent="0.45">
      <c r="A154" s="22" t="s">
        <v>461</v>
      </c>
      <c r="B154" s="23">
        <v>5031</v>
      </c>
      <c r="C154" s="22" t="s">
        <v>76</v>
      </c>
      <c r="D154" s="33" t="str">
        <f>'дод 7'!C195</f>
        <v>Утримання та навчально-тренувальна робота комунальних дитячо-юнацьких спортивних шкіл, у т.ч. за рахунок:</v>
      </c>
      <c r="E154" s="25">
        <f t="shared" si="52"/>
        <v>12594700</v>
      </c>
      <c r="F154" s="25">
        <f>14114800-70000+56000-1506100</f>
        <v>12594700</v>
      </c>
      <c r="G154" s="25">
        <f>10443800-1200000</f>
        <v>9243800</v>
      </c>
      <c r="H154" s="25">
        <v>457500</v>
      </c>
      <c r="I154" s="25"/>
      <c r="J154" s="25">
        <f t="shared" si="54"/>
        <v>0</v>
      </c>
      <c r="K154" s="25"/>
      <c r="L154" s="30"/>
      <c r="M154" s="30"/>
      <c r="N154" s="30"/>
      <c r="O154" s="25"/>
      <c r="P154" s="25">
        <f t="shared" si="53"/>
        <v>12594700</v>
      </c>
      <c r="Q154" s="140"/>
      <c r="R154" s="31"/>
    </row>
    <row r="155" spans="1:18" s="31" customFormat="1" ht="23.25" hidden="1" customHeight="1" x14ac:dyDescent="0.45">
      <c r="A155" s="27"/>
      <c r="B155" s="28"/>
      <c r="C155" s="27"/>
      <c r="D155" s="29" t="s">
        <v>380</v>
      </c>
      <c r="E155" s="25">
        <f t="shared" si="52"/>
        <v>0</v>
      </c>
      <c r="F155" s="30"/>
      <c r="G155" s="30"/>
      <c r="H155" s="30"/>
      <c r="I155" s="30"/>
      <c r="J155" s="30">
        <f t="shared" si="54"/>
        <v>0</v>
      </c>
      <c r="K155" s="30"/>
      <c r="L155" s="30"/>
      <c r="M155" s="30"/>
      <c r="N155" s="30"/>
      <c r="O155" s="30"/>
      <c r="P155" s="30">
        <f t="shared" si="53"/>
        <v>0</v>
      </c>
      <c r="Q155" s="114"/>
    </row>
    <row r="156" spans="1:18" s="31" customFormat="1" ht="42" hidden="1" customHeight="1" x14ac:dyDescent="0.45">
      <c r="A156" s="22" t="s">
        <v>462</v>
      </c>
      <c r="B156" s="23">
        <v>7321</v>
      </c>
      <c r="C156" s="22" t="s">
        <v>107</v>
      </c>
      <c r="D156" s="35" t="str">
        <f>'дод 7'!C239</f>
        <v>Будівництво1 освітніх установ та закладів, у т.ч. за рахунок:</v>
      </c>
      <c r="E156" s="25">
        <f t="shared" si="52"/>
        <v>0</v>
      </c>
      <c r="F156" s="25"/>
      <c r="G156" s="25"/>
      <c r="H156" s="25"/>
      <c r="I156" s="25"/>
      <c r="J156" s="25">
        <f t="shared" si="54"/>
        <v>0</v>
      </c>
      <c r="K156" s="25"/>
      <c r="L156" s="25"/>
      <c r="M156" s="25"/>
      <c r="N156" s="25"/>
      <c r="O156" s="25"/>
      <c r="P156" s="25">
        <f t="shared" si="53"/>
        <v>0</v>
      </c>
      <c r="Q156" s="114"/>
    </row>
    <row r="157" spans="1:18" s="31" customFormat="1" ht="21" hidden="1" customHeight="1" x14ac:dyDescent="0.45">
      <c r="A157" s="22"/>
      <c r="B157" s="23"/>
      <c r="C157" s="22"/>
      <c r="D157" s="29" t="s">
        <v>380</v>
      </c>
      <c r="E157" s="25">
        <f t="shared" si="52"/>
        <v>0</v>
      </c>
      <c r="F157" s="25"/>
      <c r="G157" s="25"/>
      <c r="H157" s="25"/>
      <c r="I157" s="25"/>
      <c r="J157" s="30">
        <f t="shared" si="54"/>
        <v>0</v>
      </c>
      <c r="K157" s="30"/>
      <c r="L157" s="25"/>
      <c r="M157" s="25"/>
      <c r="N157" s="25"/>
      <c r="O157" s="30"/>
      <c r="P157" s="30">
        <f t="shared" si="53"/>
        <v>0</v>
      </c>
      <c r="Q157" s="114"/>
    </row>
    <row r="158" spans="1:18" s="31" customFormat="1" ht="47.25" hidden="1" customHeight="1" x14ac:dyDescent="0.45">
      <c r="A158" s="22" t="s">
        <v>498</v>
      </c>
      <c r="B158" s="23">
        <v>7363</v>
      </c>
      <c r="C158" s="22" t="s">
        <v>78</v>
      </c>
      <c r="D158" s="35" t="s">
        <v>552</v>
      </c>
      <c r="E158" s="25">
        <f t="shared" si="52"/>
        <v>0</v>
      </c>
      <c r="F158" s="25"/>
      <c r="G158" s="25"/>
      <c r="H158" s="25"/>
      <c r="I158" s="25"/>
      <c r="J158" s="25">
        <f t="shared" si="54"/>
        <v>0</v>
      </c>
      <c r="K158" s="25"/>
      <c r="L158" s="25"/>
      <c r="M158" s="25"/>
      <c r="N158" s="25"/>
      <c r="O158" s="25"/>
      <c r="P158" s="25">
        <f t="shared" si="53"/>
        <v>0</v>
      </c>
      <c r="Q158" s="114"/>
    </row>
    <row r="159" spans="1:18" s="31" customFormat="1" ht="36.75" hidden="1" customHeight="1" x14ac:dyDescent="0.45">
      <c r="A159" s="27"/>
      <c r="B159" s="28"/>
      <c r="C159" s="27"/>
      <c r="D159" s="44" t="s">
        <v>576</v>
      </c>
      <c r="E159" s="25">
        <f t="shared" si="52"/>
        <v>0</v>
      </c>
      <c r="F159" s="30"/>
      <c r="G159" s="30"/>
      <c r="H159" s="30"/>
      <c r="I159" s="30"/>
      <c r="J159" s="30">
        <f t="shared" si="54"/>
        <v>0</v>
      </c>
      <c r="K159" s="30"/>
      <c r="L159" s="30"/>
      <c r="M159" s="30"/>
      <c r="N159" s="30"/>
      <c r="O159" s="30"/>
      <c r="P159" s="30">
        <f t="shared" si="53"/>
        <v>0</v>
      </c>
      <c r="Q159" s="114"/>
    </row>
    <row r="160" spans="1:18" s="31" customFormat="1" ht="76.900000000000006" x14ac:dyDescent="0.45">
      <c r="A160" s="22" t="s">
        <v>660</v>
      </c>
      <c r="B160" s="23">
        <v>7384</v>
      </c>
      <c r="C160" s="22" t="s">
        <v>78</v>
      </c>
      <c r="D160" s="33" t="s">
        <v>661</v>
      </c>
      <c r="E160" s="25">
        <f t="shared" ref="E160" si="81">F160+I160</f>
        <v>0</v>
      </c>
      <c r="F160" s="25">
        <v>0</v>
      </c>
      <c r="G160" s="25">
        <v>0</v>
      </c>
      <c r="H160" s="25">
        <v>0</v>
      </c>
      <c r="I160" s="25"/>
      <c r="J160" s="25">
        <f t="shared" ref="J160" si="82">L160+O160</f>
        <v>51527652.659999996</v>
      </c>
      <c r="K160" s="25"/>
      <c r="L160" s="30"/>
      <c r="M160" s="30"/>
      <c r="N160" s="30"/>
      <c r="O160" s="25">
        <v>51527652.659999996</v>
      </c>
      <c r="P160" s="25">
        <f t="shared" ref="P160" si="83">E160+J160</f>
        <v>51527652.659999996</v>
      </c>
      <c r="Q160" s="140">
        <v>7</v>
      </c>
    </row>
    <row r="161" spans="1:17" s="31" customFormat="1" ht="118.9" customHeight="1" x14ac:dyDescent="0.45">
      <c r="A161" s="27"/>
      <c r="B161" s="28"/>
      <c r="C161" s="27"/>
      <c r="D161" s="44" t="s">
        <v>665</v>
      </c>
      <c r="E161" s="30">
        <f t="shared" ref="E161" si="84">F161+I161</f>
        <v>0</v>
      </c>
      <c r="F161" s="30">
        <v>0</v>
      </c>
      <c r="G161" s="30">
        <v>0</v>
      </c>
      <c r="H161" s="30">
        <v>0</v>
      </c>
      <c r="I161" s="30"/>
      <c r="J161" s="30">
        <f t="shared" ref="J161" si="85">L161+O161</f>
        <v>51527652.659999996</v>
      </c>
      <c r="K161" s="30"/>
      <c r="L161" s="30"/>
      <c r="M161" s="30"/>
      <c r="N161" s="30"/>
      <c r="O161" s="30">
        <v>51527652.659999996</v>
      </c>
      <c r="P161" s="30">
        <f t="shared" ref="P161" si="86">E161+J161</f>
        <v>51527652.659999996</v>
      </c>
      <c r="Q161" s="140"/>
    </row>
    <row r="162" spans="1:17" s="26" customFormat="1" ht="27.75" hidden="1" customHeight="1" x14ac:dyDescent="0.45">
      <c r="A162" s="22" t="s">
        <v>573</v>
      </c>
      <c r="B162" s="45" t="s">
        <v>231</v>
      </c>
      <c r="C162" s="45" t="s">
        <v>78</v>
      </c>
      <c r="D162" s="33" t="s">
        <v>17</v>
      </c>
      <c r="E162" s="25">
        <f t="shared" si="52"/>
        <v>0</v>
      </c>
      <c r="F162" s="25"/>
      <c r="G162" s="25"/>
      <c r="H162" s="25"/>
      <c r="I162" s="25"/>
      <c r="J162" s="25">
        <f t="shared" ref="J162" si="87">L162+O162</f>
        <v>0</v>
      </c>
      <c r="K162" s="30"/>
      <c r="L162" s="30"/>
      <c r="M162" s="30"/>
      <c r="N162" s="30"/>
      <c r="O162" s="30"/>
      <c r="P162" s="25">
        <f t="shared" ref="P162" si="88">E162+J162</f>
        <v>0</v>
      </c>
      <c r="Q162" s="140"/>
    </row>
    <row r="163" spans="1:17" s="31" customFormat="1" ht="24" customHeight="1" x14ac:dyDescent="0.45">
      <c r="A163" s="22" t="s">
        <v>463</v>
      </c>
      <c r="B163" s="23">
        <v>7640</v>
      </c>
      <c r="C163" s="22" t="s">
        <v>82</v>
      </c>
      <c r="D163" s="33" t="s">
        <v>402</v>
      </c>
      <c r="E163" s="25">
        <f t="shared" si="52"/>
        <v>766560</v>
      </c>
      <c r="F163" s="25">
        <v>766560</v>
      </c>
      <c r="G163" s="25"/>
      <c r="H163" s="25"/>
      <c r="I163" s="25"/>
      <c r="J163" s="25">
        <f>L163+O163</f>
        <v>95589467</v>
      </c>
      <c r="K163" s="25">
        <f>71289467+24000000+300000</f>
        <v>95589467</v>
      </c>
      <c r="L163" s="25"/>
      <c r="M163" s="25"/>
      <c r="N163" s="25"/>
      <c r="O163" s="25">
        <f>71289467+24000000+300000</f>
        <v>95589467</v>
      </c>
      <c r="P163" s="25">
        <f t="shared" si="53"/>
        <v>96356027</v>
      </c>
      <c r="Q163" s="140"/>
    </row>
    <row r="164" spans="1:17" s="31" customFormat="1" ht="47.25" hidden="1" customHeight="1" x14ac:dyDescent="0.45">
      <c r="A164" s="22" t="s">
        <v>466</v>
      </c>
      <c r="B164" s="23">
        <v>7700</v>
      </c>
      <c r="C164" s="22" t="s">
        <v>89</v>
      </c>
      <c r="D164" s="33" t="s">
        <v>348</v>
      </c>
      <c r="E164" s="25">
        <f t="shared" si="52"/>
        <v>0</v>
      </c>
      <c r="F164" s="25"/>
      <c r="G164" s="25"/>
      <c r="H164" s="25"/>
      <c r="I164" s="25"/>
      <c r="J164" s="25">
        <f t="shared" si="54"/>
        <v>0</v>
      </c>
      <c r="K164" s="25"/>
      <c r="L164" s="25"/>
      <c r="M164" s="25"/>
      <c r="N164" s="25"/>
      <c r="O164" s="25"/>
      <c r="P164" s="25">
        <f t="shared" si="53"/>
        <v>0</v>
      </c>
      <c r="Q164" s="140"/>
    </row>
    <row r="165" spans="1:17" s="31" customFormat="1" ht="47.25" hidden="1" customHeight="1" x14ac:dyDescent="0.45">
      <c r="A165" s="22" t="s">
        <v>573</v>
      </c>
      <c r="B165" s="23" t="str">
        <f>'дод 7'!A296</f>
        <v>7693</v>
      </c>
      <c r="C165" s="23" t="str">
        <f>'дод 7'!B296</f>
        <v>0490</v>
      </c>
      <c r="D165" s="36" t="str">
        <f>'дод 7'!C296</f>
        <v>Інші заходи, пов'язані з економічною діяльністю, у т.ч. за рахунок:</v>
      </c>
      <c r="E165" s="25">
        <f t="shared" si="52"/>
        <v>0</v>
      </c>
      <c r="F165" s="46"/>
      <c r="G165" s="25"/>
      <c r="H165" s="25"/>
      <c r="I165" s="25"/>
      <c r="J165" s="25">
        <f t="shared" si="54"/>
        <v>0</v>
      </c>
      <c r="K165" s="25"/>
      <c r="L165" s="25"/>
      <c r="M165" s="25"/>
      <c r="N165" s="25"/>
      <c r="O165" s="25"/>
      <c r="P165" s="25">
        <f t="shared" si="53"/>
        <v>0</v>
      </c>
      <c r="Q165" s="140"/>
    </row>
    <row r="166" spans="1:17" s="31" customFormat="1" ht="65.25" hidden="1" customHeight="1" x14ac:dyDescent="0.45">
      <c r="A166" s="22" t="s">
        <v>466</v>
      </c>
      <c r="B166" s="23">
        <f>'дод 7'!A298</f>
        <v>7700</v>
      </c>
      <c r="C166" s="23" t="str">
        <f>'дод 7'!B298</f>
        <v>0133</v>
      </c>
      <c r="D166" s="36" t="str">
        <f>'дод 7'!C298</f>
        <v>Реалізація програм допомоги і грантів Європейського Союзу, урядів іноземних держав, міжнародних організацій, донорських установ, у т.ч. за рахунок:</v>
      </c>
      <c r="E166" s="25">
        <f t="shared" si="52"/>
        <v>0</v>
      </c>
      <c r="F166" s="46"/>
      <c r="G166" s="25"/>
      <c r="H166" s="25"/>
      <c r="I166" s="25"/>
      <c r="J166" s="25">
        <f>L166+O166</f>
        <v>0</v>
      </c>
      <c r="K166" s="25"/>
      <c r="L166" s="25"/>
      <c r="M166" s="25"/>
      <c r="N166" s="25"/>
      <c r="O166" s="25"/>
      <c r="P166" s="25">
        <f t="shared" si="53"/>
        <v>0</v>
      </c>
      <c r="Q166" s="140"/>
    </row>
    <row r="167" spans="1:17" s="31" customFormat="1" ht="23.25" hidden="1" customHeight="1" x14ac:dyDescent="0.45">
      <c r="A167" s="22"/>
      <c r="B167" s="23"/>
      <c r="C167" s="23"/>
      <c r="D167" s="29" t="s">
        <v>597</v>
      </c>
      <c r="E167" s="25">
        <f t="shared" si="52"/>
        <v>0</v>
      </c>
      <c r="F167" s="46"/>
      <c r="G167" s="25"/>
      <c r="H167" s="25"/>
      <c r="I167" s="25"/>
      <c r="J167" s="30">
        <f>L167+O167</f>
        <v>0</v>
      </c>
      <c r="K167" s="25"/>
      <c r="L167" s="30"/>
      <c r="M167" s="25"/>
      <c r="N167" s="25"/>
      <c r="O167" s="30"/>
      <c r="P167" s="30">
        <f t="shared" si="53"/>
        <v>0</v>
      </c>
      <c r="Q167" s="140"/>
    </row>
    <row r="168" spans="1:17" s="31" customFormat="1" ht="31.15" customHeight="1" x14ac:dyDescent="0.45">
      <c r="A168" s="22" t="s">
        <v>617</v>
      </c>
      <c r="B168" s="23">
        <v>8240</v>
      </c>
      <c r="C168" s="23" t="str">
        <f>'дод 7'!B316</f>
        <v>0380</v>
      </c>
      <c r="D168" s="36" t="s">
        <v>566</v>
      </c>
      <c r="E168" s="25">
        <f t="shared" si="52"/>
        <v>14820000</v>
      </c>
      <c r="F168" s="47">
        <v>14820000</v>
      </c>
      <c r="G168" s="25"/>
      <c r="H168" s="25">
        <v>1860000</v>
      </c>
      <c r="I168" s="25"/>
      <c r="J168" s="25">
        <f t="shared" si="54"/>
        <v>0</v>
      </c>
      <c r="K168" s="25"/>
      <c r="L168" s="25"/>
      <c r="M168" s="25"/>
      <c r="N168" s="25"/>
      <c r="O168" s="25"/>
      <c r="P168" s="25">
        <f t="shared" si="53"/>
        <v>14820000</v>
      </c>
      <c r="Q168" s="140"/>
    </row>
    <row r="169" spans="1:17" s="31" customFormat="1" ht="36" customHeight="1" x14ac:dyDescent="0.45">
      <c r="A169" s="22" t="s">
        <v>464</v>
      </c>
      <c r="B169" s="23">
        <v>8340</v>
      </c>
      <c r="C169" s="22" t="s">
        <v>88</v>
      </c>
      <c r="D169" s="33" t="str">
        <f>'дод 7'!C321</f>
        <v>Природоохоронні заходи за рахунок цільових фондів</v>
      </c>
      <c r="E169" s="25">
        <f t="shared" si="52"/>
        <v>0</v>
      </c>
      <c r="F169" s="25"/>
      <c r="G169" s="25"/>
      <c r="H169" s="25"/>
      <c r="I169" s="25"/>
      <c r="J169" s="25">
        <f t="shared" si="54"/>
        <v>681500</v>
      </c>
      <c r="K169" s="25"/>
      <c r="L169" s="25">
        <v>539500</v>
      </c>
      <c r="M169" s="25"/>
      <c r="N169" s="25"/>
      <c r="O169" s="25">
        <v>142000</v>
      </c>
      <c r="P169" s="25">
        <f t="shared" si="53"/>
        <v>681500</v>
      </c>
      <c r="Q169" s="140"/>
    </row>
    <row r="170" spans="1:17" s="31" customFormat="1" ht="47.25" hidden="1" customHeight="1" x14ac:dyDescent="0.45">
      <c r="A170" s="22" t="s">
        <v>487</v>
      </c>
      <c r="B170" s="23">
        <v>9320</v>
      </c>
      <c r="C170" s="22" t="s">
        <v>43</v>
      </c>
      <c r="D170" s="35" t="s">
        <v>526</v>
      </c>
      <c r="E170" s="25">
        <f t="shared" ref="E170:E173" si="89">F170+I170</f>
        <v>0</v>
      </c>
      <c r="F170" s="25"/>
      <c r="G170" s="25"/>
      <c r="H170" s="25"/>
      <c r="I170" s="25"/>
      <c r="J170" s="25">
        <f t="shared" si="54"/>
        <v>0</v>
      </c>
      <c r="K170" s="25"/>
      <c r="L170" s="25"/>
      <c r="M170" s="25"/>
      <c r="N170" s="25"/>
      <c r="O170" s="25"/>
      <c r="P170" s="25">
        <f t="shared" si="53"/>
        <v>0</v>
      </c>
      <c r="Q170" s="140"/>
    </row>
    <row r="171" spans="1:17" s="31" customFormat="1" ht="31.5" hidden="1" customHeight="1" x14ac:dyDescent="0.45">
      <c r="A171" s="27"/>
      <c r="B171" s="28"/>
      <c r="C171" s="27"/>
      <c r="D171" s="29" t="s">
        <v>483</v>
      </c>
      <c r="E171" s="30">
        <f t="shared" si="89"/>
        <v>0</v>
      </c>
      <c r="F171" s="30"/>
      <c r="G171" s="30"/>
      <c r="H171" s="30"/>
      <c r="I171" s="30"/>
      <c r="J171" s="30">
        <f t="shared" si="54"/>
        <v>0</v>
      </c>
      <c r="K171" s="30"/>
      <c r="L171" s="30"/>
      <c r="M171" s="30"/>
      <c r="N171" s="30"/>
      <c r="O171" s="30"/>
      <c r="P171" s="30">
        <f t="shared" si="53"/>
        <v>0</v>
      </c>
      <c r="Q171" s="140"/>
    </row>
    <row r="172" spans="1:17" s="31" customFormat="1" ht="22.5" hidden="1" customHeight="1" x14ac:dyDescent="0.45">
      <c r="A172" s="22" t="s">
        <v>465</v>
      </c>
      <c r="B172" s="23">
        <v>9770</v>
      </c>
      <c r="C172" s="22" t="s">
        <v>43</v>
      </c>
      <c r="D172" s="35" t="str">
        <f>'дод 7'!C338</f>
        <v>Інші субвенції з місцевого бюджету</v>
      </c>
      <c r="E172" s="25">
        <f t="shared" ref="E172" si="90">F172+I172</f>
        <v>0</v>
      </c>
      <c r="F172" s="25"/>
      <c r="G172" s="25"/>
      <c r="H172" s="25"/>
      <c r="I172" s="25"/>
      <c r="J172" s="25">
        <f t="shared" ref="J172" si="91">L172+O172</f>
        <v>0</v>
      </c>
      <c r="K172" s="25"/>
      <c r="L172" s="25"/>
      <c r="M172" s="25"/>
      <c r="N172" s="25"/>
      <c r="O172" s="25"/>
      <c r="P172" s="25">
        <f t="shared" ref="P172" si="92">E172+J172</f>
        <v>0</v>
      </c>
      <c r="Q172" s="140"/>
    </row>
    <row r="173" spans="1:17" s="31" customFormat="1" ht="48.75" hidden="1" customHeight="1" x14ac:dyDescent="0.45">
      <c r="A173" s="22" t="s">
        <v>479</v>
      </c>
      <c r="B173" s="23">
        <v>9800</v>
      </c>
      <c r="C173" s="22" t="s">
        <v>43</v>
      </c>
      <c r="D173" s="35" t="s">
        <v>353</v>
      </c>
      <c r="E173" s="25">
        <f t="shared" si="89"/>
        <v>0</v>
      </c>
      <c r="F173" s="25"/>
      <c r="G173" s="25"/>
      <c r="H173" s="25"/>
      <c r="I173" s="25"/>
      <c r="J173" s="25">
        <f t="shared" si="54"/>
        <v>0</v>
      </c>
      <c r="K173" s="25"/>
      <c r="L173" s="25"/>
      <c r="M173" s="25"/>
      <c r="N173" s="25"/>
      <c r="O173" s="25"/>
      <c r="P173" s="25">
        <f t="shared" si="53"/>
        <v>0</v>
      </c>
      <c r="Q173" s="140"/>
    </row>
    <row r="174" spans="1:17" s="16" customFormat="1" ht="33.75" customHeight="1" x14ac:dyDescent="0.4">
      <c r="A174" s="37" t="s">
        <v>161</v>
      </c>
      <c r="B174" s="38"/>
      <c r="C174" s="38"/>
      <c r="D174" s="39" t="s">
        <v>433</v>
      </c>
      <c r="E174" s="15">
        <f>E175</f>
        <v>130264924.34999999</v>
      </c>
      <c r="F174" s="15">
        <f t="shared" ref="F174:P174" si="93">F175</f>
        <v>129879135</v>
      </c>
      <c r="G174" s="15">
        <f t="shared" si="93"/>
        <v>5280100</v>
      </c>
      <c r="H174" s="15">
        <f t="shared" si="93"/>
        <v>226600</v>
      </c>
      <c r="I174" s="15">
        <f t="shared" si="93"/>
        <v>385789.35</v>
      </c>
      <c r="J174" s="15">
        <f t="shared" si="93"/>
        <v>120580793</v>
      </c>
      <c r="K174" s="15">
        <f t="shared" si="93"/>
        <v>120580793</v>
      </c>
      <c r="L174" s="15">
        <f t="shared" si="93"/>
        <v>0</v>
      </c>
      <c r="M174" s="15">
        <f t="shared" si="93"/>
        <v>0</v>
      </c>
      <c r="N174" s="15">
        <f t="shared" si="93"/>
        <v>0</v>
      </c>
      <c r="O174" s="15">
        <f t="shared" si="93"/>
        <v>120580793</v>
      </c>
      <c r="P174" s="15">
        <f t="shared" si="93"/>
        <v>250845717.34999999</v>
      </c>
      <c r="Q174" s="140"/>
    </row>
    <row r="175" spans="1:17" s="21" customFormat="1" ht="33" customHeight="1" x14ac:dyDescent="0.4">
      <c r="A175" s="17" t="s">
        <v>162</v>
      </c>
      <c r="B175" s="40"/>
      <c r="C175" s="40"/>
      <c r="D175" s="19" t="s">
        <v>682</v>
      </c>
      <c r="E175" s="20">
        <f t="shared" ref="E175:P175" si="94">E188+E189+E193+E196+E198+E200+E203+E204+E205+E206+E207+E213+E216+E218+E192+E195+E219+E209+E211</f>
        <v>130264924.34999999</v>
      </c>
      <c r="F175" s="20">
        <f t="shared" si="94"/>
        <v>129879135</v>
      </c>
      <c r="G175" s="20">
        <f t="shared" si="94"/>
        <v>5280100</v>
      </c>
      <c r="H175" s="20">
        <f t="shared" si="94"/>
        <v>226600</v>
      </c>
      <c r="I175" s="20">
        <f t="shared" si="94"/>
        <v>385789.35</v>
      </c>
      <c r="J175" s="20">
        <f t="shared" si="94"/>
        <v>120580793</v>
      </c>
      <c r="K175" s="20">
        <f t="shared" si="94"/>
        <v>120580793</v>
      </c>
      <c r="L175" s="20">
        <f t="shared" si="94"/>
        <v>0</v>
      </c>
      <c r="M175" s="20">
        <f t="shared" si="94"/>
        <v>0</v>
      </c>
      <c r="N175" s="20">
        <f t="shared" si="94"/>
        <v>0</v>
      </c>
      <c r="O175" s="20">
        <f t="shared" si="94"/>
        <v>120580793</v>
      </c>
      <c r="P175" s="20">
        <f t="shared" si="94"/>
        <v>250845717.34999999</v>
      </c>
      <c r="Q175" s="140"/>
    </row>
    <row r="176" spans="1:17" s="21" customFormat="1" ht="94.5" hidden="1" customHeight="1" x14ac:dyDescent="0.4">
      <c r="A176" s="17"/>
      <c r="B176" s="40"/>
      <c r="C176" s="40"/>
      <c r="D176" s="19" t="s">
        <v>577</v>
      </c>
      <c r="E176" s="20" t="e">
        <f>#REF!</f>
        <v>#REF!</v>
      </c>
      <c r="F176" s="20" t="e">
        <f>#REF!</f>
        <v>#REF!</v>
      </c>
      <c r="G176" s="20" t="e">
        <f>#REF!</f>
        <v>#REF!</v>
      </c>
      <c r="H176" s="20" t="e">
        <f>#REF!</f>
        <v>#REF!</v>
      </c>
      <c r="I176" s="20" t="e">
        <f>#REF!</f>
        <v>#REF!</v>
      </c>
      <c r="J176" s="20" t="e">
        <f>#REF!</f>
        <v>#REF!</v>
      </c>
      <c r="K176" s="20" t="e">
        <f>#REF!</f>
        <v>#REF!</v>
      </c>
      <c r="L176" s="20" t="e">
        <f>#REF!</f>
        <v>#REF!</v>
      </c>
      <c r="M176" s="20" t="e">
        <f>#REF!</f>
        <v>#REF!</v>
      </c>
      <c r="N176" s="20" t="e">
        <f>#REF!</f>
        <v>#REF!</v>
      </c>
      <c r="O176" s="20" t="e">
        <f>#REF!</f>
        <v>#REF!</v>
      </c>
      <c r="P176" s="20" t="e">
        <f>#REF!</f>
        <v>#REF!</v>
      </c>
      <c r="Q176" s="140"/>
    </row>
    <row r="177" spans="1:18" s="21" customFormat="1" ht="31.5" hidden="1" customHeight="1" x14ac:dyDescent="0.4">
      <c r="A177" s="17"/>
      <c r="B177" s="40"/>
      <c r="C177" s="40"/>
      <c r="D177" s="19" t="s">
        <v>376</v>
      </c>
      <c r="E177" s="20" t="e">
        <f>#REF!+E194+E197</f>
        <v>#REF!</v>
      </c>
      <c r="F177" s="20" t="e">
        <f>#REF!+F194+F197</f>
        <v>#REF!</v>
      </c>
      <c r="G177" s="20" t="e">
        <f>#REF!+G194+G197</f>
        <v>#REF!</v>
      </c>
      <c r="H177" s="20" t="e">
        <f>#REF!+H194+H197</f>
        <v>#REF!</v>
      </c>
      <c r="I177" s="20" t="e">
        <f>#REF!+I194+I197</f>
        <v>#REF!</v>
      </c>
      <c r="J177" s="20" t="e">
        <f>#REF!+J194+J197</f>
        <v>#REF!</v>
      </c>
      <c r="K177" s="20" t="e">
        <f>#REF!+K194+K197</f>
        <v>#REF!</v>
      </c>
      <c r="L177" s="20" t="e">
        <f>#REF!+L194+L197</f>
        <v>#REF!</v>
      </c>
      <c r="M177" s="20" t="e">
        <f>#REF!+M194+M197</f>
        <v>#REF!</v>
      </c>
      <c r="N177" s="20" t="e">
        <f>#REF!+N194+N197</f>
        <v>#REF!</v>
      </c>
      <c r="O177" s="20" t="e">
        <f>#REF!+O194+O197</f>
        <v>#REF!</v>
      </c>
      <c r="P177" s="20" t="e">
        <f>#REF!+P194+P197</f>
        <v>#REF!</v>
      </c>
      <c r="Q177" s="140"/>
    </row>
    <row r="178" spans="1:18" s="21" customFormat="1" ht="57" hidden="1" customHeight="1" x14ac:dyDescent="0.4">
      <c r="A178" s="17"/>
      <c r="B178" s="40"/>
      <c r="C178" s="40"/>
      <c r="D178" s="19" t="s">
        <v>374</v>
      </c>
      <c r="E178" s="20">
        <f>E208</f>
        <v>0</v>
      </c>
      <c r="F178" s="20">
        <f>F208</f>
        <v>0</v>
      </c>
      <c r="G178" s="20">
        <f t="shared" ref="G178:I178" si="95">G208</f>
        <v>0</v>
      </c>
      <c r="H178" s="20">
        <f t="shared" si="95"/>
        <v>0</v>
      </c>
      <c r="I178" s="20">
        <f t="shared" si="95"/>
        <v>0</v>
      </c>
      <c r="J178" s="20">
        <f>J208</f>
        <v>0</v>
      </c>
      <c r="K178" s="20">
        <f t="shared" ref="K178:P178" si="96">K208</f>
        <v>0</v>
      </c>
      <c r="L178" s="20">
        <f t="shared" si="96"/>
        <v>0</v>
      </c>
      <c r="M178" s="20">
        <f t="shared" si="96"/>
        <v>0</v>
      </c>
      <c r="N178" s="20">
        <f t="shared" si="96"/>
        <v>0</v>
      </c>
      <c r="O178" s="20">
        <f t="shared" si="96"/>
        <v>0</v>
      </c>
      <c r="P178" s="20">
        <f t="shared" si="96"/>
        <v>0</v>
      </c>
      <c r="Q178" s="140"/>
    </row>
    <row r="179" spans="1:18" s="21" customFormat="1" ht="47.25" hidden="1" customHeight="1" x14ac:dyDescent="0.4">
      <c r="A179" s="17"/>
      <c r="B179" s="40"/>
      <c r="C179" s="40"/>
      <c r="D179" s="19" t="s">
        <v>377</v>
      </c>
      <c r="E179" s="20" t="e">
        <f>#REF!+E201</f>
        <v>#REF!</v>
      </c>
      <c r="F179" s="20" t="e">
        <f>#REF!+F201</f>
        <v>#REF!</v>
      </c>
      <c r="G179" s="20" t="e">
        <f>#REF!+G201</f>
        <v>#REF!</v>
      </c>
      <c r="H179" s="20" t="e">
        <f>#REF!+H201</f>
        <v>#REF!</v>
      </c>
      <c r="I179" s="20" t="e">
        <f>#REF!+I201</f>
        <v>#REF!</v>
      </c>
      <c r="J179" s="20" t="e">
        <f>#REF!+J201</f>
        <v>#REF!</v>
      </c>
      <c r="K179" s="20" t="e">
        <f>#REF!+K201</f>
        <v>#REF!</v>
      </c>
      <c r="L179" s="20" t="e">
        <f>#REF!+L201</f>
        <v>#REF!</v>
      </c>
      <c r="M179" s="20" t="e">
        <f>#REF!+M201</f>
        <v>#REF!</v>
      </c>
      <c r="N179" s="20" t="e">
        <f>#REF!+N201</f>
        <v>#REF!</v>
      </c>
      <c r="O179" s="20" t="e">
        <f>#REF!+O201</f>
        <v>#REF!</v>
      </c>
      <c r="P179" s="20" t="e">
        <f>#REF!+P201</f>
        <v>#REF!</v>
      </c>
      <c r="Q179" s="140"/>
    </row>
    <row r="180" spans="1:18" s="21" customFormat="1" ht="63" hidden="1" customHeight="1" x14ac:dyDescent="0.4">
      <c r="A180" s="17"/>
      <c r="B180" s="40"/>
      <c r="C180" s="40"/>
      <c r="D180" s="19" t="s">
        <v>378</v>
      </c>
      <c r="E180" s="20">
        <f>E199+E202</f>
        <v>0</v>
      </c>
      <c r="F180" s="20">
        <f>F199+F202</f>
        <v>0</v>
      </c>
      <c r="G180" s="20">
        <f t="shared" ref="G180:P180" si="97">G199+G202</f>
        <v>0</v>
      </c>
      <c r="H180" s="20">
        <f t="shared" si="97"/>
        <v>0</v>
      </c>
      <c r="I180" s="20">
        <f t="shared" si="97"/>
        <v>0</v>
      </c>
      <c r="J180" s="20">
        <f t="shared" si="97"/>
        <v>0</v>
      </c>
      <c r="K180" s="20">
        <f>K199+K202</f>
        <v>0</v>
      </c>
      <c r="L180" s="20">
        <f t="shared" si="97"/>
        <v>0</v>
      </c>
      <c r="M180" s="20">
        <f t="shared" si="97"/>
        <v>0</v>
      </c>
      <c r="N180" s="20">
        <f t="shared" si="97"/>
        <v>0</v>
      </c>
      <c r="O180" s="20">
        <f t="shared" si="97"/>
        <v>0</v>
      </c>
      <c r="P180" s="20">
        <f t="shared" si="97"/>
        <v>0</v>
      </c>
      <c r="Q180" s="140"/>
    </row>
    <row r="181" spans="1:18" s="21" customFormat="1" ht="53.25" hidden="1" customHeight="1" x14ac:dyDescent="0.4">
      <c r="A181" s="17"/>
      <c r="B181" s="40"/>
      <c r="C181" s="40"/>
      <c r="D181" s="19" t="s">
        <v>374</v>
      </c>
      <c r="E181" s="20">
        <f>E208</f>
        <v>0</v>
      </c>
      <c r="F181" s="20">
        <f t="shared" ref="F181:P181" si="98">F208</f>
        <v>0</v>
      </c>
      <c r="G181" s="20">
        <f t="shared" si="98"/>
        <v>0</v>
      </c>
      <c r="H181" s="20">
        <f t="shared" si="98"/>
        <v>0</v>
      </c>
      <c r="I181" s="20">
        <f t="shared" si="98"/>
        <v>0</v>
      </c>
      <c r="J181" s="20">
        <f t="shared" si="98"/>
        <v>0</v>
      </c>
      <c r="K181" s="20">
        <f t="shared" si="98"/>
        <v>0</v>
      </c>
      <c r="L181" s="20">
        <f t="shared" si="98"/>
        <v>0</v>
      </c>
      <c r="M181" s="20">
        <f t="shared" si="98"/>
        <v>0</v>
      </c>
      <c r="N181" s="20">
        <f t="shared" si="98"/>
        <v>0</v>
      </c>
      <c r="O181" s="20">
        <f t="shared" si="98"/>
        <v>0</v>
      </c>
      <c r="P181" s="20">
        <f t="shared" si="98"/>
        <v>0</v>
      </c>
      <c r="Q181" s="140"/>
    </row>
    <row r="182" spans="1:18" s="21" customFormat="1" ht="15.75" hidden="1" customHeight="1" x14ac:dyDescent="0.4">
      <c r="A182" s="17"/>
      <c r="B182" s="40"/>
      <c r="C182" s="40"/>
      <c r="D182" s="19" t="s">
        <v>379</v>
      </c>
      <c r="E182" s="20" t="e">
        <f>#REF!</f>
        <v>#REF!</v>
      </c>
      <c r="F182" s="20" t="e">
        <f>#REF!</f>
        <v>#REF!</v>
      </c>
      <c r="G182" s="20" t="e">
        <f>#REF!</f>
        <v>#REF!</v>
      </c>
      <c r="H182" s="20" t="e">
        <f>#REF!</f>
        <v>#REF!</v>
      </c>
      <c r="I182" s="20" t="e">
        <f>#REF!</f>
        <v>#REF!</v>
      </c>
      <c r="J182" s="20" t="e">
        <f>#REF!</f>
        <v>#REF!</v>
      </c>
      <c r="K182" s="20" t="e">
        <f>#REF!</f>
        <v>#REF!</v>
      </c>
      <c r="L182" s="20" t="e">
        <f>#REF!</f>
        <v>#REF!</v>
      </c>
      <c r="M182" s="20" t="e">
        <f>#REF!</f>
        <v>#REF!</v>
      </c>
      <c r="N182" s="20" t="e">
        <f>#REF!</f>
        <v>#REF!</v>
      </c>
      <c r="O182" s="20" t="e">
        <f>#REF!</f>
        <v>#REF!</v>
      </c>
      <c r="P182" s="20" t="e">
        <f>#REF!</f>
        <v>#REF!</v>
      </c>
      <c r="Q182" s="140"/>
    </row>
    <row r="183" spans="1:18" s="21" customFormat="1" ht="15.75" hidden="1" customHeight="1" x14ac:dyDescent="0.4">
      <c r="A183" s="17"/>
      <c r="B183" s="40"/>
      <c r="C183" s="40"/>
      <c r="D183" s="19" t="s">
        <v>399</v>
      </c>
      <c r="E183" s="20">
        <f>E214</f>
        <v>0</v>
      </c>
      <c r="F183" s="20">
        <f t="shared" ref="F183:P183" si="99">F214</f>
        <v>0</v>
      </c>
      <c r="G183" s="20">
        <f t="shared" si="99"/>
        <v>0</v>
      </c>
      <c r="H183" s="20">
        <f t="shared" si="99"/>
        <v>0</v>
      </c>
      <c r="I183" s="20">
        <f t="shared" si="99"/>
        <v>0</v>
      </c>
      <c r="J183" s="20">
        <f t="shared" si="99"/>
        <v>0</v>
      </c>
      <c r="K183" s="20">
        <f t="shared" si="99"/>
        <v>0</v>
      </c>
      <c r="L183" s="20">
        <f t="shared" si="99"/>
        <v>0</v>
      </c>
      <c r="M183" s="20">
        <f t="shared" si="99"/>
        <v>0</v>
      </c>
      <c r="N183" s="20">
        <f t="shared" si="99"/>
        <v>0</v>
      </c>
      <c r="O183" s="20">
        <f t="shared" si="99"/>
        <v>0</v>
      </c>
      <c r="P183" s="20">
        <f t="shared" si="99"/>
        <v>0</v>
      </c>
      <c r="Q183" s="140"/>
    </row>
    <row r="184" spans="1:18" s="21" customFormat="1" ht="45" x14ac:dyDescent="0.4">
      <c r="A184" s="17"/>
      <c r="B184" s="40"/>
      <c r="C184" s="40"/>
      <c r="D184" s="19" t="str">
        <f>D212</f>
        <v>субвенції з державного бюджету місцевим бюджетам на облаштування безпечних умов у закладах охорони здоров'я</v>
      </c>
      <c r="E184" s="20">
        <f t="shared" ref="E184:P184" si="100">E212</f>
        <v>0</v>
      </c>
      <c r="F184" s="20">
        <f t="shared" si="100"/>
        <v>0</v>
      </c>
      <c r="G184" s="20">
        <f t="shared" si="100"/>
        <v>0</v>
      </c>
      <c r="H184" s="20">
        <f t="shared" si="100"/>
        <v>0</v>
      </c>
      <c r="I184" s="20">
        <f t="shared" si="100"/>
        <v>0</v>
      </c>
      <c r="J184" s="20">
        <f t="shared" si="100"/>
        <v>31936617</v>
      </c>
      <c r="K184" s="20">
        <f t="shared" si="100"/>
        <v>31936617</v>
      </c>
      <c r="L184" s="20">
        <f t="shared" si="100"/>
        <v>0</v>
      </c>
      <c r="M184" s="20">
        <f t="shared" si="100"/>
        <v>0</v>
      </c>
      <c r="N184" s="20">
        <f t="shared" si="100"/>
        <v>0</v>
      </c>
      <c r="O184" s="20">
        <f t="shared" si="100"/>
        <v>31936617</v>
      </c>
      <c r="P184" s="20">
        <f t="shared" si="100"/>
        <v>31936617</v>
      </c>
      <c r="Q184" s="140"/>
    </row>
    <row r="185" spans="1:18" s="21" customFormat="1" ht="90" x14ac:dyDescent="0.4">
      <c r="A185" s="17"/>
      <c r="B185" s="40"/>
      <c r="C185" s="40"/>
      <c r="D185" s="19" t="str">
        <f>D190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185" s="20">
        <f>E190+E210</f>
        <v>1588294</v>
      </c>
      <c r="F185" s="20">
        <f t="shared" ref="F185:P185" si="101">F190+F210</f>
        <v>1588294</v>
      </c>
      <c r="G185" s="20">
        <f t="shared" si="101"/>
        <v>0</v>
      </c>
      <c r="H185" s="20">
        <f t="shared" si="101"/>
        <v>0</v>
      </c>
      <c r="I185" s="20">
        <f t="shared" si="101"/>
        <v>0</v>
      </c>
      <c r="J185" s="20">
        <f t="shared" si="101"/>
        <v>1964776</v>
      </c>
      <c r="K185" s="20">
        <f t="shared" si="101"/>
        <v>1964776</v>
      </c>
      <c r="L185" s="20">
        <f t="shared" si="101"/>
        <v>0</v>
      </c>
      <c r="M185" s="20">
        <f t="shared" si="101"/>
        <v>0</v>
      </c>
      <c r="N185" s="20">
        <f t="shared" si="101"/>
        <v>0</v>
      </c>
      <c r="O185" s="20">
        <f t="shared" si="101"/>
        <v>1964776</v>
      </c>
      <c r="P185" s="20">
        <f t="shared" si="101"/>
        <v>3553070</v>
      </c>
      <c r="Q185" s="140"/>
    </row>
    <row r="186" spans="1:18" s="116" customFormat="1" ht="15" x14ac:dyDescent="0.4">
      <c r="A186" s="17"/>
      <c r="B186" s="40"/>
      <c r="C186" s="40"/>
      <c r="D186" s="54" t="s">
        <v>379</v>
      </c>
      <c r="E186" s="20">
        <f>E191</f>
        <v>300000</v>
      </c>
      <c r="F186" s="20">
        <f t="shared" ref="F186:P186" si="102">F191</f>
        <v>300000</v>
      </c>
      <c r="G186" s="20">
        <f t="shared" si="102"/>
        <v>0</v>
      </c>
      <c r="H186" s="20">
        <f t="shared" si="102"/>
        <v>0</v>
      </c>
      <c r="I186" s="20">
        <f t="shared" si="102"/>
        <v>0</v>
      </c>
      <c r="J186" s="20">
        <f t="shared" si="102"/>
        <v>100000</v>
      </c>
      <c r="K186" s="20">
        <f t="shared" si="102"/>
        <v>100000</v>
      </c>
      <c r="L186" s="20">
        <f t="shared" si="102"/>
        <v>0</v>
      </c>
      <c r="M186" s="20">
        <f t="shared" si="102"/>
        <v>0</v>
      </c>
      <c r="N186" s="20">
        <f t="shared" si="102"/>
        <v>0</v>
      </c>
      <c r="O186" s="20">
        <f t="shared" si="102"/>
        <v>100000</v>
      </c>
      <c r="P186" s="20">
        <f t="shared" si="102"/>
        <v>400000</v>
      </c>
      <c r="Q186" s="140"/>
      <c r="R186" s="21"/>
    </row>
    <row r="187" spans="1:18" s="21" customFormat="1" ht="24" hidden="1" customHeight="1" x14ac:dyDescent="0.4">
      <c r="A187" s="17"/>
      <c r="B187" s="40"/>
      <c r="C187" s="40"/>
      <c r="D187" s="19" t="s">
        <v>597</v>
      </c>
      <c r="E187" s="20">
        <f>E215</f>
        <v>0</v>
      </c>
      <c r="F187" s="20">
        <f t="shared" ref="F187:P187" si="103">F215</f>
        <v>0</v>
      </c>
      <c r="G187" s="20">
        <f t="shared" si="103"/>
        <v>0</v>
      </c>
      <c r="H187" s="20">
        <f t="shared" si="103"/>
        <v>0</v>
      </c>
      <c r="I187" s="20">
        <f t="shared" si="103"/>
        <v>0</v>
      </c>
      <c r="J187" s="20">
        <f t="shared" si="103"/>
        <v>0</v>
      </c>
      <c r="K187" s="20">
        <f t="shared" si="103"/>
        <v>0</v>
      </c>
      <c r="L187" s="20">
        <f t="shared" si="103"/>
        <v>0</v>
      </c>
      <c r="M187" s="20">
        <f t="shared" si="103"/>
        <v>0</v>
      </c>
      <c r="N187" s="20">
        <f t="shared" si="103"/>
        <v>0</v>
      </c>
      <c r="O187" s="20">
        <f t="shared" si="103"/>
        <v>0</v>
      </c>
      <c r="P187" s="20">
        <f t="shared" si="103"/>
        <v>0</v>
      </c>
      <c r="Q187" s="140"/>
    </row>
    <row r="188" spans="1:18" s="26" customFormat="1" ht="48" customHeight="1" x14ac:dyDescent="0.45">
      <c r="A188" s="22" t="s">
        <v>163</v>
      </c>
      <c r="B188" s="23" t="str">
        <f>'дод 7'!A16</f>
        <v>0160</v>
      </c>
      <c r="C188" s="23" t="str">
        <f>'дод 7'!B16</f>
        <v>0111</v>
      </c>
      <c r="D188" s="24" t="s">
        <v>714</v>
      </c>
      <c r="E188" s="25">
        <f t="shared" ref="E188:E218" si="104">F188+I188</f>
        <v>3023600</v>
      </c>
      <c r="F188" s="25">
        <f>3144200-12700-314700+206800</f>
        <v>3023600</v>
      </c>
      <c r="G188" s="25">
        <f>2288600-258000+169700</f>
        <v>2200300</v>
      </c>
      <c r="H188" s="25">
        <v>72400</v>
      </c>
      <c r="I188" s="25"/>
      <c r="J188" s="25">
        <f>L188+O188</f>
        <v>0</v>
      </c>
      <c r="K188" s="25"/>
      <c r="L188" s="25"/>
      <c r="M188" s="25"/>
      <c r="N188" s="25"/>
      <c r="O188" s="25"/>
      <c r="P188" s="25">
        <f t="shared" ref="P188:P219" si="105">E188+J188</f>
        <v>3023600</v>
      </c>
      <c r="Q188" s="140"/>
    </row>
    <row r="189" spans="1:18" s="108" customFormat="1" ht="33" customHeight="1" x14ac:dyDescent="0.45">
      <c r="A189" s="22" t="s">
        <v>164</v>
      </c>
      <c r="B189" s="23" t="str">
        <f>'дод 7'!A110</f>
        <v>2010</v>
      </c>
      <c r="C189" s="23" t="str">
        <f>'дод 7'!B110</f>
        <v>0731</v>
      </c>
      <c r="D189" s="35" t="str">
        <f>'дод 7'!C110</f>
        <v>Багатопрофільна стаціонарна медична допомога населенню, у т.ч. за рахунок:</v>
      </c>
      <c r="E189" s="25">
        <f>F189+I189</f>
        <v>74043095</v>
      </c>
      <c r="F189" s="25">
        <f>61266100+4826700+428200-250000+393700+95800+68000+1649800+503294+60000+30000+500000+2692500+300000+845000+600000+34001</f>
        <v>74043095</v>
      </c>
      <c r="G189" s="25"/>
      <c r="H189" s="25"/>
      <c r="I189" s="25"/>
      <c r="J189" s="25">
        <f t="shared" ref="J189:J219" si="106">L189+O189</f>
        <v>17948187</v>
      </c>
      <c r="K189" s="25">
        <f>13500000-500000+68100+2407587+655000+1310000+3500000+1045000-2692500+100000-845000-600000</f>
        <v>17948187</v>
      </c>
      <c r="L189" s="25"/>
      <c r="M189" s="25"/>
      <c r="N189" s="25"/>
      <c r="O189" s="25">
        <f>13500000-500000+68100+2407587+655000+1310000+3500000+1045000-2692500+100000-845000-600000</f>
        <v>17948187</v>
      </c>
      <c r="P189" s="25">
        <f t="shared" si="105"/>
        <v>91991282</v>
      </c>
      <c r="Q189" s="140"/>
      <c r="R189" s="26"/>
    </row>
    <row r="190" spans="1:18" s="26" customFormat="1" ht="92.25" x14ac:dyDescent="0.45">
      <c r="A190" s="22"/>
      <c r="B190" s="23"/>
      <c r="C190" s="23"/>
      <c r="D190" s="48" t="s">
        <v>619</v>
      </c>
      <c r="E190" s="30">
        <f>F190+I190</f>
        <v>1588294</v>
      </c>
      <c r="F190" s="30">
        <f>503294+60000+30000+500000+495000</f>
        <v>1588294</v>
      </c>
      <c r="G190" s="30"/>
      <c r="H190" s="30"/>
      <c r="I190" s="30"/>
      <c r="J190" s="30">
        <f t="shared" ref="J190:J191" si="107">L190+O190</f>
        <v>1143800</v>
      </c>
      <c r="K190" s="30">
        <f>655000+288800+695000-495000</f>
        <v>1143800</v>
      </c>
      <c r="L190" s="30"/>
      <c r="M190" s="30"/>
      <c r="N190" s="30"/>
      <c r="O190" s="30">
        <f>655000+288800+695000-495000</f>
        <v>1143800</v>
      </c>
      <c r="P190" s="30">
        <f t="shared" ref="P190:P191" si="108">E190+J190</f>
        <v>2732094</v>
      </c>
      <c r="Q190" s="140"/>
    </row>
    <row r="191" spans="1:18" s="108" customFormat="1" ht="15.4" x14ac:dyDescent="0.45">
      <c r="A191" s="22"/>
      <c r="B191" s="23"/>
      <c r="C191" s="23"/>
      <c r="D191" s="48" t="s">
        <v>379</v>
      </c>
      <c r="E191" s="30">
        <f>F191+I191</f>
        <v>300000</v>
      </c>
      <c r="F191" s="30">
        <f>300000</f>
        <v>300000</v>
      </c>
      <c r="G191" s="30"/>
      <c r="H191" s="30"/>
      <c r="I191" s="30"/>
      <c r="J191" s="30">
        <f t="shared" si="107"/>
        <v>100000</v>
      </c>
      <c r="K191" s="30">
        <v>100000</v>
      </c>
      <c r="L191" s="30"/>
      <c r="M191" s="30"/>
      <c r="N191" s="30"/>
      <c r="O191" s="30">
        <v>100000</v>
      </c>
      <c r="P191" s="30">
        <f t="shared" si="108"/>
        <v>400000</v>
      </c>
      <c r="Q191" s="140"/>
      <c r="R191" s="26"/>
    </row>
    <row r="192" spans="1:18" s="26" customFormat="1" ht="31.5" customHeight="1" x14ac:dyDescent="0.45">
      <c r="A192" s="22" t="s">
        <v>419</v>
      </c>
      <c r="B192" s="23">
        <v>2020</v>
      </c>
      <c r="C192" s="22" t="s">
        <v>420</v>
      </c>
      <c r="D192" s="24" t="str">
        <f>'дод 7'!C113</f>
        <v xml:space="preserve"> Спеціалізована стаціонарна медична допомога населенню</v>
      </c>
      <c r="E192" s="25">
        <f t="shared" si="104"/>
        <v>0</v>
      </c>
      <c r="F192" s="25"/>
      <c r="G192" s="25"/>
      <c r="H192" s="25"/>
      <c r="I192" s="25"/>
      <c r="J192" s="25">
        <f t="shared" si="106"/>
        <v>0</v>
      </c>
      <c r="K192" s="25"/>
      <c r="L192" s="25"/>
      <c r="M192" s="25"/>
      <c r="N192" s="25"/>
      <c r="O192" s="25"/>
      <c r="P192" s="25">
        <f t="shared" si="105"/>
        <v>0</v>
      </c>
      <c r="Q192" s="140"/>
    </row>
    <row r="193" spans="1:17" s="26" customFormat="1" ht="30.75" x14ac:dyDescent="0.45">
      <c r="A193" s="22" t="s">
        <v>169</v>
      </c>
      <c r="B193" s="23" t="str">
        <f>'дод 7'!A114</f>
        <v>2030</v>
      </c>
      <c r="C193" s="23" t="str">
        <f>'дод 7'!B114</f>
        <v>0733</v>
      </c>
      <c r="D193" s="24" t="str">
        <f>'дод 7'!C114</f>
        <v>Лікарсько-акушерська допомога вагітним, породіллям та новонародженим</v>
      </c>
      <c r="E193" s="25">
        <f t="shared" si="104"/>
        <v>6012400</v>
      </c>
      <c r="F193" s="25">
        <v>6012400</v>
      </c>
      <c r="G193" s="25"/>
      <c r="H193" s="25"/>
      <c r="I193" s="25"/>
      <c r="J193" s="25">
        <f t="shared" si="106"/>
        <v>0</v>
      </c>
      <c r="K193" s="25"/>
      <c r="L193" s="25"/>
      <c r="M193" s="25"/>
      <c r="N193" s="25"/>
      <c r="O193" s="25"/>
      <c r="P193" s="25">
        <f t="shared" si="105"/>
        <v>6012400</v>
      </c>
      <c r="Q193" s="140"/>
    </row>
    <row r="194" spans="1:17" s="31" customFormat="1" ht="31.5" hidden="1" customHeight="1" x14ac:dyDescent="0.45">
      <c r="A194" s="27"/>
      <c r="B194" s="28"/>
      <c r="C194" s="28"/>
      <c r="D194" s="29" t="s">
        <v>376</v>
      </c>
      <c r="E194" s="30">
        <f t="shared" si="104"/>
        <v>0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25">
        <f t="shared" si="105"/>
        <v>0</v>
      </c>
      <c r="Q194" s="140"/>
    </row>
    <row r="195" spans="1:17" s="31" customFormat="1" ht="21" hidden="1" customHeight="1" x14ac:dyDescent="0.45">
      <c r="A195" s="22" t="s">
        <v>558</v>
      </c>
      <c r="B195" s="23">
        <v>2070</v>
      </c>
      <c r="C195" s="34" t="s">
        <v>559</v>
      </c>
      <c r="D195" s="24" t="s">
        <v>560</v>
      </c>
      <c r="E195" s="25">
        <f t="shared" si="104"/>
        <v>0</v>
      </c>
      <c r="F195" s="25"/>
      <c r="G195" s="24"/>
      <c r="H195" s="24"/>
      <c r="I195" s="24"/>
      <c r="J195" s="25">
        <f t="shared" si="106"/>
        <v>0</v>
      </c>
      <c r="K195" s="25"/>
      <c r="L195" s="25"/>
      <c r="M195" s="25"/>
      <c r="N195" s="25"/>
      <c r="O195" s="25"/>
      <c r="P195" s="25">
        <f t="shared" si="105"/>
        <v>0</v>
      </c>
      <c r="Q195" s="140"/>
    </row>
    <row r="196" spans="1:17" s="26" customFormat="1" ht="24" customHeight="1" x14ac:dyDescent="0.45">
      <c r="A196" s="22" t="s">
        <v>168</v>
      </c>
      <c r="B196" s="23" t="str">
        <f>'дод 7'!A117</f>
        <v>2100</v>
      </c>
      <c r="C196" s="23" t="str">
        <f>'дод 7'!B117</f>
        <v>0722</v>
      </c>
      <c r="D196" s="24" t="str">
        <f>'дод 7'!C117</f>
        <v>Стоматологічна допомога населенню</v>
      </c>
      <c r="E196" s="25">
        <f t="shared" si="104"/>
        <v>12460400</v>
      </c>
      <c r="F196" s="25">
        <v>12460400</v>
      </c>
      <c r="G196" s="25"/>
      <c r="H196" s="25"/>
      <c r="I196" s="25"/>
      <c r="J196" s="25">
        <f t="shared" si="106"/>
        <v>0</v>
      </c>
      <c r="K196" s="25"/>
      <c r="L196" s="25"/>
      <c r="M196" s="25"/>
      <c r="N196" s="25"/>
      <c r="O196" s="25"/>
      <c r="P196" s="25">
        <f t="shared" si="105"/>
        <v>12460400</v>
      </c>
      <c r="Q196" s="140"/>
    </row>
    <row r="197" spans="1:17" s="31" customFormat="1" ht="30" hidden="1" customHeight="1" x14ac:dyDescent="0.45">
      <c r="A197" s="27"/>
      <c r="B197" s="28"/>
      <c r="C197" s="28"/>
      <c r="D197" s="29" t="s">
        <v>376</v>
      </c>
      <c r="E197" s="30">
        <f t="shared" si="104"/>
        <v>0</v>
      </c>
      <c r="F197" s="30"/>
      <c r="G197" s="30"/>
      <c r="H197" s="30"/>
      <c r="I197" s="30"/>
      <c r="J197" s="30">
        <f t="shared" si="106"/>
        <v>0</v>
      </c>
      <c r="K197" s="30"/>
      <c r="L197" s="30"/>
      <c r="M197" s="30"/>
      <c r="N197" s="30"/>
      <c r="O197" s="30"/>
      <c r="P197" s="30">
        <f t="shared" si="105"/>
        <v>0</v>
      </c>
      <c r="Q197" s="140"/>
    </row>
    <row r="198" spans="1:17" s="26" customFormat="1" ht="48" customHeight="1" x14ac:dyDescent="0.45">
      <c r="A198" s="22" t="s">
        <v>167</v>
      </c>
      <c r="B198" s="23" t="str">
        <f>'дод 7'!A119</f>
        <v>2111</v>
      </c>
      <c r="C198" s="23" t="str">
        <f>'дод 7'!B119</f>
        <v>0726</v>
      </c>
      <c r="D198" s="24" t="str">
        <f>'дод 7'!C119</f>
        <v>Первинна медична допомога населенню, що надається центрами первинної медичної (медико-санітарної) допомоги</v>
      </c>
      <c r="E198" s="25">
        <f t="shared" si="104"/>
        <v>5716100</v>
      </c>
      <c r="F198" s="25">
        <v>5716100</v>
      </c>
      <c r="G198" s="25"/>
      <c r="H198" s="25"/>
      <c r="I198" s="25"/>
      <c r="J198" s="25">
        <f t="shared" si="106"/>
        <v>1638127</v>
      </c>
      <c r="K198" s="25">
        <f>3980000-2522740+180867</f>
        <v>1638127</v>
      </c>
      <c r="L198" s="25"/>
      <c r="M198" s="25"/>
      <c r="N198" s="25"/>
      <c r="O198" s="25">
        <f>3980000-2522740+180867</f>
        <v>1638127</v>
      </c>
      <c r="P198" s="25">
        <f t="shared" si="105"/>
        <v>7354227</v>
      </c>
      <c r="Q198" s="140"/>
    </row>
    <row r="199" spans="1:17" s="31" customFormat="1" ht="63" hidden="1" customHeight="1" x14ac:dyDescent="0.45">
      <c r="A199" s="27"/>
      <c r="B199" s="28"/>
      <c r="C199" s="28"/>
      <c r="D199" s="29" t="s">
        <v>378</v>
      </c>
      <c r="E199" s="30">
        <f t="shared" si="104"/>
        <v>0</v>
      </c>
      <c r="F199" s="30"/>
      <c r="G199" s="30"/>
      <c r="H199" s="30"/>
      <c r="I199" s="30"/>
      <c r="J199" s="30">
        <f t="shared" si="106"/>
        <v>0</v>
      </c>
      <c r="K199" s="30"/>
      <c r="L199" s="30"/>
      <c r="M199" s="30"/>
      <c r="N199" s="30"/>
      <c r="O199" s="30"/>
      <c r="P199" s="30">
        <f t="shared" si="105"/>
        <v>0</v>
      </c>
      <c r="Q199" s="140"/>
    </row>
    <row r="200" spans="1:17" s="26" customFormat="1" ht="31.5" hidden="1" customHeight="1" x14ac:dyDescent="0.45">
      <c r="A200" s="22" t="s">
        <v>166</v>
      </c>
      <c r="B200" s="23">
        <f>'дод 7'!A121</f>
        <v>2144</v>
      </c>
      <c r="C200" s="23" t="str">
        <f>'дод 7'!B121</f>
        <v>0763</v>
      </c>
      <c r="D200" s="49" t="str">
        <f>'дод 7'!C121</f>
        <v>Централізовані заходи з лікування хворих на цукровий та нецукровий діабет, у т.ч. за рахунок:</v>
      </c>
      <c r="E200" s="25">
        <f t="shared" si="104"/>
        <v>0</v>
      </c>
      <c r="F200" s="25"/>
      <c r="G200" s="25"/>
      <c r="H200" s="25"/>
      <c r="I200" s="25"/>
      <c r="J200" s="25">
        <f t="shared" si="106"/>
        <v>0</v>
      </c>
      <c r="K200" s="25"/>
      <c r="L200" s="25"/>
      <c r="M200" s="25"/>
      <c r="N200" s="25"/>
      <c r="O200" s="25"/>
      <c r="P200" s="25">
        <f t="shared" si="105"/>
        <v>0</v>
      </c>
      <c r="Q200" s="140"/>
    </row>
    <row r="201" spans="1:17" s="31" customFormat="1" ht="47.25" hidden="1" customHeight="1" x14ac:dyDescent="0.45">
      <c r="A201" s="27"/>
      <c r="B201" s="28"/>
      <c r="C201" s="28"/>
      <c r="D201" s="50" t="s">
        <v>377</v>
      </c>
      <c r="E201" s="30">
        <f t="shared" si="104"/>
        <v>0</v>
      </c>
      <c r="F201" s="30"/>
      <c r="G201" s="30"/>
      <c r="H201" s="30"/>
      <c r="I201" s="30"/>
      <c r="J201" s="30">
        <f t="shared" si="106"/>
        <v>0</v>
      </c>
      <c r="K201" s="30"/>
      <c r="L201" s="30"/>
      <c r="M201" s="30"/>
      <c r="N201" s="30"/>
      <c r="O201" s="30"/>
      <c r="P201" s="30">
        <f t="shared" si="105"/>
        <v>0</v>
      </c>
      <c r="Q201" s="140"/>
    </row>
    <row r="202" spans="1:17" s="31" customFormat="1" ht="63" hidden="1" customHeight="1" x14ac:dyDescent="0.45">
      <c r="A202" s="27"/>
      <c r="B202" s="28"/>
      <c r="C202" s="28"/>
      <c r="D202" s="50" t="s">
        <v>378</v>
      </c>
      <c r="E202" s="30">
        <f t="shared" si="104"/>
        <v>0</v>
      </c>
      <c r="F202" s="30"/>
      <c r="G202" s="30"/>
      <c r="H202" s="30"/>
      <c r="I202" s="30"/>
      <c r="J202" s="30">
        <f t="shared" si="106"/>
        <v>0</v>
      </c>
      <c r="K202" s="30"/>
      <c r="L202" s="30"/>
      <c r="M202" s="30"/>
      <c r="N202" s="30"/>
      <c r="O202" s="30"/>
      <c r="P202" s="30">
        <f t="shared" si="105"/>
        <v>0</v>
      </c>
      <c r="Q202" s="140"/>
    </row>
    <row r="203" spans="1:17" s="26" customFormat="1" ht="30" customHeight="1" x14ac:dyDescent="0.45">
      <c r="A203" s="22" t="s">
        <v>311</v>
      </c>
      <c r="B203" s="23" t="str">
        <f>'дод 7'!A124</f>
        <v>2151</v>
      </c>
      <c r="C203" s="23" t="str">
        <f>'дод 7'!B124</f>
        <v>0763</v>
      </c>
      <c r="D203" s="24" t="str">
        <f>'дод 7'!C124</f>
        <v>Забезпечення діяльності інших закладів у сфері охорони здоров'я</v>
      </c>
      <c r="E203" s="25">
        <f t="shared" si="104"/>
        <v>4113000</v>
      </c>
      <c r="F203" s="25">
        <v>4113000</v>
      </c>
      <c r="G203" s="25">
        <v>3079800</v>
      </c>
      <c r="H203" s="25">
        <v>154200</v>
      </c>
      <c r="I203" s="25"/>
      <c r="J203" s="25">
        <f t="shared" si="106"/>
        <v>0</v>
      </c>
      <c r="K203" s="25"/>
      <c r="L203" s="25"/>
      <c r="M203" s="25"/>
      <c r="N203" s="25"/>
      <c r="O203" s="25"/>
      <c r="P203" s="25">
        <f t="shared" si="105"/>
        <v>4113000</v>
      </c>
      <c r="Q203" s="140"/>
    </row>
    <row r="204" spans="1:17" s="26" customFormat="1" ht="34.5" customHeight="1" x14ac:dyDescent="0.45">
      <c r="A204" s="22" t="s">
        <v>312</v>
      </c>
      <c r="B204" s="23" t="str">
        <f>'дод 7'!A125</f>
        <v>2152</v>
      </c>
      <c r="C204" s="23" t="str">
        <f>'дод 7'!B125</f>
        <v>0763</v>
      </c>
      <c r="D204" s="24" t="str">
        <f>'дод 7'!C125</f>
        <v>Інші програми та заходи у сфері охорони здоров'я</v>
      </c>
      <c r="E204" s="25">
        <f>F204+I204</f>
        <v>24510540</v>
      </c>
      <c r="F204" s="25">
        <f>23965400+250000+250000+45140</f>
        <v>24510540</v>
      </c>
      <c r="G204" s="25"/>
      <c r="H204" s="25"/>
      <c r="I204" s="25"/>
      <c r="J204" s="25">
        <f t="shared" si="106"/>
        <v>50000000</v>
      </c>
      <c r="K204" s="25">
        <v>50000000</v>
      </c>
      <c r="L204" s="25"/>
      <c r="M204" s="25"/>
      <c r="N204" s="25"/>
      <c r="O204" s="25">
        <v>50000000</v>
      </c>
      <c r="P204" s="25">
        <f t="shared" si="105"/>
        <v>74510540</v>
      </c>
      <c r="Q204" s="140"/>
    </row>
    <row r="205" spans="1:17" s="26" customFormat="1" ht="24.75" hidden="1" customHeight="1" x14ac:dyDescent="0.45">
      <c r="A205" s="22" t="s">
        <v>396</v>
      </c>
      <c r="B205" s="23">
        <v>7322</v>
      </c>
      <c r="C205" s="22" t="s">
        <v>107</v>
      </c>
      <c r="D205" s="35" t="str">
        <f>'дод 7'!C242</f>
        <v>Будівництво1 медичних установ та закладіву т.ч. за рахунок:</v>
      </c>
      <c r="E205" s="25">
        <f>F205+I205</f>
        <v>0</v>
      </c>
      <c r="F205" s="25"/>
      <c r="G205" s="25"/>
      <c r="H205" s="25"/>
      <c r="I205" s="25"/>
      <c r="J205" s="25">
        <f t="shared" si="106"/>
        <v>0</v>
      </c>
      <c r="K205" s="25"/>
      <c r="L205" s="25"/>
      <c r="M205" s="25"/>
      <c r="N205" s="25"/>
      <c r="O205" s="25"/>
      <c r="P205" s="25">
        <f t="shared" si="105"/>
        <v>0</v>
      </c>
      <c r="Q205" s="140"/>
    </row>
    <row r="206" spans="1:17" s="26" customFormat="1" ht="47.25" hidden="1" customHeight="1" x14ac:dyDescent="0.45">
      <c r="A206" s="22" t="s">
        <v>359</v>
      </c>
      <c r="B206" s="23">
        <f>'дод 7'!A251</f>
        <v>7361</v>
      </c>
      <c r="C206" s="23" t="str">
        <f>'дод 7'!B251</f>
        <v>0490</v>
      </c>
      <c r="D206" s="24" t="str">
        <f>'дод 7'!C251</f>
        <v>Співфінансування інвестиційних проектів, що реалізуються за рахунок коштів державного фонду регіонального розвитку</v>
      </c>
      <c r="E206" s="25">
        <f t="shared" si="104"/>
        <v>0</v>
      </c>
      <c r="F206" s="25"/>
      <c r="G206" s="25"/>
      <c r="H206" s="25"/>
      <c r="I206" s="25"/>
      <c r="J206" s="25">
        <f t="shared" si="106"/>
        <v>0</v>
      </c>
      <c r="K206" s="25"/>
      <c r="L206" s="25"/>
      <c r="M206" s="25"/>
      <c r="N206" s="25"/>
      <c r="O206" s="25"/>
      <c r="P206" s="25">
        <f t="shared" si="105"/>
        <v>0</v>
      </c>
      <c r="Q206" s="140"/>
    </row>
    <row r="207" spans="1:17" s="26" customFormat="1" ht="47.25" hidden="1" customHeight="1" x14ac:dyDescent="0.45">
      <c r="A207" s="22" t="s">
        <v>403</v>
      </c>
      <c r="B207" s="23">
        <v>7363</v>
      </c>
      <c r="C207" s="22" t="s">
        <v>78</v>
      </c>
      <c r="D207" s="24" t="s">
        <v>382</v>
      </c>
      <c r="E207" s="25">
        <f t="shared" si="104"/>
        <v>0</v>
      </c>
      <c r="F207" s="25"/>
      <c r="G207" s="25"/>
      <c r="H207" s="25"/>
      <c r="I207" s="25"/>
      <c r="J207" s="25">
        <f t="shared" si="106"/>
        <v>0</v>
      </c>
      <c r="K207" s="25"/>
      <c r="L207" s="25"/>
      <c r="M207" s="25"/>
      <c r="N207" s="25"/>
      <c r="O207" s="25"/>
      <c r="P207" s="25">
        <f t="shared" si="105"/>
        <v>0</v>
      </c>
      <c r="Q207" s="140"/>
    </row>
    <row r="208" spans="1:17" s="26" customFormat="1" ht="47.25" hidden="1" customHeight="1" x14ac:dyDescent="0.45">
      <c r="A208" s="22"/>
      <c r="B208" s="23"/>
      <c r="C208" s="23"/>
      <c r="D208" s="29" t="s">
        <v>374</v>
      </c>
      <c r="E208" s="30">
        <f t="shared" si="104"/>
        <v>0</v>
      </c>
      <c r="F208" s="30"/>
      <c r="G208" s="30"/>
      <c r="H208" s="30"/>
      <c r="I208" s="30"/>
      <c r="J208" s="30">
        <f t="shared" si="106"/>
        <v>0</v>
      </c>
      <c r="K208" s="30"/>
      <c r="L208" s="30"/>
      <c r="M208" s="30"/>
      <c r="N208" s="30"/>
      <c r="O208" s="30"/>
      <c r="P208" s="30">
        <f t="shared" si="105"/>
        <v>0</v>
      </c>
      <c r="Q208" s="140"/>
    </row>
    <row r="209" spans="1:17" s="26" customFormat="1" ht="61.5" x14ac:dyDescent="0.45">
      <c r="A209" s="22" t="s">
        <v>695</v>
      </c>
      <c r="B209" s="23">
        <v>2161</v>
      </c>
      <c r="C209" s="22" t="s">
        <v>62</v>
      </c>
      <c r="D209" s="24" t="s">
        <v>738</v>
      </c>
      <c r="E209" s="25">
        <f t="shared" si="104"/>
        <v>0</v>
      </c>
      <c r="F209" s="25"/>
      <c r="G209" s="25"/>
      <c r="H209" s="25"/>
      <c r="I209" s="25"/>
      <c r="J209" s="25">
        <f t="shared" ref="J209:J212" si="109">L209+O209</f>
        <v>9417475</v>
      </c>
      <c r="K209" s="25">
        <f>8596499+820976</f>
        <v>9417475</v>
      </c>
      <c r="L209" s="25"/>
      <c r="M209" s="25"/>
      <c r="N209" s="25"/>
      <c r="O209" s="25">
        <f>8596499+820976</f>
        <v>9417475</v>
      </c>
      <c r="P209" s="25">
        <f t="shared" ref="P209:P212" si="110">E209+J209</f>
        <v>9417475</v>
      </c>
      <c r="Q209" s="140"/>
    </row>
    <row r="210" spans="1:17" s="26" customFormat="1" ht="92.25" x14ac:dyDescent="0.45">
      <c r="A210" s="22"/>
      <c r="B210" s="23"/>
      <c r="C210" s="22"/>
      <c r="D210" s="48" t="s">
        <v>619</v>
      </c>
      <c r="E210" s="25">
        <f t="shared" si="104"/>
        <v>0</v>
      </c>
      <c r="F210" s="25"/>
      <c r="G210" s="25"/>
      <c r="H210" s="25"/>
      <c r="I210" s="25"/>
      <c r="J210" s="25">
        <f t="shared" si="109"/>
        <v>820976</v>
      </c>
      <c r="K210" s="25">
        <v>820976</v>
      </c>
      <c r="L210" s="25"/>
      <c r="M210" s="25"/>
      <c r="N210" s="25"/>
      <c r="O210" s="25">
        <v>820976</v>
      </c>
      <c r="P210" s="25">
        <f t="shared" si="110"/>
        <v>820976</v>
      </c>
      <c r="Q210" s="140">
        <v>8</v>
      </c>
    </row>
    <row r="211" spans="1:17" s="26" customFormat="1" ht="47.25" customHeight="1" x14ac:dyDescent="0.45">
      <c r="A211" s="22" t="s">
        <v>696</v>
      </c>
      <c r="B211" s="23">
        <v>2162</v>
      </c>
      <c r="C211" s="22" t="s">
        <v>62</v>
      </c>
      <c r="D211" s="24" t="s">
        <v>697</v>
      </c>
      <c r="E211" s="25">
        <f t="shared" si="104"/>
        <v>0</v>
      </c>
      <c r="F211" s="25"/>
      <c r="G211" s="25"/>
      <c r="H211" s="25"/>
      <c r="I211" s="25"/>
      <c r="J211" s="25">
        <f t="shared" si="109"/>
        <v>31936617</v>
      </c>
      <c r="K211" s="25">
        <v>31936617</v>
      </c>
      <c r="L211" s="25"/>
      <c r="M211" s="25"/>
      <c r="N211" s="25"/>
      <c r="O211" s="25">
        <v>31936617</v>
      </c>
      <c r="P211" s="25">
        <f t="shared" si="110"/>
        <v>31936617</v>
      </c>
      <c r="Q211" s="140"/>
    </row>
    <row r="212" spans="1:17" s="31" customFormat="1" ht="48" customHeight="1" x14ac:dyDescent="0.45">
      <c r="A212" s="27"/>
      <c r="B212" s="28"/>
      <c r="C212" s="28"/>
      <c r="D212" s="29" t="s">
        <v>698</v>
      </c>
      <c r="E212" s="30">
        <f t="shared" si="104"/>
        <v>0</v>
      </c>
      <c r="F212" s="30"/>
      <c r="G212" s="30"/>
      <c r="H212" s="30"/>
      <c r="I212" s="30"/>
      <c r="J212" s="30">
        <f t="shared" si="109"/>
        <v>31936617</v>
      </c>
      <c r="K212" s="30">
        <v>31936617</v>
      </c>
      <c r="L212" s="30"/>
      <c r="M212" s="30"/>
      <c r="N212" s="30"/>
      <c r="O212" s="30">
        <v>31936617</v>
      </c>
      <c r="P212" s="30">
        <f t="shared" si="110"/>
        <v>31936617</v>
      </c>
      <c r="Q212" s="140"/>
    </row>
    <row r="213" spans="1:17" s="26" customFormat="1" ht="23.25" customHeight="1" x14ac:dyDescent="0.45">
      <c r="A213" s="22" t="s">
        <v>165</v>
      </c>
      <c r="B213" s="23" t="str">
        <f>'дод 7'!A285</f>
        <v>7640</v>
      </c>
      <c r="C213" s="23" t="str">
        <f>'дод 7'!B285</f>
        <v>0470</v>
      </c>
      <c r="D213" s="24" t="s">
        <v>402</v>
      </c>
      <c r="E213" s="25">
        <f t="shared" si="104"/>
        <v>385789.35</v>
      </c>
      <c r="F213" s="25">
        <f>324600-324600</f>
        <v>0</v>
      </c>
      <c r="G213" s="25"/>
      <c r="H213" s="25"/>
      <c r="I213" s="25">
        <f>324600+299189.35-238000</f>
        <v>385789.35</v>
      </c>
      <c r="J213" s="25">
        <f t="shared" si="106"/>
        <v>9588000</v>
      </c>
      <c r="K213" s="25">
        <f>5000000+9350000+238000-5000000</f>
        <v>9588000</v>
      </c>
      <c r="L213" s="25">
        <f>61189.35-61189.35</f>
        <v>0</v>
      </c>
      <c r="M213" s="25"/>
      <c r="N213" s="25"/>
      <c r="O213" s="25">
        <f>5000000+9350000+238000+61189.35-299189.35+238000-5000000</f>
        <v>9588000</v>
      </c>
      <c r="P213" s="25">
        <f t="shared" si="105"/>
        <v>9973789.3499999996</v>
      </c>
      <c r="Q213" s="140"/>
    </row>
    <row r="214" spans="1:17" s="31" customFormat="1" ht="15" hidden="1" customHeight="1" x14ac:dyDescent="0.45">
      <c r="A214" s="27"/>
      <c r="B214" s="28"/>
      <c r="C214" s="28"/>
      <c r="D214" s="29" t="s">
        <v>399</v>
      </c>
      <c r="E214" s="30">
        <f t="shared" si="104"/>
        <v>0</v>
      </c>
      <c r="F214" s="30"/>
      <c r="G214" s="30"/>
      <c r="H214" s="30"/>
      <c r="I214" s="30"/>
      <c r="J214" s="30">
        <f t="shared" si="106"/>
        <v>0</v>
      </c>
      <c r="K214" s="30"/>
      <c r="L214" s="30"/>
      <c r="M214" s="30"/>
      <c r="N214" s="30"/>
      <c r="O214" s="30"/>
      <c r="P214" s="25">
        <f t="shared" si="105"/>
        <v>0</v>
      </c>
      <c r="Q214" s="140"/>
    </row>
    <row r="215" spans="1:17" s="31" customFormat="1" ht="15" hidden="1" customHeight="1" x14ac:dyDescent="0.45">
      <c r="A215" s="27"/>
      <c r="B215" s="28"/>
      <c r="C215" s="28"/>
      <c r="D215" s="29" t="s">
        <v>597</v>
      </c>
      <c r="E215" s="30">
        <f t="shared" si="104"/>
        <v>0</v>
      </c>
      <c r="F215" s="30"/>
      <c r="G215" s="30"/>
      <c r="H215" s="30"/>
      <c r="I215" s="30"/>
      <c r="J215" s="30">
        <f t="shared" si="106"/>
        <v>0</v>
      </c>
      <c r="K215" s="30"/>
      <c r="L215" s="30">
        <f>61189.35-61189.35</f>
        <v>0</v>
      </c>
      <c r="M215" s="30"/>
      <c r="N215" s="30"/>
      <c r="O215" s="30">
        <f>238000+61189.35-299189.35</f>
        <v>0</v>
      </c>
      <c r="P215" s="30">
        <f t="shared" si="105"/>
        <v>0</v>
      </c>
      <c r="Q215" s="140"/>
    </row>
    <row r="216" spans="1:17" s="26" customFormat="1" ht="78" hidden="1" customHeight="1" x14ac:dyDescent="0.45">
      <c r="A216" s="22" t="s">
        <v>347</v>
      </c>
      <c r="B216" s="23">
        <v>7700</v>
      </c>
      <c r="C216" s="22" t="s">
        <v>89</v>
      </c>
      <c r="D216" s="24" t="str">
        <f>'дод 7'!C298</f>
        <v>Реалізація програм допомоги і грантів Європейського Союзу, урядів іноземних держав, міжнародних організацій, донорських установ, у т.ч. за рахунок:</v>
      </c>
      <c r="E216" s="25">
        <f t="shared" si="104"/>
        <v>0</v>
      </c>
      <c r="F216" s="25"/>
      <c r="G216" s="25"/>
      <c r="H216" s="25"/>
      <c r="I216" s="25"/>
      <c r="J216" s="25">
        <f t="shared" si="106"/>
        <v>0</v>
      </c>
      <c r="K216" s="25"/>
      <c r="L216" s="25"/>
      <c r="M216" s="25"/>
      <c r="N216" s="25"/>
      <c r="O216" s="25"/>
      <c r="P216" s="25">
        <f t="shared" si="105"/>
        <v>0</v>
      </c>
      <c r="Q216" s="140"/>
    </row>
    <row r="217" spans="1:17" s="31" customFormat="1" ht="22.5" hidden="1" customHeight="1" x14ac:dyDescent="0.45">
      <c r="A217" s="27"/>
      <c r="B217" s="28"/>
      <c r="C217" s="27"/>
      <c r="D217" s="29" t="s">
        <v>597</v>
      </c>
      <c r="E217" s="30">
        <f t="shared" ref="E217" si="111">F217+I217</f>
        <v>0</v>
      </c>
      <c r="F217" s="30"/>
      <c r="G217" s="30"/>
      <c r="H217" s="30"/>
      <c r="I217" s="30"/>
      <c r="J217" s="30">
        <f t="shared" ref="J217" si="112">L217+O217</f>
        <v>0</v>
      </c>
      <c r="K217" s="30"/>
      <c r="L217" s="30"/>
      <c r="M217" s="30"/>
      <c r="N217" s="30"/>
      <c r="O217" s="30"/>
      <c r="P217" s="30">
        <f t="shared" ref="P217" si="113">E217+J217</f>
        <v>0</v>
      </c>
      <c r="Q217" s="140"/>
    </row>
    <row r="218" spans="1:17" s="26" customFormat="1" ht="22.5" customHeight="1" x14ac:dyDescent="0.45">
      <c r="A218" s="22" t="s">
        <v>408</v>
      </c>
      <c r="B218" s="23">
        <v>9770</v>
      </c>
      <c r="C218" s="22" t="s">
        <v>43</v>
      </c>
      <c r="D218" s="24" t="s">
        <v>409</v>
      </c>
      <c r="E218" s="25">
        <f t="shared" si="104"/>
        <v>0</v>
      </c>
      <c r="F218" s="25"/>
      <c r="G218" s="25"/>
      <c r="H218" s="25"/>
      <c r="I218" s="25"/>
      <c r="J218" s="25">
        <f t="shared" si="106"/>
        <v>52387</v>
      </c>
      <c r="K218" s="25">
        <v>52387</v>
      </c>
      <c r="L218" s="25"/>
      <c r="M218" s="25"/>
      <c r="N218" s="25"/>
      <c r="O218" s="25">
        <v>52387</v>
      </c>
      <c r="P218" s="25">
        <f t="shared" si="105"/>
        <v>52387</v>
      </c>
      <c r="Q218" s="140"/>
    </row>
    <row r="219" spans="1:17" s="26" customFormat="1" ht="38.25" hidden="1" customHeight="1" x14ac:dyDescent="0.45">
      <c r="A219" s="22" t="s">
        <v>562</v>
      </c>
      <c r="B219" s="23">
        <v>8775</v>
      </c>
      <c r="C219" s="22" t="s">
        <v>89</v>
      </c>
      <c r="D219" s="24" t="s">
        <v>561</v>
      </c>
      <c r="E219" s="25">
        <f>F219</f>
        <v>0</v>
      </c>
      <c r="F219" s="25"/>
      <c r="G219" s="25"/>
      <c r="H219" s="25"/>
      <c r="I219" s="25"/>
      <c r="J219" s="25">
        <f t="shared" si="106"/>
        <v>0</v>
      </c>
      <c r="K219" s="25"/>
      <c r="L219" s="25"/>
      <c r="M219" s="25"/>
      <c r="N219" s="25"/>
      <c r="O219" s="25"/>
      <c r="P219" s="25">
        <f t="shared" si="105"/>
        <v>0</v>
      </c>
      <c r="Q219" s="140"/>
    </row>
    <row r="220" spans="1:17" s="16" customFormat="1" ht="36" customHeight="1" x14ac:dyDescent="0.4">
      <c r="A220" s="37" t="s">
        <v>170</v>
      </c>
      <c r="B220" s="38"/>
      <c r="C220" s="38"/>
      <c r="D220" s="39" t="s">
        <v>37</v>
      </c>
      <c r="E220" s="15">
        <f>E221</f>
        <v>475683004.13</v>
      </c>
      <c r="F220" s="15">
        <f t="shared" ref="F220:P220" si="114">F221</f>
        <v>475683004.13</v>
      </c>
      <c r="G220" s="15">
        <f t="shared" si="114"/>
        <v>70254256</v>
      </c>
      <c r="H220" s="15">
        <f t="shared" si="114"/>
        <v>3524300</v>
      </c>
      <c r="I220" s="15">
        <f t="shared" si="114"/>
        <v>0</v>
      </c>
      <c r="J220" s="15">
        <f t="shared" si="114"/>
        <v>32209499.789999999</v>
      </c>
      <c r="K220" s="15">
        <f t="shared" si="114"/>
        <v>32140899.789999999</v>
      </c>
      <c r="L220" s="15">
        <f t="shared" si="114"/>
        <v>68600</v>
      </c>
      <c r="M220" s="15">
        <f t="shared" si="114"/>
        <v>56100</v>
      </c>
      <c r="N220" s="15">
        <f t="shared" si="114"/>
        <v>0</v>
      </c>
      <c r="O220" s="15">
        <f t="shared" si="114"/>
        <v>32140899.789999999</v>
      </c>
      <c r="P220" s="15">
        <f t="shared" si="114"/>
        <v>507892503.92000002</v>
      </c>
      <c r="Q220" s="140"/>
    </row>
    <row r="221" spans="1:17" s="21" customFormat="1" ht="32.25" customHeight="1" x14ac:dyDescent="0.4">
      <c r="A221" s="17" t="s">
        <v>171</v>
      </c>
      <c r="B221" s="40"/>
      <c r="C221" s="40"/>
      <c r="D221" s="19" t="s">
        <v>599</v>
      </c>
      <c r="E221" s="20">
        <f>E229+E230+E231+E232+E233+E235+E236+E237+E239+E241+E243+E246+E248+E250+E251+E252+E255+E256+E257+E259+E261+E263+E264+E267+E271+E242+E268+E270+E269+E253</f>
        <v>475683004.13</v>
      </c>
      <c r="F221" s="20">
        <f t="shared" ref="F221:P221" si="115">F229+F230+F231+F232+F233+F235+F236+F237+F239+F241+F243+F246+F248+F250+F251+F252+F255+F256+F257+F259+F261+F263+F264+F267+F271+F242+F268+F270+F269+F253</f>
        <v>475683004.13</v>
      </c>
      <c r="G221" s="20">
        <f t="shared" si="115"/>
        <v>70254256</v>
      </c>
      <c r="H221" s="20">
        <f t="shared" si="115"/>
        <v>3524300</v>
      </c>
      <c r="I221" s="20">
        <f t="shared" si="115"/>
        <v>0</v>
      </c>
      <c r="J221" s="20">
        <f t="shared" si="115"/>
        <v>32209499.789999999</v>
      </c>
      <c r="K221" s="20">
        <f t="shared" si="115"/>
        <v>32140899.789999999</v>
      </c>
      <c r="L221" s="20">
        <f t="shared" si="115"/>
        <v>68600</v>
      </c>
      <c r="M221" s="20">
        <f t="shared" si="115"/>
        <v>56100</v>
      </c>
      <c r="N221" s="20">
        <f t="shared" si="115"/>
        <v>0</v>
      </c>
      <c r="O221" s="20">
        <f t="shared" si="115"/>
        <v>32140899.789999999</v>
      </c>
      <c r="P221" s="20">
        <f t="shared" si="115"/>
        <v>507892503.92000002</v>
      </c>
      <c r="Q221" s="140"/>
    </row>
    <row r="222" spans="1:17" s="21" customFormat="1" ht="21" customHeight="1" x14ac:dyDescent="0.4">
      <c r="A222" s="17"/>
      <c r="B222" s="40"/>
      <c r="C222" s="40"/>
      <c r="D222" s="19" t="s">
        <v>380</v>
      </c>
      <c r="E222" s="20">
        <f t="shared" ref="E222:P222" si="116">E234+E238+E240+E247+E249+E265</f>
        <v>11086875.810000001</v>
      </c>
      <c r="F222" s="20">
        <f t="shared" si="116"/>
        <v>11086875.810000001</v>
      </c>
      <c r="G222" s="20">
        <f t="shared" si="116"/>
        <v>0</v>
      </c>
      <c r="H222" s="20">
        <f t="shared" si="116"/>
        <v>0</v>
      </c>
      <c r="I222" s="20">
        <f t="shared" si="116"/>
        <v>0</v>
      </c>
      <c r="J222" s="20">
        <f t="shared" si="116"/>
        <v>0</v>
      </c>
      <c r="K222" s="20">
        <f t="shared" si="116"/>
        <v>0</v>
      </c>
      <c r="L222" s="20">
        <f t="shared" si="116"/>
        <v>0</v>
      </c>
      <c r="M222" s="20">
        <f t="shared" si="116"/>
        <v>0</v>
      </c>
      <c r="N222" s="20">
        <f t="shared" si="116"/>
        <v>0</v>
      </c>
      <c r="O222" s="20">
        <f t="shared" si="116"/>
        <v>0</v>
      </c>
      <c r="P222" s="20">
        <f t="shared" si="116"/>
        <v>11086875.810000001</v>
      </c>
      <c r="Q222" s="140"/>
    </row>
    <row r="223" spans="1:17" s="21" customFormat="1" ht="133.5" customHeight="1" x14ac:dyDescent="0.4">
      <c r="A223" s="17"/>
      <c r="B223" s="40"/>
      <c r="C223" s="40"/>
      <c r="D223" s="19" t="s">
        <v>669</v>
      </c>
      <c r="E223" s="20">
        <f>E244</f>
        <v>1495257</v>
      </c>
      <c r="F223" s="20">
        <f t="shared" ref="F223:P223" si="117">F244</f>
        <v>1495257</v>
      </c>
      <c r="G223" s="20">
        <f t="shared" si="117"/>
        <v>0</v>
      </c>
      <c r="H223" s="20">
        <f t="shared" si="117"/>
        <v>0</v>
      </c>
      <c r="I223" s="20">
        <f t="shared" si="117"/>
        <v>0</v>
      </c>
      <c r="J223" s="20">
        <f t="shared" si="117"/>
        <v>0</v>
      </c>
      <c r="K223" s="20">
        <f t="shared" si="117"/>
        <v>0</v>
      </c>
      <c r="L223" s="20">
        <f t="shared" si="117"/>
        <v>0</v>
      </c>
      <c r="M223" s="20">
        <f t="shared" si="117"/>
        <v>0</v>
      </c>
      <c r="N223" s="20">
        <f t="shared" si="117"/>
        <v>0</v>
      </c>
      <c r="O223" s="20">
        <f t="shared" si="117"/>
        <v>0</v>
      </c>
      <c r="P223" s="20">
        <f t="shared" si="117"/>
        <v>1495257</v>
      </c>
      <c r="Q223" s="140"/>
    </row>
    <row r="224" spans="1:17" s="21" customFormat="1" ht="120.75" customHeight="1" x14ac:dyDescent="0.4">
      <c r="A224" s="17"/>
      <c r="B224" s="40"/>
      <c r="C224" s="40"/>
      <c r="D224" s="19" t="str">
        <f>D245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224" s="20">
        <f t="shared" ref="E224:P224" si="118">E245+E266</f>
        <v>75253000</v>
      </c>
      <c r="F224" s="20">
        <f t="shared" si="118"/>
        <v>75253000</v>
      </c>
      <c r="G224" s="20">
        <f t="shared" si="118"/>
        <v>0</v>
      </c>
      <c r="H224" s="20">
        <f t="shared" si="118"/>
        <v>0</v>
      </c>
      <c r="I224" s="20">
        <f t="shared" si="118"/>
        <v>0</v>
      </c>
      <c r="J224" s="20">
        <f t="shared" si="118"/>
        <v>0</v>
      </c>
      <c r="K224" s="20">
        <f t="shared" si="118"/>
        <v>0</v>
      </c>
      <c r="L224" s="20">
        <f t="shared" si="118"/>
        <v>0</v>
      </c>
      <c r="M224" s="20">
        <f t="shared" si="118"/>
        <v>0</v>
      </c>
      <c r="N224" s="20">
        <f t="shared" si="118"/>
        <v>0</v>
      </c>
      <c r="O224" s="20">
        <f t="shared" si="118"/>
        <v>0</v>
      </c>
      <c r="P224" s="20">
        <f t="shared" si="118"/>
        <v>75253000</v>
      </c>
      <c r="Q224" s="140"/>
    </row>
    <row r="225" spans="1:18" s="21" customFormat="1" ht="315" x14ac:dyDescent="0.4">
      <c r="A225" s="17"/>
      <c r="B225" s="40"/>
      <c r="C225" s="40"/>
      <c r="D225" s="19" t="str">
        <f>D258</f>
        <v>субвенції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v>
      </c>
      <c r="E225" s="20">
        <f t="shared" ref="E225:P225" si="119">E258</f>
        <v>0</v>
      </c>
      <c r="F225" s="20">
        <f t="shared" si="119"/>
        <v>0</v>
      </c>
      <c r="G225" s="20">
        <f t="shared" si="119"/>
        <v>0</v>
      </c>
      <c r="H225" s="20">
        <f t="shared" si="119"/>
        <v>0</v>
      </c>
      <c r="I225" s="20">
        <f t="shared" si="119"/>
        <v>0</v>
      </c>
      <c r="J225" s="20">
        <f t="shared" si="119"/>
        <v>8260461.4100000001</v>
      </c>
      <c r="K225" s="20">
        <f t="shared" si="119"/>
        <v>8260461.4100000001</v>
      </c>
      <c r="L225" s="20">
        <f t="shared" si="119"/>
        <v>0</v>
      </c>
      <c r="M225" s="20">
        <f t="shared" si="119"/>
        <v>0</v>
      </c>
      <c r="N225" s="20">
        <f t="shared" si="119"/>
        <v>0</v>
      </c>
      <c r="O225" s="20">
        <f t="shared" si="119"/>
        <v>8260461.4100000001</v>
      </c>
      <c r="P225" s="20">
        <f t="shared" si="119"/>
        <v>8260461.4100000001</v>
      </c>
      <c r="Q225" s="140"/>
    </row>
    <row r="226" spans="1:18" s="21" customFormat="1" ht="315.75" customHeight="1" x14ac:dyDescent="0.4">
      <c r="A226" s="17"/>
      <c r="B226" s="40"/>
      <c r="C226" s="40"/>
      <c r="D226" s="19" t="str">
        <f>D260</f>
        <v>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v>
      </c>
      <c r="E226" s="20">
        <f t="shared" ref="E226:P226" si="120">E260</f>
        <v>0</v>
      </c>
      <c r="F226" s="20">
        <f t="shared" si="120"/>
        <v>0</v>
      </c>
      <c r="G226" s="20">
        <f t="shared" si="120"/>
        <v>0</v>
      </c>
      <c r="H226" s="20">
        <f t="shared" si="120"/>
        <v>0</v>
      </c>
      <c r="I226" s="20">
        <f t="shared" si="120"/>
        <v>0</v>
      </c>
      <c r="J226" s="20">
        <f t="shared" si="120"/>
        <v>20395339.16</v>
      </c>
      <c r="K226" s="20">
        <f t="shared" si="120"/>
        <v>20395339.16</v>
      </c>
      <c r="L226" s="20">
        <f t="shared" si="120"/>
        <v>0</v>
      </c>
      <c r="M226" s="20">
        <f t="shared" si="120"/>
        <v>0</v>
      </c>
      <c r="N226" s="20">
        <f t="shared" si="120"/>
        <v>0</v>
      </c>
      <c r="O226" s="20">
        <f t="shared" si="120"/>
        <v>20395339.16</v>
      </c>
      <c r="P226" s="20">
        <f t="shared" si="120"/>
        <v>20395339.16</v>
      </c>
      <c r="Q226" s="140">
        <v>9</v>
      </c>
    </row>
    <row r="227" spans="1:18" s="116" customFormat="1" ht="249" customHeight="1" x14ac:dyDescent="0.4">
      <c r="A227" s="17"/>
      <c r="B227" s="40"/>
      <c r="C227" s="40"/>
      <c r="D227" s="19" t="str">
        <f>D262</f>
        <v>субвенції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v>
      </c>
      <c r="E227" s="20">
        <f>E262</f>
        <v>0</v>
      </c>
      <c r="F227" s="20">
        <f t="shared" ref="F227:P227" si="121">F262</f>
        <v>0</v>
      </c>
      <c r="G227" s="20">
        <f t="shared" si="121"/>
        <v>0</v>
      </c>
      <c r="H227" s="20">
        <f t="shared" si="121"/>
        <v>0</v>
      </c>
      <c r="I227" s="20">
        <f t="shared" si="121"/>
        <v>0</v>
      </c>
      <c r="J227" s="20">
        <f t="shared" si="121"/>
        <v>3386099.22</v>
      </c>
      <c r="K227" s="20">
        <f t="shared" si="121"/>
        <v>3386099.22</v>
      </c>
      <c r="L227" s="20">
        <f t="shared" si="121"/>
        <v>0</v>
      </c>
      <c r="M227" s="20">
        <f t="shared" si="121"/>
        <v>0</v>
      </c>
      <c r="N227" s="20">
        <f t="shared" si="121"/>
        <v>0</v>
      </c>
      <c r="O227" s="20">
        <f t="shared" si="121"/>
        <v>3386099.22</v>
      </c>
      <c r="P227" s="20">
        <f t="shared" si="121"/>
        <v>3386099.22</v>
      </c>
      <c r="Q227" s="140"/>
      <c r="R227" s="21"/>
    </row>
    <row r="228" spans="1:18" s="116" customFormat="1" ht="106.5" customHeight="1" x14ac:dyDescent="0.4">
      <c r="A228" s="17"/>
      <c r="B228" s="40"/>
      <c r="C228" s="40"/>
      <c r="D228" s="19" t="s">
        <v>753</v>
      </c>
      <c r="E228" s="20">
        <f>E254</f>
        <v>184288.32</v>
      </c>
      <c r="F228" s="20">
        <f t="shared" ref="F228:P228" si="122">F254</f>
        <v>184288.32</v>
      </c>
      <c r="G228" s="20">
        <f t="shared" si="122"/>
        <v>151056</v>
      </c>
      <c r="H228" s="20">
        <f t="shared" si="122"/>
        <v>0</v>
      </c>
      <c r="I228" s="20">
        <f t="shared" si="122"/>
        <v>0</v>
      </c>
      <c r="J228" s="20">
        <f t="shared" si="122"/>
        <v>0</v>
      </c>
      <c r="K228" s="20">
        <f t="shared" si="122"/>
        <v>0</v>
      </c>
      <c r="L228" s="20">
        <f t="shared" si="122"/>
        <v>0</v>
      </c>
      <c r="M228" s="20">
        <f t="shared" si="122"/>
        <v>0</v>
      </c>
      <c r="N228" s="20">
        <f t="shared" si="122"/>
        <v>0</v>
      </c>
      <c r="O228" s="20">
        <f t="shared" si="122"/>
        <v>0</v>
      </c>
      <c r="P228" s="20">
        <f t="shared" si="122"/>
        <v>184288.32</v>
      </c>
      <c r="Q228" s="140"/>
      <c r="R228" s="21"/>
    </row>
    <row r="229" spans="1:18" s="26" customFormat="1" ht="50.25" customHeight="1" x14ac:dyDescent="0.45">
      <c r="A229" s="22" t="s">
        <v>172</v>
      </c>
      <c r="B229" s="23" t="str">
        <f>'дод 7'!A16</f>
        <v>0160</v>
      </c>
      <c r="C229" s="23" t="str">
        <f>'дод 7'!B16</f>
        <v>0111</v>
      </c>
      <c r="D229" s="24" t="s">
        <v>714</v>
      </c>
      <c r="E229" s="25">
        <f t="shared" ref="E229:E271" si="123">F229+I229</f>
        <v>62308700</v>
      </c>
      <c r="F229" s="25">
        <f>58927500-472300-796500+4787500+55600-193100</f>
        <v>62308700</v>
      </c>
      <c r="G229" s="25">
        <f>45101400-387100-652900+3927400-158300</f>
        <v>47830500</v>
      </c>
      <c r="H229" s="25">
        <v>1900500</v>
      </c>
      <c r="I229" s="25"/>
      <c r="J229" s="25">
        <f>L229+O229</f>
        <v>0</v>
      </c>
      <c r="K229" s="25"/>
      <c r="L229" s="25"/>
      <c r="M229" s="25"/>
      <c r="N229" s="25"/>
      <c r="O229" s="25"/>
      <c r="P229" s="25">
        <f t="shared" ref="P229:P271" si="124">E229+J229</f>
        <v>62308700</v>
      </c>
      <c r="Q229" s="140"/>
    </row>
    <row r="230" spans="1:18" s="26" customFormat="1" ht="23.25" hidden="1" customHeight="1" x14ac:dyDescent="0.45">
      <c r="A230" s="22" t="s">
        <v>485</v>
      </c>
      <c r="B230" s="22" t="s">
        <v>43</v>
      </c>
      <c r="C230" s="22" t="s">
        <v>89</v>
      </c>
      <c r="D230" s="24" t="str">
        <f>'дод 7'!C19</f>
        <v>Інша діяльність у сфері державного управління, у т.ч.за рахунок:</v>
      </c>
      <c r="E230" s="25">
        <f t="shared" si="123"/>
        <v>0</v>
      </c>
      <c r="F230" s="25"/>
      <c r="G230" s="25"/>
      <c r="H230" s="25"/>
      <c r="I230" s="25"/>
      <c r="J230" s="25">
        <f>L230+O230</f>
        <v>0</v>
      </c>
      <c r="K230" s="25"/>
      <c r="L230" s="25"/>
      <c r="M230" s="25"/>
      <c r="N230" s="25"/>
      <c r="O230" s="25"/>
      <c r="P230" s="25">
        <f t="shared" si="124"/>
        <v>0</v>
      </c>
      <c r="Q230" s="140"/>
    </row>
    <row r="231" spans="1:18" s="26" customFormat="1" ht="36" customHeight="1" x14ac:dyDescent="0.45">
      <c r="A231" s="22" t="s">
        <v>173</v>
      </c>
      <c r="B231" s="23" t="str">
        <f>'дод 7'!A141</f>
        <v>3031</v>
      </c>
      <c r="C231" s="23" t="str">
        <f>'дод 7'!B141</f>
        <v>1030</v>
      </c>
      <c r="D231" s="24" t="str">
        <f>'дод 7'!C141</f>
        <v>Надання інших пільг окремим категоріям громадян відповідно до законодавства</v>
      </c>
      <c r="E231" s="25">
        <f t="shared" si="123"/>
        <v>433000</v>
      </c>
      <c r="F231" s="25">
        <f>466000-33000</f>
        <v>433000</v>
      </c>
      <c r="G231" s="25"/>
      <c r="H231" s="25"/>
      <c r="I231" s="25"/>
      <c r="J231" s="25">
        <f t="shared" ref="J231:J262" si="125">L231+O231</f>
        <v>0</v>
      </c>
      <c r="K231" s="25"/>
      <c r="L231" s="25"/>
      <c r="M231" s="25"/>
      <c r="N231" s="25"/>
      <c r="O231" s="25"/>
      <c r="P231" s="25">
        <f t="shared" si="124"/>
        <v>433000</v>
      </c>
      <c r="Q231" s="140"/>
    </row>
    <row r="232" spans="1:18" s="26" customFormat="1" ht="30.75" x14ac:dyDescent="0.45">
      <c r="A232" s="22" t="s">
        <v>174</v>
      </c>
      <c r="B232" s="23" t="str">
        <f>'дод 7'!A142</f>
        <v>3032</v>
      </c>
      <c r="C232" s="23" t="str">
        <f>'дод 7'!B142</f>
        <v>1070</v>
      </c>
      <c r="D232" s="24" t="str">
        <f>'дод 7'!C142</f>
        <v>Надання пільг окремим категоріям громадян з оплати послуг зв'язку</v>
      </c>
      <c r="E232" s="25">
        <f t="shared" si="123"/>
        <v>650450</v>
      </c>
      <c r="F232" s="25">
        <f>830000-9550-170000</f>
        <v>650450</v>
      </c>
      <c r="G232" s="25"/>
      <c r="H232" s="25"/>
      <c r="I232" s="25"/>
      <c r="J232" s="25">
        <f t="shared" si="125"/>
        <v>0</v>
      </c>
      <c r="K232" s="25"/>
      <c r="L232" s="25"/>
      <c r="M232" s="25"/>
      <c r="N232" s="25"/>
      <c r="O232" s="25"/>
      <c r="P232" s="25">
        <f t="shared" si="124"/>
        <v>650450</v>
      </c>
      <c r="Q232" s="140"/>
    </row>
    <row r="233" spans="1:18" s="132" customFormat="1" ht="48.75" customHeight="1" x14ac:dyDescent="0.45">
      <c r="A233" s="22" t="s">
        <v>338</v>
      </c>
      <c r="B233" s="23" t="str">
        <f>'дод 7'!A143</f>
        <v>3033</v>
      </c>
      <c r="C233" s="23" t="str">
        <f>'дод 7'!B143</f>
        <v>1070</v>
      </c>
      <c r="D233" s="24" t="s">
        <v>391</v>
      </c>
      <c r="E233" s="25">
        <f t="shared" si="123"/>
        <v>20232679.810000002</v>
      </c>
      <c r="F233" s="25">
        <f>19330000-850000+1633519.01+147160.8+22000-50000</f>
        <v>20232679.810000002</v>
      </c>
      <c r="G233" s="25"/>
      <c r="H233" s="25"/>
      <c r="I233" s="25"/>
      <c r="J233" s="25">
        <f t="shared" si="125"/>
        <v>0</v>
      </c>
      <c r="K233" s="25"/>
      <c r="L233" s="25"/>
      <c r="M233" s="25"/>
      <c r="N233" s="25"/>
      <c r="O233" s="25"/>
      <c r="P233" s="25">
        <f t="shared" si="124"/>
        <v>20232679.810000002</v>
      </c>
      <c r="Q233" s="140"/>
      <c r="R233" s="26"/>
    </row>
    <row r="234" spans="1:18" s="31" customFormat="1" ht="18.75" customHeight="1" x14ac:dyDescent="0.45">
      <c r="A234" s="27"/>
      <c r="B234" s="28"/>
      <c r="C234" s="28"/>
      <c r="D234" s="29" t="s">
        <v>379</v>
      </c>
      <c r="E234" s="30">
        <f t="shared" si="123"/>
        <v>1730679.81</v>
      </c>
      <c r="F234" s="30">
        <f>1633519.01+147160.8-50000</f>
        <v>1730679.81</v>
      </c>
      <c r="G234" s="30"/>
      <c r="H234" s="30"/>
      <c r="I234" s="30"/>
      <c r="J234" s="30">
        <f t="shared" si="125"/>
        <v>0</v>
      </c>
      <c r="K234" s="30"/>
      <c r="L234" s="30"/>
      <c r="M234" s="30"/>
      <c r="N234" s="30"/>
      <c r="O234" s="30"/>
      <c r="P234" s="30">
        <f t="shared" si="124"/>
        <v>1730679.81</v>
      </c>
      <c r="Q234" s="140"/>
    </row>
    <row r="235" spans="1:18" s="26" customFormat="1" ht="40.5" customHeight="1" x14ac:dyDescent="0.45">
      <c r="A235" s="22" t="s">
        <v>310</v>
      </c>
      <c r="B235" s="23" t="str">
        <f>'дод 7'!A145</f>
        <v>3035</v>
      </c>
      <c r="C235" s="23" t="str">
        <f>'дод 7'!B145</f>
        <v>1070</v>
      </c>
      <c r="D235" s="24" t="str">
        <f>'дод 7'!C145</f>
        <v>Компенсаційні виплати за пільговий проїзд окремих категорій громадян на залізничному транспорті</v>
      </c>
      <c r="E235" s="25">
        <f t="shared" si="123"/>
        <v>1000000</v>
      </c>
      <c r="F235" s="25">
        <f>2400000-1400000</f>
        <v>1000000</v>
      </c>
      <c r="G235" s="25"/>
      <c r="H235" s="25"/>
      <c r="I235" s="25"/>
      <c r="J235" s="25">
        <f t="shared" si="125"/>
        <v>0</v>
      </c>
      <c r="K235" s="25"/>
      <c r="L235" s="25"/>
      <c r="M235" s="25"/>
      <c r="N235" s="25"/>
      <c r="O235" s="25"/>
      <c r="P235" s="25">
        <f t="shared" si="124"/>
        <v>1000000</v>
      </c>
      <c r="Q235" s="140"/>
    </row>
    <row r="236" spans="1:18" s="132" customFormat="1" ht="30.75" x14ac:dyDescent="0.45">
      <c r="A236" s="22" t="s">
        <v>175</v>
      </c>
      <c r="B236" s="23" t="str">
        <f>'дод 7'!A146</f>
        <v>3036</v>
      </c>
      <c r="C236" s="23" t="str">
        <f>'дод 7'!B146</f>
        <v>1070</v>
      </c>
      <c r="D236" s="24" t="str">
        <f>'дод 7'!C146</f>
        <v>Компенсаційні виплати на пільговий проїзд електротранспортом окремим категоріям громадян</v>
      </c>
      <c r="E236" s="25">
        <f t="shared" si="123"/>
        <v>44688000</v>
      </c>
      <c r="F236" s="25">
        <f>47688000-3000000</f>
        <v>44688000</v>
      </c>
      <c r="G236" s="25"/>
      <c r="H236" s="25"/>
      <c r="I236" s="25"/>
      <c r="J236" s="25">
        <f t="shared" si="125"/>
        <v>0</v>
      </c>
      <c r="K236" s="25"/>
      <c r="L236" s="25"/>
      <c r="M236" s="25"/>
      <c r="N236" s="25"/>
      <c r="O236" s="25"/>
      <c r="P236" s="25">
        <f t="shared" si="124"/>
        <v>44688000</v>
      </c>
      <c r="Q236" s="140"/>
      <c r="R236" s="26"/>
    </row>
    <row r="237" spans="1:18" s="108" customFormat="1" ht="49.5" customHeight="1" x14ac:dyDescent="0.45">
      <c r="A237" s="22" t="s">
        <v>336</v>
      </c>
      <c r="B237" s="23" t="str">
        <f>'дод 7'!A147</f>
        <v>3050</v>
      </c>
      <c r="C237" s="23" t="str">
        <f>'дод 7'!B147</f>
        <v>1070</v>
      </c>
      <c r="D237" s="24" t="str">
        <f>'дод 7'!C147</f>
        <v>Пільгове медичне обслуговування осіб, які постраждали внаслідок Чорнобильської катастрофи, у т.ч. за рахунок:</v>
      </c>
      <c r="E237" s="25">
        <f t="shared" si="123"/>
        <v>792300</v>
      </c>
      <c r="F237" s="25">
        <f>782300+10000</f>
        <v>792300</v>
      </c>
      <c r="G237" s="25"/>
      <c r="H237" s="25"/>
      <c r="I237" s="25"/>
      <c r="J237" s="25">
        <f t="shared" si="125"/>
        <v>0</v>
      </c>
      <c r="K237" s="25"/>
      <c r="L237" s="25"/>
      <c r="M237" s="25"/>
      <c r="N237" s="25"/>
      <c r="O237" s="25"/>
      <c r="P237" s="25">
        <f t="shared" si="124"/>
        <v>792300</v>
      </c>
      <c r="Q237" s="140"/>
      <c r="R237" s="26"/>
    </row>
    <row r="238" spans="1:18" s="115" customFormat="1" ht="15.75" customHeight="1" x14ac:dyDescent="0.45">
      <c r="A238" s="27"/>
      <c r="B238" s="28"/>
      <c r="C238" s="28"/>
      <c r="D238" s="29" t="s">
        <v>379</v>
      </c>
      <c r="E238" s="30">
        <f t="shared" si="123"/>
        <v>792300</v>
      </c>
      <c r="F238" s="30">
        <f>782300+10000</f>
        <v>792300</v>
      </c>
      <c r="G238" s="30"/>
      <c r="H238" s="30"/>
      <c r="I238" s="30"/>
      <c r="J238" s="30">
        <f t="shared" si="125"/>
        <v>0</v>
      </c>
      <c r="K238" s="30"/>
      <c r="L238" s="30"/>
      <c r="M238" s="30"/>
      <c r="N238" s="30"/>
      <c r="O238" s="30"/>
      <c r="P238" s="30">
        <f t="shared" si="124"/>
        <v>792300</v>
      </c>
      <c r="Q238" s="140"/>
      <c r="R238" s="31"/>
    </row>
    <row r="239" spans="1:18" s="26" customFormat="1" ht="36.75" customHeight="1" x14ac:dyDescent="0.45">
      <c r="A239" s="22" t="s">
        <v>337</v>
      </c>
      <c r="B239" s="23" t="str">
        <f>'дод 7'!A149</f>
        <v>3090</v>
      </c>
      <c r="C239" s="23" t="str">
        <f>'дод 7'!B149</f>
        <v>1030</v>
      </c>
      <c r="D239" s="24" t="str">
        <f>'дод 7'!C149</f>
        <v>Видатки на поховання учасників бойових дій та осіб з інвалідністю внаслідок війни, у т.ч. за рахунок:</v>
      </c>
      <c r="E239" s="25">
        <f t="shared" si="123"/>
        <v>113154</v>
      </c>
      <c r="F239" s="25">
        <f>287700-204600+30054</f>
        <v>113154</v>
      </c>
      <c r="G239" s="25"/>
      <c r="H239" s="25"/>
      <c r="I239" s="25"/>
      <c r="J239" s="25">
        <f t="shared" si="125"/>
        <v>0</v>
      </c>
      <c r="K239" s="25"/>
      <c r="L239" s="25"/>
      <c r="M239" s="25"/>
      <c r="N239" s="25"/>
      <c r="O239" s="25"/>
      <c r="P239" s="25">
        <f t="shared" si="124"/>
        <v>113154</v>
      </c>
      <c r="Q239" s="140"/>
    </row>
    <row r="240" spans="1:18" s="31" customFormat="1" ht="15.75" customHeight="1" x14ac:dyDescent="0.45">
      <c r="A240" s="27"/>
      <c r="B240" s="28"/>
      <c r="C240" s="28"/>
      <c r="D240" s="29" t="s">
        <v>379</v>
      </c>
      <c r="E240" s="30">
        <f t="shared" si="123"/>
        <v>113154</v>
      </c>
      <c r="F240" s="30">
        <f>287700-204600+30054</f>
        <v>113154</v>
      </c>
      <c r="G240" s="30"/>
      <c r="H240" s="30"/>
      <c r="I240" s="30"/>
      <c r="J240" s="30">
        <f t="shared" si="125"/>
        <v>0</v>
      </c>
      <c r="K240" s="30"/>
      <c r="L240" s="30"/>
      <c r="M240" s="30"/>
      <c r="N240" s="30"/>
      <c r="O240" s="30"/>
      <c r="P240" s="30">
        <f t="shared" si="124"/>
        <v>113154</v>
      </c>
      <c r="Q240" s="140"/>
    </row>
    <row r="241" spans="1:18" s="132" customFormat="1" ht="64.5" customHeight="1" x14ac:dyDescent="0.45">
      <c r="A241" s="22" t="s">
        <v>176</v>
      </c>
      <c r="B241" s="23" t="str">
        <f>'дод 7'!A151</f>
        <v>3104</v>
      </c>
      <c r="C241" s="23" t="str">
        <f>'дод 7'!B151</f>
        <v>1020</v>
      </c>
      <c r="D241" s="24" t="str">
        <f>'дод 7'!C151</f>
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</c>
      <c r="E241" s="25">
        <f>F241+I241</f>
        <v>25157800</v>
      </c>
      <c r="F241" s="25">
        <f>26125300-730000-237500</f>
        <v>25157800</v>
      </c>
      <c r="G241" s="25">
        <f>19405100-630000-195000-30000</f>
        <v>18550100</v>
      </c>
      <c r="H241" s="25">
        <v>1117300</v>
      </c>
      <c r="I241" s="25"/>
      <c r="J241" s="25">
        <f t="shared" si="125"/>
        <v>167600</v>
      </c>
      <c r="K241" s="25">
        <v>99000</v>
      </c>
      <c r="L241" s="25">
        <v>68600</v>
      </c>
      <c r="M241" s="25">
        <v>56100</v>
      </c>
      <c r="N241" s="25"/>
      <c r="O241" s="25">
        <v>99000</v>
      </c>
      <c r="P241" s="25">
        <f t="shared" si="124"/>
        <v>25325400</v>
      </c>
      <c r="Q241" s="140">
        <v>10</v>
      </c>
      <c r="R241" s="26"/>
    </row>
    <row r="242" spans="1:18" s="26" customFormat="1" ht="64.5" customHeight="1" x14ac:dyDescent="0.45">
      <c r="A242" s="22" t="s">
        <v>535</v>
      </c>
      <c r="B242" s="23">
        <v>3140</v>
      </c>
      <c r="C242" s="45" t="s">
        <v>96</v>
      </c>
      <c r="D242" s="35" t="str">
        <f>'дод 7'!C158</f>
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</c>
      <c r="E242" s="25">
        <f t="shared" si="123"/>
        <v>1400000</v>
      </c>
      <c r="F242" s="25">
        <v>1400000</v>
      </c>
      <c r="G242" s="25"/>
      <c r="H242" s="25"/>
      <c r="I242" s="25"/>
      <c r="J242" s="25">
        <f t="shared" si="125"/>
        <v>0</v>
      </c>
      <c r="K242" s="25"/>
      <c r="L242" s="25"/>
      <c r="M242" s="25"/>
      <c r="N242" s="25"/>
      <c r="O242" s="25"/>
      <c r="P242" s="25">
        <f t="shared" si="124"/>
        <v>1400000</v>
      </c>
      <c r="Q242" s="140"/>
    </row>
    <row r="243" spans="1:18" s="26" customFormat="1" ht="96.75" customHeight="1" x14ac:dyDescent="0.45">
      <c r="A243" s="22" t="s">
        <v>177</v>
      </c>
      <c r="B243" s="23" t="str">
        <f>'дод 7'!A159</f>
        <v>3160</v>
      </c>
      <c r="C243" s="23">
        <f>'дод 7'!B159</f>
        <v>1010</v>
      </c>
      <c r="D243" s="24" t="str">
        <f>'дод 7'!C159</f>
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допомоги, у т.ч. за рахунок:</v>
      </c>
      <c r="E243" s="25">
        <f t="shared" si="123"/>
        <v>19840100</v>
      </c>
      <c r="F243" s="25">
        <f>16781400-12581400+753900+3504743+1495257+9886200</f>
        <v>19840100</v>
      </c>
      <c r="G243" s="25"/>
      <c r="H243" s="25"/>
      <c r="I243" s="25"/>
      <c r="J243" s="25">
        <f t="shared" si="125"/>
        <v>0</v>
      </c>
      <c r="K243" s="25"/>
      <c r="L243" s="25"/>
      <c r="M243" s="25"/>
      <c r="N243" s="25"/>
      <c r="O243" s="25"/>
      <c r="P243" s="25">
        <f t="shared" si="124"/>
        <v>19840100</v>
      </c>
      <c r="Q243" s="140"/>
    </row>
    <row r="244" spans="1:18" s="31" customFormat="1" ht="115.5" customHeight="1" x14ac:dyDescent="0.45">
      <c r="A244" s="27"/>
      <c r="B244" s="28"/>
      <c r="C244" s="28"/>
      <c r="D244" s="29" t="s">
        <v>669</v>
      </c>
      <c r="E244" s="30">
        <f t="shared" ref="E244" si="126">F244+I244</f>
        <v>1495257</v>
      </c>
      <c r="F244" s="30">
        <v>1495257</v>
      </c>
      <c r="G244" s="30"/>
      <c r="H244" s="30"/>
      <c r="I244" s="30"/>
      <c r="J244" s="30">
        <f t="shared" ref="J244" si="127">L244+O244</f>
        <v>0</v>
      </c>
      <c r="K244" s="30"/>
      <c r="L244" s="30"/>
      <c r="M244" s="30"/>
      <c r="N244" s="30"/>
      <c r="O244" s="30"/>
      <c r="P244" s="30">
        <f t="shared" ref="P244" si="128">E244+J244</f>
        <v>1495257</v>
      </c>
      <c r="Q244" s="140"/>
    </row>
    <row r="245" spans="1:18" s="31" customFormat="1" ht="103.15" customHeight="1" x14ac:dyDescent="0.45">
      <c r="A245" s="27"/>
      <c r="B245" s="28"/>
      <c r="C245" s="28"/>
      <c r="D245" s="29" t="s">
        <v>619</v>
      </c>
      <c r="E245" s="30">
        <f t="shared" ref="E245" si="129">F245+I245</f>
        <v>9886200</v>
      </c>
      <c r="F245" s="30">
        <v>9886200</v>
      </c>
      <c r="G245" s="30"/>
      <c r="H245" s="30"/>
      <c r="I245" s="30"/>
      <c r="J245" s="30">
        <f t="shared" ref="J245" si="130">L245+O245</f>
        <v>0</v>
      </c>
      <c r="K245" s="30"/>
      <c r="L245" s="30"/>
      <c r="M245" s="30"/>
      <c r="N245" s="30"/>
      <c r="O245" s="30"/>
      <c r="P245" s="30">
        <f t="shared" ref="P245" si="131">E245+J245</f>
        <v>9886200</v>
      </c>
      <c r="Q245" s="140"/>
    </row>
    <row r="246" spans="1:18" s="132" customFormat="1" ht="63" customHeight="1" x14ac:dyDescent="0.45">
      <c r="A246" s="22" t="s">
        <v>339</v>
      </c>
      <c r="B246" s="23" t="str">
        <f>'дод 7'!A162</f>
        <v>3171</v>
      </c>
      <c r="C246" s="23">
        <f>'дод 7'!B162</f>
        <v>1010</v>
      </c>
      <c r="D246" s="24" t="s">
        <v>386</v>
      </c>
      <c r="E246" s="25">
        <f t="shared" si="123"/>
        <v>213862</v>
      </c>
      <c r="F246" s="25">
        <f>215129-1267</f>
        <v>213862</v>
      </c>
      <c r="G246" s="25"/>
      <c r="H246" s="25"/>
      <c r="I246" s="25"/>
      <c r="J246" s="25">
        <f t="shared" si="125"/>
        <v>0</v>
      </c>
      <c r="K246" s="25"/>
      <c r="L246" s="25"/>
      <c r="M246" s="25"/>
      <c r="N246" s="25"/>
      <c r="O246" s="25"/>
      <c r="P246" s="25">
        <f t="shared" si="124"/>
        <v>213862</v>
      </c>
      <c r="Q246" s="140"/>
      <c r="R246" s="26"/>
    </row>
    <row r="247" spans="1:18" s="133" customFormat="1" ht="18" customHeight="1" x14ac:dyDescent="0.45">
      <c r="A247" s="27"/>
      <c r="B247" s="28"/>
      <c r="C247" s="28"/>
      <c r="D247" s="29" t="s">
        <v>379</v>
      </c>
      <c r="E247" s="30">
        <f t="shared" si="123"/>
        <v>213862</v>
      </c>
      <c r="F247" s="30">
        <f>215129-1267</f>
        <v>213862</v>
      </c>
      <c r="G247" s="30"/>
      <c r="H247" s="30"/>
      <c r="I247" s="30"/>
      <c r="J247" s="30">
        <f t="shared" si="125"/>
        <v>0</v>
      </c>
      <c r="K247" s="30"/>
      <c r="L247" s="30"/>
      <c r="M247" s="30"/>
      <c r="N247" s="30"/>
      <c r="O247" s="30"/>
      <c r="P247" s="30">
        <f t="shared" si="124"/>
        <v>213862</v>
      </c>
      <c r="Q247" s="140"/>
      <c r="R247" s="31"/>
    </row>
    <row r="248" spans="1:18" s="26" customFormat="1" ht="31.5" hidden="1" customHeight="1" x14ac:dyDescent="0.45">
      <c r="A248" s="22" t="s">
        <v>340</v>
      </c>
      <c r="B248" s="23" t="str">
        <f>'дод 7'!A164</f>
        <v>3172</v>
      </c>
      <c r="C248" s="23">
        <f>'дод 7'!B164</f>
        <v>1010</v>
      </c>
      <c r="D248" s="24" t="str">
        <f>'дод 7'!C164</f>
        <v>Встановлення телефонів особам з інвалідністю I і II груп, у т.ч. за рахунок:</v>
      </c>
      <c r="E248" s="25">
        <f t="shared" si="123"/>
        <v>0</v>
      </c>
      <c r="F248" s="25"/>
      <c r="G248" s="25"/>
      <c r="H248" s="25"/>
      <c r="I248" s="25"/>
      <c r="J248" s="25">
        <f t="shared" si="125"/>
        <v>0</v>
      </c>
      <c r="K248" s="25"/>
      <c r="L248" s="25"/>
      <c r="M248" s="25"/>
      <c r="N248" s="25"/>
      <c r="O248" s="25"/>
      <c r="P248" s="25">
        <f t="shared" si="124"/>
        <v>0</v>
      </c>
      <c r="Q248" s="140"/>
    </row>
    <row r="249" spans="1:18" s="31" customFormat="1" ht="15.75" hidden="1" customHeight="1" x14ac:dyDescent="0.45">
      <c r="A249" s="27"/>
      <c r="B249" s="28"/>
      <c r="C249" s="28"/>
      <c r="D249" s="29" t="s">
        <v>379</v>
      </c>
      <c r="E249" s="30">
        <f t="shared" si="123"/>
        <v>0</v>
      </c>
      <c r="F249" s="30"/>
      <c r="G249" s="30"/>
      <c r="H249" s="30"/>
      <c r="I249" s="30"/>
      <c r="J249" s="30">
        <f t="shared" si="125"/>
        <v>0</v>
      </c>
      <c r="K249" s="30"/>
      <c r="L249" s="30"/>
      <c r="M249" s="30"/>
      <c r="N249" s="30"/>
      <c r="O249" s="30"/>
      <c r="P249" s="30">
        <f t="shared" si="124"/>
        <v>0</v>
      </c>
      <c r="Q249" s="140"/>
    </row>
    <row r="250" spans="1:18" s="26" customFormat="1" ht="78.75" hidden="1" customHeight="1" x14ac:dyDescent="0.45">
      <c r="A250" s="22" t="s">
        <v>178</v>
      </c>
      <c r="B250" s="23" t="str">
        <f>'дод 7'!A166</f>
        <v>3180</v>
      </c>
      <c r="C250" s="23" t="str">
        <f>'дод 7'!B166</f>
        <v>1060</v>
      </c>
      <c r="D250" s="24" t="str">
        <f>'дод 7'!C166</f>
        <v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v>
      </c>
      <c r="E250" s="25">
        <f t="shared" si="123"/>
        <v>0</v>
      </c>
      <c r="F250" s="25"/>
      <c r="G250" s="25"/>
      <c r="H250" s="25"/>
      <c r="I250" s="25"/>
      <c r="J250" s="25">
        <f t="shared" si="125"/>
        <v>0</v>
      </c>
      <c r="K250" s="25"/>
      <c r="L250" s="25"/>
      <c r="M250" s="25"/>
      <c r="N250" s="25"/>
      <c r="O250" s="25"/>
      <c r="P250" s="25">
        <f t="shared" si="124"/>
        <v>0</v>
      </c>
      <c r="Q250" s="140"/>
    </row>
    <row r="251" spans="1:18" s="26" customFormat="1" ht="40.5" customHeight="1" x14ac:dyDescent="0.45">
      <c r="A251" s="22" t="s">
        <v>295</v>
      </c>
      <c r="B251" s="23" t="str">
        <f>'дод 7'!A167</f>
        <v>3191</v>
      </c>
      <c r="C251" s="23" t="str">
        <f>'дод 7'!B167</f>
        <v>1030</v>
      </c>
      <c r="D251" s="24" t="str">
        <f>'дод 7'!C167</f>
        <v>Інші видатки на соціальний захист ветеранів війни та праці</v>
      </c>
      <c r="E251" s="25">
        <f t="shared" si="123"/>
        <v>6724251</v>
      </c>
      <c r="F251" s="25">
        <f>6861100-136849</f>
        <v>6724251</v>
      </c>
      <c r="G251" s="25"/>
      <c r="H251" s="25"/>
      <c r="I251" s="25"/>
      <c r="J251" s="25">
        <f t="shared" si="125"/>
        <v>0</v>
      </c>
      <c r="K251" s="25"/>
      <c r="L251" s="25"/>
      <c r="M251" s="25"/>
      <c r="N251" s="25"/>
      <c r="O251" s="25"/>
      <c r="P251" s="25">
        <f t="shared" si="124"/>
        <v>6724251</v>
      </c>
      <c r="Q251" s="140"/>
    </row>
    <row r="252" spans="1:18" s="26" customFormat="1" ht="54" customHeight="1" x14ac:dyDescent="0.45">
      <c r="A252" s="22" t="s">
        <v>296</v>
      </c>
      <c r="B252" s="23" t="str">
        <f>'дод 7'!A168</f>
        <v>3192</v>
      </c>
      <c r="C252" s="23" t="str">
        <f>'дод 7'!B168</f>
        <v>1030</v>
      </c>
      <c r="D252" s="24" t="str">
        <f>'дод 7'!C168</f>
        <v>Надання фінансової підтримки громадським об'єднанням ветеранів і осіб з інвалідністю, діяльність яких має соціальну спрямованість</v>
      </c>
      <c r="E252" s="25">
        <f t="shared" si="123"/>
        <v>2036420</v>
      </c>
      <c r="F252" s="25">
        <f>2072000-35580</f>
        <v>2036420</v>
      </c>
      <c r="G252" s="25"/>
      <c r="H252" s="25"/>
      <c r="I252" s="25"/>
      <c r="J252" s="25">
        <f t="shared" si="125"/>
        <v>0</v>
      </c>
      <c r="K252" s="25"/>
      <c r="L252" s="25"/>
      <c r="M252" s="25"/>
      <c r="N252" s="25"/>
      <c r="O252" s="25"/>
      <c r="P252" s="25">
        <f t="shared" si="124"/>
        <v>2036420</v>
      </c>
      <c r="Q252" s="140"/>
    </row>
    <row r="253" spans="1:18" s="26" customFormat="1" ht="75" customHeight="1" x14ac:dyDescent="0.45">
      <c r="A253" s="22" t="s">
        <v>759</v>
      </c>
      <c r="B253" s="23">
        <v>3193</v>
      </c>
      <c r="C253" s="23">
        <v>1030</v>
      </c>
      <c r="D253" s="24" t="s">
        <v>760</v>
      </c>
      <c r="E253" s="25">
        <f t="shared" si="123"/>
        <v>184288.32</v>
      </c>
      <c r="F253" s="25">
        <f>184288.32</f>
        <v>184288.32</v>
      </c>
      <c r="G253" s="25">
        <v>151056</v>
      </c>
      <c r="H253" s="25"/>
      <c r="I253" s="25"/>
      <c r="J253" s="25">
        <f t="shared" si="125"/>
        <v>0</v>
      </c>
      <c r="K253" s="25"/>
      <c r="L253" s="25"/>
      <c r="M253" s="25"/>
      <c r="N253" s="25"/>
      <c r="O253" s="25"/>
      <c r="P253" s="25">
        <f t="shared" si="124"/>
        <v>184288.32</v>
      </c>
      <c r="Q253" s="140"/>
    </row>
    <row r="254" spans="1:18" s="26" customFormat="1" ht="105.75" customHeight="1" x14ac:dyDescent="0.45">
      <c r="A254" s="22"/>
      <c r="B254" s="23"/>
      <c r="C254" s="23"/>
      <c r="D254" s="29" t="s">
        <v>753</v>
      </c>
      <c r="E254" s="30">
        <f t="shared" ref="E254" si="132">F254+I254</f>
        <v>184288.32</v>
      </c>
      <c r="F254" s="30">
        <f>184288.32</f>
        <v>184288.32</v>
      </c>
      <c r="G254" s="30">
        <v>151056</v>
      </c>
      <c r="H254" s="25"/>
      <c r="I254" s="25"/>
      <c r="J254" s="25">
        <f t="shared" si="125"/>
        <v>0</v>
      </c>
      <c r="K254" s="25"/>
      <c r="L254" s="25"/>
      <c r="M254" s="25"/>
      <c r="N254" s="25"/>
      <c r="O254" s="25"/>
      <c r="P254" s="25">
        <f t="shared" si="124"/>
        <v>184288.32</v>
      </c>
      <c r="Q254" s="140"/>
    </row>
    <row r="255" spans="1:18" s="26" customFormat="1" ht="34.5" customHeight="1" x14ac:dyDescent="0.45">
      <c r="A255" s="22" t="s">
        <v>179</v>
      </c>
      <c r="B255" s="23" t="str">
        <f>'дод 7'!A171</f>
        <v>3200</v>
      </c>
      <c r="C255" s="23" t="str">
        <f>'дод 7'!B171</f>
        <v>1090</v>
      </c>
      <c r="D255" s="24" t="str">
        <f>'дод 7'!C171</f>
        <v>Забезпечення обробки інформації з нарахування та виплати допомог і компенсацій</v>
      </c>
      <c r="E255" s="25">
        <f t="shared" si="123"/>
        <v>107000</v>
      </c>
      <c r="F255" s="25">
        <v>107000</v>
      </c>
      <c r="G255" s="25"/>
      <c r="H255" s="25"/>
      <c r="I255" s="25"/>
      <c r="J255" s="25">
        <f t="shared" si="125"/>
        <v>0</v>
      </c>
      <c r="K255" s="25"/>
      <c r="L255" s="25"/>
      <c r="M255" s="25"/>
      <c r="N255" s="25"/>
      <c r="O255" s="25"/>
      <c r="P255" s="25">
        <f t="shared" si="124"/>
        <v>107000</v>
      </c>
      <c r="Q255" s="140"/>
    </row>
    <row r="256" spans="1:18" s="26" customFormat="1" ht="20.25" customHeight="1" x14ac:dyDescent="0.45">
      <c r="A256" s="22" t="s">
        <v>297</v>
      </c>
      <c r="B256" s="23" t="str">
        <f>'дод 7'!A172</f>
        <v>3210</v>
      </c>
      <c r="C256" s="23" t="str">
        <f>'дод 7'!B172</f>
        <v>1050</v>
      </c>
      <c r="D256" s="24" t="str">
        <f>'дод 7'!C172</f>
        <v>Організація та проведення громадських робіт</v>
      </c>
      <c r="E256" s="25">
        <f t="shared" si="123"/>
        <v>0</v>
      </c>
      <c r="F256" s="25"/>
      <c r="G256" s="25"/>
      <c r="H256" s="25"/>
      <c r="I256" s="25"/>
      <c r="J256" s="25">
        <f t="shared" si="125"/>
        <v>0</v>
      </c>
      <c r="K256" s="25"/>
      <c r="L256" s="25"/>
      <c r="M256" s="25"/>
      <c r="N256" s="25"/>
      <c r="O256" s="25"/>
      <c r="P256" s="25">
        <f t="shared" si="124"/>
        <v>0</v>
      </c>
      <c r="Q256" s="140"/>
    </row>
    <row r="257" spans="1:18" s="26" customFormat="1" ht="289.5" customHeight="1" x14ac:dyDescent="0.45">
      <c r="A257" s="22" t="s">
        <v>417</v>
      </c>
      <c r="B257" s="23">
        <v>3221</v>
      </c>
      <c r="C257" s="22" t="s">
        <v>51</v>
      </c>
      <c r="D257" s="24" t="s">
        <v>633</v>
      </c>
      <c r="E257" s="25">
        <f t="shared" si="123"/>
        <v>0</v>
      </c>
      <c r="F257" s="47"/>
      <c r="G257" s="25"/>
      <c r="H257" s="25"/>
      <c r="I257" s="25"/>
      <c r="J257" s="25">
        <f t="shared" si="125"/>
        <v>8260461.4100000001</v>
      </c>
      <c r="K257" s="25">
        <v>8260461.4100000001</v>
      </c>
      <c r="L257" s="25"/>
      <c r="M257" s="25"/>
      <c r="N257" s="25"/>
      <c r="O257" s="25">
        <v>8260461.4100000001</v>
      </c>
      <c r="P257" s="25">
        <f t="shared" si="124"/>
        <v>8260461.4100000001</v>
      </c>
      <c r="Q257" s="140">
        <v>11</v>
      </c>
    </row>
    <row r="258" spans="1:18" s="31" customFormat="1" ht="322.5" customHeight="1" x14ac:dyDescent="0.45">
      <c r="A258" s="27"/>
      <c r="B258" s="28"/>
      <c r="C258" s="27"/>
      <c r="D258" s="29" t="s">
        <v>636</v>
      </c>
      <c r="E258" s="25">
        <f t="shared" si="123"/>
        <v>0</v>
      </c>
      <c r="F258" s="51"/>
      <c r="G258" s="30"/>
      <c r="H258" s="30"/>
      <c r="I258" s="30"/>
      <c r="J258" s="30">
        <f t="shared" si="125"/>
        <v>8260461.4100000001</v>
      </c>
      <c r="K258" s="25">
        <v>8260461.4100000001</v>
      </c>
      <c r="L258" s="25"/>
      <c r="M258" s="25"/>
      <c r="N258" s="25"/>
      <c r="O258" s="25">
        <v>8260461.4100000001</v>
      </c>
      <c r="P258" s="30">
        <f t="shared" si="124"/>
        <v>8260461.4100000001</v>
      </c>
      <c r="Q258" s="140"/>
    </row>
    <row r="259" spans="1:18" s="108" customFormat="1" ht="296.25" customHeight="1" x14ac:dyDescent="0.45">
      <c r="A259" s="22" t="s">
        <v>507</v>
      </c>
      <c r="B259" s="23">
        <v>3222</v>
      </c>
      <c r="C259" s="22" t="s">
        <v>51</v>
      </c>
      <c r="D259" s="24" t="s">
        <v>634</v>
      </c>
      <c r="E259" s="25">
        <f t="shared" ref="E259:E260" si="133">F259+I259</f>
        <v>0</v>
      </c>
      <c r="F259" s="138"/>
      <c r="G259" s="25"/>
      <c r="H259" s="25"/>
      <c r="I259" s="25"/>
      <c r="J259" s="25">
        <f t="shared" ref="J259:J260" si="134">L259+O259</f>
        <v>20395339.16</v>
      </c>
      <c r="K259" s="25">
        <f>8914255.95+11481083.21</f>
        <v>20395339.16</v>
      </c>
      <c r="L259" s="25"/>
      <c r="M259" s="25"/>
      <c r="N259" s="25"/>
      <c r="O259" s="25">
        <f>8914255.95+11481083.21</f>
        <v>20395339.16</v>
      </c>
      <c r="P259" s="25">
        <f t="shared" si="124"/>
        <v>20395339.16</v>
      </c>
      <c r="Q259" s="140"/>
      <c r="R259" s="26"/>
    </row>
    <row r="260" spans="1:18" s="115" customFormat="1" ht="314.25" customHeight="1" x14ac:dyDescent="0.45">
      <c r="A260" s="27"/>
      <c r="B260" s="28"/>
      <c r="C260" s="27"/>
      <c r="D260" s="29" t="s">
        <v>638</v>
      </c>
      <c r="E260" s="30">
        <f t="shared" si="133"/>
        <v>0</v>
      </c>
      <c r="F260" s="139"/>
      <c r="G260" s="30"/>
      <c r="H260" s="30"/>
      <c r="I260" s="30"/>
      <c r="J260" s="30">
        <f t="shared" si="134"/>
        <v>20395339.16</v>
      </c>
      <c r="K260" s="25">
        <f>8914255.95+11481083.21</f>
        <v>20395339.16</v>
      </c>
      <c r="L260" s="25"/>
      <c r="M260" s="25"/>
      <c r="N260" s="25"/>
      <c r="O260" s="25">
        <f>8914255.95+11481083.21</f>
        <v>20395339.16</v>
      </c>
      <c r="P260" s="30">
        <f t="shared" si="124"/>
        <v>20395339.16</v>
      </c>
      <c r="Q260" s="140">
        <v>12</v>
      </c>
      <c r="R260" s="31"/>
    </row>
    <row r="261" spans="1:18" s="108" customFormat="1" ht="199.9" customHeight="1" x14ac:dyDescent="0.45">
      <c r="A261" s="22" t="s">
        <v>416</v>
      </c>
      <c r="B261" s="23">
        <v>3223</v>
      </c>
      <c r="C261" s="22" t="s">
        <v>51</v>
      </c>
      <c r="D261" s="24" t="str">
        <f>'дод 7'!C177</f>
        <v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умов, у т.ч. за рахунок:</v>
      </c>
      <c r="E261" s="25">
        <f t="shared" si="123"/>
        <v>0</v>
      </c>
      <c r="F261" s="25"/>
      <c r="G261" s="25"/>
      <c r="H261" s="25"/>
      <c r="I261" s="25"/>
      <c r="J261" s="25">
        <f t="shared" si="125"/>
        <v>3386099.22</v>
      </c>
      <c r="K261" s="25">
        <f>3386099.22</f>
        <v>3386099.22</v>
      </c>
      <c r="L261" s="25"/>
      <c r="M261" s="25"/>
      <c r="N261" s="25"/>
      <c r="O261" s="25">
        <f>3386099.22</f>
        <v>3386099.22</v>
      </c>
      <c r="P261" s="25">
        <f t="shared" si="124"/>
        <v>3386099.22</v>
      </c>
      <c r="Q261" s="140"/>
      <c r="R261" s="26"/>
    </row>
    <row r="262" spans="1:18" s="115" customFormat="1" ht="213" customHeight="1" x14ac:dyDescent="0.45">
      <c r="A262" s="27"/>
      <c r="B262" s="28"/>
      <c r="C262" s="27"/>
      <c r="D262" s="29" t="s">
        <v>637</v>
      </c>
      <c r="E262" s="30">
        <f t="shared" si="123"/>
        <v>0</v>
      </c>
      <c r="F262" s="30"/>
      <c r="G262" s="30"/>
      <c r="H262" s="30"/>
      <c r="I262" s="30"/>
      <c r="J262" s="30">
        <f t="shared" si="125"/>
        <v>3386099.22</v>
      </c>
      <c r="K262" s="25">
        <f>3386099.22</f>
        <v>3386099.22</v>
      </c>
      <c r="L262" s="30"/>
      <c r="M262" s="30"/>
      <c r="N262" s="30"/>
      <c r="O262" s="25">
        <f>3386099.22</f>
        <v>3386099.22</v>
      </c>
      <c r="P262" s="30">
        <f t="shared" si="124"/>
        <v>3386099.22</v>
      </c>
      <c r="Q262" s="140"/>
      <c r="R262" s="31"/>
    </row>
    <row r="263" spans="1:18" s="108" customFormat="1" ht="37.5" customHeight="1" x14ac:dyDescent="0.45">
      <c r="A263" s="22" t="s">
        <v>294</v>
      </c>
      <c r="B263" s="23" t="str">
        <f>'дод 7'!A179</f>
        <v>3241</v>
      </c>
      <c r="C263" s="23" t="str">
        <f>'дод 7'!B179</f>
        <v>1090</v>
      </c>
      <c r="D263" s="24" t="s">
        <v>752</v>
      </c>
      <c r="E263" s="25">
        <f t="shared" si="123"/>
        <v>6840400</v>
      </c>
      <c r="F263" s="25">
        <f>6618300+222100</f>
        <v>6840400</v>
      </c>
      <c r="G263" s="25">
        <f>3540500+182100</f>
        <v>3722600</v>
      </c>
      <c r="H263" s="25">
        <f>506500</f>
        <v>506500</v>
      </c>
      <c r="I263" s="25"/>
      <c r="J263" s="25">
        <f t="shared" ref="J263:J271" si="135">L263+O263</f>
        <v>0</v>
      </c>
      <c r="K263" s="25"/>
      <c r="L263" s="25"/>
      <c r="M263" s="25"/>
      <c r="N263" s="25"/>
      <c r="O263" s="25"/>
      <c r="P263" s="30">
        <f t="shared" si="124"/>
        <v>6840400</v>
      </c>
      <c r="Q263" s="140"/>
      <c r="R263" s="26"/>
    </row>
    <row r="264" spans="1:18" s="108" customFormat="1" ht="33" customHeight="1" x14ac:dyDescent="0.45">
      <c r="A264" s="22" t="s">
        <v>341</v>
      </c>
      <c r="B264" s="23" t="str">
        <f>'дод 7'!A180</f>
        <v>3242</v>
      </c>
      <c r="C264" s="23" t="str">
        <f>'дод 7'!B180</f>
        <v>1090</v>
      </c>
      <c r="D264" s="24" t="s">
        <v>600</v>
      </c>
      <c r="E264" s="25">
        <f t="shared" si="123"/>
        <v>282760599</v>
      </c>
      <c r="F264" s="25">
        <f>283053500-186471500+261600+100000+440000+100000+71218100+4750000+4997600+60000+9550+61416800+3616150+34265+180000+100000+100000+65000+3750000+353429+200000+17801000+952025+3000000+4697800-8400-16320+8000000</f>
        <v>282760599</v>
      </c>
      <c r="G264" s="25"/>
      <c r="H264" s="25"/>
      <c r="I264" s="25"/>
      <c r="J264" s="25">
        <f t="shared" si="135"/>
        <v>0</v>
      </c>
      <c r="K264" s="25"/>
      <c r="L264" s="25"/>
      <c r="M264" s="25"/>
      <c r="N264" s="25"/>
      <c r="O264" s="25"/>
      <c r="P264" s="25">
        <f t="shared" si="124"/>
        <v>282760599</v>
      </c>
      <c r="Q264" s="140"/>
      <c r="R264" s="26"/>
    </row>
    <row r="265" spans="1:18" s="115" customFormat="1" ht="25.5" customHeight="1" x14ac:dyDescent="0.45">
      <c r="A265" s="27"/>
      <c r="B265" s="28"/>
      <c r="C265" s="28"/>
      <c r="D265" s="29" t="s">
        <v>379</v>
      </c>
      <c r="E265" s="30">
        <f t="shared" si="123"/>
        <v>8236880</v>
      </c>
      <c r="F265" s="30">
        <f>261600-8400-16320+8000000</f>
        <v>8236880</v>
      </c>
      <c r="G265" s="30"/>
      <c r="H265" s="30"/>
      <c r="I265" s="30"/>
      <c r="J265" s="30">
        <f t="shared" si="135"/>
        <v>0</v>
      </c>
      <c r="K265" s="30"/>
      <c r="L265" s="30"/>
      <c r="M265" s="30"/>
      <c r="N265" s="30"/>
      <c r="O265" s="30"/>
      <c r="P265" s="30">
        <f t="shared" si="124"/>
        <v>8236880</v>
      </c>
      <c r="Q265" s="140"/>
      <c r="R265" s="31"/>
    </row>
    <row r="266" spans="1:18" s="31" customFormat="1" ht="98.65" customHeight="1" x14ac:dyDescent="0.45">
      <c r="A266" s="27"/>
      <c r="B266" s="28"/>
      <c r="C266" s="28"/>
      <c r="D266" s="29" t="s">
        <v>619</v>
      </c>
      <c r="E266" s="30">
        <f t="shared" si="123"/>
        <v>65366800</v>
      </c>
      <c r="F266" s="30">
        <f>61416800+3750000+200000</f>
        <v>65366800</v>
      </c>
      <c r="G266" s="30"/>
      <c r="H266" s="30"/>
      <c r="I266" s="30"/>
      <c r="J266" s="30">
        <f t="shared" si="135"/>
        <v>0</v>
      </c>
      <c r="K266" s="30"/>
      <c r="L266" s="30"/>
      <c r="M266" s="30"/>
      <c r="N266" s="30"/>
      <c r="O266" s="30"/>
      <c r="P266" s="30">
        <f t="shared" si="124"/>
        <v>65366800</v>
      </c>
      <c r="Q266" s="140"/>
    </row>
    <row r="267" spans="1:18" s="26" customFormat="1" ht="31.5" hidden="1" customHeight="1" x14ac:dyDescent="0.45">
      <c r="A267" s="22" t="s">
        <v>397</v>
      </c>
      <c r="B267" s="23">
        <v>7323</v>
      </c>
      <c r="C267" s="22" t="s">
        <v>107</v>
      </c>
      <c r="D267" s="35" t="str">
        <f>'дод 7'!C244</f>
        <v>Будівництво1 установ та закладів соціальної сфери</v>
      </c>
      <c r="E267" s="25">
        <f t="shared" si="123"/>
        <v>0</v>
      </c>
      <c r="F267" s="25"/>
      <c r="G267" s="25"/>
      <c r="H267" s="25"/>
      <c r="I267" s="25"/>
      <c r="J267" s="25">
        <f t="shared" si="135"/>
        <v>0</v>
      </c>
      <c r="K267" s="25"/>
      <c r="L267" s="25"/>
      <c r="M267" s="25"/>
      <c r="N267" s="25"/>
      <c r="O267" s="25"/>
      <c r="P267" s="25">
        <f t="shared" si="124"/>
        <v>0</v>
      </c>
      <c r="Q267" s="140"/>
    </row>
    <row r="268" spans="1:18" s="26" customFormat="1" ht="15.4" hidden="1" customHeight="1" x14ac:dyDescent="0.45">
      <c r="A268" s="22" t="s">
        <v>536</v>
      </c>
      <c r="B268" s="23">
        <v>7640</v>
      </c>
      <c r="C268" s="45" t="s">
        <v>82</v>
      </c>
      <c r="D268" s="33" t="s">
        <v>402</v>
      </c>
      <c r="E268" s="25">
        <f t="shared" si="123"/>
        <v>0</v>
      </c>
      <c r="F268" s="25"/>
      <c r="G268" s="25"/>
      <c r="H268" s="25"/>
      <c r="I268" s="25"/>
      <c r="J268" s="25">
        <f t="shared" si="135"/>
        <v>0</v>
      </c>
      <c r="K268" s="25"/>
      <c r="L268" s="25"/>
      <c r="M268" s="25"/>
      <c r="N268" s="25"/>
      <c r="O268" s="25"/>
      <c r="P268" s="25">
        <f t="shared" si="124"/>
        <v>0</v>
      </c>
      <c r="Q268" s="140"/>
    </row>
    <row r="269" spans="1:18" s="26" customFormat="1" ht="66" hidden="1" customHeight="1" x14ac:dyDescent="0.45">
      <c r="A269" s="22" t="s">
        <v>569</v>
      </c>
      <c r="B269" s="23" t="e">
        <f>'дод 7'!#REF!</f>
        <v>#REF!</v>
      </c>
      <c r="C269" s="23" t="e">
        <f>'дод 7'!#REF!</f>
        <v>#REF!</v>
      </c>
      <c r="D269" s="36" t="e">
        <f>'дод 7'!#REF!</f>
        <v>#REF!</v>
      </c>
      <c r="E269" s="25">
        <f>F269</f>
        <v>0</v>
      </c>
      <c r="F269" s="25"/>
      <c r="G269" s="25"/>
      <c r="H269" s="25"/>
      <c r="I269" s="25"/>
      <c r="J269" s="25">
        <f t="shared" ref="J269" si="136">L269+O269</f>
        <v>0</v>
      </c>
      <c r="K269" s="25"/>
      <c r="L269" s="25"/>
      <c r="M269" s="25"/>
      <c r="N269" s="25"/>
      <c r="O269" s="25"/>
      <c r="P269" s="25">
        <f t="shared" ref="P269" si="137">E269+J269</f>
        <v>0</v>
      </c>
      <c r="Q269" s="140"/>
    </row>
    <row r="270" spans="1:18" s="26" customFormat="1" ht="38.25" hidden="1" customHeight="1" x14ac:dyDescent="0.45">
      <c r="A270" s="22" t="s">
        <v>563</v>
      </c>
      <c r="B270" s="23">
        <v>8775</v>
      </c>
      <c r="C270" s="22" t="s">
        <v>89</v>
      </c>
      <c r="D270" s="24" t="s">
        <v>561</v>
      </c>
      <c r="E270" s="25">
        <f>F270</f>
        <v>0</v>
      </c>
      <c r="F270" s="25"/>
      <c r="G270" s="25"/>
      <c r="H270" s="25"/>
      <c r="I270" s="25"/>
      <c r="J270" s="25">
        <f t="shared" si="135"/>
        <v>0</v>
      </c>
      <c r="K270" s="25"/>
      <c r="L270" s="25"/>
      <c r="M270" s="25"/>
      <c r="N270" s="25"/>
      <c r="O270" s="25"/>
      <c r="P270" s="25">
        <f t="shared" si="124"/>
        <v>0</v>
      </c>
      <c r="Q270" s="140"/>
    </row>
    <row r="271" spans="1:18" s="26" customFormat="1" ht="22.5" customHeight="1" x14ac:dyDescent="0.45">
      <c r="A271" s="22" t="s">
        <v>256</v>
      </c>
      <c r="B271" s="23" t="str">
        <f>'дод 7'!A338</f>
        <v>9770</v>
      </c>
      <c r="C271" s="23" t="str">
        <f>'дод 7'!B338</f>
        <v>0180</v>
      </c>
      <c r="D271" s="24" t="str">
        <f>'дод 7'!C338</f>
        <v>Інші субвенції з місцевого бюджету</v>
      </c>
      <c r="E271" s="25">
        <f t="shared" si="123"/>
        <v>200000</v>
      </c>
      <c r="F271" s="25">
        <v>200000</v>
      </c>
      <c r="G271" s="25"/>
      <c r="H271" s="25"/>
      <c r="I271" s="25"/>
      <c r="J271" s="25">
        <f t="shared" si="135"/>
        <v>0</v>
      </c>
      <c r="K271" s="25"/>
      <c r="L271" s="25"/>
      <c r="M271" s="25"/>
      <c r="N271" s="25"/>
      <c r="O271" s="25"/>
      <c r="P271" s="25">
        <f t="shared" si="124"/>
        <v>200000</v>
      </c>
      <c r="Q271" s="140"/>
    </row>
    <row r="272" spans="1:18" s="16" customFormat="1" ht="30" x14ac:dyDescent="0.4">
      <c r="A272" s="37" t="s">
        <v>180</v>
      </c>
      <c r="B272" s="38"/>
      <c r="C272" s="38"/>
      <c r="D272" s="39" t="s">
        <v>349</v>
      </c>
      <c r="E272" s="15">
        <f>E273</f>
        <v>7838300</v>
      </c>
      <c r="F272" s="15">
        <f t="shared" ref="F272:J272" si="138">F273</f>
        <v>7838300</v>
      </c>
      <c r="G272" s="15">
        <f t="shared" si="138"/>
        <v>5886800</v>
      </c>
      <c r="H272" s="15">
        <f t="shared" si="138"/>
        <v>138600</v>
      </c>
      <c r="I272" s="15">
        <f t="shared" si="138"/>
        <v>0</v>
      </c>
      <c r="J272" s="15">
        <f t="shared" si="138"/>
        <v>0</v>
      </c>
      <c r="K272" s="15">
        <f t="shared" ref="K272" si="139">K273</f>
        <v>0</v>
      </c>
      <c r="L272" s="15">
        <f t="shared" ref="L272" si="140">L273</f>
        <v>0</v>
      </c>
      <c r="M272" s="15">
        <f t="shared" ref="M272" si="141">M273</f>
        <v>0</v>
      </c>
      <c r="N272" s="15">
        <f t="shared" ref="N272" si="142">N273</f>
        <v>0</v>
      </c>
      <c r="O272" s="15">
        <f t="shared" ref="O272:P272" si="143">O273</f>
        <v>0</v>
      </c>
      <c r="P272" s="15">
        <f t="shared" si="143"/>
        <v>7838300</v>
      </c>
      <c r="Q272" s="140"/>
    </row>
    <row r="273" spans="1:18" s="21" customFormat="1" ht="30" x14ac:dyDescent="0.4">
      <c r="A273" s="17" t="s">
        <v>181</v>
      </c>
      <c r="B273" s="40"/>
      <c r="C273" s="40"/>
      <c r="D273" s="19" t="s">
        <v>349</v>
      </c>
      <c r="E273" s="20">
        <f>E275+E276+E277+E279+E278</f>
        <v>7838300</v>
      </c>
      <c r="F273" s="20">
        <f t="shared" ref="F273:P273" si="144">F275+F276+F277+F279+F278</f>
        <v>7838300</v>
      </c>
      <c r="G273" s="20">
        <f t="shared" si="144"/>
        <v>5886800</v>
      </c>
      <c r="H273" s="20">
        <f t="shared" si="144"/>
        <v>138600</v>
      </c>
      <c r="I273" s="20">
        <f t="shared" si="144"/>
        <v>0</v>
      </c>
      <c r="J273" s="20">
        <f t="shared" si="144"/>
        <v>0</v>
      </c>
      <c r="K273" s="20">
        <f t="shared" si="144"/>
        <v>0</v>
      </c>
      <c r="L273" s="20">
        <f t="shared" si="144"/>
        <v>0</v>
      </c>
      <c r="M273" s="20">
        <f t="shared" si="144"/>
        <v>0</v>
      </c>
      <c r="N273" s="20">
        <f t="shared" si="144"/>
        <v>0</v>
      </c>
      <c r="O273" s="20">
        <f t="shared" si="144"/>
        <v>0</v>
      </c>
      <c r="P273" s="20">
        <f t="shared" si="144"/>
        <v>7838300</v>
      </c>
      <c r="Q273" s="140"/>
    </row>
    <row r="274" spans="1:18" s="21" customFormat="1" ht="141.75" hidden="1" customHeight="1" x14ac:dyDescent="0.4">
      <c r="A274" s="17"/>
      <c r="B274" s="40"/>
      <c r="C274" s="40"/>
      <c r="D274" s="52" t="s">
        <v>530</v>
      </c>
      <c r="E274" s="20">
        <f>E280</f>
        <v>0</v>
      </c>
      <c r="F274" s="20">
        <f t="shared" ref="F274:P274" si="145">F280</f>
        <v>0</v>
      </c>
      <c r="G274" s="20">
        <f t="shared" si="145"/>
        <v>0</v>
      </c>
      <c r="H274" s="20">
        <f t="shared" si="145"/>
        <v>0</v>
      </c>
      <c r="I274" s="20">
        <f t="shared" si="145"/>
        <v>0</v>
      </c>
      <c r="J274" s="20">
        <f t="shared" si="145"/>
        <v>0</v>
      </c>
      <c r="K274" s="20">
        <f t="shared" si="145"/>
        <v>0</v>
      </c>
      <c r="L274" s="20">
        <f t="shared" si="145"/>
        <v>0</v>
      </c>
      <c r="M274" s="20">
        <f t="shared" si="145"/>
        <v>0</v>
      </c>
      <c r="N274" s="20">
        <f t="shared" si="145"/>
        <v>0</v>
      </c>
      <c r="O274" s="20">
        <f t="shared" si="145"/>
        <v>0</v>
      </c>
      <c r="P274" s="20">
        <f t="shared" si="145"/>
        <v>0</v>
      </c>
      <c r="Q274" s="140"/>
    </row>
    <row r="275" spans="1:18" s="132" customFormat="1" ht="30.75" x14ac:dyDescent="0.45">
      <c r="A275" s="22" t="s">
        <v>182</v>
      </c>
      <c r="B275" s="23" t="str">
        <f>'дод 7'!A16</f>
        <v>0160</v>
      </c>
      <c r="C275" s="23" t="str">
        <f>'дод 7'!B16</f>
        <v>0111</v>
      </c>
      <c r="D275" s="24" t="s">
        <v>714</v>
      </c>
      <c r="E275" s="25">
        <f t="shared" ref="E275:E280" si="146">F275+I275</f>
        <v>7552000</v>
      </c>
      <c r="F275" s="25">
        <f>6981400+570600</f>
        <v>7552000</v>
      </c>
      <c r="G275" s="25">
        <f>5371700+468100+47000</f>
        <v>5886800</v>
      </c>
      <c r="H275" s="25">
        <v>138600</v>
      </c>
      <c r="I275" s="25"/>
      <c r="J275" s="25">
        <f>L275+O275</f>
        <v>0</v>
      </c>
      <c r="K275" s="25">
        <f>12000-12000</f>
        <v>0</v>
      </c>
      <c r="L275" s="25"/>
      <c r="M275" s="25"/>
      <c r="N275" s="25"/>
      <c r="O275" s="25">
        <f>12000-12000</f>
        <v>0</v>
      </c>
      <c r="P275" s="25">
        <f t="shared" ref="P275:P280" si="147">E275+J275</f>
        <v>7552000</v>
      </c>
      <c r="Q275" s="140"/>
      <c r="R275" s="26"/>
    </row>
    <row r="276" spans="1:18" s="26" customFormat="1" ht="84.75" customHeight="1" x14ac:dyDescent="0.45">
      <c r="A276" s="22" t="s">
        <v>320</v>
      </c>
      <c r="B276" s="23">
        <v>3111</v>
      </c>
      <c r="C276" s="23">
        <v>1040</v>
      </c>
      <c r="D276" s="24" t="str">
        <f>'дод 7'!C152</f>
        <v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v>
      </c>
      <c r="E276" s="25">
        <f t="shared" si="146"/>
        <v>116300</v>
      </c>
      <c r="F276" s="25">
        <v>116300</v>
      </c>
      <c r="G276" s="25"/>
      <c r="H276" s="25"/>
      <c r="I276" s="25"/>
      <c r="J276" s="25">
        <f t="shared" ref="J276:J280" si="148">L276+O276</f>
        <v>0</v>
      </c>
      <c r="K276" s="25">
        <f>21140-21140</f>
        <v>0</v>
      </c>
      <c r="L276" s="25"/>
      <c r="M276" s="25"/>
      <c r="N276" s="25"/>
      <c r="O276" s="25">
        <f>21140-21140</f>
        <v>0</v>
      </c>
      <c r="P276" s="25">
        <f t="shared" si="147"/>
        <v>116300</v>
      </c>
      <c r="Q276" s="140">
        <v>13</v>
      </c>
    </row>
    <row r="277" spans="1:18" s="26" customFormat="1" ht="31.5" customHeight="1" x14ac:dyDescent="0.45">
      <c r="A277" s="22" t="s">
        <v>183</v>
      </c>
      <c r="B277" s="23" t="str">
        <f>'дод 7'!A153</f>
        <v>3112</v>
      </c>
      <c r="C277" s="23" t="str">
        <f>'дод 7'!B153</f>
        <v>1040</v>
      </c>
      <c r="D277" s="24" t="str">
        <f>'дод 7'!C153</f>
        <v>Заходи державної політики з питань дітей та їх соціального захисту</v>
      </c>
      <c r="E277" s="25">
        <f t="shared" si="146"/>
        <v>170000</v>
      </c>
      <c r="F277" s="25">
        <f>141200+28800</f>
        <v>170000</v>
      </c>
      <c r="G277" s="25"/>
      <c r="H277" s="25"/>
      <c r="I277" s="25"/>
      <c r="J277" s="25">
        <f t="shared" si="148"/>
        <v>0</v>
      </c>
      <c r="K277" s="25"/>
      <c r="L277" s="25"/>
      <c r="M277" s="25"/>
      <c r="N277" s="25"/>
      <c r="O277" s="25"/>
      <c r="P277" s="25">
        <f t="shared" si="147"/>
        <v>170000</v>
      </c>
      <c r="Q277" s="140"/>
    </row>
    <row r="278" spans="1:18" s="26" customFormat="1" ht="31.5" hidden="1" customHeight="1" x14ac:dyDescent="0.45">
      <c r="A278" s="22" t="s">
        <v>540</v>
      </c>
      <c r="B278" s="23">
        <v>3242</v>
      </c>
      <c r="C278" s="45" t="s">
        <v>54</v>
      </c>
      <c r="D278" s="33" t="s">
        <v>392</v>
      </c>
      <c r="E278" s="25">
        <f t="shared" si="146"/>
        <v>0</v>
      </c>
      <c r="F278" s="25"/>
      <c r="G278" s="25"/>
      <c r="H278" s="25"/>
      <c r="I278" s="25"/>
      <c r="J278" s="25">
        <f t="shared" si="148"/>
        <v>0</v>
      </c>
      <c r="K278" s="25"/>
      <c r="L278" s="25"/>
      <c r="M278" s="25"/>
      <c r="N278" s="25"/>
      <c r="O278" s="25"/>
      <c r="P278" s="25">
        <f t="shared" si="147"/>
        <v>0</v>
      </c>
      <c r="Q278" s="140"/>
    </row>
    <row r="279" spans="1:18" s="26" customFormat="1" ht="94.5" hidden="1" customHeight="1" x14ac:dyDescent="0.45">
      <c r="A279" s="22" t="s">
        <v>413</v>
      </c>
      <c r="B279" s="23">
        <v>6083</v>
      </c>
      <c r="C279" s="22" t="s">
        <v>65</v>
      </c>
      <c r="D279" s="42" t="s">
        <v>414</v>
      </c>
      <c r="E279" s="25">
        <f t="shared" si="146"/>
        <v>0</v>
      </c>
      <c r="F279" s="25"/>
      <c r="G279" s="25"/>
      <c r="H279" s="25"/>
      <c r="I279" s="25"/>
      <c r="J279" s="25">
        <f t="shared" si="148"/>
        <v>0</v>
      </c>
      <c r="K279" s="25"/>
      <c r="L279" s="25"/>
      <c r="M279" s="25"/>
      <c r="N279" s="25"/>
      <c r="O279" s="25"/>
      <c r="P279" s="25">
        <f t="shared" si="147"/>
        <v>0</v>
      </c>
      <c r="Q279" s="140"/>
    </row>
    <row r="280" spans="1:18" s="31" customFormat="1" ht="138.75" hidden="1" customHeight="1" x14ac:dyDescent="0.45">
      <c r="A280" s="27"/>
      <c r="B280" s="28"/>
      <c r="C280" s="27"/>
      <c r="D280" s="53" t="s">
        <v>530</v>
      </c>
      <c r="E280" s="25">
        <f t="shared" si="146"/>
        <v>0</v>
      </c>
      <c r="F280" s="30"/>
      <c r="G280" s="30"/>
      <c r="H280" s="30"/>
      <c r="I280" s="30"/>
      <c r="J280" s="25">
        <f t="shared" si="148"/>
        <v>0</v>
      </c>
      <c r="K280" s="30"/>
      <c r="L280" s="30"/>
      <c r="M280" s="30"/>
      <c r="N280" s="30"/>
      <c r="O280" s="30"/>
      <c r="P280" s="25">
        <f t="shared" si="147"/>
        <v>0</v>
      </c>
      <c r="Q280" s="140"/>
    </row>
    <row r="281" spans="1:18" s="16" customFormat="1" ht="22.5" customHeight="1" x14ac:dyDescent="0.4">
      <c r="A281" s="37" t="s">
        <v>25</v>
      </c>
      <c r="B281" s="38"/>
      <c r="C281" s="38"/>
      <c r="D281" s="39" t="s">
        <v>321</v>
      </c>
      <c r="E281" s="15">
        <f>E282</f>
        <v>96625400</v>
      </c>
      <c r="F281" s="15">
        <f t="shared" ref="F281:J281" si="149">F282</f>
        <v>96625400</v>
      </c>
      <c r="G281" s="15">
        <f t="shared" si="149"/>
        <v>71873380</v>
      </c>
      <c r="H281" s="15">
        <f t="shared" si="149"/>
        <v>4817700</v>
      </c>
      <c r="I281" s="15">
        <f t="shared" si="149"/>
        <v>0</v>
      </c>
      <c r="J281" s="15">
        <f t="shared" si="149"/>
        <v>8570035</v>
      </c>
      <c r="K281" s="15">
        <f t="shared" ref="K281" si="150">K282</f>
        <v>4860300</v>
      </c>
      <c r="L281" s="15">
        <f t="shared" ref="L281" si="151">L282</f>
        <v>3707535</v>
      </c>
      <c r="M281" s="15">
        <f t="shared" ref="M281" si="152">M282</f>
        <v>3020273</v>
      </c>
      <c r="N281" s="15">
        <f t="shared" ref="N281" si="153">N282</f>
        <v>0</v>
      </c>
      <c r="O281" s="15">
        <f t="shared" ref="O281:P281" si="154">O282</f>
        <v>4862500</v>
      </c>
      <c r="P281" s="15">
        <f t="shared" si="154"/>
        <v>105195435</v>
      </c>
      <c r="Q281" s="140"/>
    </row>
    <row r="282" spans="1:18" s="21" customFormat="1" ht="31.5" customHeight="1" x14ac:dyDescent="0.4">
      <c r="A282" s="17" t="s">
        <v>184</v>
      </c>
      <c r="B282" s="40"/>
      <c r="C282" s="40"/>
      <c r="D282" s="19" t="s">
        <v>721</v>
      </c>
      <c r="E282" s="20">
        <f>E284+E285+E286+E289+E290++E292+E287+E291+E293+E294</f>
        <v>96625400</v>
      </c>
      <c r="F282" s="20">
        <f t="shared" ref="F282:P282" si="155">F284+F285+F286+F289+F290++F292+F287+F291+F293+F294</f>
        <v>96625400</v>
      </c>
      <c r="G282" s="20">
        <f t="shared" si="155"/>
        <v>71873380</v>
      </c>
      <c r="H282" s="20">
        <f t="shared" si="155"/>
        <v>4817700</v>
      </c>
      <c r="I282" s="20">
        <f t="shared" si="155"/>
        <v>0</v>
      </c>
      <c r="J282" s="20">
        <f t="shared" si="155"/>
        <v>8570035</v>
      </c>
      <c r="K282" s="20">
        <f t="shared" si="155"/>
        <v>4860300</v>
      </c>
      <c r="L282" s="20">
        <f t="shared" si="155"/>
        <v>3707535</v>
      </c>
      <c r="M282" s="20">
        <f t="shared" si="155"/>
        <v>3020273</v>
      </c>
      <c r="N282" s="20">
        <f t="shared" si="155"/>
        <v>0</v>
      </c>
      <c r="O282" s="20">
        <f t="shared" si="155"/>
        <v>4862500</v>
      </c>
      <c r="P282" s="20">
        <f t="shared" si="155"/>
        <v>105195435</v>
      </c>
      <c r="Q282" s="140"/>
    </row>
    <row r="283" spans="1:18" s="21" customFormat="1" ht="90" x14ac:dyDescent="0.4">
      <c r="A283" s="17"/>
      <c r="B283" s="40"/>
      <c r="C283" s="40"/>
      <c r="D283" s="54" t="s">
        <v>619</v>
      </c>
      <c r="E283" s="20">
        <f>E288</f>
        <v>100000</v>
      </c>
      <c r="F283" s="20">
        <f t="shared" ref="F283:P283" si="156">F288</f>
        <v>100000</v>
      </c>
      <c r="G283" s="20">
        <f t="shared" si="156"/>
        <v>0</v>
      </c>
      <c r="H283" s="20">
        <f t="shared" si="156"/>
        <v>0</v>
      </c>
      <c r="I283" s="20">
        <f t="shared" si="156"/>
        <v>0</v>
      </c>
      <c r="J283" s="20">
        <f t="shared" si="156"/>
        <v>0</v>
      </c>
      <c r="K283" s="20">
        <f t="shared" si="156"/>
        <v>0</v>
      </c>
      <c r="L283" s="20">
        <f t="shared" si="156"/>
        <v>0</v>
      </c>
      <c r="M283" s="20">
        <f t="shared" si="156"/>
        <v>0</v>
      </c>
      <c r="N283" s="20">
        <f t="shared" si="156"/>
        <v>0</v>
      </c>
      <c r="O283" s="20">
        <f t="shared" si="156"/>
        <v>0</v>
      </c>
      <c r="P283" s="20">
        <f t="shared" si="156"/>
        <v>100000</v>
      </c>
      <c r="Q283" s="140"/>
    </row>
    <row r="284" spans="1:18" s="108" customFormat="1" ht="30.75" x14ac:dyDescent="0.45">
      <c r="A284" s="22" t="s">
        <v>132</v>
      </c>
      <c r="B284" s="23" t="str">
        <f>'дод 7'!A16</f>
        <v>0160</v>
      </c>
      <c r="C284" s="23" t="str">
        <f>'дод 7'!B16</f>
        <v>0111</v>
      </c>
      <c r="D284" s="24" t="s">
        <v>714</v>
      </c>
      <c r="E284" s="25">
        <f t="shared" ref="E284:E293" si="157">F284+I284</f>
        <v>2641800</v>
      </c>
      <c r="F284" s="25">
        <f>2410900+207600+23300</f>
        <v>2641800</v>
      </c>
      <c r="G284" s="25">
        <f>1884400+170300-20720</f>
        <v>2033980</v>
      </c>
      <c r="H284" s="25">
        <f>50600+23300</f>
        <v>73900</v>
      </c>
      <c r="I284" s="25"/>
      <c r="J284" s="25">
        <f>L284+O284</f>
        <v>0</v>
      </c>
      <c r="K284" s="25"/>
      <c r="L284" s="25"/>
      <c r="M284" s="25"/>
      <c r="N284" s="25"/>
      <c r="O284" s="25"/>
      <c r="P284" s="25">
        <f t="shared" ref="P284:P293" si="158">E284+J284</f>
        <v>2641800</v>
      </c>
      <c r="Q284" s="140"/>
      <c r="R284" s="26"/>
    </row>
    <row r="285" spans="1:18" s="108" customFormat="1" ht="33" customHeight="1" x14ac:dyDescent="0.45">
      <c r="A285" s="22" t="s">
        <v>471</v>
      </c>
      <c r="B285" s="23">
        <v>1080</v>
      </c>
      <c r="C285" s="22" t="s">
        <v>55</v>
      </c>
      <c r="D285" s="24" t="str">
        <f>'дод 7'!C67</f>
        <v>Надання спеціалізованої освіти мистецькими школами</v>
      </c>
      <c r="E285" s="25">
        <f t="shared" si="157"/>
        <v>58830500</v>
      </c>
      <c r="F285" s="25">
        <f>63414300+500000-200000-3905700-57800-920300</f>
        <v>58830500</v>
      </c>
      <c r="G285" s="25">
        <f>49963100-3179700-820300</f>
        <v>45963100</v>
      </c>
      <c r="H285" s="25">
        <f>1633100-43800</f>
        <v>1589300</v>
      </c>
      <c r="I285" s="25"/>
      <c r="J285" s="25">
        <f>L285+O285</f>
        <v>3692735</v>
      </c>
      <c r="K285" s="25"/>
      <c r="L285" s="25">
        <v>3690535</v>
      </c>
      <c r="M285" s="25">
        <v>3020273</v>
      </c>
      <c r="N285" s="25"/>
      <c r="O285" s="25">
        <v>2200</v>
      </c>
      <c r="P285" s="25">
        <f t="shared" si="158"/>
        <v>62523235</v>
      </c>
      <c r="Q285" s="140"/>
      <c r="R285" s="26"/>
    </row>
    <row r="286" spans="1:18" s="108" customFormat="1" ht="21" customHeight="1" x14ac:dyDescent="0.45">
      <c r="A286" s="22" t="s">
        <v>185</v>
      </c>
      <c r="B286" s="23" t="str">
        <f>'дод 7'!A185</f>
        <v>4030</v>
      </c>
      <c r="C286" s="23" t="str">
        <f>'дод 7'!B185</f>
        <v>0824</v>
      </c>
      <c r="D286" s="24" t="str">
        <f>'дод 7'!C185</f>
        <v>Забезпечення діяльності бібліотек</v>
      </c>
      <c r="E286" s="25">
        <f t="shared" si="157"/>
        <v>25817400</v>
      </c>
      <c r="F286" s="25">
        <f>27722400-1905000</f>
        <v>25817400</v>
      </c>
      <c r="G286" s="25">
        <f>19660500-1564000</f>
        <v>18096500</v>
      </c>
      <c r="H286" s="25">
        <f>2672200+15000</f>
        <v>2687200</v>
      </c>
      <c r="I286" s="25"/>
      <c r="J286" s="25">
        <f t="shared" ref="J286:J293" si="159">L286+O286</f>
        <v>4865300</v>
      </c>
      <c r="K286" s="25">
        <v>4860300</v>
      </c>
      <c r="L286" s="25">
        <v>5000</v>
      </c>
      <c r="M286" s="25"/>
      <c r="N286" s="25"/>
      <c r="O286" s="25">
        <v>4860300</v>
      </c>
      <c r="P286" s="25">
        <f t="shared" si="158"/>
        <v>30682700</v>
      </c>
      <c r="Q286" s="140"/>
      <c r="R286" s="26"/>
    </row>
    <row r="287" spans="1:18" s="108" customFormat="1" ht="54.75" customHeight="1" x14ac:dyDescent="0.45">
      <c r="A287" s="22">
        <v>1014060</v>
      </c>
      <c r="B287" s="23" t="str">
        <f>'дод 7'!A186</f>
        <v>4060</v>
      </c>
      <c r="C287" s="23" t="str">
        <f>'дод 7'!B186</f>
        <v>0828</v>
      </c>
      <c r="D287" s="24" t="str">
        <f>'дод 7'!C186</f>
        <v>Забезпечення діяльності палаців i будинків культури, клубів, центрів дозвілля та iнших клубних закладів, у т.ч. за рахунок:</v>
      </c>
      <c r="E287" s="25">
        <f t="shared" si="157"/>
        <v>5866700</v>
      </c>
      <c r="F287" s="25">
        <f>5349200+173500+243800+300000+100000-292800-7000</f>
        <v>5866700</v>
      </c>
      <c r="G287" s="25">
        <f>3530000+142200+199800-240000</f>
        <v>3632000</v>
      </c>
      <c r="H287" s="25">
        <f>370000-7000</f>
        <v>363000</v>
      </c>
      <c r="I287" s="25"/>
      <c r="J287" s="25">
        <f t="shared" si="159"/>
        <v>0</v>
      </c>
      <c r="K287" s="25">
        <f>246000-246000</f>
        <v>0</v>
      </c>
      <c r="L287" s="25"/>
      <c r="M287" s="25"/>
      <c r="N287" s="25"/>
      <c r="O287" s="25">
        <f>246000-246000</f>
        <v>0</v>
      </c>
      <c r="P287" s="25">
        <f t="shared" si="158"/>
        <v>5866700</v>
      </c>
      <c r="Q287" s="140"/>
      <c r="R287" s="26"/>
    </row>
    <row r="288" spans="1:18" s="31" customFormat="1" ht="92.25" x14ac:dyDescent="0.45">
      <c r="A288" s="27"/>
      <c r="B288" s="28"/>
      <c r="C288" s="28"/>
      <c r="D288" s="48" t="s">
        <v>619</v>
      </c>
      <c r="E288" s="30">
        <f t="shared" ref="E288" si="160">F288+I288</f>
        <v>100000</v>
      </c>
      <c r="F288" s="30">
        <v>100000</v>
      </c>
      <c r="G288" s="30"/>
      <c r="H288" s="30"/>
      <c r="I288" s="30"/>
      <c r="J288" s="30">
        <f t="shared" ref="J288" si="161">L288+O288</f>
        <v>0</v>
      </c>
      <c r="K288" s="30">
        <f>246000-246000</f>
        <v>0</v>
      </c>
      <c r="L288" s="30"/>
      <c r="M288" s="30"/>
      <c r="N288" s="30"/>
      <c r="O288" s="30">
        <f>246000-246000</f>
        <v>0</v>
      </c>
      <c r="P288" s="30">
        <f t="shared" ref="P288" si="162">E288+J288</f>
        <v>100000</v>
      </c>
      <c r="Q288" s="140"/>
    </row>
    <row r="289" spans="1:18" s="133" customFormat="1" ht="33.75" customHeight="1" x14ac:dyDescent="0.45">
      <c r="A289" s="22">
        <v>1014081</v>
      </c>
      <c r="B289" s="23" t="str">
        <f>'дод 7'!A188</f>
        <v>4081</v>
      </c>
      <c r="C289" s="23" t="str">
        <f>'дод 7'!B188</f>
        <v>0829</v>
      </c>
      <c r="D289" s="24" t="str">
        <f>'дод 7'!C188</f>
        <v>Забезпечення діяльності інших закладів в галузі культури і мистецтва</v>
      </c>
      <c r="E289" s="25">
        <f t="shared" si="157"/>
        <v>2894000</v>
      </c>
      <c r="F289" s="25">
        <f>2852500+41500</f>
        <v>2894000</v>
      </c>
      <c r="G289" s="25">
        <f>2150000-2200</f>
        <v>2147800</v>
      </c>
      <c r="H289" s="25">
        <f>76800+27500</f>
        <v>104300</v>
      </c>
      <c r="I289" s="25"/>
      <c r="J289" s="25">
        <f t="shared" si="159"/>
        <v>0</v>
      </c>
      <c r="K289" s="25"/>
      <c r="L289" s="25"/>
      <c r="M289" s="25"/>
      <c r="N289" s="25"/>
      <c r="O289" s="25"/>
      <c r="P289" s="25">
        <f t="shared" si="158"/>
        <v>2894000</v>
      </c>
      <c r="Q289" s="140"/>
      <c r="R289" s="31"/>
    </row>
    <row r="290" spans="1:18" s="31" customFormat="1" ht="25.5" customHeight="1" x14ac:dyDescent="0.45">
      <c r="A290" s="22">
        <v>1014082</v>
      </c>
      <c r="B290" s="23" t="str">
        <f>'дод 7'!A189</f>
        <v>4082</v>
      </c>
      <c r="C290" s="23" t="str">
        <f>'дод 7'!B189</f>
        <v>0829</v>
      </c>
      <c r="D290" s="24" t="str">
        <f>'дод 7'!C189</f>
        <v>Інші заходи в галузі культури і мистецтва</v>
      </c>
      <c r="E290" s="25">
        <f t="shared" si="157"/>
        <v>500000</v>
      </c>
      <c r="F290" s="25">
        <f>1200000-700000</f>
        <v>500000</v>
      </c>
      <c r="G290" s="25"/>
      <c r="H290" s="25"/>
      <c r="I290" s="25"/>
      <c r="J290" s="25">
        <f t="shared" si="159"/>
        <v>0</v>
      </c>
      <c r="K290" s="25"/>
      <c r="L290" s="25"/>
      <c r="M290" s="25"/>
      <c r="N290" s="25"/>
      <c r="O290" s="25"/>
      <c r="P290" s="25">
        <f t="shared" si="158"/>
        <v>500000</v>
      </c>
      <c r="Q290" s="140"/>
    </row>
    <row r="291" spans="1:18" s="31" customFormat="1" ht="21.75" hidden="1" customHeight="1" x14ac:dyDescent="0.45">
      <c r="A291" s="22" t="s">
        <v>426</v>
      </c>
      <c r="B291" s="22" t="s">
        <v>427</v>
      </c>
      <c r="C291" s="22" t="s">
        <v>107</v>
      </c>
      <c r="D291" s="35" t="str">
        <f>'дод 7'!C245</f>
        <v>Будівництво1 установ та закладів культури</v>
      </c>
      <c r="E291" s="25">
        <f t="shared" si="157"/>
        <v>0</v>
      </c>
      <c r="F291" s="25"/>
      <c r="G291" s="25"/>
      <c r="H291" s="25"/>
      <c r="I291" s="25"/>
      <c r="J291" s="25">
        <f t="shared" si="159"/>
        <v>0</v>
      </c>
      <c r="K291" s="25"/>
      <c r="L291" s="25"/>
      <c r="M291" s="25"/>
      <c r="N291" s="25"/>
      <c r="O291" s="25"/>
      <c r="P291" s="25">
        <f t="shared" si="158"/>
        <v>0</v>
      </c>
      <c r="Q291" s="140"/>
    </row>
    <row r="292" spans="1:18" s="26" customFormat="1" ht="22.5" hidden="1" customHeight="1" x14ac:dyDescent="0.45">
      <c r="A292" s="22" t="s">
        <v>138</v>
      </c>
      <c r="B292" s="23" t="str">
        <f>'дод 7'!A285</f>
        <v>7640</v>
      </c>
      <c r="C292" s="23" t="str">
        <f>'дод 7'!B285</f>
        <v>0470</v>
      </c>
      <c r="D292" s="24" t="s">
        <v>402</v>
      </c>
      <c r="E292" s="25">
        <f t="shared" si="157"/>
        <v>0</v>
      </c>
      <c r="F292" s="25"/>
      <c r="G292" s="25"/>
      <c r="H292" s="25"/>
      <c r="I292" s="25"/>
      <c r="J292" s="25">
        <f t="shared" si="159"/>
        <v>0</v>
      </c>
      <c r="K292" s="25"/>
      <c r="L292" s="25"/>
      <c r="M292" s="25"/>
      <c r="N292" s="25"/>
      <c r="O292" s="25"/>
      <c r="P292" s="25">
        <f t="shared" si="158"/>
        <v>0</v>
      </c>
      <c r="Q292" s="140"/>
    </row>
    <row r="293" spans="1:18" s="26" customFormat="1" ht="27" customHeight="1" x14ac:dyDescent="0.45">
      <c r="A293" s="22">
        <v>1018340</v>
      </c>
      <c r="B293" s="23" t="str">
        <f>'дод 7'!A321</f>
        <v>8340</v>
      </c>
      <c r="C293" s="23" t="str">
        <f>'дод 7'!B321</f>
        <v>0540</v>
      </c>
      <c r="D293" s="36" t="str">
        <f>'дод 7'!C321</f>
        <v>Природоохоронні заходи за рахунок цільових фондів</v>
      </c>
      <c r="E293" s="25">
        <f t="shared" si="157"/>
        <v>0</v>
      </c>
      <c r="F293" s="25"/>
      <c r="G293" s="25"/>
      <c r="H293" s="25"/>
      <c r="I293" s="25"/>
      <c r="J293" s="25">
        <f t="shared" si="159"/>
        <v>12000</v>
      </c>
      <c r="K293" s="25"/>
      <c r="L293" s="25">
        <v>12000</v>
      </c>
      <c r="M293" s="25"/>
      <c r="N293" s="25"/>
      <c r="O293" s="25"/>
      <c r="P293" s="25">
        <f t="shared" si="158"/>
        <v>12000</v>
      </c>
      <c r="Q293" s="140"/>
    </row>
    <row r="294" spans="1:18" s="26" customFormat="1" ht="27" customHeight="1" x14ac:dyDescent="0.45">
      <c r="A294" s="22" t="s">
        <v>689</v>
      </c>
      <c r="B294" s="23" t="str">
        <f>'дод 7'!A338</f>
        <v>9770</v>
      </c>
      <c r="C294" s="23" t="str">
        <f>'дод 7'!B338</f>
        <v>0180</v>
      </c>
      <c r="D294" s="36" t="str">
        <f>'дод 7'!C338</f>
        <v>Інші субвенції з місцевого бюджету</v>
      </c>
      <c r="E294" s="25">
        <f t="shared" ref="E294" si="163">F294+I294</f>
        <v>75000</v>
      </c>
      <c r="F294" s="25">
        <v>75000</v>
      </c>
      <c r="G294" s="25"/>
      <c r="H294" s="25"/>
      <c r="I294" s="25"/>
      <c r="J294" s="25">
        <f t="shared" ref="J294" si="164">L294+O294</f>
        <v>0</v>
      </c>
      <c r="K294" s="25"/>
      <c r="L294" s="25"/>
      <c r="M294" s="25"/>
      <c r="N294" s="25"/>
      <c r="O294" s="25"/>
      <c r="P294" s="25">
        <f t="shared" ref="P294" si="165">E294+J294</f>
        <v>75000</v>
      </c>
      <c r="Q294" s="140"/>
    </row>
    <row r="295" spans="1:18" s="16" customFormat="1" ht="34.5" customHeight="1" x14ac:dyDescent="0.4">
      <c r="A295" s="37" t="s">
        <v>186</v>
      </c>
      <c r="B295" s="38"/>
      <c r="C295" s="38"/>
      <c r="D295" s="39" t="s">
        <v>31</v>
      </c>
      <c r="E295" s="15">
        <f>E296</f>
        <v>423690813</v>
      </c>
      <c r="F295" s="15">
        <f t="shared" ref="F295:H295" si="166">F296</f>
        <v>277724976.18000001</v>
      </c>
      <c r="G295" s="15">
        <f t="shared" si="166"/>
        <v>16161700</v>
      </c>
      <c r="H295" s="15">
        <f t="shared" si="166"/>
        <v>25870673</v>
      </c>
      <c r="I295" s="15">
        <f>I296</f>
        <v>145965836.81999999</v>
      </c>
      <c r="J295" s="15">
        <f>J296</f>
        <v>99272164</v>
      </c>
      <c r="K295" s="15">
        <f t="shared" ref="K295:P295" si="167">K296</f>
        <v>76595467</v>
      </c>
      <c r="L295" s="15">
        <f t="shared" si="167"/>
        <v>1146776</v>
      </c>
      <c r="M295" s="15">
        <f t="shared" si="167"/>
        <v>0</v>
      </c>
      <c r="N295" s="15">
        <f t="shared" si="167"/>
        <v>0</v>
      </c>
      <c r="O295" s="15">
        <f t="shared" si="167"/>
        <v>98125388</v>
      </c>
      <c r="P295" s="15">
        <f t="shared" si="167"/>
        <v>522962977</v>
      </c>
      <c r="Q295" s="140"/>
    </row>
    <row r="296" spans="1:18" s="21" customFormat="1" ht="30" x14ac:dyDescent="0.4">
      <c r="A296" s="17" t="s">
        <v>187</v>
      </c>
      <c r="B296" s="40"/>
      <c r="C296" s="40"/>
      <c r="D296" s="19" t="s">
        <v>662</v>
      </c>
      <c r="E296" s="20">
        <f>E309+E311+E312+E313+E314+E317+E318+E319+E321+E325+E327+E329+E331+E330+E333+E335+E339+E341+E344+E353+E354+E357+E366+E369+E371+E332+E347+E363+E360+E322+E324+E370+E368+E316+E372+E367+E364+E365+E346+E342+E349+E326+E358+E351+E352</f>
        <v>423690813</v>
      </c>
      <c r="F296" s="20">
        <f t="shared" ref="F296:P296" si="168">F309+F311+F312+F313+F314+F317+F318+F319+F321+F325+F327+F329+F331+F330+F333+F335+F339+F341+F344+F353+F354+F357+F366+F369+F371+F332+F347+F363+F360+F322+F324+F370+F368+F316+F372+F367+F364+F365+F346+F342+F349+F326+F358+F351+F352</f>
        <v>277724976.18000001</v>
      </c>
      <c r="G296" s="20">
        <f t="shared" si="168"/>
        <v>16161700</v>
      </c>
      <c r="H296" s="20">
        <f t="shared" si="168"/>
        <v>25870673</v>
      </c>
      <c r="I296" s="20">
        <f t="shared" si="168"/>
        <v>145965836.81999999</v>
      </c>
      <c r="J296" s="20">
        <f t="shared" si="168"/>
        <v>99272164</v>
      </c>
      <c r="K296" s="20">
        <f t="shared" si="168"/>
        <v>76595467</v>
      </c>
      <c r="L296" s="20">
        <f t="shared" si="168"/>
        <v>1146776</v>
      </c>
      <c r="M296" s="20">
        <f t="shared" si="168"/>
        <v>0</v>
      </c>
      <c r="N296" s="20">
        <f t="shared" si="168"/>
        <v>0</v>
      </c>
      <c r="O296" s="20">
        <f t="shared" si="168"/>
        <v>98125388</v>
      </c>
      <c r="P296" s="20">
        <f t="shared" si="168"/>
        <v>522962977</v>
      </c>
      <c r="Q296" s="140"/>
    </row>
    <row r="297" spans="1:18" s="21" customFormat="1" ht="117.75" hidden="1" customHeight="1" x14ac:dyDescent="0.4">
      <c r="A297" s="17"/>
      <c r="B297" s="40"/>
      <c r="C297" s="40"/>
      <c r="D297" s="19" t="s">
        <v>381</v>
      </c>
      <c r="E297" s="20">
        <f>E348</f>
        <v>0</v>
      </c>
      <c r="F297" s="20">
        <f t="shared" ref="F297:P297" si="169">F348</f>
        <v>0</v>
      </c>
      <c r="G297" s="20">
        <f t="shared" si="169"/>
        <v>0</v>
      </c>
      <c r="H297" s="20">
        <f t="shared" si="169"/>
        <v>0</v>
      </c>
      <c r="I297" s="20">
        <f t="shared" si="169"/>
        <v>0</v>
      </c>
      <c r="J297" s="20">
        <f t="shared" si="169"/>
        <v>0</v>
      </c>
      <c r="K297" s="20">
        <f t="shared" si="169"/>
        <v>0</v>
      </c>
      <c r="L297" s="20">
        <f t="shared" si="169"/>
        <v>0</v>
      </c>
      <c r="M297" s="20">
        <f t="shared" si="169"/>
        <v>0</v>
      </c>
      <c r="N297" s="20">
        <f t="shared" si="169"/>
        <v>0</v>
      </c>
      <c r="O297" s="20">
        <f t="shared" si="169"/>
        <v>0</v>
      </c>
      <c r="P297" s="20">
        <f t="shared" si="169"/>
        <v>0</v>
      </c>
      <c r="Q297" s="140"/>
    </row>
    <row r="298" spans="1:18" s="21" customFormat="1" ht="84" hidden="1" customHeight="1" x14ac:dyDescent="0.4">
      <c r="A298" s="17"/>
      <c r="B298" s="40"/>
      <c r="C298" s="40"/>
      <c r="D298" s="19" t="s">
        <v>490</v>
      </c>
      <c r="E298" s="20">
        <f>E338</f>
        <v>0</v>
      </c>
      <c r="F298" s="20">
        <f t="shared" ref="F298:P298" si="170">F338</f>
        <v>0</v>
      </c>
      <c r="G298" s="20">
        <f t="shared" si="170"/>
        <v>0</v>
      </c>
      <c r="H298" s="20">
        <f t="shared" si="170"/>
        <v>0</v>
      </c>
      <c r="I298" s="20">
        <f t="shared" si="170"/>
        <v>0</v>
      </c>
      <c r="J298" s="20">
        <f t="shared" si="170"/>
        <v>0</v>
      </c>
      <c r="K298" s="20">
        <f t="shared" si="170"/>
        <v>0</v>
      </c>
      <c r="L298" s="20">
        <f t="shared" si="170"/>
        <v>0</v>
      </c>
      <c r="M298" s="20">
        <f t="shared" si="170"/>
        <v>0</v>
      </c>
      <c r="N298" s="20">
        <f t="shared" si="170"/>
        <v>0</v>
      </c>
      <c r="O298" s="20">
        <f t="shared" si="170"/>
        <v>0</v>
      </c>
      <c r="P298" s="20">
        <f t="shared" si="170"/>
        <v>0</v>
      </c>
      <c r="Q298" s="140"/>
    </row>
    <row r="299" spans="1:18" s="21" customFormat="1" ht="61.5" hidden="1" customHeight="1" x14ac:dyDescent="0.4">
      <c r="A299" s="17"/>
      <c r="B299" s="40"/>
      <c r="C299" s="40"/>
      <c r="D299" s="19" t="s">
        <v>374</v>
      </c>
      <c r="E299" s="20">
        <f>E334</f>
        <v>0</v>
      </c>
      <c r="F299" s="20">
        <f t="shared" ref="F299:P299" si="171">F334</f>
        <v>0</v>
      </c>
      <c r="G299" s="20">
        <f t="shared" si="171"/>
        <v>0</v>
      </c>
      <c r="H299" s="20">
        <f t="shared" si="171"/>
        <v>0</v>
      </c>
      <c r="I299" s="20">
        <f t="shared" si="171"/>
        <v>0</v>
      </c>
      <c r="J299" s="20">
        <f t="shared" si="171"/>
        <v>0</v>
      </c>
      <c r="K299" s="20">
        <f t="shared" si="171"/>
        <v>0</v>
      </c>
      <c r="L299" s="20">
        <f t="shared" si="171"/>
        <v>0</v>
      </c>
      <c r="M299" s="20">
        <f t="shared" si="171"/>
        <v>0</v>
      </c>
      <c r="N299" s="20">
        <f t="shared" si="171"/>
        <v>0</v>
      </c>
      <c r="O299" s="20">
        <f t="shared" si="171"/>
        <v>0</v>
      </c>
      <c r="P299" s="20">
        <f t="shared" si="171"/>
        <v>0</v>
      </c>
      <c r="Q299" s="140"/>
    </row>
    <row r="300" spans="1:18" s="21" customFormat="1" ht="141.75" hidden="1" customHeight="1" x14ac:dyDescent="0.4">
      <c r="A300" s="17"/>
      <c r="B300" s="40"/>
      <c r="C300" s="40"/>
      <c r="D300" s="52" t="s">
        <v>530</v>
      </c>
      <c r="E300" s="20">
        <f>E322</f>
        <v>0</v>
      </c>
      <c r="F300" s="20">
        <f t="shared" ref="F300:P300" si="172">F322</f>
        <v>0</v>
      </c>
      <c r="G300" s="20">
        <f t="shared" si="172"/>
        <v>0</v>
      </c>
      <c r="H300" s="20">
        <f t="shared" si="172"/>
        <v>0</v>
      </c>
      <c r="I300" s="20">
        <f t="shared" si="172"/>
        <v>0</v>
      </c>
      <c r="J300" s="20">
        <f t="shared" si="172"/>
        <v>0</v>
      </c>
      <c r="K300" s="20">
        <f t="shared" si="172"/>
        <v>0</v>
      </c>
      <c r="L300" s="20">
        <f t="shared" si="172"/>
        <v>0</v>
      </c>
      <c r="M300" s="20">
        <f t="shared" si="172"/>
        <v>0</v>
      </c>
      <c r="N300" s="20">
        <f t="shared" si="172"/>
        <v>0</v>
      </c>
      <c r="O300" s="20">
        <f t="shared" si="172"/>
        <v>0</v>
      </c>
      <c r="P300" s="20">
        <f t="shared" si="172"/>
        <v>0</v>
      </c>
      <c r="Q300" s="140"/>
    </row>
    <row r="301" spans="1:18" s="21" customFormat="1" ht="15.75" hidden="1" customHeight="1" x14ac:dyDescent="0.4">
      <c r="A301" s="17"/>
      <c r="B301" s="40"/>
      <c r="C301" s="40"/>
      <c r="D301" s="19" t="s">
        <v>379</v>
      </c>
      <c r="E301" s="20">
        <f t="shared" ref="E301:P301" si="173">E336+E340</f>
        <v>0</v>
      </c>
      <c r="F301" s="20">
        <f t="shared" si="173"/>
        <v>0</v>
      </c>
      <c r="G301" s="20">
        <f t="shared" si="173"/>
        <v>0</v>
      </c>
      <c r="H301" s="20">
        <f t="shared" si="173"/>
        <v>0</v>
      </c>
      <c r="I301" s="20">
        <f t="shared" si="173"/>
        <v>0</v>
      </c>
      <c r="J301" s="20">
        <f t="shared" si="173"/>
        <v>0</v>
      </c>
      <c r="K301" s="20">
        <f t="shared" si="173"/>
        <v>0</v>
      </c>
      <c r="L301" s="20">
        <f t="shared" si="173"/>
        <v>0</v>
      </c>
      <c r="M301" s="20">
        <f t="shared" si="173"/>
        <v>0</v>
      </c>
      <c r="N301" s="20">
        <f t="shared" si="173"/>
        <v>0</v>
      </c>
      <c r="O301" s="20">
        <f t="shared" si="173"/>
        <v>0</v>
      </c>
      <c r="P301" s="20">
        <f t="shared" si="173"/>
        <v>0</v>
      </c>
      <c r="Q301" s="140"/>
    </row>
    <row r="302" spans="1:18" s="21" customFormat="1" ht="15.75" hidden="1" customHeight="1" x14ac:dyDescent="0.4">
      <c r="A302" s="17"/>
      <c r="B302" s="40"/>
      <c r="C302" s="40"/>
      <c r="D302" s="19" t="s">
        <v>399</v>
      </c>
      <c r="E302" s="20">
        <f>E356</f>
        <v>0</v>
      </c>
      <c r="F302" s="20">
        <f t="shared" ref="F302:P302" si="174">F356</f>
        <v>0</v>
      </c>
      <c r="G302" s="20">
        <f t="shared" si="174"/>
        <v>0</v>
      </c>
      <c r="H302" s="20">
        <f t="shared" si="174"/>
        <v>0</v>
      </c>
      <c r="I302" s="20">
        <f t="shared" si="174"/>
        <v>0</v>
      </c>
      <c r="J302" s="20">
        <f t="shared" si="174"/>
        <v>0</v>
      </c>
      <c r="K302" s="20">
        <f t="shared" si="174"/>
        <v>0</v>
      </c>
      <c r="L302" s="20">
        <f t="shared" si="174"/>
        <v>0</v>
      </c>
      <c r="M302" s="20">
        <f t="shared" si="174"/>
        <v>0</v>
      </c>
      <c r="N302" s="20">
        <f t="shared" si="174"/>
        <v>0</v>
      </c>
      <c r="O302" s="20">
        <f t="shared" si="174"/>
        <v>0</v>
      </c>
      <c r="P302" s="20">
        <f t="shared" si="174"/>
        <v>0</v>
      </c>
      <c r="Q302" s="140"/>
    </row>
    <row r="303" spans="1:18" s="21" customFormat="1" ht="111.75" hidden="1" customHeight="1" x14ac:dyDescent="0.4">
      <c r="A303" s="17"/>
      <c r="B303" s="40"/>
      <c r="C303" s="40"/>
      <c r="D303" s="19" t="s">
        <v>619</v>
      </c>
      <c r="E303" s="20">
        <f>E328</f>
        <v>0</v>
      </c>
      <c r="F303" s="20">
        <f t="shared" ref="F303:P303" si="175">F328</f>
        <v>0</v>
      </c>
      <c r="G303" s="20">
        <f t="shared" si="175"/>
        <v>0</v>
      </c>
      <c r="H303" s="20">
        <f t="shared" si="175"/>
        <v>0</v>
      </c>
      <c r="I303" s="20">
        <f t="shared" si="175"/>
        <v>0</v>
      </c>
      <c r="J303" s="20">
        <f t="shared" si="175"/>
        <v>0</v>
      </c>
      <c r="K303" s="20">
        <f t="shared" si="175"/>
        <v>0</v>
      </c>
      <c r="L303" s="20">
        <f t="shared" si="175"/>
        <v>0</v>
      </c>
      <c r="M303" s="20">
        <f t="shared" si="175"/>
        <v>0</v>
      </c>
      <c r="N303" s="20">
        <f t="shared" si="175"/>
        <v>0</v>
      </c>
      <c r="O303" s="20">
        <f t="shared" si="175"/>
        <v>0</v>
      </c>
      <c r="P303" s="20">
        <f t="shared" si="175"/>
        <v>0</v>
      </c>
      <c r="Q303" s="140"/>
    </row>
    <row r="304" spans="1:18" s="21" customFormat="1" ht="63" hidden="1" customHeight="1" x14ac:dyDescent="0.4">
      <c r="A304" s="17"/>
      <c r="B304" s="40"/>
      <c r="C304" s="40"/>
      <c r="D304" s="19" t="str">
        <f>D345</f>
        <v>субвенції з державного бюджету місцевим бюджетам на реалізацію проектів (об'єктів, заходів), спрямованих на ліквідацію наслідків збройної агресії</v>
      </c>
      <c r="E304" s="20">
        <f>E344</f>
        <v>0</v>
      </c>
      <c r="F304" s="20">
        <f t="shared" ref="F304:P304" si="176">F344</f>
        <v>0</v>
      </c>
      <c r="G304" s="20">
        <f t="shared" si="176"/>
        <v>0</v>
      </c>
      <c r="H304" s="20">
        <f t="shared" si="176"/>
        <v>0</v>
      </c>
      <c r="I304" s="20">
        <f t="shared" si="176"/>
        <v>0</v>
      </c>
      <c r="J304" s="20">
        <f t="shared" si="176"/>
        <v>0</v>
      </c>
      <c r="K304" s="20">
        <f t="shared" si="176"/>
        <v>0</v>
      </c>
      <c r="L304" s="20">
        <f t="shared" si="176"/>
        <v>0</v>
      </c>
      <c r="M304" s="20">
        <f t="shared" si="176"/>
        <v>0</v>
      </c>
      <c r="N304" s="20">
        <f t="shared" si="176"/>
        <v>0</v>
      </c>
      <c r="O304" s="20">
        <f t="shared" si="176"/>
        <v>0</v>
      </c>
      <c r="P304" s="20">
        <f t="shared" si="176"/>
        <v>0</v>
      </c>
      <c r="Q304" s="140"/>
    </row>
    <row r="305" spans="1:18" s="21" customFormat="1" ht="118.5" customHeight="1" x14ac:dyDescent="0.4">
      <c r="A305" s="17"/>
      <c r="B305" s="40"/>
      <c r="C305" s="40"/>
      <c r="D305" s="19" t="s">
        <v>665</v>
      </c>
      <c r="E305" s="20">
        <f>E350</f>
        <v>0</v>
      </c>
      <c r="F305" s="20">
        <f t="shared" ref="F305:P305" si="177">F350</f>
        <v>0</v>
      </c>
      <c r="G305" s="20">
        <f t="shared" si="177"/>
        <v>0</v>
      </c>
      <c r="H305" s="20">
        <f t="shared" si="177"/>
        <v>0</v>
      </c>
      <c r="I305" s="20">
        <f t="shared" si="177"/>
        <v>0</v>
      </c>
      <c r="J305" s="20">
        <f t="shared" si="177"/>
        <v>15622974</v>
      </c>
      <c r="K305" s="20">
        <f t="shared" si="177"/>
        <v>0</v>
      </c>
      <c r="L305" s="20">
        <f t="shared" si="177"/>
        <v>0</v>
      </c>
      <c r="M305" s="20">
        <f t="shared" si="177"/>
        <v>0</v>
      </c>
      <c r="N305" s="20">
        <f t="shared" si="177"/>
        <v>0</v>
      </c>
      <c r="O305" s="20">
        <f t="shared" si="177"/>
        <v>15622974</v>
      </c>
      <c r="P305" s="20">
        <f t="shared" si="177"/>
        <v>15622974</v>
      </c>
      <c r="Q305" s="140"/>
    </row>
    <row r="306" spans="1:18" s="21" customFormat="1" ht="100.5" customHeight="1" x14ac:dyDescent="0.4">
      <c r="A306" s="17"/>
      <c r="B306" s="40"/>
      <c r="C306" s="40"/>
      <c r="D306" s="19" t="str">
        <f>D362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306" s="20">
        <f>E362+E315+E320+E355+E310</f>
        <v>14101648</v>
      </c>
      <c r="F306" s="20">
        <f t="shared" ref="F306:P306" si="178">F362+F315+F320+F355+F310</f>
        <v>1997621</v>
      </c>
      <c r="G306" s="20">
        <f t="shared" si="178"/>
        <v>262930</v>
      </c>
      <c r="H306" s="20">
        <f t="shared" si="178"/>
        <v>0</v>
      </c>
      <c r="I306" s="20">
        <f t="shared" si="178"/>
        <v>12104027</v>
      </c>
      <c r="J306" s="20">
        <f t="shared" si="178"/>
        <v>2790870</v>
      </c>
      <c r="K306" s="20">
        <f t="shared" si="178"/>
        <v>2790870</v>
      </c>
      <c r="L306" s="20">
        <f t="shared" si="178"/>
        <v>0</v>
      </c>
      <c r="M306" s="20">
        <f t="shared" si="178"/>
        <v>0</v>
      </c>
      <c r="N306" s="20">
        <f t="shared" si="178"/>
        <v>0</v>
      </c>
      <c r="O306" s="20">
        <f t="shared" si="178"/>
        <v>2790870</v>
      </c>
      <c r="P306" s="20">
        <f t="shared" si="178"/>
        <v>16892518</v>
      </c>
      <c r="Q306" s="140"/>
    </row>
    <row r="307" spans="1:18" s="21" customFormat="1" ht="31.9" customHeight="1" x14ac:dyDescent="0.4">
      <c r="A307" s="17"/>
      <c r="B307" s="40"/>
      <c r="C307" s="40"/>
      <c r="D307" s="19" t="str">
        <f>D361</f>
        <v>іншої субвенції з місцевого бюджету</v>
      </c>
      <c r="E307" s="20">
        <f>E361+E343</f>
        <v>0</v>
      </c>
      <c r="F307" s="20">
        <f t="shared" ref="F307:P307" si="179">F361+F343</f>
        <v>0</v>
      </c>
      <c r="G307" s="20">
        <f t="shared" si="179"/>
        <v>0</v>
      </c>
      <c r="H307" s="20">
        <f t="shared" si="179"/>
        <v>0</v>
      </c>
      <c r="I307" s="20">
        <f t="shared" si="179"/>
        <v>0</v>
      </c>
      <c r="J307" s="20">
        <f t="shared" si="179"/>
        <v>1128100</v>
      </c>
      <c r="K307" s="20">
        <f t="shared" si="179"/>
        <v>1128100</v>
      </c>
      <c r="L307" s="20">
        <f t="shared" si="179"/>
        <v>0</v>
      </c>
      <c r="M307" s="20">
        <f t="shared" si="179"/>
        <v>0</v>
      </c>
      <c r="N307" s="20">
        <f t="shared" si="179"/>
        <v>0</v>
      </c>
      <c r="O307" s="20">
        <f t="shared" si="179"/>
        <v>1128100</v>
      </c>
      <c r="P307" s="20">
        <f t="shared" si="179"/>
        <v>1128100</v>
      </c>
      <c r="Q307" s="140"/>
    </row>
    <row r="308" spans="1:18" s="21" customFormat="1" ht="22.9" customHeight="1" x14ac:dyDescent="0.4">
      <c r="A308" s="17"/>
      <c r="B308" s="40"/>
      <c r="C308" s="40"/>
      <c r="D308" s="19" t="str">
        <f>D359</f>
        <v>грантів (дарунків)</v>
      </c>
      <c r="E308" s="20">
        <f>E359</f>
        <v>0</v>
      </c>
      <c r="F308" s="20">
        <f t="shared" ref="F308:P308" si="180">F359</f>
        <v>0</v>
      </c>
      <c r="G308" s="20">
        <f t="shared" si="180"/>
        <v>0</v>
      </c>
      <c r="H308" s="20">
        <f t="shared" si="180"/>
        <v>0</v>
      </c>
      <c r="I308" s="20">
        <f t="shared" si="180"/>
        <v>0</v>
      </c>
      <c r="J308" s="20">
        <f t="shared" si="180"/>
        <v>5819323</v>
      </c>
      <c r="K308" s="20">
        <f t="shared" si="180"/>
        <v>0</v>
      </c>
      <c r="L308" s="20">
        <f t="shared" si="180"/>
        <v>362376</v>
      </c>
      <c r="M308" s="20">
        <f t="shared" si="180"/>
        <v>0</v>
      </c>
      <c r="N308" s="20">
        <f t="shared" si="180"/>
        <v>0</v>
      </c>
      <c r="O308" s="20">
        <f t="shared" si="180"/>
        <v>5456947</v>
      </c>
      <c r="P308" s="20">
        <f t="shared" si="180"/>
        <v>5819323</v>
      </c>
      <c r="Q308" s="140"/>
    </row>
    <row r="309" spans="1:18" s="26" customFormat="1" ht="46.15" x14ac:dyDescent="0.45">
      <c r="A309" s="22" t="s">
        <v>188</v>
      </c>
      <c r="B309" s="22" t="str">
        <f>'дод 7'!A16</f>
        <v>0160</v>
      </c>
      <c r="C309" s="22" t="str">
        <f>'дод 7'!B16</f>
        <v>0111</v>
      </c>
      <c r="D309" s="24" t="str">
        <f>'дод 7'!C16</f>
        <v>Керівництво і управління у відповідній сфері у містах (місті Києві), селищах, селах, територіальних громадах, у т.ч. за рахунок:</v>
      </c>
      <c r="E309" s="25">
        <f t="shared" ref="E309:E371" si="181">F309+I309</f>
        <v>20852300</v>
      </c>
      <c r="F309" s="25">
        <f>18028900+1494400+50000+1279000</f>
        <v>20852300</v>
      </c>
      <c r="G309" s="25">
        <f>13887400+1225900+1048400</f>
        <v>16161700</v>
      </c>
      <c r="H309" s="25">
        <v>453500</v>
      </c>
      <c r="I309" s="25"/>
      <c r="J309" s="25">
        <f>L309+O309</f>
        <v>0</v>
      </c>
      <c r="K309" s="25"/>
      <c r="L309" s="25"/>
      <c r="M309" s="25"/>
      <c r="N309" s="25"/>
      <c r="O309" s="25"/>
      <c r="P309" s="25">
        <f t="shared" ref="P309:P372" si="182">E309+J309</f>
        <v>20852300</v>
      </c>
      <c r="Q309" s="140"/>
    </row>
    <row r="310" spans="1:18" s="31" customFormat="1" ht="103.9" customHeight="1" x14ac:dyDescent="0.45">
      <c r="A310" s="27"/>
      <c r="B310" s="27"/>
      <c r="C310" s="27"/>
      <c r="D310" s="29" t="str">
        <f>'дод 7'!C17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310" s="30">
        <f t="shared" ref="E310" si="183">F310+I310</f>
        <v>320752</v>
      </c>
      <c r="F310" s="30">
        <v>320752</v>
      </c>
      <c r="G310" s="30">
        <v>262930</v>
      </c>
      <c r="H310" s="30"/>
      <c r="I310" s="30"/>
      <c r="J310" s="30">
        <f>L310+O310</f>
        <v>0</v>
      </c>
      <c r="K310" s="30"/>
      <c r="L310" s="30"/>
      <c r="M310" s="30"/>
      <c r="N310" s="30"/>
      <c r="O310" s="30"/>
      <c r="P310" s="30">
        <f t="shared" ref="P310" si="184">E310+J310</f>
        <v>320752</v>
      </c>
      <c r="Q310" s="140">
        <v>14</v>
      </c>
    </row>
    <row r="311" spans="1:18" s="26" customFormat="1" ht="15.4" hidden="1" customHeight="1" x14ac:dyDescent="0.45">
      <c r="A311" s="22" t="s">
        <v>493</v>
      </c>
      <c r="B311" s="22" t="s">
        <v>43</v>
      </c>
      <c r="C311" s="22" t="s">
        <v>89</v>
      </c>
      <c r="D311" s="42" t="s">
        <v>234</v>
      </c>
      <c r="E311" s="25">
        <f t="shared" si="181"/>
        <v>0</v>
      </c>
      <c r="F311" s="25"/>
      <c r="G311" s="25"/>
      <c r="H311" s="25"/>
      <c r="I311" s="25"/>
      <c r="J311" s="25">
        <f>L311+O311</f>
        <v>0</v>
      </c>
      <c r="K311" s="25"/>
      <c r="L311" s="25"/>
      <c r="M311" s="25"/>
      <c r="N311" s="25"/>
      <c r="O311" s="25"/>
      <c r="P311" s="25">
        <f t="shared" si="182"/>
        <v>0</v>
      </c>
      <c r="Q311" s="140"/>
    </row>
    <row r="312" spans="1:18" s="26" customFormat="1" ht="19.5" customHeight="1" x14ac:dyDescent="0.45">
      <c r="A312" s="22" t="s">
        <v>289</v>
      </c>
      <c r="B312" s="23" t="str">
        <f>'дод 7'!A172</f>
        <v>3210</v>
      </c>
      <c r="C312" s="23" t="str">
        <f>'дод 7'!B172</f>
        <v>1050</v>
      </c>
      <c r="D312" s="24" t="str">
        <f>'дод 7'!C172</f>
        <v>Організація та проведення громадських робіт</v>
      </c>
      <c r="E312" s="25">
        <f t="shared" si="181"/>
        <v>0</v>
      </c>
      <c r="F312" s="25">
        <f>100000-50000-50000</f>
        <v>0</v>
      </c>
      <c r="G312" s="25"/>
      <c r="H312" s="25"/>
      <c r="I312" s="25"/>
      <c r="J312" s="25">
        <f t="shared" ref="J312:J372" si="185">L312+O312</f>
        <v>0</v>
      </c>
      <c r="K312" s="25"/>
      <c r="L312" s="25"/>
      <c r="M312" s="25"/>
      <c r="N312" s="25"/>
      <c r="O312" s="25"/>
      <c r="P312" s="25">
        <f t="shared" si="182"/>
        <v>0</v>
      </c>
      <c r="Q312" s="140"/>
    </row>
    <row r="313" spans="1:18" s="26" customFormat="1" ht="24" hidden="1" customHeight="1" x14ac:dyDescent="0.45">
      <c r="A313" s="22" t="s">
        <v>189</v>
      </c>
      <c r="B313" s="23" t="str">
        <f>'дод 7'!A204</f>
        <v>6011</v>
      </c>
      <c r="C313" s="23" t="str">
        <f>'дод 7'!B204</f>
        <v>0610</v>
      </c>
      <c r="D313" s="24" t="str">
        <f>'дод 7'!C204</f>
        <v>Експлуатація та технічне обслуговування житлового фонду</v>
      </c>
      <c r="E313" s="25">
        <f t="shared" si="181"/>
        <v>0</v>
      </c>
      <c r="F313" s="25"/>
      <c r="G313" s="25"/>
      <c r="H313" s="25"/>
      <c r="I313" s="25"/>
      <c r="J313" s="25">
        <f t="shared" si="185"/>
        <v>0</v>
      </c>
      <c r="K313" s="25"/>
      <c r="L313" s="25"/>
      <c r="M313" s="25"/>
      <c r="N313" s="25"/>
      <c r="O313" s="25"/>
      <c r="P313" s="25">
        <f t="shared" si="182"/>
        <v>0</v>
      </c>
      <c r="Q313" s="140"/>
    </row>
    <row r="314" spans="1:18" s="132" customFormat="1" ht="36.4" customHeight="1" x14ac:dyDescent="0.45">
      <c r="A314" s="22" t="s">
        <v>190</v>
      </c>
      <c r="B314" s="23" t="str">
        <f>'дод 7'!A205</f>
        <v>6013</v>
      </c>
      <c r="C314" s="23" t="str">
        <f>'дод 7'!B205</f>
        <v>0620</v>
      </c>
      <c r="D314" s="24" t="str">
        <f>'дод 7'!C205</f>
        <v>Забезпечення діяльності водопровідно-каналізаційного господарства,  у т.ч. за рахунок:</v>
      </c>
      <c r="E314" s="25">
        <f t="shared" si="181"/>
        <v>110757168</v>
      </c>
      <c r="F314" s="25">
        <f>685000+320000-50000-26000-40000-7000</f>
        <v>882000</v>
      </c>
      <c r="G314" s="25"/>
      <c r="H314" s="25"/>
      <c r="I314" s="25">
        <f>30000000+10000000+25000000+233800+3000000+9130+1068200+2000000+10000000+10000000-233800+18000000+797838</f>
        <v>109875168</v>
      </c>
      <c r="J314" s="25">
        <f t="shared" si="185"/>
        <v>1290870</v>
      </c>
      <c r="K314" s="25">
        <v>1290870</v>
      </c>
      <c r="L314" s="25"/>
      <c r="M314" s="25"/>
      <c r="N314" s="25"/>
      <c r="O314" s="25">
        <f>1290870</f>
        <v>1290870</v>
      </c>
      <c r="P314" s="25">
        <f t="shared" si="182"/>
        <v>112048038</v>
      </c>
      <c r="Q314" s="140"/>
      <c r="R314" s="26"/>
    </row>
    <row r="315" spans="1:18" s="26" customFormat="1" ht="92.25" x14ac:dyDescent="0.45">
      <c r="A315" s="22"/>
      <c r="B315" s="23"/>
      <c r="C315" s="23"/>
      <c r="D315" s="48" t="s">
        <v>619</v>
      </c>
      <c r="E315" s="30">
        <f t="shared" si="181"/>
        <v>11562545</v>
      </c>
      <c r="F315" s="30"/>
      <c r="G315" s="30"/>
      <c r="H315" s="30"/>
      <c r="I315" s="30">
        <f>3000000+9130+1068200+2000000+5485215</f>
        <v>11562545</v>
      </c>
      <c r="J315" s="30">
        <f>L315+O315</f>
        <v>1290870</v>
      </c>
      <c r="K315" s="30">
        <v>1290870</v>
      </c>
      <c r="L315" s="30"/>
      <c r="M315" s="30"/>
      <c r="N315" s="30"/>
      <c r="O315" s="30">
        <f>1290870</f>
        <v>1290870</v>
      </c>
      <c r="P315" s="30">
        <f t="shared" si="182"/>
        <v>12853415</v>
      </c>
      <c r="Q315" s="140"/>
    </row>
    <row r="316" spans="1:18" s="26" customFormat="1" ht="22.5" hidden="1" customHeight="1" x14ac:dyDescent="0.45">
      <c r="A316" s="22" t="s">
        <v>567</v>
      </c>
      <c r="B316" s="23">
        <f>'дод 7'!A207</f>
        <v>6014</v>
      </c>
      <c r="C316" s="23" t="str">
        <f>'дод 7'!B207</f>
        <v>0620</v>
      </c>
      <c r="D316" s="36" t="str">
        <f>'дод 7'!C207</f>
        <v>Забезпечення збору та вивезення сміття і відходів</v>
      </c>
      <c r="E316" s="25">
        <f t="shared" ref="E316" si="186">F316+I316</f>
        <v>0</v>
      </c>
      <c r="F316" s="25"/>
      <c r="G316" s="25"/>
      <c r="H316" s="25"/>
      <c r="I316" s="25"/>
      <c r="J316" s="25">
        <f t="shared" si="185"/>
        <v>0</v>
      </c>
      <c r="K316" s="25"/>
      <c r="L316" s="25"/>
      <c r="M316" s="25"/>
      <c r="N316" s="25"/>
      <c r="O316" s="25"/>
      <c r="P316" s="25">
        <f t="shared" ref="P316" si="187">E316+J316</f>
        <v>0</v>
      </c>
      <c r="Q316" s="140"/>
    </row>
    <row r="317" spans="1:18" s="108" customFormat="1" ht="33" customHeight="1" x14ac:dyDescent="0.45">
      <c r="A317" s="22" t="s">
        <v>250</v>
      </c>
      <c r="B317" s="23" t="str">
        <f>'дод 7'!A208</f>
        <v>6015</v>
      </c>
      <c r="C317" s="23" t="str">
        <f>'дод 7'!B208</f>
        <v>0620</v>
      </c>
      <c r="D317" s="24" t="str">
        <f>'дод 7'!C208</f>
        <v>Забезпечення надійної та безперебійної експлуатації ліфтів</v>
      </c>
      <c r="E317" s="25">
        <f t="shared" si="181"/>
        <v>0</v>
      </c>
      <c r="F317" s="25"/>
      <c r="G317" s="25"/>
      <c r="H317" s="25"/>
      <c r="I317" s="25"/>
      <c r="J317" s="25">
        <f t="shared" si="185"/>
        <v>90000</v>
      </c>
      <c r="K317" s="25">
        <v>90000</v>
      </c>
      <c r="L317" s="25"/>
      <c r="M317" s="25"/>
      <c r="N317" s="25"/>
      <c r="O317" s="125">
        <v>90000</v>
      </c>
      <c r="P317" s="25">
        <f t="shared" si="182"/>
        <v>90000</v>
      </c>
      <c r="Q317" s="140"/>
      <c r="R317" s="26"/>
    </row>
    <row r="318" spans="1:18" s="26" customFormat="1" ht="32.25" customHeight="1" x14ac:dyDescent="0.45">
      <c r="A318" s="22" t="s">
        <v>253</v>
      </c>
      <c r="B318" s="23" t="str">
        <f>'дод 7'!A209</f>
        <v>6017</v>
      </c>
      <c r="C318" s="23" t="str">
        <f>'дод 7'!B209</f>
        <v>0620</v>
      </c>
      <c r="D318" s="24" t="str">
        <f>'дод 7'!C209</f>
        <v>Інша діяльність, пов’язана з експлуатацією об’єктів житлово-комунального господарства</v>
      </c>
      <c r="E318" s="25">
        <f t="shared" si="181"/>
        <v>400000</v>
      </c>
      <c r="F318" s="25">
        <v>400000</v>
      </c>
      <c r="G318" s="25"/>
      <c r="H318" s="25"/>
      <c r="I318" s="25"/>
      <c r="J318" s="25">
        <f t="shared" si="185"/>
        <v>0</v>
      </c>
      <c r="K318" s="25"/>
      <c r="L318" s="25"/>
      <c r="M318" s="25"/>
      <c r="N318" s="25"/>
      <c r="O318" s="25"/>
      <c r="P318" s="25">
        <f t="shared" si="182"/>
        <v>400000</v>
      </c>
      <c r="Q318" s="140"/>
    </row>
    <row r="319" spans="1:18" s="108" customFormat="1" ht="63.75" customHeight="1" x14ac:dyDescent="0.45">
      <c r="A319" s="22" t="s">
        <v>191</v>
      </c>
      <c r="B319" s="23" t="str">
        <f>'дод 7'!A210</f>
        <v>6020</v>
      </c>
      <c r="C319" s="23" t="str">
        <f>'дод 7'!B210</f>
        <v>0620</v>
      </c>
      <c r="D319" s="24" t="str">
        <f>'дод 7'!C210</f>
        <v>Забезпечення функціонування підприємств, установ та організацій, що виробляють, виконують та/або надають житлово-комунальні послуги,  у т.ч. за рахунок:</v>
      </c>
      <c r="E319" s="25">
        <f t="shared" si="181"/>
        <v>9099186.620000001</v>
      </c>
      <c r="F319" s="26"/>
      <c r="G319" s="25"/>
      <c r="H319" s="25"/>
      <c r="I319" s="25">
        <f>400000+200000+3400000+355000+3500000+1366704.62+541482-600000-64000</f>
        <v>9099186.620000001</v>
      </c>
      <c r="J319" s="25">
        <f t="shared" si="185"/>
        <v>4295760</v>
      </c>
      <c r="K319" s="25">
        <v>4295760</v>
      </c>
      <c r="L319" s="25"/>
      <c r="M319" s="25"/>
      <c r="N319" s="25"/>
      <c r="O319" s="25">
        <v>4295760</v>
      </c>
      <c r="P319" s="25">
        <f t="shared" si="182"/>
        <v>13394946.620000001</v>
      </c>
      <c r="Q319" s="140"/>
      <c r="R319" s="26"/>
    </row>
    <row r="320" spans="1:18" s="26" customFormat="1" ht="92.25" x14ac:dyDescent="0.45">
      <c r="A320" s="22"/>
      <c r="B320" s="23"/>
      <c r="C320" s="23"/>
      <c r="D320" s="48" t="s">
        <v>619</v>
      </c>
      <c r="E320" s="30">
        <f t="shared" si="181"/>
        <v>541482</v>
      </c>
      <c r="F320" s="30"/>
      <c r="G320" s="30"/>
      <c r="H320" s="30"/>
      <c r="I320" s="30">
        <v>541482</v>
      </c>
      <c r="J320" s="30">
        <f>L320+O320</f>
        <v>0</v>
      </c>
      <c r="K320" s="30"/>
      <c r="L320" s="30"/>
      <c r="M320" s="30"/>
      <c r="N320" s="30"/>
      <c r="O320" s="30"/>
      <c r="P320" s="30">
        <f t="shared" si="182"/>
        <v>541482</v>
      </c>
      <c r="Q320" s="140"/>
    </row>
    <row r="321" spans="1:18" s="108" customFormat="1" ht="24.75" customHeight="1" x14ac:dyDescent="0.45">
      <c r="A321" s="22" t="s">
        <v>192</v>
      </c>
      <c r="B321" s="23" t="str">
        <f>'дод 7'!A212</f>
        <v>6030</v>
      </c>
      <c r="C321" s="23" t="str">
        <f>'дод 7'!B212</f>
        <v>0620</v>
      </c>
      <c r="D321" s="24" t="str">
        <f>'дод 7'!C212</f>
        <v>Організація благоустрою населених пунктів</v>
      </c>
      <c r="E321" s="25">
        <f t="shared" si="181"/>
        <v>234363493.19999999</v>
      </c>
      <c r="F321" s="25">
        <f>261435000-500000-1000000+3100000-20000000-14715000+5000000-200000-870000+10000000-95000+5000000-10000000+300000-2736337-66122.8+2000000+500000+597952.8-5600000-50000-133000+2333000+7000-44000</f>
        <v>234263493</v>
      </c>
      <c r="G321" s="25"/>
      <c r="H321" s="25">
        <f>43000000+380000-10000000-2736337-5000000-50000-133000-44000</f>
        <v>25416663</v>
      </c>
      <c r="I321" s="25">
        <f>200000+870000-150000-597952.8-122047-100000</f>
        <v>100000.19999999995</v>
      </c>
      <c r="J321" s="25">
        <f t="shared" si="185"/>
        <v>362000</v>
      </c>
      <c r="K321" s="25">
        <f>200000+12000+150000</f>
        <v>362000</v>
      </c>
      <c r="L321" s="25"/>
      <c r="M321" s="25"/>
      <c r="N321" s="25"/>
      <c r="O321" s="25">
        <f>200000+12000+150000</f>
        <v>362000</v>
      </c>
      <c r="P321" s="25">
        <f t="shared" si="182"/>
        <v>234725493.19999999</v>
      </c>
      <c r="Q321" s="140"/>
      <c r="R321" s="26"/>
    </row>
    <row r="322" spans="1:18" s="26" customFormat="1" ht="99.75" hidden="1" customHeight="1" x14ac:dyDescent="0.45">
      <c r="A322" s="22" t="s">
        <v>527</v>
      </c>
      <c r="B322" s="23">
        <v>6083</v>
      </c>
      <c r="C322" s="22" t="s">
        <v>65</v>
      </c>
      <c r="D322" s="42" t="s">
        <v>414</v>
      </c>
      <c r="E322" s="25">
        <f t="shared" si="181"/>
        <v>0</v>
      </c>
      <c r="F322" s="25"/>
      <c r="G322" s="25"/>
      <c r="H322" s="25"/>
      <c r="I322" s="25"/>
      <c r="J322" s="25">
        <f t="shared" si="185"/>
        <v>0</v>
      </c>
      <c r="K322" s="25"/>
      <c r="L322" s="25"/>
      <c r="M322" s="25"/>
      <c r="N322" s="25"/>
      <c r="O322" s="25"/>
      <c r="P322" s="25">
        <f t="shared" si="182"/>
        <v>0</v>
      </c>
      <c r="Q322" s="140"/>
    </row>
    <row r="323" spans="1:18" s="26" customFormat="1" ht="141.75" hidden="1" customHeight="1" x14ac:dyDescent="0.45">
      <c r="A323" s="27"/>
      <c r="B323" s="28"/>
      <c r="C323" s="27"/>
      <c r="D323" s="53" t="s">
        <v>530</v>
      </c>
      <c r="E323" s="25">
        <f t="shared" si="181"/>
        <v>0</v>
      </c>
      <c r="F323" s="30"/>
      <c r="G323" s="30"/>
      <c r="H323" s="30"/>
      <c r="I323" s="30"/>
      <c r="J323" s="25">
        <f t="shared" si="185"/>
        <v>0</v>
      </c>
      <c r="K323" s="30"/>
      <c r="L323" s="30"/>
      <c r="M323" s="30"/>
      <c r="N323" s="30"/>
      <c r="O323" s="30"/>
      <c r="P323" s="25">
        <f t="shared" si="182"/>
        <v>0</v>
      </c>
      <c r="Q323" s="140"/>
    </row>
    <row r="324" spans="1:18" s="26" customFormat="1" ht="94.5" hidden="1" customHeight="1" x14ac:dyDescent="0.45">
      <c r="A324" s="22" t="s">
        <v>537</v>
      </c>
      <c r="B324" s="23">
        <v>6071</v>
      </c>
      <c r="C324" s="22" t="s">
        <v>299</v>
      </c>
      <c r="D324" s="24" t="str">
        <f>'дод 7'!C213</f>
        <v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v>
      </c>
      <c r="E324" s="25">
        <f t="shared" si="181"/>
        <v>0</v>
      </c>
      <c r="G324" s="25"/>
      <c r="H324" s="25"/>
      <c r="I324" s="25"/>
      <c r="J324" s="25">
        <f t="shared" si="185"/>
        <v>0</v>
      </c>
      <c r="K324" s="25"/>
      <c r="L324" s="25"/>
      <c r="M324" s="25"/>
      <c r="N324" s="25"/>
      <c r="O324" s="25"/>
      <c r="P324" s="25">
        <f t="shared" si="182"/>
        <v>0</v>
      </c>
      <c r="Q324" s="140"/>
    </row>
    <row r="325" spans="1:18" s="132" customFormat="1" ht="28.5" customHeight="1" x14ac:dyDescent="0.45">
      <c r="A325" s="22" t="s">
        <v>243</v>
      </c>
      <c r="B325" s="23" t="str">
        <f>'дод 7'!A217</f>
        <v>6090</v>
      </c>
      <c r="C325" s="23" t="str">
        <f>'дод 7'!B217</f>
        <v>0640</v>
      </c>
      <c r="D325" s="24" t="str">
        <f>'дод 7'!C217</f>
        <v>Інша діяльність у сфері житлово-комунального господарства</v>
      </c>
      <c r="E325" s="25">
        <f t="shared" si="181"/>
        <v>5593198.1799999997</v>
      </c>
      <c r="F325" s="25">
        <f>8549120-200000-920000-49000+1000000+300000-12000+35000+50000-1366704.62+370000-100000+92122.8+40000-2000000-500000-270000-250000-305390</f>
        <v>4463148.18</v>
      </c>
      <c r="G325" s="25"/>
      <c r="H325" s="25">
        <f>5000-4490</f>
        <v>510</v>
      </c>
      <c r="I325" s="25">
        <f>920000+270000-59950</f>
        <v>1130050</v>
      </c>
      <c r="J325" s="25">
        <f>L325+O325</f>
        <v>0</v>
      </c>
      <c r="K325" s="25"/>
      <c r="L325" s="25"/>
      <c r="M325" s="25"/>
      <c r="N325" s="25"/>
      <c r="O325" s="25"/>
      <c r="P325" s="25">
        <f t="shared" si="182"/>
        <v>5593198.1799999997</v>
      </c>
      <c r="Q325" s="140"/>
      <c r="R325" s="26"/>
    </row>
    <row r="326" spans="1:18" s="108" customFormat="1" ht="28.5" hidden="1" customHeight="1" x14ac:dyDescent="0.45">
      <c r="A326" s="22" t="s">
        <v>700</v>
      </c>
      <c r="B326" s="23" t="str">
        <f>'дод 7'!A230</f>
        <v>7130</v>
      </c>
      <c r="C326" s="23" t="str">
        <f>'дод 7'!B230</f>
        <v>0421</v>
      </c>
      <c r="D326" s="36" t="str">
        <f>'дод 7'!C230</f>
        <v>Здійснення заходів із землеустрою</v>
      </c>
      <c r="E326" s="25">
        <f t="shared" ref="E326" si="188">F326+I326</f>
        <v>0</v>
      </c>
      <c r="F326" s="25">
        <f>100000-100000</f>
        <v>0</v>
      </c>
      <c r="G326" s="25"/>
      <c r="H326" s="25"/>
      <c r="I326" s="25">
        <f>100000-100000</f>
        <v>0</v>
      </c>
      <c r="J326" s="25">
        <f t="shared" ref="J326" si="189">L326+O326</f>
        <v>0</v>
      </c>
      <c r="K326" s="25"/>
      <c r="L326" s="25"/>
      <c r="M326" s="25"/>
      <c r="N326" s="25"/>
      <c r="O326" s="25"/>
      <c r="P326" s="25">
        <f t="shared" ref="P326" si="190">E326+J326</f>
        <v>0</v>
      </c>
      <c r="Q326" s="140"/>
      <c r="R326" s="26"/>
    </row>
    <row r="327" spans="1:18" s="108" customFormat="1" ht="36.75" customHeight="1" x14ac:dyDescent="0.45">
      <c r="A327" s="22" t="s">
        <v>262</v>
      </c>
      <c r="B327" s="23" t="str">
        <f>'дод 7'!A237</f>
        <v>7310</v>
      </c>
      <c r="C327" s="23" t="str">
        <f>'дод 7'!B237</f>
        <v>0443</v>
      </c>
      <c r="D327" s="35" t="str">
        <f>'дод 7'!C237</f>
        <v>Будівництво1 об'єктів житлово-комунального господарства</v>
      </c>
      <c r="E327" s="25">
        <f t="shared" si="181"/>
        <v>0</v>
      </c>
      <c r="F327" s="25"/>
      <c r="G327" s="25"/>
      <c r="H327" s="25"/>
      <c r="I327" s="25"/>
      <c r="J327" s="25">
        <f t="shared" si="185"/>
        <v>25162175</v>
      </c>
      <c r="K327" s="25">
        <f>21637100-70000-10000000+49000+670000-518050+518050+10000000+3000000-35000-287436+250000-51489</f>
        <v>25162175</v>
      </c>
      <c r="L327" s="25"/>
      <c r="M327" s="25"/>
      <c r="N327" s="25"/>
      <c r="O327" s="25">
        <f>21637100-70000-10000000+49000+670000-518050+518050+10000000+3000000-35000-287436+250000-51489</f>
        <v>25162175</v>
      </c>
      <c r="P327" s="25">
        <f t="shared" si="182"/>
        <v>25162175</v>
      </c>
      <c r="Q327" s="140"/>
      <c r="R327" s="26"/>
    </row>
    <row r="328" spans="1:18" s="31" customFormat="1" ht="92.25" hidden="1" customHeight="1" x14ac:dyDescent="0.45">
      <c r="A328" s="27"/>
      <c r="B328" s="28"/>
      <c r="C328" s="28"/>
      <c r="D328" s="44" t="s">
        <v>619</v>
      </c>
      <c r="E328" s="30">
        <f t="shared" si="181"/>
        <v>0</v>
      </c>
      <c r="F328" s="30"/>
      <c r="G328" s="30"/>
      <c r="H328" s="30"/>
      <c r="I328" s="30"/>
      <c r="J328" s="30">
        <f t="shared" si="185"/>
        <v>0</v>
      </c>
      <c r="K328" s="30"/>
      <c r="L328" s="30"/>
      <c r="M328" s="30"/>
      <c r="N328" s="30"/>
      <c r="O328" s="30"/>
      <c r="P328" s="30">
        <f t="shared" si="182"/>
        <v>0</v>
      </c>
      <c r="Q328" s="140"/>
    </row>
    <row r="329" spans="1:18" s="108" customFormat="1" ht="30.75" customHeight="1" x14ac:dyDescent="0.45">
      <c r="A329" s="22" t="s">
        <v>264</v>
      </c>
      <c r="B329" s="23" t="str">
        <f>'дод 7'!A247</f>
        <v>7330</v>
      </c>
      <c r="C329" s="23" t="str">
        <f>'дод 7'!B247</f>
        <v>0443</v>
      </c>
      <c r="D329" s="35" t="s">
        <v>716</v>
      </c>
      <c r="E329" s="25">
        <f t="shared" si="181"/>
        <v>0</v>
      </c>
      <c r="F329" s="25"/>
      <c r="G329" s="25"/>
      <c r="H329" s="25"/>
      <c r="I329" s="25"/>
      <c r="J329" s="25">
        <f>L329+O329</f>
        <v>17656663</v>
      </c>
      <c r="K329" s="25">
        <f>10000000+1400000+4500000+300000+2000000-300000+300000-527952-15385</f>
        <v>17656663</v>
      </c>
      <c r="L329" s="25"/>
      <c r="M329" s="25"/>
      <c r="N329" s="25"/>
      <c r="O329" s="25">
        <f>10000000+1400000+4500000+300000+2000000-300000+300000-527952-15385</f>
        <v>17656663</v>
      </c>
      <c r="P329" s="25">
        <f t="shared" si="182"/>
        <v>17656663</v>
      </c>
      <c r="Q329" s="140"/>
      <c r="R329" s="26"/>
    </row>
    <row r="330" spans="1:18" s="26" customFormat="1" ht="33" customHeight="1" x14ac:dyDescent="0.45">
      <c r="A330" s="22" t="s">
        <v>193</v>
      </c>
      <c r="B330" s="23">
        <v>7340</v>
      </c>
      <c r="C330" s="23" t="str">
        <f>'дод 7'!B246</f>
        <v>0443</v>
      </c>
      <c r="D330" s="24" t="str">
        <f>'дод 7'!C249</f>
        <v>Проектування, реставрація та охорона пам'яток архітектури</v>
      </c>
      <c r="E330" s="25">
        <f t="shared" ref="E330:E343" si="191">F330+I330</f>
        <v>0</v>
      </c>
      <c r="F330" s="25"/>
      <c r="G330" s="25"/>
      <c r="H330" s="25"/>
      <c r="I330" s="25"/>
      <c r="J330" s="25">
        <f>L330+O330</f>
        <v>1000000</v>
      </c>
      <c r="K330" s="25">
        <v>1000000</v>
      </c>
      <c r="L330" s="25"/>
      <c r="M330" s="25"/>
      <c r="N330" s="25"/>
      <c r="O330" s="25">
        <v>1000000</v>
      </c>
      <c r="P330" s="25">
        <f t="shared" ref="P330:P343" si="192">E330+J330</f>
        <v>1000000</v>
      </c>
      <c r="Q330" s="140"/>
    </row>
    <row r="331" spans="1:18" s="26" customFormat="1" ht="49.5" hidden="1" customHeight="1" x14ac:dyDescent="0.45">
      <c r="A331" s="22" t="s">
        <v>356</v>
      </c>
      <c r="B331" s="23">
        <f>'дод 7'!A251</f>
        <v>7361</v>
      </c>
      <c r="C331" s="23" t="str">
        <f>'дод 7'!B251</f>
        <v>0490</v>
      </c>
      <c r="D331" s="24" t="str">
        <f>'дод 7'!C251</f>
        <v>Співфінансування інвестиційних проектів, що реалізуються за рахунок коштів державного фонду регіонального розвитку</v>
      </c>
      <c r="E331" s="25">
        <f t="shared" si="191"/>
        <v>0</v>
      </c>
      <c r="F331" s="25"/>
      <c r="G331" s="25"/>
      <c r="H331" s="25"/>
      <c r="I331" s="25"/>
      <c r="J331" s="25">
        <f t="shared" ref="J331:J348" si="193">L331+O331</f>
        <v>0</v>
      </c>
      <c r="K331" s="25"/>
      <c r="L331" s="25"/>
      <c r="M331" s="25"/>
      <c r="N331" s="25"/>
      <c r="O331" s="25"/>
      <c r="P331" s="25">
        <f t="shared" si="192"/>
        <v>0</v>
      </c>
      <c r="Q331" s="140"/>
    </row>
    <row r="332" spans="1:18" s="26" customFormat="1" ht="30" hidden="1" customHeight="1" x14ac:dyDescent="0.45">
      <c r="A332" s="22">
        <v>1217362</v>
      </c>
      <c r="B332" s="23">
        <f>'дод 7'!A252</f>
        <v>7362</v>
      </c>
      <c r="C332" s="23" t="str">
        <f>'дод 7'!B252</f>
        <v>0490</v>
      </c>
      <c r="D332" s="24" t="str">
        <f>'дод 7'!C252</f>
        <v>Виконання інвестиційних проектів в рамках підтримки розвитку об'єднаних територіальних громад</v>
      </c>
      <c r="E332" s="25">
        <f t="shared" si="191"/>
        <v>0</v>
      </c>
      <c r="F332" s="25"/>
      <c r="G332" s="25"/>
      <c r="H332" s="25"/>
      <c r="I332" s="25"/>
      <c r="J332" s="25">
        <f t="shared" si="193"/>
        <v>0</v>
      </c>
      <c r="K332" s="25"/>
      <c r="L332" s="25"/>
      <c r="M332" s="25"/>
      <c r="N332" s="25"/>
      <c r="O332" s="25"/>
      <c r="P332" s="25">
        <f t="shared" si="192"/>
        <v>0</v>
      </c>
      <c r="Q332" s="140"/>
    </row>
    <row r="333" spans="1:18" s="26" customFormat="1" ht="56.25" hidden="1" customHeight="1" x14ac:dyDescent="0.45">
      <c r="A333" s="22" t="s">
        <v>354</v>
      </c>
      <c r="B333" s="23">
        <v>7363</v>
      </c>
      <c r="C333" s="45" t="s">
        <v>78</v>
      </c>
      <c r="D333" s="24" t="s">
        <v>552</v>
      </c>
      <c r="E333" s="25">
        <f t="shared" si="191"/>
        <v>0</v>
      </c>
      <c r="F333" s="25"/>
      <c r="G333" s="25"/>
      <c r="H333" s="25"/>
      <c r="I333" s="25"/>
      <c r="J333" s="25">
        <f t="shared" si="193"/>
        <v>0</v>
      </c>
      <c r="K333" s="25"/>
      <c r="L333" s="25"/>
      <c r="M333" s="25"/>
      <c r="N333" s="25"/>
      <c r="O333" s="25"/>
      <c r="P333" s="25">
        <f t="shared" si="192"/>
        <v>0</v>
      </c>
      <c r="Q333" s="140"/>
    </row>
    <row r="334" spans="1:18" s="31" customFormat="1" ht="50.25" hidden="1" customHeight="1" x14ac:dyDescent="0.45">
      <c r="A334" s="27"/>
      <c r="B334" s="28"/>
      <c r="C334" s="28"/>
      <c r="D334" s="29" t="s">
        <v>374</v>
      </c>
      <c r="E334" s="25">
        <f t="shared" si="191"/>
        <v>0</v>
      </c>
      <c r="F334" s="30"/>
      <c r="G334" s="30"/>
      <c r="H334" s="30"/>
      <c r="I334" s="30"/>
      <c r="J334" s="25">
        <f t="shared" si="193"/>
        <v>0</v>
      </c>
      <c r="K334" s="30"/>
      <c r="L334" s="30"/>
      <c r="M334" s="30"/>
      <c r="N334" s="30"/>
      <c r="O334" s="30"/>
      <c r="P334" s="25">
        <f t="shared" si="192"/>
        <v>0</v>
      </c>
      <c r="Q334" s="140"/>
    </row>
    <row r="335" spans="1:18" s="31" customFormat="1" ht="31.5" hidden="1" customHeight="1" x14ac:dyDescent="0.45">
      <c r="A335" s="22" t="s">
        <v>520</v>
      </c>
      <c r="B335" s="23">
        <v>7368</v>
      </c>
      <c r="C335" s="45" t="s">
        <v>78</v>
      </c>
      <c r="D335" s="24" t="s">
        <v>521</v>
      </c>
      <c r="E335" s="25">
        <f t="shared" si="191"/>
        <v>0</v>
      </c>
      <c r="F335" s="30"/>
      <c r="G335" s="30"/>
      <c r="H335" s="30"/>
      <c r="I335" s="30"/>
      <c r="J335" s="25">
        <f t="shared" si="193"/>
        <v>0</v>
      </c>
      <c r="K335" s="25"/>
      <c r="L335" s="25"/>
      <c r="M335" s="25"/>
      <c r="N335" s="25"/>
      <c r="O335" s="25"/>
      <c r="P335" s="25">
        <f t="shared" si="192"/>
        <v>0</v>
      </c>
      <c r="Q335" s="140"/>
    </row>
    <row r="336" spans="1:18" s="31" customFormat="1" ht="15.75" hidden="1" customHeight="1" x14ac:dyDescent="0.45">
      <c r="A336" s="27"/>
      <c r="B336" s="28"/>
      <c r="C336" s="28"/>
      <c r="D336" s="29" t="s">
        <v>379</v>
      </c>
      <c r="E336" s="25">
        <f t="shared" si="191"/>
        <v>0</v>
      </c>
      <c r="F336" s="30"/>
      <c r="G336" s="30"/>
      <c r="H336" s="30"/>
      <c r="I336" s="30"/>
      <c r="J336" s="25">
        <f t="shared" si="193"/>
        <v>0</v>
      </c>
      <c r="K336" s="30"/>
      <c r="L336" s="30"/>
      <c r="M336" s="30"/>
      <c r="N336" s="30"/>
      <c r="O336" s="30"/>
      <c r="P336" s="25">
        <f t="shared" si="192"/>
        <v>0</v>
      </c>
      <c r="Q336" s="140"/>
    </row>
    <row r="337" spans="1:18" s="31" customFormat="1" ht="110.25" hidden="1" customHeight="1" x14ac:dyDescent="0.45">
      <c r="A337" s="27"/>
      <c r="B337" s="28"/>
      <c r="C337" s="28"/>
      <c r="D337" s="29" t="s">
        <v>381</v>
      </c>
      <c r="E337" s="25">
        <f t="shared" si="191"/>
        <v>0</v>
      </c>
      <c r="F337" s="30"/>
      <c r="G337" s="30"/>
      <c r="H337" s="30"/>
      <c r="I337" s="30"/>
      <c r="J337" s="25">
        <f t="shared" si="193"/>
        <v>0</v>
      </c>
      <c r="K337" s="30"/>
      <c r="L337" s="30"/>
      <c r="M337" s="30"/>
      <c r="N337" s="30"/>
      <c r="O337" s="30"/>
      <c r="P337" s="25">
        <f t="shared" si="192"/>
        <v>0</v>
      </c>
      <c r="Q337" s="140"/>
    </row>
    <row r="338" spans="1:18" s="31" customFormat="1" ht="87" hidden="1" customHeight="1" x14ac:dyDescent="0.45">
      <c r="A338" s="27"/>
      <c r="B338" s="28"/>
      <c r="C338" s="27"/>
      <c r="D338" s="29" t="s">
        <v>490</v>
      </c>
      <c r="E338" s="25">
        <f t="shared" si="191"/>
        <v>0</v>
      </c>
      <c r="F338" s="30"/>
      <c r="G338" s="30"/>
      <c r="H338" s="30"/>
      <c r="I338" s="30"/>
      <c r="J338" s="25">
        <f t="shared" si="193"/>
        <v>0</v>
      </c>
      <c r="K338" s="30"/>
      <c r="L338" s="30"/>
      <c r="M338" s="30"/>
      <c r="N338" s="30"/>
      <c r="O338" s="30"/>
      <c r="P338" s="25">
        <f t="shared" si="192"/>
        <v>0</v>
      </c>
      <c r="Q338" s="140"/>
    </row>
    <row r="339" spans="1:18" s="31" customFormat="1" ht="63.75" hidden="1" customHeight="1" x14ac:dyDescent="0.45">
      <c r="A339" s="22" t="s">
        <v>518</v>
      </c>
      <c r="B339" s="23">
        <v>7463</v>
      </c>
      <c r="C339" s="22" t="s">
        <v>384</v>
      </c>
      <c r="D339" s="36" t="s">
        <v>519</v>
      </c>
      <c r="E339" s="25">
        <f t="shared" si="191"/>
        <v>0</v>
      </c>
      <c r="F339" s="25"/>
      <c r="G339" s="30"/>
      <c r="H339" s="30"/>
      <c r="I339" s="30"/>
      <c r="J339" s="25">
        <f t="shared" si="193"/>
        <v>0</v>
      </c>
      <c r="K339" s="30"/>
      <c r="L339" s="30"/>
      <c r="M339" s="30"/>
      <c r="N339" s="30"/>
      <c r="O339" s="30"/>
      <c r="P339" s="25">
        <f t="shared" si="192"/>
        <v>0</v>
      </c>
      <c r="Q339" s="140"/>
    </row>
    <row r="340" spans="1:18" s="31" customFormat="1" ht="15.75" hidden="1" customHeight="1" x14ac:dyDescent="0.45">
      <c r="A340" s="27"/>
      <c r="B340" s="28"/>
      <c r="C340" s="27"/>
      <c r="D340" s="29" t="s">
        <v>379</v>
      </c>
      <c r="E340" s="25">
        <f t="shared" si="191"/>
        <v>0</v>
      </c>
      <c r="F340" s="30"/>
      <c r="G340" s="30"/>
      <c r="H340" s="30"/>
      <c r="I340" s="30"/>
      <c r="J340" s="25">
        <f t="shared" si="193"/>
        <v>0</v>
      </c>
      <c r="K340" s="30"/>
      <c r="L340" s="30"/>
      <c r="M340" s="30"/>
      <c r="N340" s="30"/>
      <c r="O340" s="30"/>
      <c r="P340" s="25">
        <f t="shared" si="192"/>
        <v>0</v>
      </c>
      <c r="Q340" s="140"/>
    </row>
    <row r="341" spans="1:18" s="31" customFormat="1" ht="31.5" hidden="1" customHeight="1" x14ac:dyDescent="0.45">
      <c r="A341" s="22" t="s">
        <v>405</v>
      </c>
      <c r="B341" s="23">
        <v>7530</v>
      </c>
      <c r="C341" s="22" t="s">
        <v>228</v>
      </c>
      <c r="D341" s="42" t="s">
        <v>226</v>
      </c>
      <c r="E341" s="25">
        <f t="shared" si="191"/>
        <v>0</v>
      </c>
      <c r="F341" s="25"/>
      <c r="G341" s="30"/>
      <c r="H341" s="30"/>
      <c r="I341" s="30"/>
      <c r="J341" s="25">
        <f t="shared" si="193"/>
        <v>0</v>
      </c>
      <c r="K341" s="25"/>
      <c r="L341" s="25"/>
      <c r="M341" s="25"/>
      <c r="N341" s="25"/>
      <c r="O341" s="25"/>
      <c r="P341" s="25">
        <f t="shared" si="192"/>
        <v>0</v>
      </c>
      <c r="Q341" s="140"/>
    </row>
    <row r="342" spans="1:18" s="31" customFormat="1" ht="46.15" x14ac:dyDescent="0.45">
      <c r="A342" s="22" t="s">
        <v>645</v>
      </c>
      <c r="B342" s="23">
        <v>7375</v>
      </c>
      <c r="C342" s="22" t="s">
        <v>78</v>
      </c>
      <c r="D342" s="42" t="s">
        <v>748</v>
      </c>
      <c r="E342" s="25">
        <f t="shared" si="191"/>
        <v>1800000</v>
      </c>
      <c r="F342" s="25">
        <f>7000000-1200000-2000000-2000000</f>
        <v>1800000</v>
      </c>
      <c r="G342" s="30"/>
      <c r="H342" s="30"/>
      <c r="I342" s="30"/>
      <c r="J342" s="25">
        <f t="shared" si="193"/>
        <v>2700000</v>
      </c>
      <c r="K342" s="25">
        <f>1500000+1200000</f>
        <v>2700000</v>
      </c>
      <c r="L342" s="25"/>
      <c r="M342" s="25"/>
      <c r="N342" s="25"/>
      <c r="O342" s="25">
        <f>1500000+1200000</f>
        <v>2700000</v>
      </c>
      <c r="P342" s="25">
        <f t="shared" si="192"/>
        <v>4500000</v>
      </c>
      <c r="Q342" s="140"/>
    </row>
    <row r="343" spans="1:18" s="31" customFormat="1" ht="15.75" customHeight="1" x14ac:dyDescent="0.45">
      <c r="A343" s="27"/>
      <c r="B343" s="28"/>
      <c r="C343" s="27"/>
      <c r="D343" s="43" t="s">
        <v>379</v>
      </c>
      <c r="E343" s="30">
        <f t="shared" si="191"/>
        <v>0</v>
      </c>
      <c r="F343" s="30"/>
      <c r="G343" s="30"/>
      <c r="H343" s="30"/>
      <c r="I343" s="30"/>
      <c r="J343" s="30">
        <f t="shared" si="193"/>
        <v>0</v>
      </c>
      <c r="K343" s="30"/>
      <c r="L343" s="30"/>
      <c r="M343" s="30"/>
      <c r="N343" s="30"/>
      <c r="O343" s="30"/>
      <c r="P343" s="30">
        <f t="shared" si="192"/>
        <v>0</v>
      </c>
      <c r="Q343" s="140"/>
    </row>
    <row r="344" spans="1:18" s="31" customFormat="1" ht="49.5" hidden="1" customHeight="1" x14ac:dyDescent="0.45">
      <c r="A344" s="22" t="s">
        <v>621</v>
      </c>
      <c r="B344" s="23">
        <v>7383</v>
      </c>
      <c r="C344" s="22" t="s">
        <v>78</v>
      </c>
      <c r="D344" s="24" t="str">
        <f>'дод 7'!C260</f>
        <v>Реалізація проектів (об'єктів, заходів) за рахунок коштів фонду ліквідації наслідків збройної агресії, у т. ч. за рахунок:</v>
      </c>
      <c r="E344" s="25">
        <f>F344+I344</f>
        <v>0</v>
      </c>
      <c r="F344" s="25"/>
      <c r="G344" s="30"/>
      <c r="H344" s="30"/>
      <c r="I344" s="30"/>
      <c r="J344" s="25">
        <f t="shared" si="193"/>
        <v>0</v>
      </c>
      <c r="K344" s="25"/>
      <c r="L344" s="25"/>
      <c r="M344" s="25"/>
      <c r="N344" s="25"/>
      <c r="O344" s="25"/>
      <c r="P344" s="25">
        <f t="shared" si="182"/>
        <v>0</v>
      </c>
      <c r="Q344" s="140"/>
    </row>
    <row r="345" spans="1:18" s="31" customFormat="1" ht="65.25" hidden="1" customHeight="1" x14ac:dyDescent="0.45">
      <c r="A345" s="22"/>
      <c r="B345" s="23"/>
      <c r="C345" s="22"/>
      <c r="D345" s="29" t="str">
        <f>'дод 7'!C261</f>
        <v>субвенції з державного бюджету місцевим бюджетам на реалізацію проектів (об'єктів, заходів), спрямованих на ліквідацію наслідків збройної агресії</v>
      </c>
      <c r="E345" s="25">
        <f t="shared" ref="E345:E350" si="194">F345+I345</f>
        <v>0</v>
      </c>
      <c r="F345" s="25"/>
      <c r="G345" s="30"/>
      <c r="H345" s="30"/>
      <c r="I345" s="30"/>
      <c r="J345" s="25">
        <f t="shared" si="193"/>
        <v>0</v>
      </c>
      <c r="K345" s="25"/>
      <c r="L345" s="25"/>
      <c r="M345" s="25"/>
      <c r="N345" s="25"/>
      <c r="O345" s="25"/>
      <c r="P345" s="30">
        <f>E345+J345</f>
        <v>0</v>
      </c>
      <c r="Q345" s="140"/>
    </row>
    <row r="346" spans="1:18" s="31" customFormat="1" ht="65.25" hidden="1" customHeight="1" x14ac:dyDescent="0.45">
      <c r="A346" s="22" t="s">
        <v>639</v>
      </c>
      <c r="B346" s="23" t="str">
        <f>'дод 7'!A274</f>
        <v>7461</v>
      </c>
      <c r="C346" s="23" t="str">
        <f>'дод 7'!B274</f>
        <v>0456</v>
      </c>
      <c r="D346" s="36" t="str">
        <f>'дод 7'!C274</f>
        <v>Утримання та розвиток автомобільних доріг та дорожньої інфраструктури за рахунок коштів місцевого бюджету</v>
      </c>
      <c r="E346" s="25">
        <f t="shared" si="194"/>
        <v>0</v>
      </c>
      <c r="F346" s="25"/>
      <c r="G346" s="30"/>
      <c r="H346" s="30"/>
      <c r="I346" s="30"/>
      <c r="J346" s="25">
        <f t="shared" si="193"/>
        <v>0</v>
      </c>
      <c r="K346" s="25"/>
      <c r="L346" s="25"/>
      <c r="M346" s="25"/>
      <c r="N346" s="25"/>
      <c r="O346" s="25"/>
      <c r="P346" s="25">
        <f>E346+J346</f>
        <v>0</v>
      </c>
      <c r="Q346" s="140"/>
    </row>
    <row r="347" spans="1:18" s="26" customFormat="1" ht="47.25" hidden="1" customHeight="1" x14ac:dyDescent="0.45">
      <c r="A347" s="22" t="s">
        <v>360</v>
      </c>
      <c r="B347" s="23" t="str">
        <f>'дод 7'!A275</f>
        <v>7462</v>
      </c>
      <c r="C347" s="23" t="str">
        <f>'дод 7'!B275</f>
        <v>0456</v>
      </c>
      <c r="D347" s="36" t="str">
        <f>'дод 7'!C275</f>
        <v>Утримання та розвиток автомобільних доріг та дорожньої інфраструктури за рахунок субвенції з державного бюджету, у т.ч. за рахунок:</v>
      </c>
      <c r="E347" s="25">
        <f t="shared" si="194"/>
        <v>0</v>
      </c>
      <c r="F347" s="25"/>
      <c r="G347" s="25"/>
      <c r="H347" s="25"/>
      <c r="I347" s="25"/>
      <c r="J347" s="25">
        <f t="shared" si="193"/>
        <v>0</v>
      </c>
      <c r="K347" s="25"/>
      <c r="L347" s="25"/>
      <c r="M347" s="25"/>
      <c r="N347" s="25"/>
      <c r="O347" s="25"/>
      <c r="P347" s="25">
        <f>E347+J347</f>
        <v>0</v>
      </c>
      <c r="Q347" s="140"/>
    </row>
    <row r="348" spans="1:18" s="26" customFormat="1" ht="111" hidden="1" customHeight="1" x14ac:dyDescent="0.45">
      <c r="A348" s="22"/>
      <c r="B348" s="23"/>
      <c r="C348" s="22"/>
      <c r="D348" s="43" t="s">
        <v>642</v>
      </c>
      <c r="E348" s="25">
        <f t="shared" si="194"/>
        <v>0</v>
      </c>
      <c r="F348" s="25"/>
      <c r="G348" s="25"/>
      <c r="H348" s="25"/>
      <c r="I348" s="25"/>
      <c r="J348" s="25">
        <f t="shared" si="193"/>
        <v>0</v>
      </c>
      <c r="K348" s="30"/>
      <c r="L348" s="30"/>
      <c r="M348" s="30"/>
      <c r="N348" s="30"/>
      <c r="O348" s="30"/>
      <c r="P348" s="30">
        <f>E348+J348</f>
        <v>0</v>
      </c>
      <c r="Q348" s="140"/>
    </row>
    <row r="349" spans="1:18" s="26" customFormat="1" ht="94.15" customHeight="1" x14ac:dyDescent="0.45">
      <c r="A349" s="22" t="s">
        <v>663</v>
      </c>
      <c r="B349" s="23">
        <v>7384</v>
      </c>
      <c r="C349" s="22" t="s">
        <v>78</v>
      </c>
      <c r="D349" s="33" t="s">
        <v>661</v>
      </c>
      <c r="E349" s="25">
        <f t="shared" si="194"/>
        <v>0</v>
      </c>
      <c r="F349" s="25">
        <v>0</v>
      </c>
      <c r="G349" s="25">
        <v>0</v>
      </c>
      <c r="H349" s="25">
        <v>0</v>
      </c>
      <c r="I349" s="25"/>
      <c r="J349" s="25">
        <f t="shared" ref="J349:J350" si="195">L349+O349</f>
        <v>15622974</v>
      </c>
      <c r="K349" s="25"/>
      <c r="L349" s="30"/>
      <c r="M349" s="30"/>
      <c r="N349" s="30"/>
      <c r="O349" s="25">
        <v>15622974</v>
      </c>
      <c r="P349" s="25">
        <f t="shared" ref="P349:P350" si="196">E349+J349</f>
        <v>15622974</v>
      </c>
      <c r="Q349" s="140"/>
    </row>
    <row r="350" spans="1:18" s="26" customFormat="1" ht="111" customHeight="1" x14ac:dyDescent="0.45">
      <c r="A350" s="27"/>
      <c r="B350" s="28"/>
      <c r="C350" s="27"/>
      <c r="D350" s="44" t="s">
        <v>665</v>
      </c>
      <c r="E350" s="30">
        <f t="shared" si="194"/>
        <v>0</v>
      </c>
      <c r="F350" s="30">
        <v>0</v>
      </c>
      <c r="G350" s="30">
        <v>0</v>
      </c>
      <c r="H350" s="30">
        <v>0</v>
      </c>
      <c r="I350" s="30"/>
      <c r="J350" s="30">
        <f t="shared" si="195"/>
        <v>15622974</v>
      </c>
      <c r="K350" s="30"/>
      <c r="L350" s="30"/>
      <c r="M350" s="30"/>
      <c r="N350" s="30"/>
      <c r="O350" s="30">
        <v>15622974</v>
      </c>
      <c r="P350" s="30">
        <f t="shared" si="196"/>
        <v>15622974</v>
      </c>
      <c r="Q350" s="140"/>
    </row>
    <row r="351" spans="1:18" s="132" customFormat="1" ht="42" customHeight="1" x14ac:dyDescent="0.45">
      <c r="A351" s="22" t="s">
        <v>727</v>
      </c>
      <c r="B351" s="23" t="str">
        <f>'дод 7'!A268</f>
        <v>7412</v>
      </c>
      <c r="C351" s="23" t="str">
        <f>'дод 7'!B268</f>
        <v>0451</v>
      </c>
      <c r="D351" s="36" t="str">
        <f>'дод 7'!C268</f>
        <v>Регулювання цін на послуги місцевого автотранспорту</v>
      </c>
      <c r="E351" s="25">
        <f t="shared" ref="E351:E352" si="197">F351+I351</f>
        <v>6484656</v>
      </c>
      <c r="F351" s="25">
        <v>0</v>
      </c>
      <c r="G351" s="25">
        <v>0</v>
      </c>
      <c r="H351" s="25">
        <v>0</v>
      </c>
      <c r="I351" s="25">
        <f>6484656</f>
        <v>6484656</v>
      </c>
      <c r="J351" s="25">
        <f t="shared" ref="J351:J352" si="198">L351+O351</f>
        <v>0</v>
      </c>
      <c r="K351" s="25"/>
      <c r="L351" s="30"/>
      <c r="M351" s="30"/>
      <c r="N351" s="30"/>
      <c r="O351" s="25">
        <v>0</v>
      </c>
      <c r="P351" s="25">
        <f t="shared" ref="P351:P352" si="199">E351+J351</f>
        <v>6484656</v>
      </c>
      <c r="Q351" s="140"/>
      <c r="R351" s="26"/>
    </row>
    <row r="352" spans="1:18" s="132" customFormat="1" ht="42" customHeight="1" x14ac:dyDescent="0.45">
      <c r="A352" s="22" t="s">
        <v>728</v>
      </c>
      <c r="B352" s="23">
        <f>'дод 7'!A270</f>
        <v>7422</v>
      </c>
      <c r="C352" s="23" t="str">
        <f>'дод 7'!B270</f>
        <v>0453</v>
      </c>
      <c r="D352" s="36" t="str">
        <f>'дод 7'!C270</f>
        <v>Регулювання цін на послуги місцевого наземного електротранспорту</v>
      </c>
      <c r="E352" s="25">
        <f t="shared" si="197"/>
        <v>18076776</v>
      </c>
      <c r="F352" s="25">
        <v>0</v>
      </c>
      <c r="G352" s="25">
        <v>0</v>
      </c>
      <c r="H352" s="25">
        <v>0</v>
      </c>
      <c r="I352" s="25">
        <f>18076776</f>
        <v>18076776</v>
      </c>
      <c r="J352" s="25">
        <f t="shared" si="198"/>
        <v>0</v>
      </c>
      <c r="K352" s="25"/>
      <c r="L352" s="30"/>
      <c r="M352" s="30"/>
      <c r="N352" s="30"/>
      <c r="O352" s="25">
        <v>0</v>
      </c>
      <c r="P352" s="25">
        <f t="shared" si="199"/>
        <v>18076776</v>
      </c>
      <c r="Q352" s="140"/>
      <c r="R352" s="26"/>
    </row>
    <row r="353" spans="1:18" s="132" customFormat="1" ht="20.25" customHeight="1" x14ac:dyDescent="0.45">
      <c r="A353" s="22" t="s">
        <v>194</v>
      </c>
      <c r="B353" s="23" t="str">
        <f>'дод 7'!A285</f>
        <v>7640</v>
      </c>
      <c r="C353" s="22" t="str">
        <f>'дод 7'!B285</f>
        <v>0470</v>
      </c>
      <c r="D353" s="24" t="s">
        <v>402</v>
      </c>
      <c r="E353" s="25">
        <f t="shared" si="181"/>
        <v>1300000</v>
      </c>
      <c r="F353" s="25">
        <v>100000</v>
      </c>
      <c r="G353" s="25"/>
      <c r="H353" s="25"/>
      <c r="I353" s="25">
        <f>2300000-100000-1000000</f>
        <v>1200000</v>
      </c>
      <c r="J353" s="25">
        <f t="shared" si="185"/>
        <v>0</v>
      </c>
      <c r="K353" s="25"/>
      <c r="L353" s="25"/>
      <c r="M353" s="25"/>
      <c r="N353" s="25"/>
      <c r="O353" s="25"/>
      <c r="P353" s="25">
        <f t="shared" si="182"/>
        <v>1300000</v>
      </c>
      <c r="Q353" s="140"/>
      <c r="R353" s="26"/>
    </row>
    <row r="354" spans="1:18" s="132" customFormat="1" ht="43.9" customHeight="1" x14ac:dyDescent="0.45">
      <c r="A354" s="22" t="s">
        <v>317</v>
      </c>
      <c r="B354" s="23" t="str">
        <f>'дод 7'!A291</f>
        <v>7670</v>
      </c>
      <c r="C354" s="22" t="str">
        <f>'дод 7'!B291</f>
        <v>0490</v>
      </c>
      <c r="D354" s="24" t="str">
        <f>'дод 7'!C291</f>
        <v>Внески до статутного капіталу суб'єктів господарювання,  у т.ч. за рахунок:</v>
      </c>
      <c r="E354" s="25">
        <f>F354+I354</f>
        <v>0</v>
      </c>
      <c r="F354" s="25"/>
      <c r="G354" s="25"/>
      <c r="H354" s="25"/>
      <c r="I354" s="25"/>
      <c r="J354" s="25">
        <f>L354+O354</f>
        <v>6788599</v>
      </c>
      <c r="K354" s="25">
        <f>2000000+1024337+1712000+200000+1580400+771900+233800+64000-753500-44338</f>
        <v>6788599</v>
      </c>
      <c r="L354" s="25"/>
      <c r="M354" s="25"/>
      <c r="N354" s="25"/>
      <c r="O354" s="25">
        <f>2000000+1024337+1712000+200000+1580400+771900+233800+64000-753500-44338</f>
        <v>6788599</v>
      </c>
      <c r="P354" s="25">
        <f>E354+J354</f>
        <v>6788599</v>
      </c>
      <c r="Q354" s="140"/>
      <c r="R354" s="26"/>
    </row>
    <row r="355" spans="1:18" s="26" customFormat="1" ht="101.25" customHeight="1" x14ac:dyDescent="0.45">
      <c r="A355" s="22"/>
      <c r="B355" s="23"/>
      <c r="C355" s="22"/>
      <c r="D355" s="48" t="s">
        <v>619</v>
      </c>
      <c r="E355" s="30">
        <f t="shared" ref="E355" si="200">F355+I355</f>
        <v>0</v>
      </c>
      <c r="F355" s="30"/>
      <c r="G355" s="30"/>
      <c r="H355" s="30"/>
      <c r="I355" s="30"/>
      <c r="J355" s="30">
        <f>L355+O355</f>
        <v>371900</v>
      </c>
      <c r="K355" s="30">
        <f>200000+171900</f>
        <v>371900</v>
      </c>
      <c r="L355" s="30"/>
      <c r="M355" s="30"/>
      <c r="N355" s="30"/>
      <c r="O355" s="30">
        <f>200000+171900</f>
        <v>371900</v>
      </c>
      <c r="P355" s="30">
        <f t="shared" ref="P355" si="201">E355+J355</f>
        <v>371900</v>
      </c>
      <c r="Q355" s="140">
        <v>15</v>
      </c>
    </row>
    <row r="356" spans="1:18" s="31" customFormat="1" ht="18.75" hidden="1" customHeight="1" x14ac:dyDescent="0.45">
      <c r="A356" s="27"/>
      <c r="B356" s="28"/>
      <c r="C356" s="28"/>
      <c r="D356" s="29" t="s">
        <v>399</v>
      </c>
      <c r="E356" s="30">
        <f t="shared" si="181"/>
        <v>0</v>
      </c>
      <c r="F356" s="30"/>
      <c r="G356" s="30"/>
      <c r="H356" s="30"/>
      <c r="I356" s="30"/>
      <c r="J356" s="30">
        <f t="shared" si="185"/>
        <v>0</v>
      </c>
      <c r="K356" s="30"/>
      <c r="L356" s="30"/>
      <c r="M356" s="30"/>
      <c r="N356" s="30"/>
      <c r="O356" s="30"/>
      <c r="P356" s="30">
        <f t="shared" si="182"/>
        <v>0</v>
      </c>
      <c r="Q356" s="140"/>
    </row>
    <row r="357" spans="1:18" s="26" customFormat="1" ht="112.5" customHeight="1" x14ac:dyDescent="0.45">
      <c r="A357" s="22" t="s">
        <v>287</v>
      </c>
      <c r="B357" s="23">
        <v>7691</v>
      </c>
      <c r="C357" s="23" t="s">
        <v>78</v>
      </c>
      <c r="D357" s="24" t="str">
        <f>'дод 7'!C295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357" s="25">
        <f t="shared" si="181"/>
        <v>0</v>
      </c>
      <c r="F357" s="25"/>
      <c r="G357" s="25"/>
      <c r="H357" s="25"/>
      <c r="I357" s="25"/>
      <c r="J357" s="25">
        <f t="shared" si="185"/>
        <v>60000</v>
      </c>
      <c r="K357" s="25"/>
      <c r="L357" s="25">
        <v>60000</v>
      </c>
      <c r="M357" s="25"/>
      <c r="N357" s="25"/>
      <c r="O357" s="25"/>
      <c r="P357" s="25">
        <f t="shared" si="182"/>
        <v>60000</v>
      </c>
      <c r="Q357" s="140"/>
    </row>
    <row r="358" spans="1:18" s="26" customFormat="1" ht="46.15" x14ac:dyDescent="0.45">
      <c r="A358" s="22" t="s">
        <v>718</v>
      </c>
      <c r="B358" s="23">
        <f>'дод 7'!A298</f>
        <v>7700</v>
      </c>
      <c r="C358" s="23" t="str">
        <f>'дод 7'!B298</f>
        <v>0133</v>
      </c>
      <c r="D358" s="36" t="str">
        <f>'дод 7'!C298</f>
        <v>Реалізація програм допомоги і грантів Європейського Союзу, урядів іноземних держав, міжнародних організацій, донорських установ, у т.ч. за рахунок:</v>
      </c>
      <c r="E358" s="25">
        <f t="shared" ref="E358:E359" si="202">F358+I358</f>
        <v>0</v>
      </c>
      <c r="F358" s="25"/>
      <c r="G358" s="25"/>
      <c r="H358" s="25"/>
      <c r="I358" s="25"/>
      <c r="J358" s="25">
        <f t="shared" ref="J358:J359" si="203">L358+O358</f>
        <v>5819323</v>
      </c>
      <c r="K358" s="25"/>
      <c r="L358" s="25">
        <v>362376</v>
      </c>
      <c r="M358" s="25"/>
      <c r="N358" s="25"/>
      <c r="O358" s="25">
        <v>5456947</v>
      </c>
      <c r="P358" s="25">
        <f t="shared" ref="P358:P359" si="204">E358+J358</f>
        <v>5819323</v>
      </c>
      <c r="Q358" s="140"/>
    </row>
    <row r="359" spans="1:18" s="31" customFormat="1" ht="15.4" x14ac:dyDescent="0.45">
      <c r="A359" s="27"/>
      <c r="B359" s="28"/>
      <c r="C359" s="28"/>
      <c r="D359" s="29" t="str">
        <f>'дод 7'!C299</f>
        <v>грантів (дарунків)</v>
      </c>
      <c r="E359" s="30">
        <f t="shared" si="202"/>
        <v>0</v>
      </c>
      <c r="F359" s="30"/>
      <c r="G359" s="30"/>
      <c r="H359" s="30"/>
      <c r="I359" s="30"/>
      <c r="J359" s="30">
        <f t="shared" si="203"/>
        <v>5819323</v>
      </c>
      <c r="K359" s="30"/>
      <c r="L359" s="30">
        <v>362376</v>
      </c>
      <c r="M359" s="30"/>
      <c r="N359" s="30"/>
      <c r="O359" s="30">
        <v>5456947</v>
      </c>
      <c r="P359" s="30">
        <f t="shared" si="204"/>
        <v>5819323</v>
      </c>
      <c r="Q359" s="140"/>
    </row>
    <row r="360" spans="1:18" s="108" customFormat="1" ht="39" customHeight="1" x14ac:dyDescent="0.45">
      <c r="A360" s="22" t="s">
        <v>366</v>
      </c>
      <c r="B360" s="23" t="str">
        <f>'дод 7'!A308</f>
        <v>8110</v>
      </c>
      <c r="C360" s="23" t="str">
        <f>'дод 7'!B308</f>
        <v>0320</v>
      </c>
      <c r="D360" s="36" t="str">
        <f>'дод 7'!C308</f>
        <v>Заходи із запобігання та ліквідації надзвичайних ситуацій та наслідків стихійного лиха, у т.ч. за рахунок:</v>
      </c>
      <c r="E360" s="25">
        <f t="shared" ref="E360:E370" si="205">F360+I360</f>
        <v>7756235</v>
      </c>
      <c r="F360" s="25">
        <f>7000000-300000+400000-3500000+304152+280000+100000+1196869+100000+2000000-520000-304786+1000000</f>
        <v>7756235</v>
      </c>
      <c r="G360" s="25"/>
      <c r="H360" s="25"/>
      <c r="I360" s="25"/>
      <c r="J360" s="25">
        <f>L360+O360</f>
        <v>6276200</v>
      </c>
      <c r="K360" s="25">
        <f>3500000+1128100+1128100+520000</f>
        <v>6276200</v>
      </c>
      <c r="L360" s="25"/>
      <c r="M360" s="25"/>
      <c r="N360" s="25"/>
      <c r="O360" s="25">
        <f>3500000+1128100+1128100+520000</f>
        <v>6276200</v>
      </c>
      <c r="P360" s="25">
        <f t="shared" ref="P360:P365" si="206">E360+J360</f>
        <v>14032435</v>
      </c>
      <c r="Q360" s="140"/>
      <c r="R360" s="26"/>
    </row>
    <row r="361" spans="1:18" s="31" customFormat="1" ht="22.15" customHeight="1" x14ac:dyDescent="0.45">
      <c r="A361" s="27"/>
      <c r="B361" s="28"/>
      <c r="C361" s="28"/>
      <c r="D361" s="43" t="s">
        <v>379</v>
      </c>
      <c r="E361" s="30">
        <f t="shared" ref="E361" si="207">F361+I361</f>
        <v>0</v>
      </c>
      <c r="F361" s="30">
        <v>0</v>
      </c>
      <c r="G361" s="30"/>
      <c r="H361" s="30"/>
      <c r="I361" s="30"/>
      <c r="J361" s="30">
        <f>L361+O361</f>
        <v>1128100</v>
      </c>
      <c r="K361" s="30">
        <v>1128100</v>
      </c>
      <c r="L361" s="30"/>
      <c r="M361" s="30"/>
      <c r="N361" s="30"/>
      <c r="O361" s="30">
        <v>1128100</v>
      </c>
      <c r="P361" s="30">
        <f t="shared" ref="P361" si="208">E361+J361</f>
        <v>1128100</v>
      </c>
      <c r="Q361" s="140"/>
    </row>
    <row r="362" spans="1:18" s="31" customFormat="1" ht="109.5" customHeight="1" x14ac:dyDescent="0.45">
      <c r="A362" s="27"/>
      <c r="B362" s="28"/>
      <c r="C362" s="28"/>
      <c r="D362" s="43" t="str">
        <f>'дод 7'!C310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362" s="30">
        <f t="shared" si="205"/>
        <v>1676869</v>
      </c>
      <c r="F362" s="30">
        <f>280000+100000+1196869+100000</f>
        <v>1676869</v>
      </c>
      <c r="G362" s="30"/>
      <c r="H362" s="30"/>
      <c r="I362" s="30"/>
      <c r="J362" s="30">
        <f>L362+O362</f>
        <v>1128100</v>
      </c>
      <c r="K362" s="30">
        <v>1128100</v>
      </c>
      <c r="L362" s="30"/>
      <c r="M362" s="30"/>
      <c r="N362" s="30"/>
      <c r="O362" s="30">
        <v>1128100</v>
      </c>
      <c r="P362" s="30">
        <f t="shared" si="206"/>
        <v>2804969</v>
      </c>
      <c r="Q362" s="140"/>
    </row>
    <row r="363" spans="1:18" s="26" customFormat="1" ht="15.75" hidden="1" customHeight="1" x14ac:dyDescent="0.45">
      <c r="A363" s="22" t="s">
        <v>365</v>
      </c>
      <c r="B363" s="23" t="str">
        <f>'дод 7'!A315</f>
        <v>8230</v>
      </c>
      <c r="C363" s="23" t="str">
        <f>'дод 7'!B315</f>
        <v>0380</v>
      </c>
      <c r="D363" s="36" t="str">
        <f>'дод 7'!C315</f>
        <v>Інші заходи громадського порядку та безпеки</v>
      </c>
      <c r="E363" s="25">
        <f t="shared" si="205"/>
        <v>0</v>
      </c>
      <c r="F363" s="25"/>
      <c r="G363" s="25"/>
      <c r="H363" s="25"/>
      <c r="I363" s="25"/>
      <c r="J363" s="25">
        <f t="shared" ref="J363:J366" si="209">L363+O363</f>
        <v>0</v>
      </c>
      <c r="K363" s="25"/>
      <c r="L363" s="25"/>
      <c r="M363" s="25"/>
      <c r="N363" s="25"/>
      <c r="O363" s="25"/>
      <c r="P363" s="25">
        <f t="shared" si="206"/>
        <v>0</v>
      </c>
      <c r="Q363" s="140"/>
    </row>
    <row r="364" spans="1:18" s="108" customFormat="1" ht="27" customHeight="1" x14ac:dyDescent="0.45">
      <c r="A364" s="22" t="s">
        <v>613</v>
      </c>
      <c r="B364" s="23">
        <v>8240</v>
      </c>
      <c r="C364" s="23" t="str">
        <f>'дод 7'!B316</f>
        <v>0380</v>
      </c>
      <c r="D364" s="36" t="s">
        <v>566</v>
      </c>
      <c r="E364" s="25">
        <f>F364+I364</f>
        <v>3181000</v>
      </c>
      <c r="F364" s="25">
        <f>2000000+2700000-1519000</f>
        <v>3181000</v>
      </c>
      <c r="G364" s="25"/>
      <c r="H364" s="25"/>
      <c r="I364" s="25"/>
      <c r="J364" s="25">
        <f>L364+O364</f>
        <v>0</v>
      </c>
      <c r="K364" s="25"/>
      <c r="L364" s="25"/>
      <c r="M364" s="25"/>
      <c r="N364" s="25"/>
      <c r="O364" s="25"/>
      <c r="P364" s="25">
        <f t="shared" si="206"/>
        <v>3181000</v>
      </c>
      <c r="Q364" s="140"/>
      <c r="R364" s="26"/>
    </row>
    <row r="365" spans="1:18" s="26" customFormat="1" ht="27" hidden="1" customHeight="1" x14ac:dyDescent="0.45">
      <c r="A365" s="22" t="s">
        <v>614</v>
      </c>
      <c r="B365" s="23">
        <v>8312</v>
      </c>
      <c r="C365" s="22" t="s">
        <v>615</v>
      </c>
      <c r="D365" s="36" t="s">
        <v>616</v>
      </c>
      <c r="E365" s="25">
        <f>F365+I365</f>
        <v>0</v>
      </c>
      <c r="F365" s="25"/>
      <c r="G365" s="25"/>
      <c r="H365" s="25"/>
      <c r="I365" s="25"/>
      <c r="J365" s="25">
        <f>L365+O365</f>
        <v>0</v>
      </c>
      <c r="K365" s="25"/>
      <c r="L365" s="25"/>
      <c r="M365" s="25"/>
      <c r="N365" s="25"/>
      <c r="O365" s="25"/>
      <c r="P365" s="25">
        <f t="shared" si="206"/>
        <v>0</v>
      </c>
      <c r="Q365" s="140"/>
    </row>
    <row r="366" spans="1:18" s="26" customFormat="1" ht="31.5" customHeight="1" x14ac:dyDescent="0.45">
      <c r="A366" s="22" t="s">
        <v>195</v>
      </c>
      <c r="B366" s="23" t="str">
        <f>'дод 7'!A321</f>
        <v>8340</v>
      </c>
      <c r="C366" s="23" t="str">
        <f>'дод 7'!B321</f>
        <v>0540</v>
      </c>
      <c r="D366" s="24" t="str">
        <f>'дод 7'!C321</f>
        <v>Природоохоронні заходи за рахунок цільових фондів</v>
      </c>
      <c r="E366" s="25">
        <f t="shared" si="205"/>
        <v>0</v>
      </c>
      <c r="F366" s="25"/>
      <c r="G366" s="25"/>
      <c r="H366" s="25"/>
      <c r="I366" s="25"/>
      <c r="J366" s="25">
        <f t="shared" si="209"/>
        <v>1174400</v>
      </c>
      <c r="K366" s="25"/>
      <c r="L366" s="25">
        <v>724400</v>
      </c>
      <c r="M366" s="25"/>
      <c r="N366" s="25"/>
      <c r="O366" s="25">
        <v>450000</v>
      </c>
      <c r="P366" s="25">
        <f t="shared" si="182"/>
        <v>1174400</v>
      </c>
      <c r="Q366" s="140"/>
    </row>
    <row r="367" spans="1:18" s="26" customFormat="1" ht="68.25" hidden="1" customHeight="1" x14ac:dyDescent="0.45">
      <c r="A367" s="22" t="s">
        <v>571</v>
      </c>
      <c r="B367" s="45">
        <v>8741</v>
      </c>
      <c r="C367" s="45">
        <v>610</v>
      </c>
      <c r="D367" s="33" t="s">
        <v>572</v>
      </c>
      <c r="E367" s="25">
        <f t="shared" si="205"/>
        <v>0</v>
      </c>
      <c r="F367" s="25"/>
      <c r="G367" s="25"/>
      <c r="H367" s="25"/>
      <c r="I367" s="25"/>
      <c r="J367" s="25">
        <f t="shared" si="185"/>
        <v>0</v>
      </c>
      <c r="K367" s="25"/>
      <c r="L367" s="25"/>
      <c r="M367" s="25"/>
      <c r="N367" s="25"/>
      <c r="O367" s="25"/>
      <c r="P367" s="25">
        <f t="shared" si="182"/>
        <v>0</v>
      </c>
      <c r="Q367" s="140"/>
    </row>
    <row r="368" spans="1:18" s="26" customFormat="1" ht="38.25" hidden="1" customHeight="1" x14ac:dyDescent="0.45">
      <c r="A368" s="22" t="s">
        <v>564</v>
      </c>
      <c r="B368" s="23">
        <v>8775</v>
      </c>
      <c r="C368" s="22" t="s">
        <v>89</v>
      </c>
      <c r="D368" s="24" t="s">
        <v>561</v>
      </c>
      <c r="E368" s="25">
        <f t="shared" si="205"/>
        <v>0</v>
      </c>
      <c r="F368" s="25"/>
      <c r="G368" s="25"/>
      <c r="H368" s="25"/>
      <c r="I368" s="25"/>
      <c r="J368" s="25">
        <f t="shared" si="185"/>
        <v>0</v>
      </c>
      <c r="K368" s="25"/>
      <c r="L368" s="25"/>
      <c r="M368" s="25"/>
      <c r="N368" s="25"/>
      <c r="O368" s="25"/>
      <c r="P368" s="25">
        <f t="shared" si="182"/>
        <v>0</v>
      </c>
      <c r="Q368" s="140"/>
    </row>
    <row r="369" spans="1:17" s="26" customFormat="1" ht="78.75" hidden="1" customHeight="1" x14ac:dyDescent="0.45">
      <c r="A369" s="22" t="s">
        <v>515</v>
      </c>
      <c r="B369" s="23">
        <v>9730</v>
      </c>
      <c r="C369" s="22" t="s">
        <v>43</v>
      </c>
      <c r="D369" s="24" t="s">
        <v>516</v>
      </c>
      <c r="E369" s="25">
        <f t="shared" si="205"/>
        <v>0</v>
      </c>
      <c r="F369" s="25"/>
      <c r="G369" s="25"/>
      <c r="H369" s="25"/>
      <c r="I369" s="25"/>
      <c r="J369" s="25">
        <f t="shared" si="185"/>
        <v>0</v>
      </c>
      <c r="K369" s="25"/>
      <c r="L369" s="25"/>
      <c r="M369" s="25"/>
      <c r="N369" s="25"/>
      <c r="O369" s="25"/>
      <c r="P369" s="25">
        <f t="shared" si="182"/>
        <v>0</v>
      </c>
      <c r="Q369" s="140"/>
    </row>
    <row r="370" spans="1:17" s="26" customFormat="1" ht="36" hidden="1" customHeight="1" x14ac:dyDescent="0.45">
      <c r="A370" s="22" t="s">
        <v>554</v>
      </c>
      <c r="B370" s="23">
        <v>9750</v>
      </c>
      <c r="C370" s="22" t="s">
        <v>43</v>
      </c>
      <c r="D370" s="24" t="s">
        <v>481</v>
      </c>
      <c r="E370" s="25">
        <f t="shared" si="205"/>
        <v>0</v>
      </c>
      <c r="F370" s="25"/>
      <c r="G370" s="25"/>
      <c r="H370" s="25"/>
      <c r="I370" s="25"/>
      <c r="J370" s="25">
        <f t="shared" ref="J370" si="210">L370+O370</f>
        <v>0</v>
      </c>
      <c r="K370" s="25"/>
      <c r="L370" s="25"/>
      <c r="M370" s="25"/>
      <c r="N370" s="25"/>
      <c r="O370" s="25"/>
      <c r="P370" s="25">
        <f t="shared" si="182"/>
        <v>0</v>
      </c>
      <c r="Q370" s="140"/>
    </row>
    <row r="371" spans="1:17" s="26" customFormat="1" ht="26.25" customHeight="1" x14ac:dyDescent="0.45">
      <c r="A371" s="22" t="s">
        <v>196</v>
      </c>
      <c r="B371" s="23" t="str">
        <f>'дод 7'!A338</f>
        <v>9770</v>
      </c>
      <c r="C371" s="23" t="str">
        <f>'дод 7'!B338</f>
        <v>0180</v>
      </c>
      <c r="D371" s="24" t="str">
        <f>'дод 7'!C338</f>
        <v>Інші субвенції з місцевого бюджету</v>
      </c>
      <c r="E371" s="25">
        <f t="shared" si="181"/>
        <v>4026800</v>
      </c>
      <c r="F371" s="25">
        <v>4026800</v>
      </c>
      <c r="G371" s="25"/>
      <c r="H371" s="25"/>
      <c r="I371" s="25"/>
      <c r="J371" s="25">
        <f t="shared" si="185"/>
        <v>10973200</v>
      </c>
      <c r="K371" s="25">
        <v>10973200</v>
      </c>
      <c r="L371" s="25"/>
      <c r="M371" s="25"/>
      <c r="N371" s="25"/>
      <c r="O371" s="25">
        <v>10973200</v>
      </c>
      <c r="P371" s="25">
        <f t="shared" si="182"/>
        <v>15000000</v>
      </c>
      <c r="Q371" s="140"/>
    </row>
    <row r="372" spans="1:17" s="26" customFormat="1" ht="52.5" hidden="1" customHeight="1" x14ac:dyDescent="0.45">
      <c r="A372" s="22" t="s">
        <v>570</v>
      </c>
      <c r="B372" s="23">
        <f>'дод 7'!A339</f>
        <v>9800</v>
      </c>
      <c r="C372" s="23" t="str">
        <f>'дод 7'!B339</f>
        <v>0180</v>
      </c>
      <c r="D372" s="36" t="str">
        <f>'дод 7'!C339</f>
        <v xml:space="preserve">Субвенція з місцевого бюджету державному бюджету на виконання програм соціально-економічного розвитку регіонів </v>
      </c>
      <c r="E372" s="25">
        <f>F372</f>
        <v>0</v>
      </c>
      <c r="F372" s="25"/>
      <c r="G372" s="25"/>
      <c r="H372" s="25"/>
      <c r="I372" s="25"/>
      <c r="J372" s="25">
        <f t="shared" si="185"/>
        <v>0</v>
      </c>
      <c r="K372" s="25"/>
      <c r="L372" s="25"/>
      <c r="M372" s="25"/>
      <c r="N372" s="25"/>
      <c r="O372" s="25"/>
      <c r="P372" s="25">
        <f t="shared" si="182"/>
        <v>0</v>
      </c>
      <c r="Q372" s="140"/>
    </row>
    <row r="373" spans="1:17" s="16" customFormat="1" ht="33.75" hidden="1" customHeight="1" x14ac:dyDescent="0.4">
      <c r="A373" s="37" t="s">
        <v>26</v>
      </c>
      <c r="B373" s="38"/>
      <c r="C373" s="38"/>
      <c r="D373" s="39" t="s">
        <v>33</v>
      </c>
      <c r="E373" s="15">
        <f>E374</f>
        <v>0</v>
      </c>
      <c r="F373" s="15">
        <f t="shared" ref="F373:J376" si="211">F374</f>
        <v>0</v>
      </c>
      <c r="G373" s="15">
        <f t="shared" si="211"/>
        <v>0</v>
      </c>
      <c r="H373" s="15">
        <f t="shared" si="211"/>
        <v>0</v>
      </c>
      <c r="I373" s="15">
        <f t="shared" si="211"/>
        <v>0</v>
      </c>
      <c r="J373" s="15">
        <f t="shared" si="211"/>
        <v>0</v>
      </c>
      <c r="K373" s="15">
        <f t="shared" ref="K373:K376" si="212">K374</f>
        <v>0</v>
      </c>
      <c r="L373" s="15">
        <f t="shared" ref="L373:L376" si="213">L374</f>
        <v>0</v>
      </c>
      <c r="M373" s="15">
        <f t="shared" ref="M373:M376" si="214">M374</f>
        <v>0</v>
      </c>
      <c r="N373" s="15">
        <f t="shared" ref="N373:N376" si="215">N374</f>
        <v>0</v>
      </c>
      <c r="O373" s="15">
        <f t="shared" ref="O373:P376" si="216">O374</f>
        <v>0</v>
      </c>
      <c r="P373" s="15">
        <f t="shared" si="216"/>
        <v>0</v>
      </c>
      <c r="Q373" s="140"/>
    </row>
    <row r="374" spans="1:17" s="21" customFormat="1" ht="36.75" hidden="1" customHeight="1" x14ac:dyDescent="0.4">
      <c r="A374" s="17" t="s">
        <v>113</v>
      </c>
      <c r="B374" s="40"/>
      <c r="C374" s="40"/>
      <c r="D374" s="19" t="s">
        <v>33</v>
      </c>
      <c r="E374" s="20">
        <f>E375</f>
        <v>0</v>
      </c>
      <c r="F374" s="20">
        <f t="shared" si="211"/>
        <v>0</v>
      </c>
      <c r="G374" s="20">
        <f t="shared" si="211"/>
        <v>0</v>
      </c>
      <c r="H374" s="20">
        <f t="shared" si="211"/>
        <v>0</v>
      </c>
      <c r="I374" s="20">
        <f t="shared" si="211"/>
        <v>0</v>
      </c>
      <c r="J374" s="20">
        <f t="shared" si="211"/>
        <v>0</v>
      </c>
      <c r="K374" s="20">
        <f t="shared" si="212"/>
        <v>0</v>
      </c>
      <c r="L374" s="20">
        <f t="shared" si="213"/>
        <v>0</v>
      </c>
      <c r="M374" s="20">
        <f t="shared" si="214"/>
        <v>0</v>
      </c>
      <c r="N374" s="20">
        <f t="shared" si="215"/>
        <v>0</v>
      </c>
      <c r="O374" s="20">
        <f t="shared" si="216"/>
        <v>0</v>
      </c>
      <c r="P374" s="20">
        <f t="shared" si="216"/>
        <v>0</v>
      </c>
      <c r="Q374" s="140"/>
    </row>
    <row r="375" spans="1:17" s="26" customFormat="1" ht="51.75" hidden="1" customHeight="1" x14ac:dyDescent="0.45">
      <c r="A375" s="22" t="s">
        <v>0</v>
      </c>
      <c r="B375" s="23" t="str">
        <f>'дод 7'!A16</f>
        <v>0160</v>
      </c>
      <c r="C375" s="23" t="str">
        <f>'дод 7'!B16</f>
        <v>0111</v>
      </c>
      <c r="D375" s="24" t="str">
        <f>'дод 7'!C16</f>
        <v>Керівництво і управління у відповідній сфері у містах (місті Києві), селищах, селах, територіальних громадах, у т.ч. за рахунок:</v>
      </c>
      <c r="E375" s="25">
        <f>F375+I375</f>
        <v>0</v>
      </c>
      <c r="F375" s="25"/>
      <c r="G375" s="25"/>
      <c r="H375" s="25"/>
      <c r="I375" s="25"/>
      <c r="J375" s="25">
        <f>L375+O375</f>
        <v>0</v>
      </c>
      <c r="K375" s="25"/>
      <c r="L375" s="25"/>
      <c r="M375" s="25"/>
      <c r="N375" s="25"/>
      <c r="O375" s="25"/>
      <c r="P375" s="25">
        <f>E375+J375</f>
        <v>0</v>
      </c>
      <c r="Q375" s="140"/>
    </row>
    <row r="376" spans="1:17" s="16" customFormat="1" ht="33.75" hidden="1" customHeight="1" x14ac:dyDescent="0.4">
      <c r="A376" s="37" t="s">
        <v>26</v>
      </c>
      <c r="B376" s="38"/>
      <c r="C376" s="38"/>
      <c r="D376" s="39" t="s">
        <v>579</v>
      </c>
      <c r="E376" s="15">
        <f>E377</f>
        <v>0</v>
      </c>
      <c r="F376" s="15">
        <f t="shared" si="211"/>
        <v>0</v>
      </c>
      <c r="G376" s="15">
        <f t="shared" si="211"/>
        <v>0</v>
      </c>
      <c r="H376" s="15">
        <f t="shared" si="211"/>
        <v>0</v>
      </c>
      <c r="I376" s="15">
        <f t="shared" si="211"/>
        <v>0</v>
      </c>
      <c r="J376" s="15">
        <f t="shared" si="211"/>
        <v>0</v>
      </c>
      <c r="K376" s="15">
        <f t="shared" si="212"/>
        <v>0</v>
      </c>
      <c r="L376" s="15">
        <f t="shared" si="213"/>
        <v>0</v>
      </c>
      <c r="M376" s="15">
        <f t="shared" si="214"/>
        <v>0</v>
      </c>
      <c r="N376" s="15">
        <f t="shared" si="215"/>
        <v>0</v>
      </c>
      <c r="O376" s="15">
        <f t="shared" si="216"/>
        <v>0</v>
      </c>
      <c r="P376" s="15">
        <f t="shared" si="216"/>
        <v>0</v>
      </c>
      <c r="Q376" s="140"/>
    </row>
    <row r="377" spans="1:17" s="21" customFormat="1" ht="36.75" hidden="1" customHeight="1" x14ac:dyDescent="0.4">
      <c r="A377" s="17" t="s">
        <v>113</v>
      </c>
      <c r="B377" s="40"/>
      <c r="C377" s="40"/>
      <c r="D377" s="19" t="s">
        <v>579</v>
      </c>
      <c r="E377" s="20">
        <f>E378+E379</f>
        <v>0</v>
      </c>
      <c r="F377" s="20">
        <f t="shared" ref="F377:P377" si="217">F378+F379</f>
        <v>0</v>
      </c>
      <c r="G377" s="20">
        <f t="shared" si="217"/>
        <v>0</v>
      </c>
      <c r="H377" s="20">
        <f t="shared" si="217"/>
        <v>0</v>
      </c>
      <c r="I377" s="20">
        <f t="shared" si="217"/>
        <v>0</v>
      </c>
      <c r="J377" s="20">
        <f t="shared" si="217"/>
        <v>0</v>
      </c>
      <c r="K377" s="20">
        <f t="shared" si="217"/>
        <v>0</v>
      </c>
      <c r="L377" s="20">
        <f t="shared" si="217"/>
        <v>0</v>
      </c>
      <c r="M377" s="20">
        <f t="shared" si="217"/>
        <v>0</v>
      </c>
      <c r="N377" s="20">
        <f t="shared" si="217"/>
        <v>0</v>
      </c>
      <c r="O377" s="20">
        <f t="shared" si="217"/>
        <v>0</v>
      </c>
      <c r="P377" s="20">
        <f t="shared" si="217"/>
        <v>0</v>
      </c>
      <c r="Q377" s="140"/>
    </row>
    <row r="378" spans="1:17" s="26" customFormat="1" ht="51.75" hidden="1" customHeight="1" x14ac:dyDescent="0.45">
      <c r="A378" s="22" t="s">
        <v>0</v>
      </c>
      <c r="B378" s="23" t="str">
        <f>'дод 7'!A16</f>
        <v>0160</v>
      </c>
      <c r="C378" s="23" t="str">
        <f>'дод 7'!B16</f>
        <v>0111</v>
      </c>
      <c r="D378" s="24" t="str">
        <f>'дод 7'!C16</f>
        <v>Керівництво і управління у відповідній сфері у містах (місті Києві), селищах, селах, територіальних громадах, у т.ч. за рахунок:</v>
      </c>
      <c r="E378" s="25">
        <f>F378+I378</f>
        <v>0</v>
      </c>
      <c r="F378" s="25">
        <f>10047900-10047900</f>
        <v>0</v>
      </c>
      <c r="G378" s="25">
        <f>7966500-7966500</f>
        <v>0</v>
      </c>
      <c r="H378" s="25">
        <f>122300-122300</f>
        <v>0</v>
      </c>
      <c r="I378" s="25"/>
      <c r="J378" s="25">
        <f>L378+O378</f>
        <v>0</v>
      </c>
      <c r="K378" s="25">
        <f>8000-8000</f>
        <v>0</v>
      </c>
      <c r="L378" s="25"/>
      <c r="M378" s="25"/>
      <c r="N378" s="25"/>
      <c r="O378" s="25">
        <f>8000-8000</f>
        <v>0</v>
      </c>
      <c r="P378" s="25">
        <f>E378+J378</f>
        <v>0</v>
      </c>
      <c r="Q378" s="140"/>
    </row>
    <row r="379" spans="1:17" s="26" customFormat="1" ht="40.5" hidden="1" customHeight="1" x14ac:dyDescent="0.45">
      <c r="A379" s="22" t="s">
        <v>594</v>
      </c>
      <c r="B379" s="23" t="str">
        <f>'дод 7'!A284</f>
        <v>7610</v>
      </c>
      <c r="C379" s="23" t="str">
        <f>'дод 7'!B284</f>
        <v>0411</v>
      </c>
      <c r="D379" s="36" t="str">
        <f>'дод 7'!C284</f>
        <v>Сприяння розвитку малого та середнього підприємництва</v>
      </c>
      <c r="E379" s="25">
        <f>F379+I379</f>
        <v>0</v>
      </c>
      <c r="F379" s="25">
        <f>270000-50000-220000</f>
        <v>0</v>
      </c>
      <c r="G379" s="25"/>
      <c r="H379" s="25"/>
      <c r="I379" s="25">
        <f>250000+50000-300000</f>
        <v>0</v>
      </c>
      <c r="J379" s="25">
        <f>L379+O379</f>
        <v>0</v>
      </c>
      <c r="K379" s="25">
        <f>8000-8000</f>
        <v>0</v>
      </c>
      <c r="L379" s="25"/>
      <c r="M379" s="25"/>
      <c r="N379" s="25"/>
      <c r="O379" s="25">
        <f>8000-8000</f>
        <v>0</v>
      </c>
      <c r="P379" s="25">
        <f>E379+J379</f>
        <v>0</v>
      </c>
      <c r="Q379" s="140"/>
    </row>
    <row r="380" spans="1:17" s="16" customFormat="1" ht="47.25" customHeight="1" x14ac:dyDescent="0.4">
      <c r="A380" s="37" t="s">
        <v>27</v>
      </c>
      <c r="B380" s="38"/>
      <c r="C380" s="38"/>
      <c r="D380" s="39" t="s">
        <v>32</v>
      </c>
      <c r="E380" s="15">
        <f>E381</f>
        <v>7097110</v>
      </c>
      <c r="F380" s="15">
        <f t="shared" ref="F380:J380" si="218">F381</f>
        <v>7097110</v>
      </c>
      <c r="G380" s="15">
        <f t="shared" si="218"/>
        <v>5255979</v>
      </c>
      <c r="H380" s="15">
        <f t="shared" si="218"/>
        <v>0</v>
      </c>
      <c r="I380" s="15">
        <f t="shared" si="218"/>
        <v>0</v>
      </c>
      <c r="J380" s="15">
        <f t="shared" si="218"/>
        <v>314109840.49000001</v>
      </c>
      <c r="K380" s="15">
        <f t="shared" ref="K380" si="219">K381</f>
        <v>312461235.64999998</v>
      </c>
      <c r="L380" s="15">
        <f t="shared" ref="L380" si="220">L381</f>
        <v>369000</v>
      </c>
      <c r="M380" s="15">
        <f t="shared" ref="M380" si="221">M381</f>
        <v>0</v>
      </c>
      <c r="N380" s="15">
        <f t="shared" ref="N380" si="222">N381</f>
        <v>208200</v>
      </c>
      <c r="O380" s="15">
        <f t="shared" ref="O380:P380" si="223">O381</f>
        <v>313740840.49000001</v>
      </c>
      <c r="P380" s="15">
        <f t="shared" si="223"/>
        <v>321206950.49000001</v>
      </c>
      <c r="Q380" s="140"/>
    </row>
    <row r="381" spans="1:17" s="21" customFormat="1" ht="30" x14ac:dyDescent="0.4">
      <c r="A381" s="17" t="s">
        <v>28</v>
      </c>
      <c r="B381" s="40"/>
      <c r="C381" s="40"/>
      <c r="D381" s="19" t="s">
        <v>400</v>
      </c>
      <c r="E381" s="20">
        <f>SUM(E387+E388+E389+E390+E391+E392+E396+E397+E398+E400+E402+E404+E406+E407+E408+E410+E411+E403+E414+E415+E393+E394)</f>
        <v>7097110</v>
      </c>
      <c r="F381" s="20">
        <f t="shared" ref="F381:P381" si="224">SUM(F387+F388+F389+F390+F391+F392+F396+F397+F398+F400+F402+F404+F406+F407+F408+F410+F411+F403+F414+F415+F393+F394)</f>
        <v>7097110</v>
      </c>
      <c r="G381" s="20">
        <f t="shared" si="224"/>
        <v>5255979</v>
      </c>
      <c r="H381" s="20">
        <f t="shared" si="224"/>
        <v>0</v>
      </c>
      <c r="I381" s="20">
        <f t="shared" si="224"/>
        <v>0</v>
      </c>
      <c r="J381" s="20">
        <f t="shared" si="224"/>
        <v>314109840.49000001</v>
      </c>
      <c r="K381" s="20">
        <f t="shared" si="224"/>
        <v>312461235.64999998</v>
      </c>
      <c r="L381" s="20">
        <f t="shared" si="224"/>
        <v>369000</v>
      </c>
      <c r="M381" s="20">
        <f t="shared" si="224"/>
        <v>0</v>
      </c>
      <c r="N381" s="20">
        <f t="shared" si="224"/>
        <v>208200</v>
      </c>
      <c r="O381" s="20">
        <f t="shared" si="224"/>
        <v>313740840.49000001</v>
      </c>
      <c r="P381" s="20">
        <f t="shared" si="224"/>
        <v>321206950.49000001</v>
      </c>
      <c r="Q381" s="140"/>
    </row>
    <row r="382" spans="1:17" s="21" customFormat="1" ht="63" hidden="1" customHeight="1" x14ac:dyDescent="0.4">
      <c r="A382" s="17"/>
      <c r="B382" s="40"/>
      <c r="C382" s="40"/>
      <c r="D382" s="19" t="s">
        <v>574</v>
      </c>
      <c r="E382" s="20">
        <f>E409</f>
        <v>0</v>
      </c>
      <c r="F382" s="20">
        <f>F409</f>
        <v>0</v>
      </c>
      <c r="G382" s="20">
        <f t="shared" ref="G382:O382" si="225">G409</f>
        <v>0</v>
      </c>
      <c r="H382" s="20">
        <f t="shared" si="225"/>
        <v>0</v>
      </c>
      <c r="I382" s="20">
        <f t="shared" si="225"/>
        <v>0</v>
      </c>
      <c r="J382" s="20">
        <f>J409</f>
        <v>0</v>
      </c>
      <c r="K382" s="20">
        <f t="shared" si="225"/>
        <v>0</v>
      </c>
      <c r="L382" s="20">
        <f t="shared" si="225"/>
        <v>0</v>
      </c>
      <c r="M382" s="20">
        <f t="shared" si="225"/>
        <v>0</v>
      </c>
      <c r="N382" s="20">
        <f t="shared" si="225"/>
        <v>0</v>
      </c>
      <c r="O382" s="20">
        <f t="shared" si="225"/>
        <v>0</v>
      </c>
      <c r="P382" s="20">
        <f>P409</f>
        <v>0</v>
      </c>
      <c r="Q382" s="140"/>
    </row>
    <row r="383" spans="1:17" s="21" customFormat="1" ht="53.25" customHeight="1" x14ac:dyDescent="0.4">
      <c r="A383" s="17"/>
      <c r="B383" s="40"/>
      <c r="C383" s="40"/>
      <c r="D383" s="19" t="s">
        <v>687</v>
      </c>
      <c r="E383" s="20">
        <f>E395</f>
        <v>0</v>
      </c>
      <c r="F383" s="20">
        <f t="shared" ref="F383:P383" si="226">F395</f>
        <v>0</v>
      </c>
      <c r="G383" s="20">
        <f t="shared" si="226"/>
        <v>0</v>
      </c>
      <c r="H383" s="20">
        <f t="shared" si="226"/>
        <v>0</v>
      </c>
      <c r="I383" s="20">
        <f t="shared" si="226"/>
        <v>0</v>
      </c>
      <c r="J383" s="20">
        <f t="shared" si="226"/>
        <v>73585211</v>
      </c>
      <c r="K383" s="20">
        <f t="shared" si="226"/>
        <v>73585211</v>
      </c>
      <c r="L383" s="20">
        <f t="shared" si="226"/>
        <v>0</v>
      </c>
      <c r="M383" s="20">
        <f t="shared" si="226"/>
        <v>0</v>
      </c>
      <c r="N383" s="20">
        <f t="shared" si="226"/>
        <v>0</v>
      </c>
      <c r="O383" s="20">
        <f t="shared" si="226"/>
        <v>73585211</v>
      </c>
      <c r="P383" s="20">
        <f t="shared" si="226"/>
        <v>73585211</v>
      </c>
      <c r="Q383" s="140"/>
    </row>
    <row r="384" spans="1:17" s="21" customFormat="1" ht="105" customHeight="1" x14ac:dyDescent="0.4">
      <c r="A384" s="17"/>
      <c r="B384" s="40"/>
      <c r="C384" s="40"/>
      <c r="D384" s="19" t="str">
        <f>D405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384" s="20">
        <f>E405+E399+E401</f>
        <v>0</v>
      </c>
      <c r="F384" s="20">
        <f t="shared" ref="F384:P384" si="227">F405+F399+F401</f>
        <v>0</v>
      </c>
      <c r="G384" s="20">
        <f t="shared" si="227"/>
        <v>0</v>
      </c>
      <c r="H384" s="20">
        <f t="shared" si="227"/>
        <v>0</v>
      </c>
      <c r="I384" s="20">
        <f t="shared" si="227"/>
        <v>0</v>
      </c>
      <c r="J384" s="20">
        <f t="shared" si="227"/>
        <v>5600000</v>
      </c>
      <c r="K384" s="20">
        <f t="shared" si="227"/>
        <v>5600000</v>
      </c>
      <c r="L384" s="20">
        <f t="shared" si="227"/>
        <v>0</v>
      </c>
      <c r="M384" s="20">
        <f t="shared" si="227"/>
        <v>0</v>
      </c>
      <c r="N384" s="20">
        <f t="shared" si="227"/>
        <v>0</v>
      </c>
      <c r="O384" s="20">
        <f t="shared" si="227"/>
        <v>5600000</v>
      </c>
      <c r="P384" s="20">
        <f t="shared" si="227"/>
        <v>5600000</v>
      </c>
      <c r="Q384" s="140"/>
    </row>
    <row r="385" spans="1:18" s="21" customFormat="1" ht="27" customHeight="1" x14ac:dyDescent="0.4">
      <c r="A385" s="17"/>
      <c r="B385" s="40"/>
      <c r="C385" s="40"/>
      <c r="D385" s="19" t="s">
        <v>399</v>
      </c>
      <c r="E385" s="20">
        <f>E412</f>
        <v>0</v>
      </c>
      <c r="F385" s="20">
        <f t="shared" ref="F385:P385" si="228">F412</f>
        <v>0</v>
      </c>
      <c r="G385" s="20">
        <f t="shared" si="228"/>
        <v>0</v>
      </c>
      <c r="H385" s="20">
        <f t="shared" si="228"/>
        <v>0</v>
      </c>
      <c r="I385" s="20">
        <f t="shared" si="228"/>
        <v>0</v>
      </c>
      <c r="J385" s="20">
        <f>J412</f>
        <v>61868709</v>
      </c>
      <c r="K385" s="20">
        <f t="shared" si="228"/>
        <v>61868709</v>
      </c>
      <c r="L385" s="20">
        <f t="shared" si="228"/>
        <v>0</v>
      </c>
      <c r="M385" s="20">
        <f t="shared" si="228"/>
        <v>0</v>
      </c>
      <c r="N385" s="20">
        <f t="shared" si="228"/>
        <v>0</v>
      </c>
      <c r="O385" s="20">
        <f t="shared" si="228"/>
        <v>61868709</v>
      </c>
      <c r="P385" s="20">
        <f t="shared" si="228"/>
        <v>61868709</v>
      </c>
      <c r="Q385" s="140"/>
    </row>
    <row r="386" spans="1:18" s="21" customFormat="1" ht="53.25" customHeight="1" x14ac:dyDescent="0.4">
      <c r="A386" s="17"/>
      <c r="B386" s="40"/>
      <c r="C386" s="40"/>
      <c r="D386" s="19" t="str">
        <f>D413</f>
        <v xml:space="preserve">залишку коштів по запозиченню від ЄІБ «Підвищення енергоефективності в дошкільних закладах м. Суми», що склався станом на 01.01.2024 року </v>
      </c>
      <c r="E386" s="20">
        <f>E413</f>
        <v>0</v>
      </c>
      <c r="F386" s="20">
        <f t="shared" ref="F386:P386" si="229">F413</f>
        <v>0</v>
      </c>
      <c r="G386" s="20">
        <f t="shared" si="229"/>
        <v>0</v>
      </c>
      <c r="H386" s="20">
        <f t="shared" si="229"/>
        <v>0</v>
      </c>
      <c r="I386" s="20">
        <f t="shared" si="229"/>
        <v>0</v>
      </c>
      <c r="J386" s="20">
        <f t="shared" si="229"/>
        <v>42207900</v>
      </c>
      <c r="K386" s="20">
        <f t="shared" si="229"/>
        <v>42207900</v>
      </c>
      <c r="L386" s="20">
        <f t="shared" si="229"/>
        <v>0</v>
      </c>
      <c r="M386" s="20">
        <f t="shared" si="229"/>
        <v>0</v>
      </c>
      <c r="N386" s="20">
        <f t="shared" si="229"/>
        <v>0</v>
      </c>
      <c r="O386" s="20">
        <f t="shared" si="229"/>
        <v>42207900</v>
      </c>
      <c r="P386" s="20">
        <f t="shared" si="229"/>
        <v>42207900</v>
      </c>
      <c r="Q386" s="140"/>
    </row>
    <row r="387" spans="1:18" s="26" customFormat="1" ht="30.75" x14ac:dyDescent="0.45">
      <c r="A387" s="22" t="s">
        <v>133</v>
      </c>
      <c r="B387" s="23" t="str">
        <f>'дод 7'!A16</f>
        <v>0160</v>
      </c>
      <c r="C387" s="23" t="str">
        <f>'дод 7'!B16</f>
        <v>0111</v>
      </c>
      <c r="D387" s="24" t="s">
        <v>714</v>
      </c>
      <c r="E387" s="25">
        <f t="shared" ref="E387:E414" si="230">F387+I387</f>
        <v>6411786</v>
      </c>
      <c r="F387" s="25">
        <f>7067600-985000+604200-275014</f>
        <v>6411786</v>
      </c>
      <c r="G387" s="25">
        <f>5793100-807400+495700-225421</f>
        <v>5255979</v>
      </c>
      <c r="H387" s="25"/>
      <c r="I387" s="25"/>
      <c r="J387" s="25">
        <f>L387+O387</f>
        <v>369000</v>
      </c>
      <c r="K387" s="25"/>
      <c r="L387" s="25">
        <v>369000</v>
      </c>
      <c r="M387" s="25"/>
      <c r="N387" s="25">
        <v>208200</v>
      </c>
      <c r="O387" s="25"/>
      <c r="P387" s="25">
        <f t="shared" ref="P387:P414" si="231">E387+J387</f>
        <v>6780786</v>
      </c>
      <c r="Q387" s="140"/>
    </row>
    <row r="388" spans="1:18" s="132" customFormat="1" ht="26.65" customHeight="1" x14ac:dyDescent="0.45">
      <c r="A388" s="22" t="s">
        <v>553</v>
      </c>
      <c r="B388" s="23">
        <v>1010</v>
      </c>
      <c r="C388" s="22" t="s">
        <v>47</v>
      </c>
      <c r="D388" s="24" t="s">
        <v>468</v>
      </c>
      <c r="E388" s="25">
        <f t="shared" si="230"/>
        <v>0</v>
      </c>
      <c r="F388" s="25"/>
      <c r="G388" s="25"/>
      <c r="H388" s="25"/>
      <c r="I388" s="25"/>
      <c r="J388" s="25">
        <f>L388+O388</f>
        <v>25894279</v>
      </c>
      <c r="K388" s="25">
        <f>3155700+1954092+20556921.65+685000+970000-300000-989801-136000-19400-9112-103295-1400000-2749-67891-36024-112001+810000+1450000-350000-50000-416330-359-480780-2893-1242-13700-21304-7895</f>
        <v>25060937.649999999</v>
      </c>
      <c r="L388" s="25"/>
      <c r="M388" s="25"/>
      <c r="N388" s="25"/>
      <c r="O388" s="25">
        <f>3155700+1954092+21390263+685000+970000-300000-989801-136000-19400-9112-103295-1400000-2749-67891-36024-112001+810000+1450000-350000-50000-416330-359-480780-2893-1242-13700-21304-7895</f>
        <v>25894279</v>
      </c>
      <c r="P388" s="25">
        <f t="shared" si="231"/>
        <v>25894279</v>
      </c>
      <c r="Q388" s="140"/>
      <c r="R388" s="26"/>
    </row>
    <row r="389" spans="1:18" s="26" customFormat="1" ht="31.5" hidden="1" customHeight="1" x14ac:dyDescent="0.45">
      <c r="A389" s="22" t="s">
        <v>555</v>
      </c>
      <c r="B389" s="23">
        <v>1021</v>
      </c>
      <c r="C389" s="22" t="s">
        <v>49</v>
      </c>
      <c r="D389" s="24" t="s">
        <v>438</v>
      </c>
      <c r="E389" s="25">
        <f t="shared" si="230"/>
        <v>0</v>
      </c>
      <c r="F389" s="25"/>
      <c r="G389" s="25"/>
      <c r="H389" s="25"/>
      <c r="I389" s="25"/>
      <c r="J389" s="25">
        <f t="shared" ref="J389:J394" si="232">L389+O389</f>
        <v>0</v>
      </c>
      <c r="K389" s="25"/>
      <c r="L389" s="25"/>
      <c r="M389" s="25"/>
      <c r="N389" s="25"/>
      <c r="O389" s="25"/>
      <c r="P389" s="25">
        <f t="shared" si="231"/>
        <v>0</v>
      </c>
      <c r="Q389" s="140"/>
    </row>
    <row r="390" spans="1:18" s="26" customFormat="1" ht="63" hidden="1" customHeight="1" x14ac:dyDescent="0.45">
      <c r="A390" s="22" t="s">
        <v>556</v>
      </c>
      <c r="B390" s="23">
        <v>1022</v>
      </c>
      <c r="C390" s="22" t="s">
        <v>53</v>
      </c>
      <c r="D390" s="24" t="s">
        <v>440</v>
      </c>
      <c r="E390" s="25">
        <f t="shared" si="230"/>
        <v>0</v>
      </c>
      <c r="F390" s="25"/>
      <c r="G390" s="25"/>
      <c r="H390" s="25"/>
      <c r="I390" s="25"/>
      <c r="J390" s="25">
        <f t="shared" si="232"/>
        <v>0</v>
      </c>
      <c r="K390" s="25"/>
      <c r="L390" s="25"/>
      <c r="M390" s="25"/>
      <c r="N390" s="25"/>
      <c r="O390" s="25"/>
      <c r="P390" s="25">
        <f t="shared" si="231"/>
        <v>0</v>
      </c>
      <c r="Q390" s="140"/>
    </row>
    <row r="391" spans="1:18" s="26" customFormat="1" ht="31.5" hidden="1" customHeight="1" x14ac:dyDescent="0.45">
      <c r="A391" s="22" t="s">
        <v>557</v>
      </c>
      <c r="B391" s="23">
        <v>2010</v>
      </c>
      <c r="C391" s="22" t="s">
        <v>59</v>
      </c>
      <c r="D391" s="24" t="s">
        <v>542</v>
      </c>
      <c r="E391" s="25">
        <f t="shared" si="230"/>
        <v>0</v>
      </c>
      <c r="F391" s="25"/>
      <c r="G391" s="25"/>
      <c r="H391" s="25"/>
      <c r="I391" s="25"/>
      <c r="J391" s="25">
        <f t="shared" si="232"/>
        <v>0</v>
      </c>
      <c r="K391" s="25"/>
      <c r="L391" s="25"/>
      <c r="M391" s="25"/>
      <c r="N391" s="25"/>
      <c r="O391" s="25"/>
      <c r="P391" s="25">
        <f t="shared" si="231"/>
        <v>0</v>
      </c>
      <c r="Q391" s="140"/>
    </row>
    <row r="392" spans="1:18" s="26" customFormat="1" ht="15.75" hidden="1" customHeight="1" x14ac:dyDescent="0.45">
      <c r="A392" s="22" t="s">
        <v>197</v>
      </c>
      <c r="B392" s="23" t="str">
        <f>'дод 7'!A212</f>
        <v>6030</v>
      </c>
      <c r="C392" s="23" t="str">
        <f>'дод 7'!B212</f>
        <v>0620</v>
      </c>
      <c r="D392" s="24" t="str">
        <f>'дод 7'!C212</f>
        <v>Організація благоустрою населених пунктів</v>
      </c>
      <c r="E392" s="25">
        <f t="shared" si="230"/>
        <v>0</v>
      </c>
      <c r="F392" s="25"/>
      <c r="G392" s="25"/>
      <c r="H392" s="25"/>
      <c r="I392" s="25"/>
      <c r="J392" s="25">
        <f t="shared" si="232"/>
        <v>0</v>
      </c>
      <c r="K392" s="25"/>
      <c r="L392" s="25"/>
      <c r="M392" s="25"/>
      <c r="N392" s="25"/>
      <c r="O392" s="25"/>
      <c r="P392" s="25">
        <f t="shared" si="231"/>
        <v>0</v>
      </c>
      <c r="Q392" s="140"/>
    </row>
    <row r="393" spans="1:18" s="132" customFormat="1" ht="80.25" customHeight="1" x14ac:dyDescent="0.45">
      <c r="A393" s="22" t="s">
        <v>631</v>
      </c>
      <c r="B393" s="23">
        <v>1261</v>
      </c>
      <c r="C393" s="22" t="s">
        <v>56</v>
      </c>
      <c r="D393" s="24" t="s">
        <v>653</v>
      </c>
      <c r="E393" s="25">
        <f t="shared" si="230"/>
        <v>0</v>
      </c>
      <c r="F393" s="25"/>
      <c r="G393" s="25"/>
      <c r="H393" s="25"/>
      <c r="I393" s="25"/>
      <c r="J393" s="25">
        <f t="shared" si="232"/>
        <v>51854052</v>
      </c>
      <c r="K393" s="25">
        <f>100000+1000000+7376319+11859694+30220000-1961+1300000</f>
        <v>51854052</v>
      </c>
      <c r="L393" s="25"/>
      <c r="M393" s="25"/>
      <c r="N393" s="25"/>
      <c r="O393" s="25">
        <f>100000+1000000+7376319+11859694+30220000-1961+1300000</f>
        <v>51854052</v>
      </c>
      <c r="P393" s="25">
        <f t="shared" si="231"/>
        <v>51854052</v>
      </c>
      <c r="Q393" s="140"/>
      <c r="R393" s="26"/>
    </row>
    <row r="394" spans="1:18" s="26" customFormat="1" ht="61.5" x14ac:dyDescent="0.45">
      <c r="A394" s="22" t="s">
        <v>632</v>
      </c>
      <c r="B394" s="23">
        <v>1262</v>
      </c>
      <c r="C394" s="22" t="s">
        <v>56</v>
      </c>
      <c r="D394" s="24" t="s">
        <v>688</v>
      </c>
      <c r="E394" s="25">
        <f t="shared" si="230"/>
        <v>0</v>
      </c>
      <c r="F394" s="25"/>
      <c r="G394" s="25"/>
      <c r="H394" s="25"/>
      <c r="I394" s="25"/>
      <c r="J394" s="25">
        <f t="shared" si="232"/>
        <v>73585211</v>
      </c>
      <c r="K394" s="25">
        <f>17211412+56373799</f>
        <v>73585211</v>
      </c>
      <c r="L394" s="25"/>
      <c r="M394" s="25"/>
      <c r="N394" s="25"/>
      <c r="O394" s="25">
        <f>17211412+56373799</f>
        <v>73585211</v>
      </c>
      <c r="P394" s="25">
        <f t="shared" si="231"/>
        <v>73585211</v>
      </c>
      <c r="Q394" s="140"/>
    </row>
    <row r="395" spans="1:18" s="26" customFormat="1" ht="57" customHeight="1" x14ac:dyDescent="0.45">
      <c r="A395" s="22"/>
      <c r="B395" s="23"/>
      <c r="C395" s="22"/>
      <c r="D395" s="29" t="s">
        <v>686</v>
      </c>
      <c r="E395" s="25">
        <f t="shared" si="230"/>
        <v>0</v>
      </c>
      <c r="F395" s="25"/>
      <c r="G395" s="25"/>
      <c r="H395" s="25"/>
      <c r="I395" s="25"/>
      <c r="J395" s="30">
        <f>L395+O395</f>
        <v>73585211</v>
      </c>
      <c r="K395" s="30">
        <f>17211412+56373799</f>
        <v>73585211</v>
      </c>
      <c r="L395" s="30"/>
      <c r="M395" s="30"/>
      <c r="N395" s="30"/>
      <c r="O395" s="30">
        <f>17211412+56373799</f>
        <v>73585211</v>
      </c>
      <c r="P395" s="30">
        <f t="shared" si="231"/>
        <v>73585211</v>
      </c>
      <c r="Q395" s="140">
        <v>16</v>
      </c>
    </row>
    <row r="396" spans="1:18" s="26" customFormat="1" ht="65.25" customHeight="1" x14ac:dyDescent="0.45">
      <c r="A396" s="22" t="s">
        <v>198</v>
      </c>
      <c r="B396" s="23" t="str">
        <f>'дод 7'!A216</f>
        <v>6084</v>
      </c>
      <c r="C396" s="23" t="str">
        <f>'дод 7'!B216</f>
        <v>0610</v>
      </c>
      <c r="D396" s="24" t="str">
        <f>'дод 7'!C216</f>
        <v>Витрати, пов'язані з наданням та обслуговуванням пільгових довгострокових кредитів, наданих громадянам на будівництво/реконструкцію/придбання житла</v>
      </c>
      <c r="E396" s="25">
        <f t="shared" si="230"/>
        <v>0</v>
      </c>
      <c r="F396" s="25"/>
      <c r="G396" s="25"/>
      <c r="H396" s="25"/>
      <c r="I396" s="25"/>
      <c r="J396" s="25">
        <f t="shared" ref="J396:J423" si="233">L396+O396</f>
        <v>446263.49</v>
      </c>
      <c r="K396" s="25"/>
      <c r="L396" s="25"/>
      <c r="M396" s="25"/>
      <c r="N396" s="25"/>
      <c r="O396" s="25">
        <f>412200+34063.49</f>
        <v>446263.49</v>
      </c>
      <c r="P396" s="25">
        <f t="shared" si="231"/>
        <v>446263.49</v>
      </c>
      <c r="Q396" s="140"/>
    </row>
    <row r="397" spans="1:18" s="132" customFormat="1" ht="24.4" customHeight="1" x14ac:dyDescent="0.45">
      <c r="A397" s="22" t="s">
        <v>266</v>
      </c>
      <c r="B397" s="23" t="str">
        <f>'дод 7'!A237</f>
        <v>7310</v>
      </c>
      <c r="C397" s="23" t="str">
        <f>'дод 7'!B237</f>
        <v>0443</v>
      </c>
      <c r="D397" s="24" t="s">
        <v>620</v>
      </c>
      <c r="E397" s="25">
        <f t="shared" si="230"/>
        <v>0</v>
      </c>
      <c r="F397" s="25"/>
      <c r="G397" s="25"/>
      <c r="H397" s="25"/>
      <c r="I397" s="25"/>
      <c r="J397" s="25">
        <f t="shared" si="233"/>
        <v>665608</v>
      </c>
      <c r="K397" s="25">
        <f>537260+400000+963060-400000+400000-400000-537260+80000+60000-437452</f>
        <v>665608</v>
      </c>
      <c r="L397" s="25"/>
      <c r="M397" s="25"/>
      <c r="N397" s="25"/>
      <c r="O397" s="25">
        <f>537260+400000+963060-400000+400000-400000-537260+80000+60000-437452</f>
        <v>665608</v>
      </c>
      <c r="P397" s="25">
        <f t="shared" si="231"/>
        <v>665608</v>
      </c>
      <c r="Q397" s="140"/>
      <c r="R397" s="26"/>
    </row>
    <row r="398" spans="1:18" s="132" customFormat="1" ht="29.65" customHeight="1" x14ac:dyDescent="0.45">
      <c r="A398" s="22" t="s">
        <v>267</v>
      </c>
      <c r="B398" s="23" t="str">
        <f>'дод 7'!A239</f>
        <v>7321</v>
      </c>
      <c r="C398" s="23" t="str">
        <f>'дод 7'!B239</f>
        <v>0443</v>
      </c>
      <c r="D398" s="35" t="str">
        <f>'дод 7'!C239</f>
        <v>Будівництво1 освітніх установ та закладів, у т.ч. за рахунок:</v>
      </c>
      <c r="E398" s="25">
        <f t="shared" si="230"/>
        <v>0</v>
      </c>
      <c r="F398" s="25"/>
      <c r="G398" s="25"/>
      <c r="H398" s="25"/>
      <c r="I398" s="25"/>
      <c r="J398" s="25">
        <f t="shared" si="233"/>
        <v>10662376</v>
      </c>
      <c r="K398" s="25">
        <f>5000000+225574+300000+600000+600000+600000+670000+7276319+29520000-7376319-670000-30220000+250000+1839801+400000+150000+39374+50202+47425+50000+100000+490000+490000+230000</f>
        <v>10662376</v>
      </c>
      <c r="L398" s="25"/>
      <c r="M398" s="25"/>
      <c r="N398" s="25"/>
      <c r="O398" s="25">
        <f>5000000+225574+300000+600000+600000+600000+670000+7276319+29520000-7376319-670000-30220000+250000+1839801+400000+150000+39374+50202+47425+50000+100000+490000+490000+230000</f>
        <v>10662376</v>
      </c>
      <c r="P398" s="25">
        <f t="shared" si="231"/>
        <v>10662376</v>
      </c>
      <c r="Q398" s="140"/>
      <c r="R398" s="26"/>
    </row>
    <row r="399" spans="1:18" s="132" customFormat="1" ht="92.25" x14ac:dyDescent="0.45">
      <c r="A399" s="22"/>
      <c r="B399" s="23"/>
      <c r="C399" s="23"/>
      <c r="D399" s="44" t="s">
        <v>619</v>
      </c>
      <c r="E399" s="30">
        <f t="shared" si="230"/>
        <v>0</v>
      </c>
      <c r="F399" s="30"/>
      <c r="G399" s="30"/>
      <c r="H399" s="30"/>
      <c r="I399" s="30"/>
      <c r="J399" s="30">
        <f t="shared" si="233"/>
        <v>1530000</v>
      </c>
      <c r="K399" s="30">
        <f>400000+150000+490000+490000</f>
        <v>1530000</v>
      </c>
      <c r="L399" s="30"/>
      <c r="M399" s="30"/>
      <c r="N399" s="30"/>
      <c r="O399" s="30">
        <f>400000+150000+490000+490000</f>
        <v>1530000</v>
      </c>
      <c r="P399" s="30">
        <f t="shared" si="231"/>
        <v>1530000</v>
      </c>
      <c r="Q399" s="140"/>
      <c r="R399" s="26"/>
    </row>
    <row r="400" spans="1:18" s="132" customFormat="1" ht="27" customHeight="1" x14ac:dyDescent="0.45">
      <c r="A400" s="22" t="s">
        <v>269</v>
      </c>
      <c r="B400" s="23" t="str">
        <f>'дод 7'!A242</f>
        <v>7322</v>
      </c>
      <c r="C400" s="23" t="str">
        <f>'дод 7'!B242</f>
        <v>0443</v>
      </c>
      <c r="D400" s="35" t="str">
        <f>'дод 7'!C242</f>
        <v>Будівництво1 медичних установ та закладіву т.ч. за рахунок:</v>
      </c>
      <c r="E400" s="25">
        <f t="shared" si="230"/>
        <v>0</v>
      </c>
      <c r="F400" s="25"/>
      <c r="G400" s="25"/>
      <c r="H400" s="25"/>
      <c r="I400" s="25"/>
      <c r="J400" s="25">
        <f t="shared" si="233"/>
        <v>12128569</v>
      </c>
      <c r="K400" s="25">
        <f>8000000+1256612+80000+892000+20000+1000000-20043+900000</f>
        <v>12128569</v>
      </c>
      <c r="L400" s="25"/>
      <c r="M400" s="25"/>
      <c r="N400" s="25"/>
      <c r="O400" s="25">
        <f>8000000+1256612+80000+892000+20000+1000000-20043+900000</f>
        <v>12128569</v>
      </c>
      <c r="P400" s="25">
        <f t="shared" si="231"/>
        <v>12128569</v>
      </c>
      <c r="Q400" s="140"/>
      <c r="R400" s="26"/>
    </row>
    <row r="401" spans="1:17" s="31" customFormat="1" ht="92.25" x14ac:dyDescent="0.45">
      <c r="A401" s="27"/>
      <c r="B401" s="28"/>
      <c r="C401" s="28"/>
      <c r="D401" s="44" t="s">
        <v>619</v>
      </c>
      <c r="E401" s="30">
        <f t="shared" si="230"/>
        <v>0</v>
      </c>
      <c r="F401" s="30"/>
      <c r="G401" s="30"/>
      <c r="H401" s="30"/>
      <c r="I401" s="30"/>
      <c r="J401" s="30">
        <f t="shared" si="233"/>
        <v>469595</v>
      </c>
      <c r="K401" s="30">
        <v>469595</v>
      </c>
      <c r="L401" s="30"/>
      <c r="M401" s="30"/>
      <c r="N401" s="30"/>
      <c r="O401" s="30">
        <v>469595</v>
      </c>
      <c r="P401" s="30">
        <f t="shared" si="231"/>
        <v>469595</v>
      </c>
      <c r="Q401" s="140"/>
    </row>
    <row r="402" spans="1:17" s="26" customFormat="1" ht="26.25" hidden="1" customHeight="1" x14ac:dyDescent="0.45">
      <c r="A402" s="22" t="s">
        <v>506</v>
      </c>
      <c r="B402" s="23">
        <v>7324</v>
      </c>
      <c r="C402" s="23">
        <v>443</v>
      </c>
      <c r="D402" s="35" t="str">
        <f>'дод 7'!C245</f>
        <v>Будівництво1 установ та закладів культури</v>
      </c>
      <c r="E402" s="25">
        <f t="shared" si="230"/>
        <v>0</v>
      </c>
      <c r="F402" s="25"/>
      <c r="G402" s="25"/>
      <c r="H402" s="25"/>
      <c r="I402" s="25"/>
      <c r="J402" s="25">
        <f t="shared" si="233"/>
        <v>0</v>
      </c>
      <c r="K402" s="25"/>
      <c r="L402" s="25"/>
      <c r="M402" s="25"/>
      <c r="N402" s="25"/>
      <c r="O402" s="25"/>
      <c r="P402" s="25">
        <f t="shared" si="231"/>
        <v>0</v>
      </c>
      <c r="Q402" s="140"/>
    </row>
    <row r="403" spans="1:17" s="26" customFormat="1" ht="32.25" customHeight="1" x14ac:dyDescent="0.45">
      <c r="A403" s="22" t="s">
        <v>345</v>
      </c>
      <c r="B403" s="23">
        <f>'дод 7'!A246</f>
        <v>7325</v>
      </c>
      <c r="C403" s="22" t="s">
        <v>107</v>
      </c>
      <c r="D403" s="35" t="str">
        <f>'дод 7'!C246</f>
        <v>Будівництво1 споруд, установ та закладів фізичної культури і спорту</v>
      </c>
      <c r="E403" s="25">
        <f t="shared" si="230"/>
        <v>0</v>
      </c>
      <c r="F403" s="25"/>
      <c r="G403" s="25"/>
      <c r="H403" s="25"/>
      <c r="I403" s="25"/>
      <c r="J403" s="25">
        <f t="shared" si="233"/>
        <v>250000</v>
      </c>
      <c r="K403" s="25">
        <v>250000</v>
      </c>
      <c r="L403" s="25"/>
      <c r="M403" s="25"/>
      <c r="N403" s="25"/>
      <c r="O403" s="25">
        <v>250000</v>
      </c>
      <c r="P403" s="25">
        <f t="shared" si="231"/>
        <v>250000</v>
      </c>
      <c r="Q403" s="140"/>
    </row>
    <row r="404" spans="1:17" s="26" customFormat="1" ht="32.25" customHeight="1" x14ac:dyDescent="0.45">
      <c r="A404" s="22" t="s">
        <v>271</v>
      </c>
      <c r="B404" s="23" t="str">
        <f>'дод 7'!A247</f>
        <v>7330</v>
      </c>
      <c r="C404" s="23" t="str">
        <f>'дод 7'!B247</f>
        <v>0443</v>
      </c>
      <c r="D404" s="35" t="str">
        <f>'дод 7'!C247</f>
        <v>Будівництво1 інших об'єктів комунальної власності, у т.ч. за рахунок:</v>
      </c>
      <c r="E404" s="25">
        <f t="shared" si="230"/>
        <v>0</v>
      </c>
      <c r="F404" s="25"/>
      <c r="G404" s="25"/>
      <c r="H404" s="25"/>
      <c r="I404" s="25"/>
      <c r="J404" s="25">
        <f t="shared" si="233"/>
        <v>5718701</v>
      </c>
      <c r="K404" s="25">
        <f>500000+135270+743890+1600000+300000+1000000-500000+250000-1000000+4900000+50000-150000-505063-980000-579568-146233-469595+270000+300000</f>
        <v>5718701</v>
      </c>
      <c r="L404" s="25"/>
      <c r="M404" s="25"/>
      <c r="N404" s="25"/>
      <c r="O404" s="25">
        <f>500000+135270+743890+1600000+300000+1000000-500000+250000-1000000+4900000+50000-150000-505063-980000-579568-146233-469595+270000+300000</f>
        <v>5718701</v>
      </c>
      <c r="P404" s="25">
        <f t="shared" si="231"/>
        <v>5718701</v>
      </c>
      <c r="Q404" s="140"/>
    </row>
    <row r="405" spans="1:17" s="31" customFormat="1" ht="99" customHeight="1" x14ac:dyDescent="0.45">
      <c r="A405" s="27"/>
      <c r="B405" s="28"/>
      <c r="C405" s="28"/>
      <c r="D405" s="44" t="s">
        <v>619</v>
      </c>
      <c r="E405" s="30">
        <f t="shared" ref="E405" si="234">F405+I405</f>
        <v>0</v>
      </c>
      <c r="F405" s="30"/>
      <c r="G405" s="30"/>
      <c r="H405" s="30"/>
      <c r="I405" s="30"/>
      <c r="J405" s="30">
        <f t="shared" ref="J405" si="235">L405+O405</f>
        <v>3600405</v>
      </c>
      <c r="K405" s="30">
        <f>250000+4900000+50000-150000-980000-469595</f>
        <v>3600405</v>
      </c>
      <c r="L405" s="30"/>
      <c r="M405" s="30"/>
      <c r="N405" s="30"/>
      <c r="O405" s="30">
        <f>250000+4900000+50000-150000-980000-469595</f>
        <v>3600405</v>
      </c>
      <c r="P405" s="30">
        <f t="shared" ref="P405" si="236">E405+J405</f>
        <v>3600405</v>
      </c>
      <c r="Q405" s="140"/>
    </row>
    <row r="406" spans="1:17" s="26" customFormat="1" ht="28.5" customHeight="1" x14ac:dyDescent="0.45">
      <c r="A406" s="22" t="s">
        <v>404</v>
      </c>
      <c r="B406" s="23">
        <v>7340</v>
      </c>
      <c r="C406" s="22" t="s">
        <v>107</v>
      </c>
      <c r="D406" s="24" t="s">
        <v>1</v>
      </c>
      <c r="E406" s="25">
        <f t="shared" si="230"/>
        <v>0</v>
      </c>
      <c r="F406" s="25"/>
      <c r="G406" s="25"/>
      <c r="H406" s="25"/>
      <c r="I406" s="25"/>
      <c r="J406" s="25">
        <f t="shared" si="233"/>
        <v>6093559</v>
      </c>
      <c r="K406" s="25">
        <f>450000+7357879-1200000-1714-60000-50000-402606</f>
        <v>6093559</v>
      </c>
      <c r="L406" s="25"/>
      <c r="M406" s="25"/>
      <c r="N406" s="25"/>
      <c r="O406" s="25">
        <f>450000+7357879-1200000-1714-60000-50000-402606</f>
        <v>6093559</v>
      </c>
      <c r="P406" s="25">
        <f t="shared" si="231"/>
        <v>6093559</v>
      </c>
      <c r="Q406" s="140"/>
    </row>
    <row r="407" spans="1:17" s="26" customFormat="1" ht="53.25" customHeight="1" x14ac:dyDescent="0.45">
      <c r="A407" s="22" t="s">
        <v>357</v>
      </c>
      <c r="B407" s="23">
        <f>'дод 7'!A251</f>
        <v>7361</v>
      </c>
      <c r="C407" s="23" t="str">
        <f>'дод 7'!B251</f>
        <v>0490</v>
      </c>
      <c r="D407" s="24" t="str">
        <f>'дод 7'!C251</f>
        <v>Співфінансування інвестиційних проектів, що реалізуються за рахунок коштів державного фонду регіонального розвитку</v>
      </c>
      <c r="E407" s="25">
        <f t="shared" ref="E407" si="237">F407+I407</f>
        <v>0</v>
      </c>
      <c r="F407" s="25"/>
      <c r="G407" s="25"/>
      <c r="H407" s="25"/>
      <c r="I407" s="25"/>
      <c r="J407" s="25">
        <f t="shared" ref="J407" si="238">L407+O407</f>
        <v>68209</v>
      </c>
      <c r="K407" s="25">
        <f>120000-51791</f>
        <v>68209</v>
      </c>
      <c r="L407" s="25"/>
      <c r="M407" s="25"/>
      <c r="N407" s="25"/>
      <c r="O407" s="25">
        <f>120000-51791</f>
        <v>68209</v>
      </c>
      <c r="P407" s="25">
        <f t="shared" si="231"/>
        <v>68209</v>
      </c>
      <c r="Q407" s="140"/>
    </row>
    <row r="408" spans="1:17" s="26" customFormat="1" ht="47.25" hidden="1" customHeight="1" x14ac:dyDescent="0.45">
      <c r="A408" s="22" t="s">
        <v>352</v>
      </c>
      <c r="B408" s="23">
        <v>7363</v>
      </c>
      <c r="C408" s="22" t="s">
        <v>78</v>
      </c>
      <c r="D408" s="24" t="s">
        <v>578</v>
      </c>
      <c r="E408" s="25">
        <f t="shared" si="230"/>
        <v>0</v>
      </c>
      <c r="F408" s="25"/>
      <c r="G408" s="25"/>
      <c r="H408" s="25"/>
      <c r="I408" s="25"/>
      <c r="J408" s="25">
        <f t="shared" si="233"/>
        <v>0</v>
      </c>
      <c r="K408" s="25"/>
      <c r="L408" s="25"/>
      <c r="M408" s="25"/>
      <c r="N408" s="25"/>
      <c r="O408" s="25"/>
      <c r="P408" s="25">
        <f t="shared" si="231"/>
        <v>0</v>
      </c>
      <c r="Q408" s="140"/>
    </row>
    <row r="409" spans="1:17" s="31" customFormat="1" ht="63" hidden="1" customHeight="1" x14ac:dyDescent="0.45">
      <c r="A409" s="27"/>
      <c r="B409" s="28"/>
      <c r="C409" s="27"/>
      <c r="D409" s="29" t="s">
        <v>574</v>
      </c>
      <c r="E409" s="30">
        <f t="shared" si="230"/>
        <v>0</v>
      </c>
      <c r="F409" s="30"/>
      <c r="G409" s="30"/>
      <c r="H409" s="30"/>
      <c r="I409" s="30"/>
      <c r="J409" s="30">
        <f t="shared" ref="J409" si="239">L409+O409</f>
        <v>0</v>
      </c>
      <c r="K409" s="30"/>
      <c r="L409" s="30"/>
      <c r="M409" s="30"/>
      <c r="N409" s="30"/>
      <c r="O409" s="30"/>
      <c r="P409" s="30">
        <f t="shared" ref="P409" si="240">E409+J409</f>
        <v>0</v>
      </c>
      <c r="Q409" s="140"/>
    </row>
    <row r="410" spans="1:17" s="26" customFormat="1" ht="31.5" hidden="1" customHeight="1" x14ac:dyDescent="0.45">
      <c r="A410" s="22" t="s">
        <v>406</v>
      </c>
      <c r="B410" s="23">
        <v>7370</v>
      </c>
      <c r="C410" s="22" t="s">
        <v>78</v>
      </c>
      <c r="D410" s="24" t="s">
        <v>407</v>
      </c>
      <c r="E410" s="25">
        <f>F410+I410</f>
        <v>0</v>
      </c>
      <c r="F410" s="25"/>
      <c r="G410" s="25"/>
      <c r="H410" s="25"/>
      <c r="I410" s="25"/>
      <c r="J410" s="25">
        <f t="shared" si="233"/>
        <v>0</v>
      </c>
      <c r="K410" s="25"/>
      <c r="L410" s="25"/>
      <c r="M410" s="25"/>
      <c r="N410" s="25"/>
      <c r="O410" s="25"/>
      <c r="P410" s="25">
        <f t="shared" si="231"/>
        <v>0</v>
      </c>
      <c r="Q410" s="140"/>
    </row>
    <row r="411" spans="1:17" s="26" customFormat="1" ht="21" customHeight="1" x14ac:dyDescent="0.45">
      <c r="A411" s="22" t="s">
        <v>139</v>
      </c>
      <c r="B411" s="23" t="str">
        <f>'дод 7'!A285</f>
        <v>7640</v>
      </c>
      <c r="C411" s="23" t="str">
        <f>'дод 7'!B285</f>
        <v>0470</v>
      </c>
      <c r="D411" s="24" t="str">
        <f>'дод 7'!C285</f>
        <v>Заходи з енергозбереження, у т. ч. за рахунок:</v>
      </c>
      <c r="E411" s="25">
        <f t="shared" si="230"/>
        <v>685324</v>
      </c>
      <c r="F411" s="25">
        <f>985324-300000</f>
        <v>685324</v>
      </c>
      <c r="G411" s="25"/>
      <c r="H411" s="25"/>
      <c r="I411" s="25"/>
      <c r="J411" s="25">
        <f t="shared" si="233"/>
        <v>126374013</v>
      </c>
      <c r="K411" s="25">
        <f>92681686+42207900+241882+135285+1607260+500000-11000000</f>
        <v>126374013</v>
      </c>
      <c r="L411" s="25"/>
      <c r="M411" s="25"/>
      <c r="N411" s="25"/>
      <c r="O411" s="25">
        <f>92681686+42207900+241882+135285+1607260+500000-11000000</f>
        <v>126374013</v>
      </c>
      <c r="P411" s="25">
        <f t="shared" si="231"/>
        <v>127059337</v>
      </c>
      <c r="Q411" s="140"/>
    </row>
    <row r="412" spans="1:17" s="31" customFormat="1" ht="17.25" customHeight="1" x14ac:dyDescent="0.45">
      <c r="A412" s="27"/>
      <c r="B412" s="28"/>
      <c r="C412" s="28"/>
      <c r="D412" s="29" t="s">
        <v>399</v>
      </c>
      <c r="E412" s="30">
        <f t="shared" si="230"/>
        <v>0</v>
      </c>
      <c r="F412" s="30"/>
      <c r="G412" s="30"/>
      <c r="H412" s="30"/>
      <c r="I412" s="30"/>
      <c r="J412" s="30">
        <f t="shared" si="233"/>
        <v>61868709</v>
      </c>
      <c r="K412" s="30">
        <v>61868709</v>
      </c>
      <c r="L412" s="30"/>
      <c r="M412" s="30"/>
      <c r="N412" s="30"/>
      <c r="O412" s="30">
        <v>61868709</v>
      </c>
      <c r="P412" s="30">
        <f t="shared" si="231"/>
        <v>61868709</v>
      </c>
      <c r="Q412" s="140"/>
    </row>
    <row r="413" spans="1:17" s="31" customFormat="1" ht="55.5" customHeight="1" x14ac:dyDescent="0.45">
      <c r="A413" s="27"/>
      <c r="B413" s="28"/>
      <c r="C413" s="28"/>
      <c r="D413" s="29" t="s">
        <v>671</v>
      </c>
      <c r="E413" s="30"/>
      <c r="F413" s="30"/>
      <c r="G413" s="30"/>
      <c r="H413" s="30"/>
      <c r="I413" s="30"/>
      <c r="J413" s="30">
        <f t="shared" si="233"/>
        <v>42207900</v>
      </c>
      <c r="K413" s="30">
        <v>42207900</v>
      </c>
      <c r="L413" s="30"/>
      <c r="M413" s="30"/>
      <c r="N413" s="30"/>
      <c r="O413" s="30">
        <v>42207900</v>
      </c>
      <c r="P413" s="30">
        <f t="shared" si="231"/>
        <v>42207900</v>
      </c>
      <c r="Q413" s="140"/>
    </row>
    <row r="414" spans="1:17" s="26" customFormat="1" ht="126" hidden="1" customHeight="1" x14ac:dyDescent="0.45">
      <c r="A414" s="22" t="s">
        <v>355</v>
      </c>
      <c r="B414" s="23">
        <v>7691</v>
      </c>
      <c r="C414" s="45" t="s">
        <v>78</v>
      </c>
      <c r="D414" s="24" t="s">
        <v>301</v>
      </c>
      <c r="E414" s="25">
        <f t="shared" si="230"/>
        <v>0</v>
      </c>
      <c r="F414" s="25"/>
      <c r="G414" s="25"/>
      <c r="H414" s="25"/>
      <c r="I414" s="25"/>
      <c r="J414" s="25">
        <f t="shared" si="233"/>
        <v>0</v>
      </c>
      <c r="K414" s="25"/>
      <c r="L414" s="25"/>
      <c r="M414" s="25"/>
      <c r="N414" s="25"/>
      <c r="O414" s="25"/>
      <c r="P414" s="25">
        <f t="shared" si="231"/>
        <v>0</v>
      </c>
      <c r="Q414" s="140"/>
    </row>
    <row r="415" spans="1:17" s="26" customFormat="1" ht="31.5" hidden="1" customHeight="1" x14ac:dyDescent="0.45">
      <c r="A415" s="22" t="s">
        <v>480</v>
      </c>
      <c r="B415" s="23">
        <v>9750</v>
      </c>
      <c r="C415" s="22" t="s">
        <v>43</v>
      </c>
      <c r="D415" s="24" t="s">
        <v>481</v>
      </c>
      <c r="E415" s="25">
        <f t="shared" ref="E415" si="241">F415+I415</f>
        <v>0</v>
      </c>
      <c r="F415" s="25"/>
      <c r="G415" s="25"/>
      <c r="H415" s="25"/>
      <c r="I415" s="25"/>
      <c r="J415" s="25">
        <f t="shared" ref="J415" si="242">L415+O415</f>
        <v>0</v>
      </c>
      <c r="K415" s="25"/>
      <c r="L415" s="25"/>
      <c r="M415" s="25"/>
      <c r="N415" s="25"/>
      <c r="O415" s="25"/>
      <c r="P415" s="25">
        <f t="shared" ref="P415" si="243">E415+J415</f>
        <v>0</v>
      </c>
      <c r="Q415" s="140"/>
    </row>
    <row r="416" spans="1:17" s="16" customFormat="1" ht="33.75" hidden="1" customHeight="1" x14ac:dyDescent="0.4">
      <c r="A416" s="37" t="s">
        <v>199</v>
      </c>
      <c r="B416" s="38"/>
      <c r="C416" s="38"/>
      <c r="D416" s="39" t="s">
        <v>39</v>
      </c>
      <c r="E416" s="15">
        <f>E417</f>
        <v>0</v>
      </c>
      <c r="F416" s="15">
        <f t="shared" ref="F416:J416" si="244">F417</f>
        <v>0</v>
      </c>
      <c r="G416" s="15">
        <f t="shared" si="244"/>
        <v>0</v>
      </c>
      <c r="H416" s="15">
        <f t="shared" si="244"/>
        <v>0</v>
      </c>
      <c r="I416" s="15">
        <f t="shared" si="244"/>
        <v>0</v>
      </c>
      <c r="J416" s="15">
        <f t="shared" si="244"/>
        <v>0</v>
      </c>
      <c r="K416" s="15">
        <f t="shared" ref="K416" si="245">K417</f>
        <v>0</v>
      </c>
      <c r="L416" s="15">
        <f t="shared" ref="L416" si="246">L417</f>
        <v>0</v>
      </c>
      <c r="M416" s="15">
        <f t="shared" ref="M416" si="247">M417</f>
        <v>0</v>
      </c>
      <c r="N416" s="15">
        <f t="shared" ref="N416" si="248">N417</f>
        <v>0</v>
      </c>
      <c r="O416" s="15">
        <f t="shared" ref="O416:P416" si="249">O417</f>
        <v>0</v>
      </c>
      <c r="P416" s="15">
        <f t="shared" si="249"/>
        <v>0</v>
      </c>
      <c r="Q416" s="140"/>
    </row>
    <row r="417" spans="1:18" s="21" customFormat="1" ht="35.25" hidden="1" customHeight="1" x14ac:dyDescent="0.4">
      <c r="A417" s="17" t="s">
        <v>200</v>
      </c>
      <c r="B417" s="40"/>
      <c r="C417" s="40"/>
      <c r="D417" s="19" t="s">
        <v>39</v>
      </c>
      <c r="E417" s="20">
        <f>E418+E419+E421+E422+E423+E420</f>
        <v>0</v>
      </c>
      <c r="F417" s="20">
        <f t="shared" ref="F417:P417" si="250">F418+F419+F421+F422+F423+F420</f>
        <v>0</v>
      </c>
      <c r="G417" s="20">
        <f t="shared" si="250"/>
        <v>0</v>
      </c>
      <c r="H417" s="20">
        <f t="shared" si="250"/>
        <v>0</v>
      </c>
      <c r="I417" s="20">
        <f t="shared" si="250"/>
        <v>0</v>
      </c>
      <c r="J417" s="20">
        <f t="shared" si="250"/>
        <v>0</v>
      </c>
      <c r="K417" s="20">
        <f t="shared" si="250"/>
        <v>0</v>
      </c>
      <c r="L417" s="20">
        <f t="shared" si="250"/>
        <v>0</v>
      </c>
      <c r="M417" s="20">
        <f t="shared" si="250"/>
        <v>0</v>
      </c>
      <c r="N417" s="20">
        <f t="shared" si="250"/>
        <v>0</v>
      </c>
      <c r="O417" s="20">
        <f t="shared" si="250"/>
        <v>0</v>
      </c>
      <c r="P417" s="20">
        <f t="shared" si="250"/>
        <v>0</v>
      </c>
      <c r="Q417" s="140"/>
    </row>
    <row r="418" spans="1:18" s="26" customFormat="1" ht="46.15" hidden="1" customHeight="1" x14ac:dyDescent="0.45">
      <c r="A418" s="22" t="s">
        <v>201</v>
      </c>
      <c r="B418" s="23" t="str">
        <f>'дод 7'!A16</f>
        <v>0160</v>
      </c>
      <c r="C418" s="23" t="str">
        <f>'дод 7'!B16</f>
        <v>0111</v>
      </c>
      <c r="D418" s="24" t="str">
        <f>'дод 7'!C16</f>
        <v>Керівництво і управління у відповідній сфері у містах (місті Києві), селищах, селах, територіальних громадах, у т.ч. за рахунок:</v>
      </c>
      <c r="E418" s="25">
        <f t="shared" ref="E418:E423" si="251">F418+I418</f>
        <v>0</v>
      </c>
      <c r="F418" s="25"/>
      <c r="G418" s="25"/>
      <c r="H418" s="25"/>
      <c r="I418" s="25"/>
      <c r="J418" s="25">
        <f t="shared" si="233"/>
        <v>0</v>
      </c>
      <c r="K418" s="25"/>
      <c r="L418" s="25"/>
      <c r="M418" s="25"/>
      <c r="N418" s="25"/>
      <c r="O418" s="25"/>
      <c r="P418" s="25">
        <f t="shared" ref="P418:P423" si="252">E418+J418</f>
        <v>0</v>
      </c>
      <c r="Q418" s="140"/>
    </row>
    <row r="419" spans="1:18" s="26" customFormat="1" ht="30.75" hidden="1" customHeight="1" x14ac:dyDescent="0.45">
      <c r="A419" s="22" t="s">
        <v>298</v>
      </c>
      <c r="B419" s="23" t="str">
        <f>'дод 7'!A217</f>
        <v>6090</v>
      </c>
      <c r="C419" s="23" t="str">
        <f>'дод 7'!B217</f>
        <v>0640</v>
      </c>
      <c r="D419" s="24" t="str">
        <f>'дод 7'!C217</f>
        <v>Інша діяльність у сфері житлово-комунального господарства</v>
      </c>
      <c r="E419" s="25">
        <f t="shared" si="251"/>
        <v>0</v>
      </c>
      <c r="F419" s="25"/>
      <c r="G419" s="25"/>
      <c r="H419" s="25"/>
      <c r="I419" s="25"/>
      <c r="J419" s="25">
        <f t="shared" si="233"/>
        <v>0</v>
      </c>
      <c r="K419" s="25"/>
      <c r="L419" s="25"/>
      <c r="M419" s="25"/>
      <c r="N419" s="25"/>
      <c r="O419" s="25"/>
      <c r="P419" s="25">
        <f t="shared" si="252"/>
        <v>0</v>
      </c>
      <c r="Q419" s="140"/>
    </row>
    <row r="420" spans="1:18" s="26" customFormat="1" ht="31.5" hidden="1" customHeight="1" x14ac:dyDescent="0.45">
      <c r="A420" s="22" t="s">
        <v>539</v>
      </c>
      <c r="B420" s="23">
        <v>7340</v>
      </c>
      <c r="C420" s="22" t="s">
        <v>107</v>
      </c>
      <c r="D420" s="24" t="str">
        <f>'дод 7'!C249</f>
        <v>Проектування, реставрація та охорона пам'яток архітектури</v>
      </c>
      <c r="E420" s="25">
        <f t="shared" si="251"/>
        <v>0</v>
      </c>
      <c r="F420" s="25"/>
      <c r="G420" s="25"/>
      <c r="H420" s="25"/>
      <c r="I420" s="25"/>
      <c r="J420" s="25">
        <f t="shared" si="233"/>
        <v>0</v>
      </c>
      <c r="K420" s="25"/>
      <c r="L420" s="25"/>
      <c r="M420" s="25"/>
      <c r="N420" s="25"/>
      <c r="O420" s="25"/>
      <c r="P420" s="25">
        <f t="shared" si="252"/>
        <v>0</v>
      </c>
      <c r="Q420" s="140"/>
    </row>
    <row r="421" spans="1:18" s="26" customFormat="1" ht="31.5" hidden="1" customHeight="1" x14ac:dyDescent="0.45">
      <c r="A421" s="22" t="s">
        <v>428</v>
      </c>
      <c r="B421" s="22" t="s">
        <v>429</v>
      </c>
      <c r="C421" s="22" t="s">
        <v>107</v>
      </c>
      <c r="D421" s="24" t="s">
        <v>430</v>
      </c>
      <c r="E421" s="25">
        <f t="shared" si="251"/>
        <v>0</v>
      </c>
      <c r="F421" s="25"/>
      <c r="G421" s="25"/>
      <c r="H421" s="25"/>
      <c r="I421" s="25"/>
      <c r="J421" s="25">
        <f t="shared" si="233"/>
        <v>0</v>
      </c>
      <c r="K421" s="25">
        <f>900000-900000</f>
        <v>0</v>
      </c>
      <c r="L421" s="25"/>
      <c r="M421" s="25"/>
      <c r="N421" s="25"/>
      <c r="O421" s="25">
        <f>900000-900000</f>
        <v>0</v>
      </c>
      <c r="P421" s="25">
        <f t="shared" si="252"/>
        <v>0</v>
      </c>
      <c r="Q421" s="140"/>
    </row>
    <row r="422" spans="1:18" s="26" customFormat="1" ht="31.5" hidden="1" customHeight="1" x14ac:dyDescent="0.45">
      <c r="A422" s="22" t="s">
        <v>499</v>
      </c>
      <c r="B422" s="22" t="s">
        <v>500</v>
      </c>
      <c r="C422" s="22" t="s">
        <v>78</v>
      </c>
      <c r="D422" s="24" t="str">
        <f>'дод 7'!C257</f>
        <v>Реалізація інших заходів щодо соціально-економічного розвитку територій</v>
      </c>
      <c r="E422" s="25">
        <f t="shared" si="251"/>
        <v>0</v>
      </c>
      <c r="F422" s="25"/>
      <c r="G422" s="25"/>
      <c r="H422" s="25"/>
      <c r="I422" s="25"/>
      <c r="J422" s="25">
        <f t="shared" ref="J422" si="253">L422+O422</f>
        <v>0</v>
      </c>
      <c r="K422" s="25"/>
      <c r="L422" s="25"/>
      <c r="M422" s="25"/>
      <c r="N422" s="25"/>
      <c r="O422" s="25"/>
      <c r="P422" s="25">
        <f t="shared" si="252"/>
        <v>0</v>
      </c>
      <c r="Q422" s="140"/>
    </row>
    <row r="423" spans="1:18" s="26" customFormat="1" ht="123" hidden="1" customHeight="1" x14ac:dyDescent="0.45">
      <c r="A423" s="22" t="s">
        <v>286</v>
      </c>
      <c r="B423" s="23" t="str">
        <f>'дод 7'!A295</f>
        <v>7691</v>
      </c>
      <c r="C423" s="23" t="str">
        <f>'дод 7'!B295</f>
        <v>0490</v>
      </c>
      <c r="D423" s="24" t="str">
        <f>'дод 7'!C295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423" s="25">
        <f t="shared" si="251"/>
        <v>0</v>
      </c>
      <c r="F423" s="25"/>
      <c r="G423" s="25"/>
      <c r="H423" s="25"/>
      <c r="I423" s="25"/>
      <c r="J423" s="25">
        <f t="shared" si="233"/>
        <v>0</v>
      </c>
      <c r="K423" s="25"/>
      <c r="L423" s="25"/>
      <c r="M423" s="25"/>
      <c r="N423" s="25"/>
      <c r="O423" s="25"/>
      <c r="P423" s="25">
        <f t="shared" si="252"/>
        <v>0</v>
      </c>
      <c r="Q423" s="140"/>
    </row>
    <row r="424" spans="1:18" s="16" customFormat="1" ht="38.25" customHeight="1" x14ac:dyDescent="0.4">
      <c r="A424" s="37" t="s">
        <v>204</v>
      </c>
      <c r="B424" s="38"/>
      <c r="C424" s="38"/>
      <c r="D424" s="39" t="s">
        <v>41</v>
      </c>
      <c r="E424" s="15">
        <f>E425</f>
        <v>5495700</v>
      </c>
      <c r="F424" s="15">
        <f t="shared" ref="F424:J425" si="254">F425</f>
        <v>5495700</v>
      </c>
      <c r="G424" s="15">
        <f t="shared" si="254"/>
        <v>4200000</v>
      </c>
      <c r="H424" s="15">
        <f t="shared" si="254"/>
        <v>106750</v>
      </c>
      <c r="I424" s="15">
        <f t="shared" si="254"/>
        <v>0</v>
      </c>
      <c r="J424" s="15">
        <f t="shared" si="254"/>
        <v>0</v>
      </c>
      <c r="K424" s="15">
        <f t="shared" ref="K424:K425" si="255">K425</f>
        <v>0</v>
      </c>
      <c r="L424" s="15">
        <f t="shared" ref="L424:L425" si="256">L425</f>
        <v>0</v>
      </c>
      <c r="M424" s="15">
        <f t="shared" ref="M424:M425" si="257">M425</f>
        <v>0</v>
      </c>
      <c r="N424" s="15">
        <f t="shared" ref="N424:N425" si="258">N425</f>
        <v>0</v>
      </c>
      <c r="O424" s="15">
        <f t="shared" ref="O424:P425" si="259">O425</f>
        <v>0</v>
      </c>
      <c r="P424" s="15">
        <f t="shared" si="259"/>
        <v>5495700</v>
      </c>
      <c r="Q424" s="140"/>
    </row>
    <row r="425" spans="1:18" s="21" customFormat="1" ht="35.25" customHeight="1" x14ac:dyDescent="0.4">
      <c r="A425" s="17" t="s">
        <v>202</v>
      </c>
      <c r="B425" s="40"/>
      <c r="C425" s="40"/>
      <c r="D425" s="19" t="s">
        <v>41</v>
      </c>
      <c r="E425" s="20">
        <f>E426</f>
        <v>5495700</v>
      </c>
      <c r="F425" s="20">
        <f t="shared" si="254"/>
        <v>5495700</v>
      </c>
      <c r="G425" s="20">
        <f t="shared" si="254"/>
        <v>4200000</v>
      </c>
      <c r="H425" s="20">
        <f t="shared" si="254"/>
        <v>106750</v>
      </c>
      <c r="I425" s="20">
        <f t="shared" si="254"/>
        <v>0</v>
      </c>
      <c r="J425" s="20">
        <f t="shared" si="254"/>
        <v>0</v>
      </c>
      <c r="K425" s="20">
        <f t="shared" si="255"/>
        <v>0</v>
      </c>
      <c r="L425" s="20">
        <f t="shared" si="256"/>
        <v>0</v>
      </c>
      <c r="M425" s="20">
        <f t="shared" si="257"/>
        <v>0</v>
      </c>
      <c r="N425" s="20">
        <f t="shared" si="258"/>
        <v>0</v>
      </c>
      <c r="O425" s="20">
        <f t="shared" si="259"/>
        <v>0</v>
      </c>
      <c r="P425" s="20">
        <f t="shared" si="259"/>
        <v>5495700</v>
      </c>
      <c r="Q425" s="140"/>
    </row>
    <row r="426" spans="1:18" s="108" customFormat="1" ht="49.5" customHeight="1" x14ac:dyDescent="0.45">
      <c r="A426" s="22" t="s">
        <v>203</v>
      </c>
      <c r="B426" s="23" t="str">
        <f>'дод 7'!A16</f>
        <v>0160</v>
      </c>
      <c r="C426" s="23" t="str">
        <f>'дод 7'!B16</f>
        <v>0111</v>
      </c>
      <c r="D426" s="24" t="s">
        <v>714</v>
      </c>
      <c r="E426" s="25">
        <f>F426+I426</f>
        <v>5495700</v>
      </c>
      <c r="F426" s="25">
        <f>5078400+417300</f>
        <v>5495700</v>
      </c>
      <c r="G426" s="25">
        <f>3857700+342300</f>
        <v>4200000</v>
      </c>
      <c r="H426" s="25">
        <f>106200+550</f>
        <v>106750</v>
      </c>
      <c r="I426" s="25"/>
      <c r="J426" s="25">
        <f>L426+O426</f>
        <v>0</v>
      </c>
      <c r="K426" s="25"/>
      <c r="L426" s="25"/>
      <c r="M426" s="25"/>
      <c r="N426" s="25"/>
      <c r="O426" s="25"/>
      <c r="P426" s="25">
        <f>E426+J426</f>
        <v>5495700</v>
      </c>
      <c r="Q426" s="140"/>
      <c r="R426" s="26"/>
    </row>
    <row r="427" spans="1:18" s="16" customFormat="1" ht="33" customHeight="1" x14ac:dyDescent="0.4">
      <c r="A427" s="37" t="s">
        <v>609</v>
      </c>
      <c r="B427" s="38"/>
      <c r="C427" s="38"/>
      <c r="D427" s="39" t="s">
        <v>579</v>
      </c>
      <c r="E427" s="15">
        <f>E428</f>
        <v>16045230</v>
      </c>
      <c r="F427" s="15">
        <f t="shared" ref="F427:P427" si="260">F428</f>
        <v>15565230</v>
      </c>
      <c r="G427" s="15">
        <f t="shared" si="260"/>
        <v>12152700</v>
      </c>
      <c r="H427" s="15">
        <f t="shared" si="260"/>
        <v>343500</v>
      </c>
      <c r="I427" s="15">
        <f t="shared" si="260"/>
        <v>480000</v>
      </c>
      <c r="J427" s="15">
        <f t="shared" si="260"/>
        <v>0</v>
      </c>
      <c r="K427" s="15">
        <f t="shared" si="260"/>
        <v>0</v>
      </c>
      <c r="L427" s="15">
        <f t="shared" si="260"/>
        <v>0</v>
      </c>
      <c r="M427" s="15">
        <f t="shared" si="260"/>
        <v>0</v>
      </c>
      <c r="N427" s="15">
        <f t="shared" si="260"/>
        <v>0</v>
      </c>
      <c r="O427" s="15">
        <f t="shared" si="260"/>
        <v>0</v>
      </c>
      <c r="P427" s="15">
        <f t="shared" si="260"/>
        <v>16045230</v>
      </c>
      <c r="Q427" s="140"/>
    </row>
    <row r="428" spans="1:18" s="21" customFormat="1" ht="30.75" customHeight="1" x14ac:dyDescent="0.4">
      <c r="A428" s="17" t="s">
        <v>611</v>
      </c>
      <c r="B428" s="40"/>
      <c r="C428" s="40"/>
      <c r="D428" s="19" t="s">
        <v>579</v>
      </c>
      <c r="E428" s="20">
        <f>E429+E430</f>
        <v>16045230</v>
      </c>
      <c r="F428" s="20">
        <f t="shared" ref="F428:P428" si="261">F429+F430</f>
        <v>15565230</v>
      </c>
      <c r="G428" s="20">
        <f t="shared" si="261"/>
        <v>12152700</v>
      </c>
      <c r="H428" s="20">
        <f t="shared" si="261"/>
        <v>343500</v>
      </c>
      <c r="I428" s="20">
        <f t="shared" si="261"/>
        <v>480000</v>
      </c>
      <c r="J428" s="20">
        <f t="shared" si="261"/>
        <v>0</v>
      </c>
      <c r="K428" s="20">
        <f t="shared" si="261"/>
        <v>0</v>
      </c>
      <c r="L428" s="20">
        <f t="shared" si="261"/>
        <v>0</v>
      </c>
      <c r="M428" s="20">
        <f t="shared" si="261"/>
        <v>0</v>
      </c>
      <c r="N428" s="20">
        <f t="shared" si="261"/>
        <v>0</v>
      </c>
      <c r="O428" s="20">
        <f t="shared" si="261"/>
        <v>0</v>
      </c>
      <c r="P428" s="20">
        <f t="shared" si="261"/>
        <v>16045230</v>
      </c>
      <c r="Q428" s="140"/>
    </row>
    <row r="429" spans="1:18" s="108" customFormat="1" ht="30.75" x14ac:dyDescent="0.45">
      <c r="A429" s="22" t="s">
        <v>610</v>
      </c>
      <c r="B429" s="23" t="str">
        <f>'дод 7'!A16</f>
        <v>0160</v>
      </c>
      <c r="C429" s="23" t="str">
        <f>'дод 7'!B16</f>
        <v>0111</v>
      </c>
      <c r="D429" s="24" t="s">
        <v>714</v>
      </c>
      <c r="E429" s="25">
        <f>F429+I429</f>
        <v>15525230</v>
      </c>
      <c r="F429" s="25">
        <f>13404100+965200+1227300-71370</f>
        <v>15525230</v>
      </c>
      <c r="G429" s="25">
        <f>10491700+791200+1006800-58500-78500</f>
        <v>12152700</v>
      </c>
      <c r="H429" s="25">
        <v>343500</v>
      </c>
      <c r="I429" s="25"/>
      <c r="J429" s="25">
        <f>L429+O429</f>
        <v>0</v>
      </c>
      <c r="K429" s="25">
        <f>8000-8000</f>
        <v>0</v>
      </c>
      <c r="L429" s="25"/>
      <c r="M429" s="25"/>
      <c r="N429" s="25"/>
      <c r="O429" s="25">
        <f>8000-8000</f>
        <v>0</v>
      </c>
      <c r="P429" s="25">
        <f>E429+J429</f>
        <v>15525230</v>
      </c>
      <c r="Q429" s="140"/>
      <c r="R429" s="26"/>
    </row>
    <row r="430" spans="1:18" s="26" customFormat="1" ht="31.5" customHeight="1" x14ac:dyDescent="0.45">
      <c r="A430" s="22" t="s">
        <v>612</v>
      </c>
      <c r="B430" s="23" t="str">
        <f>'дод 7'!A284</f>
        <v>7610</v>
      </c>
      <c r="C430" s="23" t="str">
        <f>'дод 7'!B284</f>
        <v>0411</v>
      </c>
      <c r="D430" s="36" t="str">
        <f>'дод 7'!C284</f>
        <v>Сприяння розвитку малого та середнього підприємництва</v>
      </c>
      <c r="E430" s="25">
        <f>F430+I430</f>
        <v>520000</v>
      </c>
      <c r="F430" s="25">
        <f>170000-130000</f>
        <v>40000</v>
      </c>
      <c r="G430" s="25"/>
      <c r="H430" s="25"/>
      <c r="I430" s="25">
        <f>350000+130000</f>
        <v>480000</v>
      </c>
      <c r="J430" s="25">
        <f>L430+O430</f>
        <v>0</v>
      </c>
      <c r="K430" s="25">
        <f>8000-8000</f>
        <v>0</v>
      </c>
      <c r="L430" s="25"/>
      <c r="M430" s="25"/>
      <c r="N430" s="25"/>
      <c r="O430" s="25">
        <f>8000-8000</f>
        <v>0</v>
      </c>
      <c r="P430" s="25">
        <f>E430+J430</f>
        <v>520000</v>
      </c>
      <c r="Q430" s="140"/>
    </row>
    <row r="431" spans="1:18" s="16" customFormat="1" ht="33.75" hidden="1" customHeight="1" x14ac:dyDescent="0.4">
      <c r="A431" s="37" t="s">
        <v>205</v>
      </c>
      <c r="B431" s="38"/>
      <c r="C431" s="38"/>
      <c r="D431" s="39" t="s">
        <v>38</v>
      </c>
      <c r="E431" s="15">
        <f>E432</f>
        <v>0</v>
      </c>
      <c r="F431" s="15">
        <f t="shared" ref="F431:J431" si="262">F432</f>
        <v>0</v>
      </c>
      <c r="G431" s="15">
        <f t="shared" si="262"/>
        <v>0</v>
      </c>
      <c r="H431" s="15">
        <f t="shared" si="262"/>
        <v>0</v>
      </c>
      <c r="I431" s="15">
        <f t="shared" si="262"/>
        <v>0</v>
      </c>
      <c r="J431" s="15">
        <f t="shared" si="262"/>
        <v>0</v>
      </c>
      <c r="K431" s="15">
        <f t="shared" ref="K431" si="263">K432</f>
        <v>0</v>
      </c>
      <c r="L431" s="15">
        <f t="shared" ref="L431" si="264">L432</f>
        <v>0</v>
      </c>
      <c r="M431" s="15">
        <f t="shared" ref="M431" si="265">M432</f>
        <v>0</v>
      </c>
      <c r="N431" s="15">
        <f t="shared" ref="N431" si="266">N432</f>
        <v>0</v>
      </c>
      <c r="O431" s="15">
        <f t="shared" ref="O431" si="267">O432</f>
        <v>0</v>
      </c>
      <c r="P431" s="15">
        <f>P432</f>
        <v>0</v>
      </c>
      <c r="Q431" s="140"/>
    </row>
    <row r="432" spans="1:18" s="21" customFormat="1" ht="32.25" hidden="1" customHeight="1" x14ac:dyDescent="0.4">
      <c r="A432" s="17" t="s">
        <v>206</v>
      </c>
      <c r="B432" s="40"/>
      <c r="C432" s="40"/>
      <c r="D432" s="19" t="s">
        <v>38</v>
      </c>
      <c r="E432" s="20">
        <f>E433+E434++E435+E436+E437+E438</f>
        <v>0</v>
      </c>
      <c r="F432" s="20">
        <f t="shared" ref="F432:P432" si="268">F433+F434++F435+F436+F437+F438</f>
        <v>0</v>
      </c>
      <c r="G432" s="20">
        <f t="shared" si="268"/>
        <v>0</v>
      </c>
      <c r="H432" s="20">
        <f t="shared" si="268"/>
        <v>0</v>
      </c>
      <c r="I432" s="20">
        <f t="shared" si="268"/>
        <v>0</v>
      </c>
      <c r="J432" s="20">
        <f t="shared" si="268"/>
        <v>0</v>
      </c>
      <c r="K432" s="20">
        <f>K433+K434++K435+K436+K437+K438</f>
        <v>0</v>
      </c>
      <c r="L432" s="20">
        <f t="shared" si="268"/>
        <v>0</v>
      </c>
      <c r="M432" s="20">
        <f t="shared" si="268"/>
        <v>0</v>
      </c>
      <c r="N432" s="20">
        <f t="shared" si="268"/>
        <v>0</v>
      </c>
      <c r="O432" s="20">
        <f t="shared" si="268"/>
        <v>0</v>
      </c>
      <c r="P432" s="20">
        <f t="shared" si="268"/>
        <v>0</v>
      </c>
      <c r="Q432" s="140"/>
    </row>
    <row r="433" spans="1:17" s="26" customFormat="1" ht="50.25" hidden="1" customHeight="1" x14ac:dyDescent="0.45">
      <c r="A433" s="22" t="s">
        <v>207</v>
      </c>
      <c r="B433" s="23" t="str">
        <f>'дод 7'!A16</f>
        <v>0160</v>
      </c>
      <c r="C433" s="23" t="str">
        <f>'дод 7'!B16</f>
        <v>0111</v>
      </c>
      <c r="D433" s="24" t="str">
        <f>'дод 7'!C16</f>
        <v>Керівництво і управління у відповідній сфері у містах (місті Києві), селищах, селах, територіальних громадах, у т.ч. за рахунок:</v>
      </c>
      <c r="E433" s="25">
        <f t="shared" ref="E433:E438" si="269">F433+I433</f>
        <v>0</v>
      </c>
      <c r="F433" s="25">
        <f>2935400-2935400</f>
        <v>0</v>
      </c>
      <c r="G433" s="25">
        <f>2161900-2161900</f>
        <v>0</v>
      </c>
      <c r="H433" s="25">
        <f>209200-209200</f>
        <v>0</v>
      </c>
      <c r="I433" s="25"/>
      <c r="J433" s="25">
        <f>L433+O433</f>
        <v>0</v>
      </c>
      <c r="K433" s="25"/>
      <c r="L433" s="25"/>
      <c r="M433" s="25"/>
      <c r="N433" s="25"/>
      <c r="O433" s="25"/>
      <c r="P433" s="25">
        <f t="shared" ref="P433:P438" si="270">E433+J433</f>
        <v>0</v>
      </c>
      <c r="Q433" s="140"/>
    </row>
    <row r="434" spans="1:17" s="55" customFormat="1" ht="21" hidden="1" customHeight="1" x14ac:dyDescent="0.45">
      <c r="A434" s="22" t="s">
        <v>208</v>
      </c>
      <c r="B434" s="23" t="str">
        <f>'дод 7'!A230</f>
        <v>7130</v>
      </c>
      <c r="C434" s="23" t="str">
        <f>'дод 7'!B230</f>
        <v>0421</v>
      </c>
      <c r="D434" s="24" t="str">
        <f>'дод 7'!C230</f>
        <v>Здійснення заходів із землеустрою</v>
      </c>
      <c r="E434" s="25">
        <f t="shared" si="269"/>
        <v>0</v>
      </c>
      <c r="F434" s="25"/>
      <c r="G434" s="25"/>
      <c r="H434" s="25"/>
      <c r="I434" s="25"/>
      <c r="J434" s="25">
        <f t="shared" ref="J434:J438" si="271">L434+O434</f>
        <v>0</v>
      </c>
      <c r="K434" s="25"/>
      <c r="L434" s="25"/>
      <c r="M434" s="25"/>
      <c r="N434" s="25"/>
      <c r="O434" s="25"/>
      <c r="P434" s="25">
        <f t="shared" si="270"/>
        <v>0</v>
      </c>
      <c r="Q434" s="140"/>
    </row>
    <row r="435" spans="1:17" s="26" customFormat="1" ht="36" hidden="1" customHeight="1" x14ac:dyDescent="0.45">
      <c r="A435" s="22" t="s">
        <v>209</v>
      </c>
      <c r="B435" s="23" t="str">
        <f>'дод 7'!A284</f>
        <v>7610</v>
      </c>
      <c r="C435" s="23" t="str">
        <f>'дод 7'!B284</f>
        <v>0411</v>
      </c>
      <c r="D435" s="24" t="str">
        <f>'дод 7'!C284</f>
        <v>Сприяння розвитку малого та середнього підприємництва</v>
      </c>
      <c r="E435" s="25">
        <f t="shared" si="269"/>
        <v>0</v>
      </c>
      <c r="F435" s="25"/>
      <c r="G435" s="25"/>
      <c r="H435" s="25"/>
      <c r="I435" s="25"/>
      <c r="J435" s="25">
        <f t="shared" si="271"/>
        <v>0</v>
      </c>
      <c r="K435" s="25"/>
      <c r="L435" s="25"/>
      <c r="M435" s="25"/>
      <c r="N435" s="25"/>
      <c r="O435" s="25"/>
      <c r="P435" s="25">
        <f t="shared" si="270"/>
        <v>0</v>
      </c>
      <c r="Q435" s="140"/>
    </row>
    <row r="436" spans="1:17" s="26" customFormat="1" ht="32.25" hidden="1" customHeight="1" x14ac:dyDescent="0.45">
      <c r="A436" s="22" t="s">
        <v>257</v>
      </c>
      <c r="B436" s="23" t="str">
        <f>'дод 7'!A289</f>
        <v>7650</v>
      </c>
      <c r="C436" s="23" t="str">
        <f>'дод 7'!B289</f>
        <v>0490</v>
      </c>
      <c r="D436" s="24" t="str">
        <f>'дод 7'!C289</f>
        <v>Проведення експертної грошової оцінки земельної ділянки чи права на неї</v>
      </c>
      <c r="E436" s="25">
        <f t="shared" si="269"/>
        <v>0</v>
      </c>
      <c r="F436" s="25"/>
      <c r="G436" s="25"/>
      <c r="H436" s="25"/>
      <c r="I436" s="25"/>
      <c r="J436" s="25">
        <f t="shared" si="271"/>
        <v>0</v>
      </c>
      <c r="K436" s="25"/>
      <c r="L436" s="25"/>
      <c r="M436" s="25"/>
      <c r="N436" s="25"/>
      <c r="O436" s="25"/>
      <c r="P436" s="25">
        <f t="shared" si="270"/>
        <v>0</v>
      </c>
      <c r="Q436" s="140"/>
    </row>
    <row r="437" spans="1:17" s="26" customFormat="1" ht="63" hidden="1" customHeight="1" x14ac:dyDescent="0.45">
      <c r="A437" s="22" t="s">
        <v>259</v>
      </c>
      <c r="B437" s="23" t="str">
        <f>'дод 7'!A290</f>
        <v>7660</v>
      </c>
      <c r="C437" s="23" t="str">
        <f>'дод 7'!B290</f>
        <v>0490</v>
      </c>
      <c r="D437" s="24" t="str">
        <f>'дод 7'!C290</f>
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</c>
      <c r="E437" s="25">
        <f t="shared" si="269"/>
        <v>0</v>
      </c>
      <c r="F437" s="25"/>
      <c r="G437" s="25"/>
      <c r="H437" s="25"/>
      <c r="I437" s="25"/>
      <c r="J437" s="25">
        <f t="shared" si="271"/>
        <v>0</v>
      </c>
      <c r="K437" s="25"/>
      <c r="L437" s="25"/>
      <c r="M437" s="25"/>
      <c r="N437" s="25"/>
      <c r="O437" s="25"/>
      <c r="P437" s="25">
        <f t="shared" si="270"/>
        <v>0</v>
      </c>
      <c r="Q437" s="140"/>
    </row>
    <row r="438" spans="1:17" s="26" customFormat="1" ht="22.5" hidden="1" customHeight="1" x14ac:dyDescent="0.45">
      <c r="A438" s="22" t="s">
        <v>255</v>
      </c>
      <c r="B438" s="23" t="str">
        <f>'дод 7'!A296</f>
        <v>7693</v>
      </c>
      <c r="C438" s="23" t="str">
        <f>'дод 7'!B296</f>
        <v>0490</v>
      </c>
      <c r="D438" s="24" t="str">
        <f>'дод 7'!C296</f>
        <v>Інші заходи, пов'язані з економічною діяльністю, у т.ч. за рахунок:</v>
      </c>
      <c r="E438" s="25">
        <f t="shared" si="269"/>
        <v>0</v>
      </c>
      <c r="F438" s="25"/>
      <c r="G438" s="25"/>
      <c r="H438" s="25"/>
      <c r="I438" s="25"/>
      <c r="J438" s="25">
        <f t="shared" si="271"/>
        <v>0</v>
      </c>
      <c r="K438" s="25"/>
      <c r="L438" s="25"/>
      <c r="M438" s="25"/>
      <c r="N438" s="25"/>
      <c r="O438" s="25"/>
      <c r="P438" s="25">
        <f t="shared" si="270"/>
        <v>0</v>
      </c>
      <c r="Q438" s="140"/>
    </row>
    <row r="439" spans="1:17" s="16" customFormat="1" ht="33" customHeight="1" x14ac:dyDescent="0.4">
      <c r="A439" s="37" t="s">
        <v>205</v>
      </c>
      <c r="B439" s="38"/>
      <c r="C439" s="38"/>
      <c r="D439" s="39" t="s">
        <v>583</v>
      </c>
      <c r="E439" s="15">
        <f>E440</f>
        <v>13757880</v>
      </c>
      <c r="F439" s="15">
        <f t="shared" ref="F439:O439" si="272">F440</f>
        <v>13757880</v>
      </c>
      <c r="G439" s="15">
        <f t="shared" si="272"/>
        <v>10103100</v>
      </c>
      <c r="H439" s="15">
        <f t="shared" si="272"/>
        <v>210300</v>
      </c>
      <c r="I439" s="15">
        <f t="shared" si="272"/>
        <v>0</v>
      </c>
      <c r="J439" s="15">
        <f t="shared" si="272"/>
        <v>0</v>
      </c>
      <c r="K439" s="15">
        <f t="shared" si="272"/>
        <v>0</v>
      </c>
      <c r="L439" s="15">
        <f t="shared" si="272"/>
        <v>0</v>
      </c>
      <c r="M439" s="15">
        <f t="shared" si="272"/>
        <v>0</v>
      </c>
      <c r="N439" s="15">
        <f t="shared" si="272"/>
        <v>0</v>
      </c>
      <c r="O439" s="15">
        <f t="shared" si="272"/>
        <v>0</v>
      </c>
      <c r="P439" s="15">
        <f>P440</f>
        <v>13757880</v>
      </c>
      <c r="Q439" s="140"/>
    </row>
    <row r="440" spans="1:17" s="21" customFormat="1" ht="32.25" customHeight="1" x14ac:dyDescent="0.4">
      <c r="A440" s="17" t="s">
        <v>206</v>
      </c>
      <c r="B440" s="40"/>
      <c r="C440" s="40"/>
      <c r="D440" s="19" t="s">
        <v>740</v>
      </c>
      <c r="E440" s="20">
        <f t="shared" ref="E440:P440" si="273">E442+E443++E444+E445+E446+E447</f>
        <v>13757880</v>
      </c>
      <c r="F440" s="20">
        <f t="shared" si="273"/>
        <v>13757880</v>
      </c>
      <c r="G440" s="20">
        <f t="shared" si="273"/>
        <v>10103100</v>
      </c>
      <c r="H440" s="20">
        <f t="shared" si="273"/>
        <v>210300</v>
      </c>
      <c r="I440" s="20">
        <f t="shared" si="273"/>
        <v>0</v>
      </c>
      <c r="J440" s="20">
        <f t="shared" si="273"/>
        <v>0</v>
      </c>
      <c r="K440" s="20">
        <f t="shared" si="273"/>
        <v>0</v>
      </c>
      <c r="L440" s="20">
        <f t="shared" si="273"/>
        <v>0</v>
      </c>
      <c r="M440" s="20">
        <f t="shared" si="273"/>
        <v>0</v>
      </c>
      <c r="N440" s="20">
        <f t="shared" si="273"/>
        <v>0</v>
      </c>
      <c r="O440" s="20">
        <f t="shared" si="273"/>
        <v>0</v>
      </c>
      <c r="P440" s="20">
        <f t="shared" si="273"/>
        <v>13757880</v>
      </c>
      <c r="Q440" s="140"/>
    </row>
    <row r="441" spans="1:17" s="21" customFormat="1" ht="96.75" customHeight="1" x14ac:dyDescent="0.4">
      <c r="A441" s="17"/>
      <c r="B441" s="40"/>
      <c r="C441" s="40"/>
      <c r="D441" s="54" t="s">
        <v>619</v>
      </c>
      <c r="E441" s="20">
        <f>E448</f>
        <v>163600</v>
      </c>
      <c r="F441" s="20">
        <f t="shared" ref="F441:P441" si="274">F448</f>
        <v>163600</v>
      </c>
      <c r="G441" s="20">
        <f t="shared" si="274"/>
        <v>0</v>
      </c>
      <c r="H441" s="20">
        <f t="shared" si="274"/>
        <v>0</v>
      </c>
      <c r="I441" s="20">
        <f t="shared" si="274"/>
        <v>0</v>
      </c>
      <c r="J441" s="20">
        <f t="shared" si="274"/>
        <v>0</v>
      </c>
      <c r="K441" s="20">
        <f t="shared" si="274"/>
        <v>0</v>
      </c>
      <c r="L441" s="20">
        <f t="shared" si="274"/>
        <v>0</v>
      </c>
      <c r="M441" s="20">
        <f t="shared" si="274"/>
        <v>0</v>
      </c>
      <c r="N441" s="20">
        <f t="shared" si="274"/>
        <v>0</v>
      </c>
      <c r="O441" s="20">
        <f t="shared" si="274"/>
        <v>0</v>
      </c>
      <c r="P441" s="20">
        <f t="shared" si="274"/>
        <v>163600</v>
      </c>
      <c r="Q441" s="140">
        <v>17</v>
      </c>
    </row>
    <row r="442" spans="1:17" s="26" customFormat="1" ht="50.25" customHeight="1" x14ac:dyDescent="0.45">
      <c r="A442" s="22" t="s">
        <v>207</v>
      </c>
      <c r="B442" s="23" t="str">
        <f>'дод 7'!A16</f>
        <v>0160</v>
      </c>
      <c r="C442" s="23" t="str">
        <f>'дод 7'!B16</f>
        <v>0111</v>
      </c>
      <c r="D442" s="24" t="s">
        <v>714</v>
      </c>
      <c r="E442" s="25">
        <f t="shared" ref="E442:E448" si="275">F442+I442</f>
        <v>13184280</v>
      </c>
      <c r="F442" s="25">
        <f>11868200+145200+980700+190180</f>
        <v>13184280</v>
      </c>
      <c r="G442" s="25">
        <f>9298600+804500</f>
        <v>10103100</v>
      </c>
      <c r="H442" s="25">
        <f>209100+1200</f>
        <v>210300</v>
      </c>
      <c r="I442" s="25"/>
      <c r="J442" s="25">
        <f>L442+O442</f>
        <v>0</v>
      </c>
      <c r="K442" s="25"/>
      <c r="L442" s="25"/>
      <c r="M442" s="25"/>
      <c r="N442" s="25"/>
      <c r="O442" s="25"/>
      <c r="P442" s="25">
        <f t="shared" ref="P442:P448" si="276">E442+J442</f>
        <v>13184280</v>
      </c>
      <c r="Q442" s="140"/>
    </row>
    <row r="443" spans="1:17" s="55" customFormat="1" ht="21" hidden="1" customHeight="1" x14ac:dyDescent="0.45">
      <c r="A443" s="22" t="s">
        <v>208</v>
      </c>
      <c r="B443" s="23" t="str">
        <f>'дод 7'!A230</f>
        <v>7130</v>
      </c>
      <c r="C443" s="23" t="str">
        <f>'дод 7'!B230</f>
        <v>0421</v>
      </c>
      <c r="D443" s="24" t="str">
        <f>'дод 7'!C230</f>
        <v>Здійснення заходів із землеустрою</v>
      </c>
      <c r="E443" s="25">
        <f t="shared" si="275"/>
        <v>0</v>
      </c>
      <c r="F443" s="25"/>
      <c r="G443" s="25"/>
      <c r="H443" s="25"/>
      <c r="I443" s="25"/>
      <c r="J443" s="25">
        <f t="shared" ref="J443:J448" si="277">L443+O443</f>
        <v>0</v>
      </c>
      <c r="K443" s="25"/>
      <c r="L443" s="25"/>
      <c r="M443" s="25"/>
      <c r="N443" s="25"/>
      <c r="O443" s="25"/>
      <c r="P443" s="25">
        <f t="shared" si="276"/>
        <v>0</v>
      </c>
      <c r="Q443" s="140"/>
    </row>
    <row r="444" spans="1:17" s="26" customFormat="1" ht="33.75" hidden="1" customHeight="1" x14ac:dyDescent="0.45">
      <c r="A444" s="22" t="s">
        <v>209</v>
      </c>
      <c r="B444" s="23" t="str">
        <f>'дод 7'!A284</f>
        <v>7610</v>
      </c>
      <c r="C444" s="23" t="str">
        <f>'дод 7'!B284</f>
        <v>0411</v>
      </c>
      <c r="D444" s="24" t="str">
        <f>'дод 7'!C284</f>
        <v>Сприяння розвитку малого та середнього підприємництва</v>
      </c>
      <c r="E444" s="25">
        <f t="shared" si="275"/>
        <v>0</v>
      </c>
      <c r="F444" s="25"/>
      <c r="G444" s="25"/>
      <c r="H444" s="25"/>
      <c r="I444" s="25"/>
      <c r="J444" s="25">
        <f t="shared" si="277"/>
        <v>0</v>
      </c>
      <c r="K444" s="25"/>
      <c r="L444" s="25"/>
      <c r="M444" s="25"/>
      <c r="N444" s="25"/>
      <c r="O444" s="25"/>
      <c r="P444" s="25">
        <f t="shared" si="276"/>
        <v>0</v>
      </c>
      <c r="Q444" s="140"/>
    </row>
    <row r="445" spans="1:17" s="26" customFormat="1" ht="32.25" hidden="1" customHeight="1" x14ac:dyDescent="0.45">
      <c r="A445" s="22" t="s">
        <v>257</v>
      </c>
      <c r="B445" s="23" t="str">
        <f>'дод 7'!A289</f>
        <v>7650</v>
      </c>
      <c r="C445" s="23" t="str">
        <f>'дод 7'!B289</f>
        <v>0490</v>
      </c>
      <c r="D445" s="24" t="str">
        <f>'дод 7'!C289</f>
        <v>Проведення експертної грошової оцінки земельної ділянки чи права на неї</v>
      </c>
      <c r="E445" s="25">
        <f t="shared" si="275"/>
        <v>0</v>
      </c>
      <c r="F445" s="25"/>
      <c r="G445" s="25"/>
      <c r="H445" s="25"/>
      <c r="I445" s="25"/>
      <c r="J445" s="25">
        <f t="shared" si="277"/>
        <v>0</v>
      </c>
      <c r="K445" s="25"/>
      <c r="L445" s="25"/>
      <c r="M445" s="25"/>
      <c r="N445" s="25"/>
      <c r="O445" s="25"/>
      <c r="P445" s="25">
        <f t="shared" si="276"/>
        <v>0</v>
      </c>
      <c r="Q445" s="140"/>
    </row>
    <row r="446" spans="1:17" s="26" customFormat="1" ht="46.15" hidden="1" customHeight="1" x14ac:dyDescent="0.45">
      <c r="A446" s="22" t="s">
        <v>259</v>
      </c>
      <c r="B446" s="23" t="str">
        <f>'дод 7'!A290</f>
        <v>7660</v>
      </c>
      <c r="C446" s="23" t="str">
        <f>'дод 7'!B290</f>
        <v>0490</v>
      </c>
      <c r="D446" s="24" t="str">
        <f>'дод 7'!C290</f>
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</c>
      <c r="E446" s="25">
        <f t="shared" si="275"/>
        <v>0</v>
      </c>
      <c r="F446" s="25"/>
      <c r="G446" s="25"/>
      <c r="H446" s="25"/>
      <c r="I446" s="25"/>
      <c r="J446" s="25">
        <f t="shared" si="277"/>
        <v>0</v>
      </c>
      <c r="K446" s="25"/>
      <c r="L446" s="25"/>
      <c r="M446" s="25"/>
      <c r="N446" s="25"/>
      <c r="O446" s="25"/>
      <c r="P446" s="25">
        <f t="shared" si="276"/>
        <v>0</v>
      </c>
      <c r="Q446" s="140"/>
    </row>
    <row r="447" spans="1:17" s="26" customFormat="1" ht="44.25" customHeight="1" x14ac:dyDescent="0.45">
      <c r="A447" s="22" t="s">
        <v>255</v>
      </c>
      <c r="B447" s="23" t="str">
        <f>'дод 7'!A296</f>
        <v>7693</v>
      </c>
      <c r="C447" s="23" t="str">
        <f>'дод 7'!B296</f>
        <v>0490</v>
      </c>
      <c r="D447" s="24" t="str">
        <f>'дод 7'!C296</f>
        <v>Інші заходи, пов'язані з економічною діяльністю, у т.ч. за рахунок:</v>
      </c>
      <c r="E447" s="25">
        <f t="shared" si="275"/>
        <v>573600</v>
      </c>
      <c r="F447" s="25">
        <f>410000+163600</f>
        <v>573600</v>
      </c>
      <c r="G447" s="25"/>
      <c r="H447" s="25"/>
      <c r="I447" s="25"/>
      <c r="J447" s="25">
        <f t="shared" si="277"/>
        <v>0</v>
      </c>
      <c r="K447" s="25"/>
      <c r="L447" s="25"/>
      <c r="M447" s="25"/>
      <c r="N447" s="25"/>
      <c r="O447" s="25"/>
      <c r="P447" s="25">
        <f t="shared" si="276"/>
        <v>573600</v>
      </c>
      <c r="Q447" s="140"/>
    </row>
    <row r="448" spans="1:17" s="31" customFormat="1" ht="92.25" x14ac:dyDescent="0.45">
      <c r="A448" s="27"/>
      <c r="B448" s="28"/>
      <c r="C448" s="28"/>
      <c r="D448" s="48" t="s">
        <v>619</v>
      </c>
      <c r="E448" s="30">
        <f t="shared" si="275"/>
        <v>163600</v>
      </c>
      <c r="F448" s="30">
        <v>163600</v>
      </c>
      <c r="G448" s="30"/>
      <c r="H448" s="30"/>
      <c r="I448" s="30"/>
      <c r="J448" s="30">
        <f t="shared" si="277"/>
        <v>0</v>
      </c>
      <c r="K448" s="30"/>
      <c r="L448" s="30"/>
      <c r="M448" s="30"/>
      <c r="N448" s="30"/>
      <c r="O448" s="30"/>
      <c r="P448" s="30">
        <f t="shared" si="276"/>
        <v>163600</v>
      </c>
      <c r="Q448" s="140"/>
    </row>
    <row r="449" spans="1:18" s="16" customFormat="1" ht="33.75" customHeight="1" x14ac:dyDescent="0.4">
      <c r="A449" s="37" t="s">
        <v>580</v>
      </c>
      <c r="B449" s="38"/>
      <c r="C449" s="38"/>
      <c r="D449" s="39" t="s">
        <v>38</v>
      </c>
      <c r="E449" s="15">
        <f>E450</f>
        <v>26658450</v>
      </c>
      <c r="F449" s="15">
        <f t="shared" ref="F449:P449" si="278">F450</f>
        <v>26658450</v>
      </c>
      <c r="G449" s="15">
        <f t="shared" si="278"/>
        <v>18767750</v>
      </c>
      <c r="H449" s="15">
        <f t="shared" si="278"/>
        <v>968000</v>
      </c>
      <c r="I449" s="15">
        <f t="shared" si="278"/>
        <v>0</v>
      </c>
      <c r="J449" s="15">
        <f t="shared" si="278"/>
        <v>330000</v>
      </c>
      <c r="K449" s="15">
        <f t="shared" si="278"/>
        <v>330000</v>
      </c>
      <c r="L449" s="15">
        <f t="shared" si="278"/>
        <v>0</v>
      </c>
      <c r="M449" s="15">
        <f t="shared" si="278"/>
        <v>0</v>
      </c>
      <c r="N449" s="15">
        <f t="shared" si="278"/>
        <v>0</v>
      </c>
      <c r="O449" s="15">
        <f t="shared" si="278"/>
        <v>330000</v>
      </c>
      <c r="P449" s="15">
        <f t="shared" si="278"/>
        <v>26988450</v>
      </c>
      <c r="Q449" s="140"/>
    </row>
    <row r="450" spans="1:18" s="21" customFormat="1" ht="36.75" customHeight="1" x14ac:dyDescent="0.4">
      <c r="A450" s="17" t="s">
        <v>581</v>
      </c>
      <c r="B450" s="40"/>
      <c r="C450" s="40"/>
      <c r="D450" s="19" t="s">
        <v>38</v>
      </c>
      <c r="E450" s="20">
        <f>E451+E452+E453+E454+E455+E456+E457+E458+E459</f>
        <v>26658450</v>
      </c>
      <c r="F450" s="20">
        <f t="shared" ref="F450:P450" si="279">F451+F452+F453+F454+F455+F456+F457+F458+F459</f>
        <v>26658450</v>
      </c>
      <c r="G450" s="20">
        <f t="shared" si="279"/>
        <v>18767750</v>
      </c>
      <c r="H450" s="20">
        <f t="shared" si="279"/>
        <v>968000</v>
      </c>
      <c r="I450" s="20">
        <f t="shared" si="279"/>
        <v>0</v>
      </c>
      <c r="J450" s="20">
        <f t="shared" si="279"/>
        <v>330000</v>
      </c>
      <c r="K450" s="20">
        <f t="shared" si="279"/>
        <v>330000</v>
      </c>
      <c r="L450" s="20">
        <f t="shared" si="279"/>
        <v>0</v>
      </c>
      <c r="M450" s="20">
        <f t="shared" si="279"/>
        <v>0</v>
      </c>
      <c r="N450" s="20">
        <f t="shared" si="279"/>
        <v>0</v>
      </c>
      <c r="O450" s="20">
        <f t="shared" si="279"/>
        <v>330000</v>
      </c>
      <c r="P450" s="20">
        <f t="shared" si="279"/>
        <v>26988450</v>
      </c>
      <c r="Q450" s="140"/>
    </row>
    <row r="451" spans="1:18" s="26" customFormat="1" ht="51.75" customHeight="1" x14ac:dyDescent="0.45">
      <c r="A451" s="22" t="s">
        <v>582</v>
      </c>
      <c r="B451" s="23" t="str">
        <f>'дод 7'!A16</f>
        <v>0160</v>
      </c>
      <c r="C451" s="23" t="str">
        <f>'дод 7'!B16</f>
        <v>0111</v>
      </c>
      <c r="D451" s="24" t="s">
        <v>714</v>
      </c>
      <c r="E451" s="25">
        <f>F451+I451</f>
        <v>25054450</v>
      </c>
      <c r="F451" s="25">
        <f>23520400-318850+1852900</f>
        <v>25054450</v>
      </c>
      <c r="G451" s="25">
        <f>17509100-261350+1520000</f>
        <v>18767750</v>
      </c>
      <c r="H451" s="25">
        <v>968000</v>
      </c>
      <c r="I451" s="25"/>
      <c r="J451" s="25">
        <f>L451+O451</f>
        <v>0</v>
      </c>
      <c r="K451" s="25"/>
      <c r="L451" s="25"/>
      <c r="M451" s="25"/>
      <c r="N451" s="25"/>
      <c r="O451" s="25"/>
      <c r="P451" s="25">
        <f>E451+J451</f>
        <v>25054450</v>
      </c>
      <c r="Q451" s="140"/>
    </row>
    <row r="452" spans="1:18" s="26" customFormat="1" ht="30" customHeight="1" x14ac:dyDescent="0.45">
      <c r="A452" s="22" t="s">
        <v>584</v>
      </c>
      <c r="B452" s="23" t="str">
        <f>'дод 7'!A217</f>
        <v>6090</v>
      </c>
      <c r="C452" s="23" t="str">
        <f>'дод 7'!B217</f>
        <v>0640</v>
      </c>
      <c r="D452" s="36" t="str">
        <f>'дод 7'!C217</f>
        <v>Інша діяльність у сфері житлово-комунального господарства</v>
      </c>
      <c r="E452" s="25">
        <f t="shared" ref="E452:E459" si="280">F452+I452</f>
        <v>99000</v>
      </c>
      <c r="F452" s="25">
        <f>200000-101000</f>
        <v>99000</v>
      </c>
      <c r="G452" s="25"/>
      <c r="H452" s="25"/>
      <c r="I452" s="25"/>
      <c r="J452" s="25">
        <f t="shared" ref="J452:J459" si="281">L452+O452</f>
        <v>0</v>
      </c>
      <c r="K452" s="25"/>
      <c r="L452" s="25"/>
      <c r="M452" s="25"/>
      <c r="N452" s="25"/>
      <c r="O452" s="25"/>
      <c r="P452" s="25">
        <f t="shared" ref="P452:P459" si="282">E452+J452</f>
        <v>99000</v>
      </c>
      <c r="Q452" s="140"/>
    </row>
    <row r="453" spans="1:18" s="26" customFormat="1" ht="27.75" customHeight="1" x14ac:dyDescent="0.45">
      <c r="A453" s="22" t="s">
        <v>587</v>
      </c>
      <c r="B453" s="23" t="str">
        <f>'дод 7'!A230</f>
        <v>7130</v>
      </c>
      <c r="C453" s="23" t="str">
        <f>'дод 7'!B230</f>
        <v>0421</v>
      </c>
      <c r="D453" s="36" t="str">
        <f>'дод 7'!C230</f>
        <v>Здійснення заходів із землеустрою</v>
      </c>
      <c r="E453" s="25">
        <f t="shared" si="280"/>
        <v>600000</v>
      </c>
      <c r="F453" s="25">
        <f>200000+400000</f>
        <v>600000</v>
      </c>
      <c r="G453" s="25"/>
      <c r="H453" s="25"/>
      <c r="I453" s="25"/>
      <c r="J453" s="25">
        <f t="shared" si="281"/>
        <v>0</v>
      </c>
      <c r="K453" s="25"/>
      <c r="L453" s="25"/>
      <c r="M453" s="25"/>
      <c r="N453" s="25"/>
      <c r="O453" s="25"/>
      <c r="P453" s="25">
        <f t="shared" si="282"/>
        <v>600000</v>
      </c>
      <c r="Q453" s="140"/>
    </row>
    <row r="454" spans="1:18" s="26" customFormat="1" ht="31.5" hidden="1" customHeight="1" x14ac:dyDescent="0.45">
      <c r="A454" s="22" t="s">
        <v>585</v>
      </c>
      <c r="B454" s="23" t="str">
        <f>'дод 7'!A249</f>
        <v>7340</v>
      </c>
      <c r="C454" s="23" t="str">
        <f>'дод 7'!B249</f>
        <v>0443</v>
      </c>
      <c r="D454" s="36" t="str">
        <f>'дод 7'!C249</f>
        <v>Проектування, реставрація та охорона пам'яток архітектури</v>
      </c>
      <c r="E454" s="25">
        <f t="shared" si="280"/>
        <v>0</v>
      </c>
      <c r="F454" s="25"/>
      <c r="G454" s="25"/>
      <c r="H454" s="25"/>
      <c r="I454" s="25"/>
      <c r="J454" s="25">
        <f t="shared" si="281"/>
        <v>0</v>
      </c>
      <c r="K454" s="25"/>
      <c r="L454" s="25"/>
      <c r="M454" s="25"/>
      <c r="N454" s="25"/>
      <c r="O454" s="25"/>
      <c r="P454" s="25">
        <f t="shared" si="282"/>
        <v>0</v>
      </c>
      <c r="Q454" s="140"/>
    </row>
    <row r="455" spans="1:18" s="26" customFormat="1" ht="30" customHeight="1" x14ac:dyDescent="0.45">
      <c r="A455" s="22" t="s">
        <v>586</v>
      </c>
      <c r="B455" s="23">
        <f>'дод 7'!A257</f>
        <v>7370</v>
      </c>
      <c r="C455" s="23" t="str">
        <f>'дод 7'!B257</f>
        <v>0490</v>
      </c>
      <c r="D455" s="36" t="str">
        <f>'дод 7'!C257</f>
        <v>Реалізація інших заходів щодо соціально-економічного розвитку територій</v>
      </c>
      <c r="E455" s="25">
        <f t="shared" si="280"/>
        <v>245000</v>
      </c>
      <c r="F455" s="25">
        <f>45000+200000</f>
        <v>245000</v>
      </c>
      <c r="G455" s="25"/>
      <c r="H455" s="25"/>
      <c r="I455" s="25"/>
      <c r="J455" s="25">
        <f t="shared" si="281"/>
        <v>250000</v>
      </c>
      <c r="K455" s="25">
        <f>150000+100000</f>
        <v>250000</v>
      </c>
      <c r="L455" s="25"/>
      <c r="M455" s="25"/>
      <c r="N455" s="25"/>
      <c r="O455" s="25">
        <f>150000+100000</f>
        <v>250000</v>
      </c>
      <c r="P455" s="25">
        <f t="shared" si="282"/>
        <v>495000</v>
      </c>
      <c r="Q455" s="140"/>
    </row>
    <row r="456" spans="1:18" s="26" customFormat="1" ht="33" hidden="1" customHeight="1" x14ac:dyDescent="0.45">
      <c r="A456" s="22" t="s">
        <v>588</v>
      </c>
      <c r="B456" s="23" t="str">
        <f>'дод 7'!A284</f>
        <v>7610</v>
      </c>
      <c r="C456" s="23" t="str">
        <f>'дод 7'!B284</f>
        <v>0411</v>
      </c>
      <c r="D456" s="36" t="str">
        <f>'дод 7'!C284</f>
        <v>Сприяння розвитку малого та середнього підприємництва</v>
      </c>
      <c r="E456" s="25">
        <f t="shared" si="280"/>
        <v>0</v>
      </c>
      <c r="F456" s="25"/>
      <c r="G456" s="25"/>
      <c r="H456" s="25"/>
      <c r="I456" s="25"/>
      <c r="J456" s="25">
        <f t="shared" si="281"/>
        <v>0</v>
      </c>
      <c r="K456" s="25"/>
      <c r="L456" s="25"/>
      <c r="M456" s="25"/>
      <c r="N456" s="25"/>
      <c r="O456" s="25"/>
      <c r="P456" s="25">
        <f t="shared" si="282"/>
        <v>0</v>
      </c>
      <c r="Q456" s="140"/>
    </row>
    <row r="457" spans="1:18" s="26" customFormat="1" ht="37.5" customHeight="1" x14ac:dyDescent="0.45">
      <c r="A457" s="22" t="s">
        <v>589</v>
      </c>
      <c r="B457" s="23" t="str">
        <f>'дод 7'!A289</f>
        <v>7650</v>
      </c>
      <c r="C457" s="23" t="str">
        <f>'дод 7'!B289</f>
        <v>0490</v>
      </c>
      <c r="D457" s="36" t="str">
        <f>'дод 7'!C289</f>
        <v>Проведення експертної грошової оцінки земельної ділянки чи права на неї</v>
      </c>
      <c r="E457" s="25">
        <f t="shared" si="280"/>
        <v>0</v>
      </c>
      <c r="F457" s="25"/>
      <c r="G457" s="25"/>
      <c r="H457" s="25"/>
      <c r="I457" s="25"/>
      <c r="J457" s="25">
        <f t="shared" si="281"/>
        <v>30000</v>
      </c>
      <c r="K457" s="25">
        <v>30000</v>
      </c>
      <c r="L457" s="25"/>
      <c r="M457" s="25"/>
      <c r="N457" s="25"/>
      <c r="O457" s="25">
        <v>30000</v>
      </c>
      <c r="P457" s="25">
        <f t="shared" si="282"/>
        <v>30000</v>
      </c>
      <c r="Q457" s="140"/>
    </row>
    <row r="458" spans="1:18" s="26" customFormat="1" ht="46.15" x14ac:dyDescent="0.45">
      <c r="A458" s="22" t="s">
        <v>590</v>
      </c>
      <c r="B458" s="23" t="str">
        <f>'дод 7'!A290</f>
        <v>7660</v>
      </c>
      <c r="C458" s="23" t="str">
        <f>'дод 7'!B290</f>
        <v>0490</v>
      </c>
      <c r="D458" s="36" t="str">
        <f>'дод 7'!C290</f>
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</c>
      <c r="E458" s="25">
        <f t="shared" si="280"/>
        <v>0</v>
      </c>
      <c r="F458" s="25"/>
      <c r="G458" s="25"/>
      <c r="H458" s="25"/>
      <c r="I458" s="25"/>
      <c r="J458" s="25">
        <f t="shared" si="281"/>
        <v>50000</v>
      </c>
      <c r="K458" s="25">
        <v>50000</v>
      </c>
      <c r="L458" s="25"/>
      <c r="M458" s="25"/>
      <c r="N458" s="25"/>
      <c r="O458" s="25">
        <v>50000</v>
      </c>
      <c r="P458" s="25">
        <f t="shared" si="282"/>
        <v>50000</v>
      </c>
      <c r="Q458" s="140"/>
    </row>
    <row r="459" spans="1:18" s="26" customFormat="1" ht="33.75" customHeight="1" x14ac:dyDescent="0.45">
      <c r="A459" s="22" t="s">
        <v>591</v>
      </c>
      <c r="B459" s="23" t="str">
        <f>'дод 7'!A296</f>
        <v>7693</v>
      </c>
      <c r="C459" s="23" t="str">
        <f>'дод 7'!B296</f>
        <v>0490</v>
      </c>
      <c r="D459" s="36" t="str">
        <f>'дод 7'!C296</f>
        <v>Інші заходи, пов'язані з економічною діяльністю, у т.ч. за рахунок:</v>
      </c>
      <c r="E459" s="25">
        <f t="shared" si="280"/>
        <v>660000</v>
      </c>
      <c r="F459" s="25">
        <v>660000</v>
      </c>
      <c r="G459" s="25"/>
      <c r="H459" s="25"/>
      <c r="I459" s="25"/>
      <c r="J459" s="25">
        <f t="shared" si="281"/>
        <v>0</v>
      </c>
      <c r="K459" s="25"/>
      <c r="L459" s="25"/>
      <c r="M459" s="25"/>
      <c r="N459" s="25"/>
      <c r="O459" s="25"/>
      <c r="P459" s="25">
        <f t="shared" si="282"/>
        <v>660000</v>
      </c>
      <c r="Q459" s="140"/>
    </row>
    <row r="460" spans="1:18" s="16" customFormat="1" ht="38.25" customHeight="1" x14ac:dyDescent="0.4">
      <c r="A460" s="37" t="s">
        <v>210</v>
      </c>
      <c r="B460" s="38"/>
      <c r="C460" s="38"/>
      <c r="D460" s="39" t="s">
        <v>40</v>
      </c>
      <c r="E460" s="15">
        <f>E461</f>
        <v>28079382.98</v>
      </c>
      <c r="F460" s="15">
        <f t="shared" ref="F460:J460" si="283">F461</f>
        <v>27931560</v>
      </c>
      <c r="G460" s="15">
        <f t="shared" si="283"/>
        <v>19667470</v>
      </c>
      <c r="H460" s="15">
        <f t="shared" si="283"/>
        <v>562215</v>
      </c>
      <c r="I460" s="15">
        <f t="shared" si="283"/>
        <v>0</v>
      </c>
      <c r="J460" s="15">
        <f t="shared" si="283"/>
        <v>289600</v>
      </c>
      <c r="K460" s="15">
        <f t="shared" ref="K460" si="284">K461</f>
        <v>0</v>
      </c>
      <c r="L460" s="15">
        <f t="shared" ref="L460" si="285">L461</f>
        <v>289600</v>
      </c>
      <c r="M460" s="15">
        <f t="shared" ref="M460" si="286">M461</f>
        <v>0</v>
      </c>
      <c r="N460" s="15">
        <f t="shared" ref="N460" si="287">N461</f>
        <v>0</v>
      </c>
      <c r="O460" s="15">
        <f t="shared" ref="O460:P460" si="288">O461</f>
        <v>0</v>
      </c>
      <c r="P460" s="15">
        <f t="shared" si="288"/>
        <v>28368982.98</v>
      </c>
      <c r="Q460" s="140"/>
    </row>
    <row r="461" spans="1:18" s="21" customFormat="1" ht="34.5" customHeight="1" x14ac:dyDescent="0.4">
      <c r="A461" s="17" t="s">
        <v>211</v>
      </c>
      <c r="B461" s="40"/>
      <c r="C461" s="40"/>
      <c r="D461" s="19" t="s">
        <v>707</v>
      </c>
      <c r="E461" s="20">
        <f t="shared" ref="E461:P461" si="289">SUM(E463+E465+E466+E469+E470+E471+E472+E468+E467+E473)</f>
        <v>28079382.98</v>
      </c>
      <c r="F461" s="20">
        <f t="shared" si="289"/>
        <v>27931560</v>
      </c>
      <c r="G461" s="20">
        <f t="shared" si="289"/>
        <v>19667470</v>
      </c>
      <c r="H461" s="20">
        <f t="shared" si="289"/>
        <v>562215</v>
      </c>
      <c r="I461" s="20">
        <f t="shared" si="289"/>
        <v>0</v>
      </c>
      <c r="J461" s="20">
        <f t="shared" si="289"/>
        <v>289600</v>
      </c>
      <c r="K461" s="20">
        <f t="shared" si="289"/>
        <v>0</v>
      </c>
      <c r="L461" s="20">
        <f t="shared" si="289"/>
        <v>289600</v>
      </c>
      <c r="M461" s="20">
        <f t="shared" si="289"/>
        <v>0</v>
      </c>
      <c r="N461" s="20">
        <f t="shared" si="289"/>
        <v>0</v>
      </c>
      <c r="O461" s="20">
        <f t="shared" si="289"/>
        <v>0</v>
      </c>
      <c r="P461" s="20">
        <f t="shared" si="289"/>
        <v>28368982.98</v>
      </c>
      <c r="Q461" s="140"/>
    </row>
    <row r="462" spans="1:18" s="21" customFormat="1" ht="100.5" customHeight="1" x14ac:dyDescent="0.4">
      <c r="A462" s="17"/>
      <c r="B462" s="40"/>
      <c r="C462" s="40"/>
      <c r="D462" s="54" t="s">
        <v>619</v>
      </c>
      <c r="E462" s="20">
        <f>E464</f>
        <v>103200</v>
      </c>
      <c r="F462" s="20">
        <f t="shared" ref="F462:P462" si="290">F464</f>
        <v>103200</v>
      </c>
      <c r="G462" s="20">
        <f t="shared" si="290"/>
        <v>84600</v>
      </c>
      <c r="H462" s="20">
        <f t="shared" si="290"/>
        <v>0</v>
      </c>
      <c r="I462" s="20">
        <f t="shared" si="290"/>
        <v>0</v>
      </c>
      <c r="J462" s="20">
        <f t="shared" si="290"/>
        <v>0</v>
      </c>
      <c r="K462" s="20">
        <f t="shared" si="290"/>
        <v>0</v>
      </c>
      <c r="L462" s="20">
        <f t="shared" si="290"/>
        <v>0</v>
      </c>
      <c r="M462" s="20">
        <f t="shared" si="290"/>
        <v>0</v>
      </c>
      <c r="N462" s="20">
        <f t="shared" si="290"/>
        <v>0</v>
      </c>
      <c r="O462" s="20">
        <f t="shared" si="290"/>
        <v>0</v>
      </c>
      <c r="P462" s="20">
        <f t="shared" si="290"/>
        <v>103200</v>
      </c>
      <c r="Q462" s="140"/>
    </row>
    <row r="463" spans="1:18" s="132" customFormat="1" ht="53.25" customHeight="1" x14ac:dyDescent="0.45">
      <c r="A463" s="22" t="s">
        <v>212</v>
      </c>
      <c r="B463" s="23" t="str">
        <f>'дод 7'!A16</f>
        <v>0160</v>
      </c>
      <c r="C463" s="23" t="str">
        <f>'дод 7'!B16</f>
        <v>0111</v>
      </c>
      <c r="D463" s="24" t="s">
        <v>708</v>
      </c>
      <c r="E463" s="25">
        <f t="shared" ref="E463:E470" si="291">F463+I463</f>
        <v>25234495</v>
      </c>
      <c r="F463" s="25">
        <f>23032500-73200+2170930-1930935+1912000+103200+20000</f>
        <v>25234495</v>
      </c>
      <c r="G463" s="25">
        <f>17662800-60000+1779450-1582880+1568500+84600+215000</f>
        <v>19667470</v>
      </c>
      <c r="H463" s="25">
        <f>578400-16185</f>
        <v>562215</v>
      </c>
      <c r="I463" s="25"/>
      <c r="J463" s="25">
        <f>L463+O463</f>
        <v>0</v>
      </c>
      <c r="K463" s="25"/>
      <c r="L463" s="25"/>
      <c r="M463" s="25"/>
      <c r="N463" s="25"/>
      <c r="O463" s="25"/>
      <c r="P463" s="25">
        <f t="shared" ref="P463:P473" si="292">E463+J463</f>
        <v>25234495</v>
      </c>
      <c r="Q463" s="140"/>
      <c r="R463" s="26"/>
    </row>
    <row r="464" spans="1:18" s="31" customFormat="1" ht="101.45" customHeight="1" x14ac:dyDescent="0.45">
      <c r="A464" s="27"/>
      <c r="B464" s="28"/>
      <c r="C464" s="28"/>
      <c r="D464" s="48" t="s">
        <v>619</v>
      </c>
      <c r="E464" s="30">
        <f t="shared" si="291"/>
        <v>103200</v>
      </c>
      <c r="F464" s="30">
        <v>103200</v>
      </c>
      <c r="G464" s="30">
        <v>84600</v>
      </c>
      <c r="H464" s="30"/>
      <c r="I464" s="30"/>
      <c r="J464" s="30">
        <f>L464+O464</f>
        <v>0</v>
      </c>
      <c r="K464" s="30"/>
      <c r="L464" s="30"/>
      <c r="M464" s="30"/>
      <c r="N464" s="30"/>
      <c r="O464" s="30"/>
      <c r="P464" s="30">
        <f t="shared" si="292"/>
        <v>103200</v>
      </c>
      <c r="Q464" s="140"/>
    </row>
    <row r="465" spans="1:18" s="108" customFormat="1" ht="30.75" customHeight="1" x14ac:dyDescent="0.45">
      <c r="A465" s="22" t="s">
        <v>249</v>
      </c>
      <c r="B465" s="23" t="str">
        <f>'дод 7'!A285</f>
        <v>7640</v>
      </c>
      <c r="C465" s="23" t="str">
        <f>'дод 7'!B285</f>
        <v>0470</v>
      </c>
      <c r="D465" s="24" t="s">
        <v>402</v>
      </c>
      <c r="E465" s="25">
        <f t="shared" si="291"/>
        <v>600399</v>
      </c>
      <c r="F465" s="25">
        <f>665000+14400-40000+15000-34001-20000</f>
        <v>600399</v>
      </c>
      <c r="G465" s="25"/>
      <c r="H465" s="25"/>
      <c r="I465" s="25"/>
      <c r="J465" s="25">
        <f t="shared" ref="J465:J472" si="293">L465+O465</f>
        <v>0</v>
      </c>
      <c r="K465" s="25"/>
      <c r="L465" s="25"/>
      <c r="M465" s="25"/>
      <c r="N465" s="25"/>
      <c r="O465" s="25"/>
      <c r="P465" s="25">
        <f t="shared" si="292"/>
        <v>600399</v>
      </c>
      <c r="Q465" s="140"/>
      <c r="R465" s="26"/>
    </row>
    <row r="466" spans="1:18" s="26" customFormat="1" ht="42.75" customHeight="1" x14ac:dyDescent="0.45">
      <c r="A466" s="22" t="s">
        <v>316</v>
      </c>
      <c r="B466" s="23" t="str">
        <f>'дод 7'!A296</f>
        <v>7693</v>
      </c>
      <c r="C466" s="23" t="str">
        <f>'дод 7'!B296</f>
        <v>0490</v>
      </c>
      <c r="D466" s="24" t="str">
        <f>'дод 7'!C296</f>
        <v>Інші заходи, пов'язані з економічною діяльністю, у т.ч. за рахунок:</v>
      </c>
      <c r="E466" s="25">
        <f>F466+I466</f>
        <v>50800</v>
      </c>
      <c r="F466" s="25">
        <f>177700-126900</f>
        <v>50800</v>
      </c>
      <c r="G466" s="25"/>
      <c r="H466" s="25"/>
      <c r="I466" s="25"/>
      <c r="J466" s="25">
        <f t="shared" si="293"/>
        <v>0</v>
      </c>
      <c r="K466" s="25"/>
      <c r="L466" s="25"/>
      <c r="M466" s="25"/>
      <c r="N466" s="25"/>
      <c r="O466" s="25"/>
      <c r="P466" s="25">
        <f t="shared" si="292"/>
        <v>50800</v>
      </c>
      <c r="Q466" s="140"/>
    </row>
    <row r="467" spans="1:18" s="26" customFormat="1" ht="48.75" hidden="1" customHeight="1" x14ac:dyDescent="0.45">
      <c r="A467" s="22" t="s">
        <v>592</v>
      </c>
      <c r="B467" s="23">
        <v>7700</v>
      </c>
      <c r="C467" s="22" t="s">
        <v>89</v>
      </c>
      <c r="D467" s="24" t="s">
        <v>348</v>
      </c>
      <c r="E467" s="25">
        <f t="shared" si="291"/>
        <v>0</v>
      </c>
      <c r="F467" s="25"/>
      <c r="G467" s="25"/>
      <c r="H467" s="25"/>
      <c r="I467" s="25"/>
      <c r="J467" s="25">
        <f t="shared" si="293"/>
        <v>0</v>
      </c>
      <c r="K467" s="25"/>
      <c r="L467" s="25"/>
      <c r="M467" s="25"/>
      <c r="N467" s="25"/>
      <c r="O467" s="25"/>
      <c r="P467" s="25">
        <f t="shared" si="292"/>
        <v>0</v>
      </c>
      <c r="Q467" s="140"/>
    </row>
    <row r="468" spans="1:18" s="26" customFormat="1" ht="31.5" customHeight="1" x14ac:dyDescent="0.45">
      <c r="A468" s="22">
        <v>3718330</v>
      </c>
      <c r="B468" s="23">
        <f>'дод 7'!A320</f>
        <v>8330</v>
      </c>
      <c r="C468" s="22" t="s">
        <v>88</v>
      </c>
      <c r="D468" s="24" t="str">
        <f>'дод 7'!C320</f>
        <v xml:space="preserve">Інша діяльність у сфері екології та охорони природних ресурсів </v>
      </c>
      <c r="E468" s="25">
        <f t="shared" si="291"/>
        <v>75000</v>
      </c>
      <c r="F468" s="25">
        <v>75000</v>
      </c>
      <c r="G468" s="25"/>
      <c r="H468" s="25"/>
      <c r="I468" s="25"/>
      <c r="J468" s="25">
        <f t="shared" si="293"/>
        <v>0</v>
      </c>
      <c r="K468" s="25"/>
      <c r="L468" s="25"/>
      <c r="M468" s="25"/>
      <c r="N468" s="25"/>
      <c r="O468" s="25"/>
      <c r="P468" s="25">
        <f t="shared" si="292"/>
        <v>75000</v>
      </c>
      <c r="Q468" s="140"/>
    </row>
    <row r="469" spans="1:18" s="26" customFormat="1" ht="30" customHeight="1" x14ac:dyDescent="0.45">
      <c r="A469" s="22" t="s">
        <v>213</v>
      </c>
      <c r="B469" s="23" t="str">
        <f>'дод 7'!A321</f>
        <v>8340</v>
      </c>
      <c r="C469" s="22" t="str">
        <f>'дод 7'!B321</f>
        <v>0540</v>
      </c>
      <c r="D469" s="24" t="str">
        <f>'дод 7'!C321</f>
        <v>Природоохоронні заходи за рахунок цільових фондів</v>
      </c>
      <c r="E469" s="25">
        <f t="shared" si="291"/>
        <v>0</v>
      </c>
      <c r="F469" s="25"/>
      <c r="G469" s="25"/>
      <c r="H469" s="25"/>
      <c r="I469" s="25"/>
      <c r="J469" s="25">
        <f t="shared" si="293"/>
        <v>289600</v>
      </c>
      <c r="K469" s="25"/>
      <c r="L469" s="25">
        <v>289600</v>
      </c>
      <c r="M469" s="25"/>
      <c r="N469" s="25"/>
      <c r="O469" s="25"/>
      <c r="P469" s="25">
        <f t="shared" si="292"/>
        <v>289600</v>
      </c>
      <c r="Q469" s="154">
        <v>18</v>
      </c>
    </row>
    <row r="470" spans="1:18" s="26" customFormat="1" ht="21.75" customHeight="1" x14ac:dyDescent="0.45">
      <c r="A470" s="22" t="s">
        <v>214</v>
      </c>
      <c r="B470" s="23" t="str">
        <f>'дод 7'!A324</f>
        <v>8600</v>
      </c>
      <c r="C470" s="23" t="str">
        <f>'дод 7'!B324</f>
        <v>0170</v>
      </c>
      <c r="D470" s="24" t="str">
        <f>'дод 7'!C324</f>
        <v>Обслуговування місцевого боргу</v>
      </c>
      <c r="E470" s="25">
        <f t="shared" si="291"/>
        <v>1617069</v>
      </c>
      <c r="F470" s="25">
        <f>3017069-1400000</f>
        <v>1617069</v>
      </c>
      <c r="G470" s="25"/>
      <c r="H470" s="25"/>
      <c r="I470" s="25"/>
      <c r="J470" s="25">
        <f t="shared" si="293"/>
        <v>0</v>
      </c>
      <c r="K470" s="25"/>
      <c r="L470" s="25"/>
      <c r="M470" s="25"/>
      <c r="N470" s="25"/>
      <c r="O470" s="25"/>
      <c r="P470" s="25">
        <f t="shared" si="292"/>
        <v>1617069</v>
      </c>
      <c r="Q470" s="154"/>
    </row>
    <row r="471" spans="1:18" s="108" customFormat="1" ht="24.75" customHeight="1" x14ac:dyDescent="0.45">
      <c r="A471" s="22" t="s">
        <v>475</v>
      </c>
      <c r="B471" s="23">
        <v>8710</v>
      </c>
      <c r="C471" s="23" t="str">
        <f>'дод 7'!B326</f>
        <v>0133</v>
      </c>
      <c r="D471" s="24" t="str">
        <f>'дод 7'!C326</f>
        <v>Резервний фонд місцевого бюджету</v>
      </c>
      <c r="E471" s="25">
        <f>80000000+20000000+100000000+30000000-18036300-500000+10000000-15714580+12700-5000-5000-213795+173300-428200-300000+137824-3283700+410600-78828579-3000000-3700000+341000-2300000+47414669+120000-13120000-10670000-13121284+5000000-4585060-1000000-20105000-1300000+4000000-14736631-141416+1060000-400000-3500000-71937477-2331018.88-180000-114370-3854958.56-8979020-1644952-200000-179000+3071.42-110000</f>
        <v>147822.98000000053</v>
      </c>
      <c r="F471" s="25"/>
      <c r="G471" s="25"/>
      <c r="H471" s="25"/>
      <c r="I471" s="25"/>
      <c r="J471" s="25">
        <f t="shared" si="293"/>
        <v>0</v>
      </c>
      <c r="K471" s="25"/>
      <c r="L471" s="25"/>
      <c r="M471" s="25"/>
      <c r="N471" s="25"/>
      <c r="O471" s="25"/>
      <c r="P471" s="25">
        <f t="shared" si="292"/>
        <v>147822.98000000053</v>
      </c>
      <c r="Q471" s="154"/>
      <c r="R471" s="26" t="s">
        <v>746</v>
      </c>
    </row>
    <row r="472" spans="1:18" s="26" customFormat="1" ht="24.75" hidden="1" customHeight="1" x14ac:dyDescent="0.45">
      <c r="A472" s="22" t="s">
        <v>224</v>
      </c>
      <c r="B472" s="23" t="str">
        <f>'дод 7'!A330</f>
        <v>9110</v>
      </c>
      <c r="C472" s="23" t="str">
        <f>'дод 7'!B330</f>
        <v>0180</v>
      </c>
      <c r="D472" s="24" t="str">
        <f>'дод 7'!C330</f>
        <v>Реверсна дотація</v>
      </c>
      <c r="E472" s="25">
        <f>F472+I472</f>
        <v>0</v>
      </c>
      <c r="F472" s="25"/>
      <c r="G472" s="25"/>
      <c r="H472" s="25"/>
      <c r="I472" s="25"/>
      <c r="J472" s="25">
        <f t="shared" si="293"/>
        <v>0</v>
      </c>
      <c r="K472" s="25"/>
      <c r="L472" s="25"/>
      <c r="M472" s="25"/>
      <c r="N472" s="25"/>
      <c r="O472" s="25"/>
      <c r="P472" s="25">
        <f t="shared" si="292"/>
        <v>0</v>
      </c>
      <c r="Q472" s="154"/>
    </row>
    <row r="473" spans="1:18" s="26" customFormat="1" ht="24.75" customHeight="1" x14ac:dyDescent="0.45">
      <c r="A473" s="22" t="s">
        <v>715</v>
      </c>
      <c r="B473" s="45" t="s">
        <v>14</v>
      </c>
      <c r="C473" s="23" t="s">
        <v>43</v>
      </c>
      <c r="D473" s="35" t="s">
        <v>342</v>
      </c>
      <c r="E473" s="25">
        <f t="shared" ref="E473" si="294">F473+I473</f>
        <v>353797</v>
      </c>
      <c r="F473" s="25">
        <v>353797</v>
      </c>
      <c r="G473" s="25"/>
      <c r="H473" s="25"/>
      <c r="I473" s="25"/>
      <c r="J473" s="25"/>
      <c r="K473" s="25"/>
      <c r="L473" s="25"/>
      <c r="M473" s="25"/>
      <c r="N473" s="25"/>
      <c r="O473" s="25"/>
      <c r="P473" s="25">
        <f t="shared" si="292"/>
        <v>353797</v>
      </c>
      <c r="Q473" s="154"/>
    </row>
    <row r="474" spans="1:18" s="26" customFormat="1" ht="36.75" customHeight="1" x14ac:dyDescent="0.4">
      <c r="A474" s="37" t="s">
        <v>643</v>
      </c>
      <c r="B474" s="23"/>
      <c r="C474" s="23"/>
      <c r="D474" s="39" t="s">
        <v>652</v>
      </c>
      <c r="E474" s="15">
        <f>E475</f>
        <v>10692042.6</v>
      </c>
      <c r="F474" s="15">
        <f t="shared" ref="F474:O474" si="295">F475</f>
        <v>10692042.6</v>
      </c>
      <c r="G474" s="15">
        <f t="shared" si="295"/>
        <v>8166571</v>
      </c>
      <c r="H474" s="15">
        <f t="shared" si="295"/>
        <v>115100</v>
      </c>
      <c r="I474" s="15">
        <f t="shared" si="295"/>
        <v>0</v>
      </c>
      <c r="J474" s="15">
        <f t="shared" si="295"/>
        <v>718157.4</v>
      </c>
      <c r="K474" s="15">
        <f t="shared" si="295"/>
        <v>718157.4</v>
      </c>
      <c r="L474" s="15">
        <f t="shared" si="295"/>
        <v>0</v>
      </c>
      <c r="M474" s="15">
        <f t="shared" si="295"/>
        <v>0</v>
      </c>
      <c r="N474" s="15">
        <f t="shared" si="295"/>
        <v>0</v>
      </c>
      <c r="O474" s="15">
        <f t="shared" si="295"/>
        <v>718157.4</v>
      </c>
      <c r="P474" s="15">
        <f t="shared" ref="P474:P478" si="296">E474+J474</f>
        <v>11410200</v>
      </c>
      <c r="Q474" s="154"/>
    </row>
    <row r="475" spans="1:18" s="26" customFormat="1" ht="38.25" customHeight="1" x14ac:dyDescent="0.4">
      <c r="A475" s="17" t="s">
        <v>643</v>
      </c>
      <c r="B475" s="23"/>
      <c r="C475" s="23"/>
      <c r="D475" s="19" t="s">
        <v>710</v>
      </c>
      <c r="E475" s="20">
        <f t="shared" ref="E475:O475" si="297">E477</f>
        <v>10692042.6</v>
      </c>
      <c r="F475" s="20">
        <f t="shared" si="297"/>
        <v>10692042.6</v>
      </c>
      <c r="G475" s="20">
        <f t="shared" si="297"/>
        <v>8166571</v>
      </c>
      <c r="H475" s="20">
        <f t="shared" si="297"/>
        <v>115100</v>
      </c>
      <c r="I475" s="20">
        <f t="shared" si="297"/>
        <v>0</v>
      </c>
      <c r="J475" s="20">
        <f t="shared" si="297"/>
        <v>718157.4</v>
      </c>
      <c r="K475" s="20">
        <f t="shared" si="297"/>
        <v>718157.4</v>
      </c>
      <c r="L475" s="20">
        <f t="shared" si="297"/>
        <v>0</v>
      </c>
      <c r="M475" s="20">
        <f t="shared" si="297"/>
        <v>0</v>
      </c>
      <c r="N475" s="20">
        <f t="shared" si="297"/>
        <v>0</v>
      </c>
      <c r="O475" s="20">
        <f t="shared" si="297"/>
        <v>718157.4</v>
      </c>
      <c r="P475" s="20">
        <f t="shared" si="296"/>
        <v>11410200</v>
      </c>
      <c r="Q475" s="154"/>
    </row>
    <row r="476" spans="1:18" s="26" customFormat="1" ht="106.5" customHeight="1" x14ac:dyDescent="0.4">
      <c r="A476" s="17"/>
      <c r="B476" s="23"/>
      <c r="C476" s="23"/>
      <c r="D476" s="54" t="s">
        <v>619</v>
      </c>
      <c r="E476" s="20">
        <f>E478</f>
        <v>2702100</v>
      </c>
      <c r="F476" s="20">
        <f>F478</f>
        <v>2702100</v>
      </c>
      <c r="G476" s="20">
        <f>G478</f>
        <v>2183571</v>
      </c>
      <c r="H476" s="20">
        <f t="shared" ref="H476:P476" si="298">H478</f>
        <v>0</v>
      </c>
      <c r="I476" s="20">
        <f t="shared" si="298"/>
        <v>0</v>
      </c>
      <c r="J476" s="20">
        <f t="shared" si="298"/>
        <v>312000</v>
      </c>
      <c r="K476" s="20">
        <f t="shared" si="298"/>
        <v>312000</v>
      </c>
      <c r="L476" s="20">
        <f t="shared" si="298"/>
        <v>0</v>
      </c>
      <c r="M476" s="20">
        <f t="shared" si="298"/>
        <v>0</v>
      </c>
      <c r="N476" s="20">
        <f t="shared" si="298"/>
        <v>0</v>
      </c>
      <c r="O476" s="20">
        <f t="shared" si="298"/>
        <v>312000</v>
      </c>
      <c r="P476" s="20">
        <f t="shared" si="298"/>
        <v>3014100</v>
      </c>
      <c r="Q476" s="154"/>
    </row>
    <row r="477" spans="1:18" s="108" customFormat="1" ht="46.15" x14ac:dyDescent="0.45">
      <c r="A477" s="22" t="s">
        <v>644</v>
      </c>
      <c r="B477" s="22" t="s">
        <v>114</v>
      </c>
      <c r="C477" s="23" t="s">
        <v>44</v>
      </c>
      <c r="D477" s="24" t="s">
        <v>708</v>
      </c>
      <c r="E477" s="25">
        <f t="shared" ref="E477:E478" si="299">F477+I477</f>
        <v>10692042.6</v>
      </c>
      <c r="F477" s="25">
        <f>7421100+5000+620000+7970+1849200-274000+1126900-64127.4</f>
        <v>10692042.6</v>
      </c>
      <c r="G477" s="25">
        <f>5470600+4100+508300+1259900+923671</f>
        <v>8166571</v>
      </c>
      <c r="H477" s="25">
        <f>92800+22300</f>
        <v>115100</v>
      </c>
      <c r="I477" s="25"/>
      <c r="J477" s="25">
        <f t="shared" ref="J477:J478" si="300">L477+O477</f>
        <v>718157.4</v>
      </c>
      <c r="K477" s="25">
        <f>350000-7970+38000+274000+64127.4</f>
        <v>718157.4</v>
      </c>
      <c r="L477" s="25"/>
      <c r="M477" s="25"/>
      <c r="N477" s="25"/>
      <c r="O477" s="25">
        <f>350000-7970+38000+274000+64127.4</f>
        <v>718157.4</v>
      </c>
      <c r="P477" s="25">
        <f t="shared" si="296"/>
        <v>11410200</v>
      </c>
      <c r="Q477" s="154"/>
      <c r="R477" s="26"/>
    </row>
    <row r="478" spans="1:18" s="31" customFormat="1" ht="108" customHeight="1" x14ac:dyDescent="0.45">
      <c r="A478" s="27"/>
      <c r="B478" s="27"/>
      <c r="C478" s="28"/>
      <c r="D478" s="48" t="s">
        <v>619</v>
      </c>
      <c r="E478" s="30">
        <f t="shared" si="299"/>
        <v>2702100</v>
      </c>
      <c r="F478" s="30">
        <f>1849200-274000+1126900</f>
        <v>2702100</v>
      </c>
      <c r="G478" s="30">
        <f>1259900+923671</f>
        <v>2183571</v>
      </c>
      <c r="H478" s="30"/>
      <c r="I478" s="30"/>
      <c r="J478" s="30">
        <f t="shared" si="300"/>
        <v>312000</v>
      </c>
      <c r="K478" s="30">
        <f>38000+274000</f>
        <v>312000</v>
      </c>
      <c r="L478" s="30"/>
      <c r="M478" s="30"/>
      <c r="N478" s="30"/>
      <c r="O478" s="30">
        <f>38000+274000</f>
        <v>312000</v>
      </c>
      <c r="P478" s="30">
        <f t="shared" si="296"/>
        <v>3014100</v>
      </c>
      <c r="Q478" s="154"/>
    </row>
    <row r="479" spans="1:18" s="16" customFormat="1" ht="22.5" customHeight="1" x14ac:dyDescent="0.4">
      <c r="A479" s="37"/>
      <c r="B479" s="38"/>
      <c r="C479" s="136"/>
      <c r="D479" s="39" t="s">
        <v>388</v>
      </c>
      <c r="E479" s="15">
        <f t="shared" ref="E479:P479" si="301">E16+E76+E174+E220+E272+E281+E295+E373+E380+E416+E424+E431+E460+E376+E449+E439+E427+E474</f>
        <v>3097028342.6500001</v>
      </c>
      <c r="F479" s="15">
        <f t="shared" si="301"/>
        <v>2883550325.5</v>
      </c>
      <c r="G479" s="15">
        <f t="shared" si="301"/>
        <v>1394826629</v>
      </c>
      <c r="H479" s="15">
        <f t="shared" si="301"/>
        <v>198280705.58000001</v>
      </c>
      <c r="I479" s="15">
        <f t="shared" si="301"/>
        <v>213330194.16999999</v>
      </c>
      <c r="J479" s="15">
        <f t="shared" si="301"/>
        <v>1205378411.9400001</v>
      </c>
      <c r="K479" s="15">
        <f t="shared" si="301"/>
        <v>998096266.43999994</v>
      </c>
      <c r="L479" s="15">
        <f t="shared" si="301"/>
        <v>119141339</v>
      </c>
      <c r="M479" s="15">
        <f t="shared" si="301"/>
        <v>10161379</v>
      </c>
      <c r="N479" s="15">
        <f t="shared" si="301"/>
        <v>5905712</v>
      </c>
      <c r="O479" s="15">
        <f t="shared" si="301"/>
        <v>1086237072.9400001</v>
      </c>
      <c r="P479" s="15">
        <f t="shared" si="301"/>
        <v>4302406754.5900002</v>
      </c>
      <c r="Q479" s="154"/>
    </row>
    <row r="480" spans="1:18" s="21" customFormat="1" ht="26.45" customHeight="1" x14ac:dyDescent="0.4">
      <c r="A480" s="17"/>
      <c r="B480" s="40"/>
      <c r="C480" s="18"/>
      <c r="D480" s="19" t="s">
        <v>735</v>
      </c>
      <c r="E480" s="20">
        <f t="shared" ref="E480:P480" si="302">E78+E79+E382+E304+E223+E80+E224+E383+E184+E81+E83+E19+E185+E306+E384+E462+E476+E283+E82+E20+E441</f>
        <v>664870485.88999999</v>
      </c>
      <c r="F480" s="20">
        <f t="shared" si="302"/>
        <v>652766458.88999999</v>
      </c>
      <c r="G480" s="20">
        <f t="shared" si="302"/>
        <v>455205701</v>
      </c>
      <c r="H480" s="20">
        <f t="shared" si="302"/>
        <v>0</v>
      </c>
      <c r="I480" s="20">
        <f t="shared" si="302"/>
        <v>12104027</v>
      </c>
      <c r="J480" s="20">
        <f t="shared" si="302"/>
        <v>245509567</v>
      </c>
      <c r="K480" s="20">
        <f t="shared" si="302"/>
        <v>245509567</v>
      </c>
      <c r="L480" s="20">
        <f t="shared" si="302"/>
        <v>0</v>
      </c>
      <c r="M480" s="20">
        <f t="shared" si="302"/>
        <v>0</v>
      </c>
      <c r="N480" s="20">
        <f t="shared" si="302"/>
        <v>0</v>
      </c>
      <c r="O480" s="20">
        <f t="shared" si="302"/>
        <v>245509567</v>
      </c>
      <c r="P480" s="20">
        <f t="shared" si="302"/>
        <v>910380052.88999999</v>
      </c>
      <c r="Q480" s="154"/>
    </row>
    <row r="481" spans="1:17" s="21" customFormat="1" ht="90" x14ac:dyDescent="0.4">
      <c r="A481" s="17"/>
      <c r="B481" s="40"/>
      <c r="C481" s="18"/>
      <c r="D481" s="54" t="s">
        <v>619</v>
      </c>
      <c r="E481" s="20">
        <f t="shared" ref="E481:P481" si="303">E19+E83+E185+E224+E283+E306+E384+E462+E476-E114+E441+E223</f>
        <v>97657572</v>
      </c>
      <c r="F481" s="20">
        <f t="shared" si="303"/>
        <v>85553545</v>
      </c>
      <c r="G481" s="20">
        <f t="shared" si="303"/>
        <v>2531101</v>
      </c>
      <c r="H481" s="20">
        <f t="shared" si="303"/>
        <v>0</v>
      </c>
      <c r="I481" s="20">
        <f t="shared" si="303"/>
        <v>12104027</v>
      </c>
      <c r="J481" s="20">
        <f t="shared" si="303"/>
        <v>12711985</v>
      </c>
      <c r="K481" s="20">
        <f t="shared" si="303"/>
        <v>12711985</v>
      </c>
      <c r="L481" s="20">
        <f t="shared" si="303"/>
        <v>0</v>
      </c>
      <c r="M481" s="20">
        <f t="shared" si="303"/>
        <v>0</v>
      </c>
      <c r="N481" s="20">
        <f t="shared" si="303"/>
        <v>0</v>
      </c>
      <c r="O481" s="20">
        <f t="shared" si="303"/>
        <v>12711985</v>
      </c>
      <c r="P481" s="20">
        <f t="shared" si="303"/>
        <v>110369557</v>
      </c>
      <c r="Q481" s="154"/>
    </row>
    <row r="482" spans="1:17" s="21" customFormat="1" ht="44.65" customHeight="1" x14ac:dyDescent="0.4">
      <c r="A482" s="17"/>
      <c r="B482" s="40"/>
      <c r="C482" s="18"/>
      <c r="D482" s="19" t="s">
        <v>655</v>
      </c>
      <c r="E482" s="20">
        <f t="shared" ref="E482:P482" si="304">E84+E91+E305+E85+E86+E87+E225+E226+E88+E227+E228</f>
        <v>8187970.5999999996</v>
      </c>
      <c r="F482" s="20">
        <f t="shared" si="304"/>
        <v>8187970.5999999996</v>
      </c>
      <c r="G482" s="20">
        <f t="shared" si="304"/>
        <v>4411615</v>
      </c>
      <c r="H482" s="20">
        <f t="shared" si="304"/>
        <v>0</v>
      </c>
      <c r="I482" s="20">
        <f t="shared" si="304"/>
        <v>0</v>
      </c>
      <c r="J482" s="20">
        <f t="shared" si="304"/>
        <v>135237612.44999999</v>
      </c>
      <c r="K482" s="20">
        <f t="shared" si="304"/>
        <v>50018655.789999999</v>
      </c>
      <c r="L482" s="20">
        <f t="shared" si="304"/>
        <v>4558902</v>
      </c>
      <c r="M482" s="20">
        <f t="shared" si="304"/>
        <v>0</v>
      </c>
      <c r="N482" s="20">
        <f t="shared" si="304"/>
        <v>0</v>
      </c>
      <c r="O482" s="20">
        <f t="shared" si="304"/>
        <v>130678710.44999999</v>
      </c>
      <c r="P482" s="20">
        <f t="shared" si="304"/>
        <v>143425583.04999998</v>
      </c>
      <c r="Q482" s="154"/>
    </row>
    <row r="483" spans="1:17" s="21" customFormat="1" ht="27.75" customHeight="1" x14ac:dyDescent="0.4">
      <c r="A483" s="17"/>
      <c r="B483" s="40"/>
      <c r="C483" s="18"/>
      <c r="D483" s="19" t="s">
        <v>656</v>
      </c>
      <c r="E483" s="20">
        <f t="shared" ref="E483:P483" si="305">E222+E18+E90+E307+E21+E186</f>
        <v>11797475.810000001</v>
      </c>
      <c r="F483" s="20">
        <f t="shared" si="305"/>
        <v>11797475.810000001</v>
      </c>
      <c r="G483" s="20">
        <f t="shared" si="305"/>
        <v>336800</v>
      </c>
      <c r="H483" s="20">
        <f t="shared" si="305"/>
        <v>0</v>
      </c>
      <c r="I483" s="20">
        <f t="shared" si="305"/>
        <v>0</v>
      </c>
      <c r="J483" s="20">
        <f t="shared" si="305"/>
        <v>7792296</v>
      </c>
      <c r="K483" s="20">
        <f t="shared" si="305"/>
        <v>1228100</v>
      </c>
      <c r="L483" s="20">
        <f t="shared" si="305"/>
        <v>6564196</v>
      </c>
      <c r="M483" s="20">
        <f t="shared" si="305"/>
        <v>0</v>
      </c>
      <c r="N483" s="20">
        <f t="shared" si="305"/>
        <v>0</v>
      </c>
      <c r="O483" s="20">
        <f t="shared" si="305"/>
        <v>1228100</v>
      </c>
      <c r="P483" s="20">
        <f t="shared" si="305"/>
        <v>19589771.810000002</v>
      </c>
      <c r="Q483" s="154"/>
    </row>
    <row r="484" spans="1:17" s="21" customFormat="1" ht="20.25" customHeight="1" x14ac:dyDescent="0.4">
      <c r="A484" s="17"/>
      <c r="B484" s="40"/>
      <c r="C484" s="40"/>
      <c r="D484" s="19" t="s">
        <v>399</v>
      </c>
      <c r="E484" s="20">
        <f t="shared" ref="E484:P484" si="306">E183+E385+E302+E386</f>
        <v>0</v>
      </c>
      <c r="F484" s="20">
        <f t="shared" si="306"/>
        <v>0</v>
      </c>
      <c r="G484" s="20">
        <f t="shared" si="306"/>
        <v>0</v>
      </c>
      <c r="H484" s="20">
        <f t="shared" si="306"/>
        <v>0</v>
      </c>
      <c r="I484" s="20">
        <f t="shared" si="306"/>
        <v>0</v>
      </c>
      <c r="J484" s="20">
        <f t="shared" si="306"/>
        <v>104076609</v>
      </c>
      <c r="K484" s="20">
        <f t="shared" si="306"/>
        <v>104076609</v>
      </c>
      <c r="L484" s="20">
        <f t="shared" si="306"/>
        <v>0</v>
      </c>
      <c r="M484" s="20">
        <f t="shared" si="306"/>
        <v>0</v>
      </c>
      <c r="N484" s="20">
        <f t="shared" si="306"/>
        <v>0</v>
      </c>
      <c r="O484" s="20">
        <f t="shared" si="306"/>
        <v>104076609</v>
      </c>
      <c r="P484" s="20">
        <f t="shared" si="306"/>
        <v>104076609</v>
      </c>
      <c r="Q484" s="154"/>
    </row>
    <row r="485" spans="1:17" s="21" customFormat="1" ht="20.25" customHeight="1" x14ac:dyDescent="0.4">
      <c r="A485" s="17"/>
      <c r="B485" s="40"/>
      <c r="C485" s="40"/>
      <c r="D485" s="19" t="s">
        <v>597</v>
      </c>
      <c r="E485" s="20">
        <f t="shared" ref="E485:P485" si="307">E22+E308</f>
        <v>0</v>
      </c>
      <c r="F485" s="20">
        <f t="shared" si="307"/>
        <v>0</v>
      </c>
      <c r="G485" s="20">
        <f t="shared" si="307"/>
        <v>0</v>
      </c>
      <c r="H485" s="20">
        <f t="shared" si="307"/>
        <v>0</v>
      </c>
      <c r="I485" s="20">
        <f t="shared" si="307"/>
        <v>0</v>
      </c>
      <c r="J485" s="20">
        <f t="shared" si="307"/>
        <v>5904588</v>
      </c>
      <c r="K485" s="20">
        <f t="shared" si="307"/>
        <v>0</v>
      </c>
      <c r="L485" s="20">
        <f t="shared" si="307"/>
        <v>447641</v>
      </c>
      <c r="M485" s="20">
        <f t="shared" si="307"/>
        <v>0</v>
      </c>
      <c r="N485" s="20">
        <f t="shared" si="307"/>
        <v>0</v>
      </c>
      <c r="O485" s="20">
        <f t="shared" si="307"/>
        <v>5456947</v>
      </c>
      <c r="P485" s="20">
        <f t="shared" si="307"/>
        <v>5904588</v>
      </c>
      <c r="Q485" s="154"/>
    </row>
    <row r="486" spans="1:17" s="21" customFormat="1" ht="20.25" customHeight="1" x14ac:dyDescent="0.4">
      <c r="A486" s="56"/>
      <c r="B486" s="57"/>
      <c r="C486" s="57"/>
      <c r="D486" s="58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154"/>
    </row>
    <row r="487" spans="1:17" s="21" customFormat="1" ht="111.75" customHeight="1" x14ac:dyDescent="0.4">
      <c r="A487" s="56"/>
      <c r="B487" s="57"/>
      <c r="C487" s="57"/>
      <c r="D487" s="58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154"/>
    </row>
    <row r="488" spans="1:17" ht="49.5" customHeight="1" x14ac:dyDescent="0.85">
      <c r="A488" s="144" t="s">
        <v>743</v>
      </c>
      <c r="B488" s="144"/>
      <c r="C488" s="144"/>
      <c r="D488" s="144"/>
      <c r="E488" s="144"/>
      <c r="F488" s="60"/>
      <c r="G488" s="61"/>
      <c r="H488" s="61"/>
      <c r="I488" s="61"/>
      <c r="J488" s="61"/>
      <c r="K488" s="61"/>
      <c r="L488" s="141"/>
      <c r="M488" s="141"/>
      <c r="N488" s="141"/>
      <c r="O488" s="142" t="s">
        <v>742</v>
      </c>
      <c r="P488" s="142"/>
      <c r="Q488" s="154"/>
    </row>
    <row r="489" spans="1:17" ht="30" customHeight="1" x14ac:dyDescent="0.85">
      <c r="A489" s="144"/>
      <c r="B489" s="144"/>
      <c r="C489" s="144"/>
      <c r="D489" s="144"/>
      <c r="E489" s="144"/>
      <c r="F489" s="61"/>
      <c r="G489" s="61"/>
      <c r="H489" s="61"/>
      <c r="I489" s="61"/>
      <c r="J489" s="61"/>
      <c r="K489" s="61"/>
      <c r="L489" s="61"/>
      <c r="M489" s="61"/>
      <c r="P489" s="5"/>
      <c r="Q489" s="154"/>
    </row>
    <row r="490" spans="1:17" s="65" customFormat="1" ht="23.65" customHeight="1" x14ac:dyDescent="0.7">
      <c r="A490" s="62"/>
      <c r="B490" s="63"/>
      <c r="C490" s="63"/>
      <c r="D490" s="39" t="s">
        <v>388</v>
      </c>
      <c r="E490" s="64">
        <f>E479-'дод 7'!D340</f>
        <v>0</v>
      </c>
      <c r="F490" s="64">
        <f>F479-'дод 7'!E340</f>
        <v>0</v>
      </c>
      <c r="G490" s="64">
        <f>G479-'дод 7'!F340</f>
        <v>0</v>
      </c>
      <c r="H490" s="64">
        <f>H479-'дод 7'!G340</f>
        <v>0</v>
      </c>
      <c r="I490" s="64">
        <f>I479-'дод 7'!H340</f>
        <v>0</v>
      </c>
      <c r="J490" s="64">
        <f>J479-'дод 7'!I340</f>
        <v>0</v>
      </c>
      <c r="K490" s="64">
        <f>K479-'дод 7'!J340</f>
        <v>0</v>
      </c>
      <c r="L490" s="64">
        <f>L479-'дод 7'!K340</f>
        <v>0</v>
      </c>
      <c r="M490" s="64">
        <f>M479-'дод 7'!L340</f>
        <v>0</v>
      </c>
      <c r="N490" s="64">
        <f>N479-'дод 7'!M340</f>
        <v>0</v>
      </c>
      <c r="O490" s="64">
        <f>O479-'дод 7'!N340</f>
        <v>0</v>
      </c>
      <c r="P490" s="64">
        <f>P479-'дод 7'!O340</f>
        <v>0</v>
      </c>
      <c r="Q490" s="121"/>
    </row>
    <row r="491" spans="1:17" ht="15" x14ac:dyDescent="0.4">
      <c r="D491" s="19" t="s">
        <v>654</v>
      </c>
      <c r="E491" s="66">
        <f>E480-'дод 7'!D341</f>
        <v>0</v>
      </c>
      <c r="F491" s="66">
        <f>F480-'дод 7'!E341</f>
        <v>0</v>
      </c>
      <c r="G491" s="66">
        <f>G480-'дод 7'!F341</f>
        <v>0</v>
      </c>
      <c r="H491" s="66">
        <f>H480-'дод 7'!G341</f>
        <v>0</v>
      </c>
      <c r="I491" s="66">
        <f>I480-'дод 7'!H341</f>
        <v>0</v>
      </c>
      <c r="J491" s="66">
        <f>J480-'дод 7'!I341</f>
        <v>0</v>
      </c>
      <c r="K491" s="66">
        <f>K480-'дод 7'!J341</f>
        <v>0</v>
      </c>
      <c r="L491" s="66">
        <f>L480-'дод 7'!K341</f>
        <v>0</v>
      </c>
      <c r="M491" s="66">
        <f>M480-'дод 7'!L341</f>
        <v>0</v>
      </c>
      <c r="N491" s="66">
        <f>N480-'дод 7'!M341</f>
        <v>0</v>
      </c>
      <c r="O491" s="66">
        <f>O480-'дод 7'!N341</f>
        <v>0</v>
      </c>
      <c r="P491" s="66">
        <f>P480-'дод 7'!O341</f>
        <v>0</v>
      </c>
      <c r="Q491" s="121"/>
    </row>
    <row r="492" spans="1:17" ht="15" x14ac:dyDescent="0.4">
      <c r="D492" s="19" t="s">
        <v>734</v>
      </c>
      <c r="E492" s="66">
        <f>E481-'дод 7'!D342</f>
        <v>0</v>
      </c>
      <c r="F492" s="66">
        <f>F481-'дод 7'!E342</f>
        <v>0</v>
      </c>
      <c r="G492" s="66">
        <f>G481-'дод 7'!F342</f>
        <v>0</v>
      </c>
      <c r="H492" s="66">
        <f>H481-'дод 7'!G342</f>
        <v>0</v>
      </c>
      <c r="I492" s="66">
        <f>I481-'дод 7'!H342</f>
        <v>0</v>
      </c>
      <c r="J492" s="66">
        <f>J481-'дод 7'!I342</f>
        <v>0</v>
      </c>
      <c r="K492" s="66">
        <f>K481-'дод 7'!J342</f>
        <v>0</v>
      </c>
      <c r="L492" s="66">
        <f>L481-'дод 7'!K342</f>
        <v>0</v>
      </c>
      <c r="M492" s="66">
        <f>M481-'дод 7'!L342</f>
        <v>0</v>
      </c>
      <c r="N492" s="66">
        <f>N481-'дод 7'!M342</f>
        <v>0</v>
      </c>
      <c r="O492" s="66">
        <f>O481-'дод 7'!N342</f>
        <v>0</v>
      </c>
      <c r="P492" s="66">
        <f>P481-'дод 7'!O342</f>
        <v>0</v>
      </c>
      <c r="Q492" s="121"/>
    </row>
    <row r="493" spans="1:17" ht="45" x14ac:dyDescent="0.4">
      <c r="D493" s="19" t="s">
        <v>655</v>
      </c>
      <c r="E493" s="66">
        <f>E482-'дод 7'!D343</f>
        <v>0</v>
      </c>
      <c r="F493" s="66">
        <f>F482-'дод 7'!E343</f>
        <v>0</v>
      </c>
      <c r="G493" s="66">
        <f>G482-'дод 7'!F343</f>
        <v>0</v>
      </c>
      <c r="H493" s="66">
        <f>H482-'дод 7'!G343</f>
        <v>0</v>
      </c>
      <c r="I493" s="66">
        <f>I482-'дод 7'!H343</f>
        <v>0</v>
      </c>
      <c r="J493" s="66">
        <f>J482-'дод 7'!I343</f>
        <v>0</v>
      </c>
      <c r="K493" s="66">
        <f>K482-'дод 7'!J343</f>
        <v>0</v>
      </c>
      <c r="L493" s="66">
        <f>L482-'дод 7'!K343</f>
        <v>0</v>
      </c>
      <c r="M493" s="66">
        <f>M482-'дод 7'!L343</f>
        <v>0</v>
      </c>
      <c r="N493" s="66">
        <f>N482-'дод 7'!M343</f>
        <v>0</v>
      </c>
      <c r="O493" s="66">
        <f>O482-'дод 7'!N343</f>
        <v>0</v>
      </c>
      <c r="P493" s="66">
        <f>P482-'дод 7'!O343</f>
        <v>0</v>
      </c>
      <c r="Q493" s="121"/>
    </row>
    <row r="494" spans="1:17" ht="15" x14ac:dyDescent="0.4">
      <c r="D494" s="19" t="s">
        <v>656</v>
      </c>
      <c r="E494" s="66">
        <f>E483-'дод 7'!D344</f>
        <v>0</v>
      </c>
      <c r="F494" s="66">
        <f>F483-'дод 7'!E344</f>
        <v>0</v>
      </c>
      <c r="G494" s="66">
        <f>G483-'дод 7'!F344</f>
        <v>0</v>
      </c>
      <c r="H494" s="66">
        <f>H483-'дод 7'!G344</f>
        <v>0</v>
      </c>
      <c r="I494" s="66">
        <f>I483-'дод 7'!H344</f>
        <v>0</v>
      </c>
      <c r="J494" s="66">
        <f>J483-'дод 7'!I344</f>
        <v>0</v>
      </c>
      <c r="K494" s="66">
        <f>K483-'дод 7'!J344</f>
        <v>0</v>
      </c>
      <c r="L494" s="66">
        <f>L483-'дод 7'!K344</f>
        <v>0</v>
      </c>
      <c r="M494" s="66">
        <f>M483-'дод 7'!L344</f>
        <v>0</v>
      </c>
      <c r="N494" s="66">
        <f>N483-'дод 7'!M344</f>
        <v>0</v>
      </c>
      <c r="O494" s="66">
        <f>O483-'дод 7'!N344</f>
        <v>0</v>
      </c>
      <c r="P494" s="66">
        <f>P483-'дод 7'!O344</f>
        <v>0</v>
      </c>
      <c r="Q494" s="121"/>
    </row>
    <row r="495" spans="1:17" ht="15" x14ac:dyDescent="0.4">
      <c r="D495" s="19" t="s">
        <v>399</v>
      </c>
      <c r="E495" s="66">
        <f>E484-'дод 7'!D345</f>
        <v>0</v>
      </c>
      <c r="F495" s="66">
        <f>F484-'дод 7'!E345</f>
        <v>0</v>
      </c>
      <c r="G495" s="66">
        <f>G484-'дод 7'!F345</f>
        <v>0</v>
      </c>
      <c r="H495" s="66">
        <f>H484-'дод 7'!G345</f>
        <v>0</v>
      </c>
      <c r="I495" s="66">
        <f>I484-'дод 7'!H345</f>
        <v>0</v>
      </c>
      <c r="J495" s="66">
        <f>J484-'дод 7'!I345</f>
        <v>0</v>
      </c>
      <c r="K495" s="66">
        <f>K484-'дод 7'!J345</f>
        <v>0</v>
      </c>
      <c r="L495" s="66">
        <f>L484-'дод 7'!K345</f>
        <v>0</v>
      </c>
      <c r="M495" s="66">
        <f>M484-'дод 7'!L345</f>
        <v>0</v>
      </c>
      <c r="N495" s="66">
        <f>N484-'дод 7'!M345</f>
        <v>0</v>
      </c>
      <c r="O495" s="66">
        <f>O484-'дод 7'!N345</f>
        <v>0</v>
      </c>
      <c r="P495" s="66">
        <f>P484-'дод 7'!O345</f>
        <v>0</v>
      </c>
      <c r="Q495" s="121"/>
    </row>
    <row r="496" spans="1:17" ht="15" x14ac:dyDescent="0.4">
      <c r="D496" s="19" t="s">
        <v>597</v>
      </c>
      <c r="E496" s="66">
        <f>E485-'дод 7'!D346</f>
        <v>0</v>
      </c>
      <c r="F496" s="66">
        <f>F485-'дод 7'!E346</f>
        <v>0</v>
      </c>
      <c r="G496" s="66">
        <f>G485-'дод 7'!F346</f>
        <v>0</v>
      </c>
      <c r="H496" s="66">
        <f>H485-'дод 7'!G346</f>
        <v>0</v>
      </c>
      <c r="I496" s="66">
        <f>I485-'дод 7'!H346</f>
        <v>0</v>
      </c>
      <c r="J496" s="66">
        <f>J485-'дод 7'!I346</f>
        <v>0</v>
      </c>
      <c r="K496" s="66">
        <f>K485-'дод 7'!J346</f>
        <v>0</v>
      </c>
      <c r="L496" s="66">
        <f>L485-'дод 7'!K346</f>
        <v>0</v>
      </c>
      <c r="M496" s="66">
        <f>M485-'дод 7'!L346</f>
        <v>0</v>
      </c>
      <c r="N496" s="66">
        <f>N485-'дод 7'!M346</f>
        <v>0</v>
      </c>
      <c r="O496" s="66">
        <f>O485-'дод 7'!N346</f>
        <v>0</v>
      </c>
      <c r="P496" s="66">
        <f>P485-'дод 7'!O346</f>
        <v>0</v>
      </c>
      <c r="Q496" s="121"/>
    </row>
    <row r="497" spans="16:16" x14ac:dyDescent="0.4">
      <c r="P497" s="5"/>
    </row>
    <row r="498" spans="16:16" x14ac:dyDescent="0.4">
      <c r="P498" s="67"/>
    </row>
    <row r="499" spans="16:16" x14ac:dyDescent="0.4">
      <c r="P499" s="5"/>
    </row>
    <row r="500" spans="16:16" x14ac:dyDescent="0.4">
      <c r="P500" s="5"/>
    </row>
    <row r="501" spans="16:16" x14ac:dyDescent="0.4">
      <c r="P501" s="5"/>
    </row>
    <row r="502" spans="16:16" x14ac:dyDescent="0.4">
      <c r="P502" s="5"/>
    </row>
    <row r="503" spans="16:16" x14ac:dyDescent="0.4">
      <c r="P503" s="5"/>
    </row>
    <row r="504" spans="16:16" x14ac:dyDescent="0.4">
      <c r="P504" s="5"/>
    </row>
    <row r="505" spans="16:16" x14ac:dyDescent="0.4">
      <c r="P505" s="5"/>
    </row>
    <row r="506" spans="16:16" x14ac:dyDescent="0.4">
      <c r="P506" s="5"/>
    </row>
    <row r="507" spans="16:16" x14ac:dyDescent="0.4">
      <c r="P507" s="5"/>
    </row>
    <row r="508" spans="16:16" x14ac:dyDescent="0.4">
      <c r="P508" s="5"/>
    </row>
    <row r="509" spans="16:16" x14ac:dyDescent="0.4">
      <c r="P509" s="5"/>
    </row>
    <row r="510" spans="16:16" x14ac:dyDescent="0.4">
      <c r="P510" s="5"/>
    </row>
    <row r="511" spans="16:16" x14ac:dyDescent="0.4">
      <c r="P511" s="5"/>
    </row>
    <row r="512" spans="16:16" x14ac:dyDescent="0.4">
      <c r="P512" s="5"/>
    </row>
    <row r="513" spans="16:16" x14ac:dyDescent="0.4">
      <c r="P513" s="5"/>
    </row>
    <row r="514" spans="16:16" x14ac:dyDescent="0.4">
      <c r="P514" s="5"/>
    </row>
    <row r="515" spans="16:16" x14ac:dyDescent="0.4">
      <c r="P515" s="5"/>
    </row>
    <row r="516" spans="16:16" x14ac:dyDescent="0.4">
      <c r="P516" s="5"/>
    </row>
    <row r="517" spans="16:16" x14ac:dyDescent="0.4">
      <c r="P517" s="5"/>
    </row>
    <row r="518" spans="16:16" x14ac:dyDescent="0.4">
      <c r="P518" s="5"/>
    </row>
    <row r="519" spans="16:16" x14ac:dyDescent="0.4">
      <c r="P519" s="5"/>
    </row>
    <row r="520" spans="16:16" x14ac:dyDescent="0.4">
      <c r="P520" s="5"/>
    </row>
    <row r="521" spans="16:16" x14ac:dyDescent="0.4">
      <c r="P521" s="5"/>
    </row>
    <row r="522" spans="16:16" x14ac:dyDescent="0.4">
      <c r="P522" s="5"/>
    </row>
    <row r="523" spans="16:16" x14ac:dyDescent="0.4">
      <c r="P523" s="5"/>
    </row>
    <row r="524" spans="16:16" x14ac:dyDescent="0.4">
      <c r="P524" s="5"/>
    </row>
    <row r="525" spans="16:16" x14ac:dyDescent="0.4">
      <c r="P525" s="5"/>
    </row>
    <row r="526" spans="16:16" x14ac:dyDescent="0.4">
      <c r="P526" s="5"/>
    </row>
    <row r="527" spans="16:16" x14ac:dyDescent="0.4">
      <c r="P527" s="5"/>
    </row>
    <row r="528" spans="16:16" x14ac:dyDescent="0.4">
      <c r="P528" s="5"/>
    </row>
    <row r="529" spans="16:16" x14ac:dyDescent="0.4">
      <c r="P529" s="5"/>
    </row>
    <row r="530" spans="16:16" x14ac:dyDescent="0.4">
      <c r="P530" s="5"/>
    </row>
    <row r="531" spans="16:16" x14ac:dyDescent="0.4">
      <c r="P531" s="5"/>
    </row>
    <row r="532" spans="16:16" x14ac:dyDescent="0.4">
      <c r="P532" s="5"/>
    </row>
    <row r="533" spans="16:16" x14ac:dyDescent="0.4">
      <c r="P533" s="5"/>
    </row>
    <row r="534" spans="16:16" x14ac:dyDescent="0.4">
      <c r="P534" s="5"/>
    </row>
    <row r="535" spans="16:16" x14ac:dyDescent="0.4">
      <c r="P535" s="5"/>
    </row>
    <row r="536" spans="16:16" x14ac:dyDescent="0.4">
      <c r="P536" s="5"/>
    </row>
    <row r="537" spans="16:16" x14ac:dyDescent="0.4">
      <c r="P537" s="5"/>
    </row>
    <row r="538" spans="16:16" x14ac:dyDescent="0.4">
      <c r="P538" s="5"/>
    </row>
    <row r="539" spans="16:16" x14ac:dyDescent="0.4">
      <c r="P539" s="5"/>
    </row>
    <row r="540" spans="16:16" x14ac:dyDescent="0.4">
      <c r="P540" s="5"/>
    </row>
    <row r="541" spans="16:16" x14ac:dyDescent="0.4">
      <c r="P541" s="5"/>
    </row>
    <row r="542" spans="16:16" x14ac:dyDescent="0.4">
      <c r="P542" s="5"/>
    </row>
    <row r="543" spans="16:16" x14ac:dyDescent="0.4">
      <c r="P543" s="5"/>
    </row>
    <row r="544" spans="16:16" x14ac:dyDescent="0.4">
      <c r="P544" s="5"/>
    </row>
    <row r="545" spans="16:16" x14ac:dyDescent="0.4">
      <c r="P545" s="5"/>
    </row>
    <row r="546" spans="16:16" x14ac:dyDescent="0.4">
      <c r="P546" s="5"/>
    </row>
    <row r="547" spans="16:16" x14ac:dyDescent="0.4">
      <c r="P547" s="5"/>
    </row>
    <row r="548" spans="16:16" x14ac:dyDescent="0.4">
      <c r="P548" s="5"/>
    </row>
    <row r="549" spans="16:16" x14ac:dyDescent="0.4">
      <c r="P549" s="5"/>
    </row>
    <row r="550" spans="16:16" x14ac:dyDescent="0.4">
      <c r="P550" s="5"/>
    </row>
    <row r="551" spans="16:16" x14ac:dyDescent="0.4">
      <c r="P551" s="5"/>
    </row>
    <row r="552" spans="16:16" x14ac:dyDescent="0.4">
      <c r="P552" s="5"/>
    </row>
    <row r="553" spans="16:16" x14ac:dyDescent="0.4">
      <c r="P553" s="5"/>
    </row>
    <row r="554" spans="16:16" x14ac:dyDescent="0.4">
      <c r="P554" s="5"/>
    </row>
    <row r="555" spans="16:16" x14ac:dyDescent="0.4">
      <c r="P555" s="5"/>
    </row>
    <row r="556" spans="16:16" x14ac:dyDescent="0.4">
      <c r="P556" s="5"/>
    </row>
    <row r="557" spans="16:16" x14ac:dyDescent="0.4">
      <c r="P557" s="5"/>
    </row>
    <row r="558" spans="16:16" x14ac:dyDescent="0.4">
      <c r="P558" s="5"/>
    </row>
    <row r="559" spans="16:16" x14ac:dyDescent="0.4">
      <c r="P559" s="5"/>
    </row>
    <row r="560" spans="16:16" x14ac:dyDescent="0.4">
      <c r="P560" s="5"/>
    </row>
    <row r="561" spans="16:16" x14ac:dyDescent="0.4">
      <c r="P561" s="5"/>
    </row>
    <row r="562" spans="16:16" x14ac:dyDescent="0.4">
      <c r="P562" s="5"/>
    </row>
    <row r="563" spans="16:16" x14ac:dyDescent="0.4">
      <c r="P563" s="5"/>
    </row>
    <row r="564" spans="16:16" x14ac:dyDescent="0.4">
      <c r="P564" s="5"/>
    </row>
    <row r="565" spans="16:16" x14ac:dyDescent="0.4">
      <c r="P565" s="5"/>
    </row>
    <row r="566" spans="16:16" x14ac:dyDescent="0.4">
      <c r="P566" s="5"/>
    </row>
    <row r="567" spans="16:16" x14ac:dyDescent="0.4">
      <c r="P567" s="5"/>
    </row>
    <row r="568" spans="16:16" x14ac:dyDescent="0.4">
      <c r="P568" s="5"/>
    </row>
    <row r="569" spans="16:16" x14ac:dyDescent="0.4">
      <c r="P569" s="5"/>
    </row>
    <row r="570" spans="16:16" x14ac:dyDescent="0.4">
      <c r="P570" s="5"/>
    </row>
    <row r="571" spans="16:16" x14ac:dyDescent="0.4">
      <c r="P571" s="5"/>
    </row>
    <row r="572" spans="16:16" x14ac:dyDescent="0.4">
      <c r="P572" s="5"/>
    </row>
    <row r="573" spans="16:16" x14ac:dyDescent="0.4">
      <c r="P573" s="5"/>
    </row>
    <row r="574" spans="16:16" x14ac:dyDescent="0.4">
      <c r="P574" s="5"/>
    </row>
    <row r="575" spans="16:16" x14ac:dyDescent="0.4">
      <c r="P575" s="5"/>
    </row>
    <row r="576" spans="16:16" x14ac:dyDescent="0.4">
      <c r="P576" s="5"/>
    </row>
    <row r="577" spans="16:16" x14ac:dyDescent="0.4">
      <c r="P577" s="5"/>
    </row>
    <row r="578" spans="16:16" x14ac:dyDescent="0.4">
      <c r="P578" s="5"/>
    </row>
    <row r="579" spans="16:16" x14ac:dyDescent="0.4">
      <c r="P579" s="5"/>
    </row>
    <row r="580" spans="16:16" x14ac:dyDescent="0.4">
      <c r="P580" s="5"/>
    </row>
    <row r="581" spans="16:16" x14ac:dyDescent="0.4">
      <c r="P581" s="5"/>
    </row>
    <row r="582" spans="16:16" x14ac:dyDescent="0.4">
      <c r="P582" s="5"/>
    </row>
    <row r="583" spans="16:16" x14ac:dyDescent="0.4">
      <c r="P583" s="5"/>
    </row>
    <row r="584" spans="16:16" x14ac:dyDescent="0.4">
      <c r="P584" s="5"/>
    </row>
    <row r="585" spans="16:16" x14ac:dyDescent="0.4">
      <c r="P585" s="5"/>
    </row>
    <row r="586" spans="16:16" x14ac:dyDescent="0.4">
      <c r="P586" s="5"/>
    </row>
    <row r="587" spans="16:16" x14ac:dyDescent="0.4">
      <c r="P587" s="5"/>
    </row>
    <row r="588" spans="16:16" x14ac:dyDescent="0.4">
      <c r="P588" s="5"/>
    </row>
    <row r="589" spans="16:16" x14ac:dyDescent="0.4">
      <c r="P589" s="5"/>
    </row>
    <row r="590" spans="16:16" x14ac:dyDescent="0.4">
      <c r="P590" s="5"/>
    </row>
    <row r="591" spans="16:16" x14ac:dyDescent="0.4">
      <c r="P591" s="5"/>
    </row>
    <row r="592" spans="16:16" x14ac:dyDescent="0.4">
      <c r="P592" s="5"/>
    </row>
    <row r="593" spans="16:16" x14ac:dyDescent="0.4">
      <c r="P593" s="5"/>
    </row>
    <row r="594" spans="16:16" x14ac:dyDescent="0.4">
      <c r="P594" s="5"/>
    </row>
    <row r="595" spans="16:16" x14ac:dyDescent="0.4">
      <c r="P595" s="5"/>
    </row>
    <row r="596" spans="16:16" x14ac:dyDescent="0.4">
      <c r="P596" s="5"/>
    </row>
    <row r="597" spans="16:16" x14ac:dyDescent="0.4">
      <c r="P597" s="5"/>
    </row>
    <row r="598" spans="16:16" x14ac:dyDescent="0.4">
      <c r="P598" s="5"/>
    </row>
    <row r="599" spans="16:16" x14ac:dyDescent="0.4">
      <c r="P599" s="5"/>
    </row>
    <row r="600" spans="16:16" x14ac:dyDescent="0.4">
      <c r="P600" s="5"/>
    </row>
    <row r="601" spans="16:16" x14ac:dyDescent="0.4">
      <c r="P601" s="5"/>
    </row>
    <row r="602" spans="16:16" x14ac:dyDescent="0.4">
      <c r="P602" s="5"/>
    </row>
    <row r="603" spans="16:16" x14ac:dyDescent="0.4">
      <c r="P603" s="5"/>
    </row>
    <row r="604" spans="16:16" x14ac:dyDescent="0.4">
      <c r="P604" s="5"/>
    </row>
    <row r="605" spans="16:16" x14ac:dyDescent="0.4">
      <c r="P605" s="5"/>
    </row>
    <row r="606" spans="16:16" x14ac:dyDescent="0.4">
      <c r="P606" s="5"/>
    </row>
    <row r="607" spans="16:16" x14ac:dyDescent="0.4">
      <c r="P607" s="5"/>
    </row>
    <row r="608" spans="16:16" x14ac:dyDescent="0.4">
      <c r="P608" s="5"/>
    </row>
    <row r="609" spans="16:16" x14ac:dyDescent="0.4">
      <c r="P609" s="5"/>
    </row>
    <row r="610" spans="16:16" x14ac:dyDescent="0.4">
      <c r="P610" s="5"/>
    </row>
    <row r="611" spans="16:16" x14ac:dyDescent="0.4">
      <c r="P611" s="5"/>
    </row>
    <row r="612" spans="16:16" x14ac:dyDescent="0.4">
      <c r="P612" s="5"/>
    </row>
    <row r="613" spans="16:16" x14ac:dyDescent="0.4">
      <c r="P613" s="5"/>
    </row>
    <row r="614" spans="16:16" x14ac:dyDescent="0.4">
      <c r="P614" s="5"/>
    </row>
    <row r="615" spans="16:16" x14ac:dyDescent="0.4">
      <c r="P615" s="5"/>
    </row>
    <row r="616" spans="16:16" x14ac:dyDescent="0.4">
      <c r="P616" s="5"/>
    </row>
    <row r="617" spans="16:16" x14ac:dyDescent="0.4">
      <c r="P617" s="5"/>
    </row>
    <row r="618" spans="16:16" x14ac:dyDescent="0.4">
      <c r="P618" s="5"/>
    </row>
    <row r="619" spans="16:16" x14ac:dyDescent="0.4">
      <c r="P619" s="5"/>
    </row>
    <row r="620" spans="16:16" x14ac:dyDescent="0.4">
      <c r="P620" s="5"/>
    </row>
    <row r="621" spans="16:16" x14ac:dyDescent="0.4">
      <c r="P621" s="5"/>
    </row>
    <row r="622" spans="16:16" x14ac:dyDescent="0.4">
      <c r="P622" s="5"/>
    </row>
    <row r="623" spans="16:16" x14ac:dyDescent="0.4">
      <c r="P623" s="5"/>
    </row>
    <row r="624" spans="16:16" x14ac:dyDescent="0.4">
      <c r="P624" s="5"/>
    </row>
    <row r="625" spans="16:16" x14ac:dyDescent="0.4">
      <c r="P625" s="5"/>
    </row>
    <row r="626" spans="16:16" x14ac:dyDescent="0.4">
      <c r="P626" s="5"/>
    </row>
    <row r="627" spans="16:16" x14ac:dyDescent="0.4">
      <c r="P627" s="5"/>
    </row>
    <row r="628" spans="16:16" x14ac:dyDescent="0.4">
      <c r="P628" s="5"/>
    </row>
    <row r="629" spans="16:16" x14ac:dyDescent="0.4">
      <c r="P629" s="5"/>
    </row>
    <row r="630" spans="16:16" x14ac:dyDescent="0.4">
      <c r="P630" s="5"/>
    </row>
    <row r="631" spans="16:16" x14ac:dyDescent="0.4">
      <c r="P631" s="5"/>
    </row>
    <row r="632" spans="16:16" x14ac:dyDescent="0.4">
      <c r="P632" s="5"/>
    </row>
    <row r="633" spans="16:16" x14ac:dyDescent="0.4">
      <c r="P633" s="5"/>
    </row>
    <row r="634" spans="16:16" x14ac:dyDescent="0.4">
      <c r="P634" s="5"/>
    </row>
    <row r="635" spans="16:16" x14ac:dyDescent="0.4">
      <c r="P635" s="5"/>
    </row>
    <row r="636" spans="16:16" x14ac:dyDescent="0.4">
      <c r="P636" s="5"/>
    </row>
    <row r="637" spans="16:16" x14ac:dyDescent="0.4">
      <c r="P637" s="5"/>
    </row>
    <row r="638" spans="16:16" x14ac:dyDescent="0.4">
      <c r="P638" s="5"/>
    </row>
    <row r="639" spans="16:16" x14ac:dyDescent="0.4">
      <c r="P639" s="5"/>
    </row>
    <row r="640" spans="16:16" x14ac:dyDescent="0.4">
      <c r="P640" s="5"/>
    </row>
    <row r="641" spans="16:16" x14ac:dyDescent="0.4">
      <c r="P641" s="5"/>
    </row>
    <row r="642" spans="16:16" x14ac:dyDescent="0.4">
      <c r="P642" s="5"/>
    </row>
    <row r="643" spans="16:16" x14ac:dyDescent="0.4">
      <c r="P643" s="5"/>
    </row>
    <row r="644" spans="16:16" x14ac:dyDescent="0.4">
      <c r="P644" s="5"/>
    </row>
    <row r="645" spans="16:16" x14ac:dyDescent="0.4">
      <c r="P645" s="5"/>
    </row>
    <row r="646" spans="16:16" x14ac:dyDescent="0.4">
      <c r="P646" s="5"/>
    </row>
    <row r="647" spans="16:16" x14ac:dyDescent="0.4">
      <c r="P647" s="5"/>
    </row>
    <row r="648" spans="16:16" x14ac:dyDescent="0.4">
      <c r="P648" s="5"/>
    </row>
    <row r="649" spans="16:16" x14ac:dyDescent="0.4">
      <c r="P649" s="5"/>
    </row>
    <row r="650" spans="16:16" x14ac:dyDescent="0.4">
      <c r="P650" s="5"/>
    </row>
    <row r="651" spans="16:16" x14ac:dyDescent="0.4">
      <c r="P651" s="5"/>
    </row>
    <row r="652" spans="16:16" x14ac:dyDescent="0.4">
      <c r="P652" s="5"/>
    </row>
    <row r="653" spans="16:16" x14ac:dyDescent="0.4">
      <c r="P653" s="5"/>
    </row>
    <row r="654" spans="16:16" x14ac:dyDescent="0.4">
      <c r="P654" s="5"/>
    </row>
    <row r="655" spans="16:16" x14ac:dyDescent="0.4">
      <c r="P655" s="5"/>
    </row>
    <row r="656" spans="16:16" x14ac:dyDescent="0.4">
      <c r="P656" s="5"/>
    </row>
    <row r="657" spans="16:16" x14ac:dyDescent="0.4">
      <c r="P657" s="5"/>
    </row>
    <row r="658" spans="16:16" x14ac:dyDescent="0.4">
      <c r="P658" s="5"/>
    </row>
    <row r="659" spans="16:16" x14ac:dyDescent="0.4">
      <c r="P659" s="5"/>
    </row>
    <row r="660" spans="16:16" x14ac:dyDescent="0.4">
      <c r="P660" s="5"/>
    </row>
    <row r="661" spans="16:16" x14ac:dyDescent="0.4">
      <c r="P661" s="5"/>
    </row>
    <row r="662" spans="16:16" x14ac:dyDescent="0.4">
      <c r="P662" s="5"/>
    </row>
    <row r="663" spans="16:16" x14ac:dyDescent="0.4">
      <c r="P663" s="5"/>
    </row>
    <row r="664" spans="16:16" x14ac:dyDescent="0.4">
      <c r="P664" s="5"/>
    </row>
    <row r="665" spans="16:16" x14ac:dyDescent="0.4">
      <c r="P665" s="5"/>
    </row>
    <row r="666" spans="16:16" x14ac:dyDescent="0.4">
      <c r="P666" s="5"/>
    </row>
    <row r="667" spans="16:16" x14ac:dyDescent="0.4">
      <c r="P667" s="5"/>
    </row>
    <row r="668" spans="16:16" x14ac:dyDescent="0.4">
      <c r="P668" s="5"/>
    </row>
    <row r="669" spans="16:16" x14ac:dyDescent="0.4">
      <c r="P669" s="5"/>
    </row>
    <row r="670" spans="16:16" x14ac:dyDescent="0.4">
      <c r="P670" s="5"/>
    </row>
    <row r="671" spans="16:16" x14ac:dyDescent="0.4">
      <c r="P671" s="5"/>
    </row>
    <row r="672" spans="16:16" x14ac:dyDescent="0.4">
      <c r="P672" s="5"/>
    </row>
    <row r="673" spans="16:16" x14ac:dyDescent="0.4">
      <c r="P673" s="5"/>
    </row>
    <row r="674" spans="16:16" x14ac:dyDescent="0.4">
      <c r="P674" s="5"/>
    </row>
    <row r="675" spans="16:16" x14ac:dyDescent="0.4">
      <c r="P675" s="5"/>
    </row>
    <row r="676" spans="16:16" x14ac:dyDescent="0.4">
      <c r="P676" s="5"/>
    </row>
    <row r="677" spans="16:16" x14ac:dyDescent="0.4">
      <c r="P677" s="5"/>
    </row>
    <row r="678" spans="16:16" x14ac:dyDescent="0.4">
      <c r="P678" s="5"/>
    </row>
    <row r="679" spans="16:16" x14ac:dyDescent="0.4">
      <c r="P679" s="5"/>
    </row>
    <row r="680" spans="16:16" x14ac:dyDescent="0.4">
      <c r="P680" s="5"/>
    </row>
    <row r="681" spans="16:16" x14ac:dyDescent="0.4">
      <c r="P681" s="5"/>
    </row>
    <row r="682" spans="16:16" x14ac:dyDescent="0.4">
      <c r="P682" s="5"/>
    </row>
    <row r="683" spans="16:16" x14ac:dyDescent="0.4">
      <c r="P683" s="5"/>
    </row>
    <row r="684" spans="16:16" x14ac:dyDescent="0.4">
      <c r="P684" s="5"/>
    </row>
    <row r="685" spans="16:16" x14ac:dyDescent="0.4">
      <c r="P685" s="5"/>
    </row>
    <row r="686" spans="16:16" x14ac:dyDescent="0.4">
      <c r="P686" s="5"/>
    </row>
    <row r="687" spans="16:16" x14ac:dyDescent="0.4">
      <c r="P687" s="5"/>
    </row>
    <row r="688" spans="16:16" x14ac:dyDescent="0.4">
      <c r="P688" s="5"/>
    </row>
    <row r="689" spans="16:16" x14ac:dyDescent="0.4">
      <c r="P689" s="5"/>
    </row>
    <row r="690" spans="16:16" x14ac:dyDescent="0.4">
      <c r="P690" s="5"/>
    </row>
    <row r="691" spans="16:16" x14ac:dyDescent="0.4">
      <c r="P691" s="5"/>
    </row>
    <row r="692" spans="16:16" x14ac:dyDescent="0.4">
      <c r="P692" s="5"/>
    </row>
    <row r="693" spans="16:16" x14ac:dyDescent="0.4">
      <c r="P693" s="5"/>
    </row>
    <row r="694" spans="16:16" x14ac:dyDescent="0.4">
      <c r="P694" s="5"/>
    </row>
    <row r="695" spans="16:16" x14ac:dyDescent="0.4">
      <c r="P695" s="5"/>
    </row>
    <row r="696" spans="16:16" x14ac:dyDescent="0.4">
      <c r="P696" s="5"/>
    </row>
    <row r="697" spans="16:16" x14ac:dyDescent="0.4">
      <c r="P697" s="5"/>
    </row>
    <row r="698" spans="16:16" x14ac:dyDescent="0.4">
      <c r="P698" s="5"/>
    </row>
    <row r="699" spans="16:16" x14ac:dyDescent="0.4">
      <c r="P699" s="5"/>
    </row>
    <row r="700" spans="16:16" x14ac:dyDescent="0.4">
      <c r="P700" s="5"/>
    </row>
    <row r="701" spans="16:16" x14ac:dyDescent="0.4">
      <c r="P701" s="5"/>
    </row>
    <row r="702" spans="16:16" x14ac:dyDescent="0.4">
      <c r="P702" s="5"/>
    </row>
    <row r="703" spans="16:16" x14ac:dyDescent="0.4">
      <c r="P703" s="5"/>
    </row>
    <row r="704" spans="16:16" x14ac:dyDescent="0.4">
      <c r="P704" s="5"/>
    </row>
    <row r="705" spans="16:16" x14ac:dyDescent="0.4">
      <c r="P705" s="5"/>
    </row>
    <row r="706" spans="16:16" x14ac:dyDescent="0.4">
      <c r="P706" s="5"/>
    </row>
    <row r="707" spans="16:16" x14ac:dyDescent="0.4">
      <c r="P707" s="5"/>
    </row>
    <row r="708" spans="16:16" x14ac:dyDescent="0.4">
      <c r="P708" s="5"/>
    </row>
    <row r="709" spans="16:16" x14ac:dyDescent="0.4">
      <c r="P709" s="5"/>
    </row>
    <row r="710" spans="16:16" x14ac:dyDescent="0.4">
      <c r="P710" s="5"/>
    </row>
    <row r="711" spans="16:16" x14ac:dyDescent="0.4">
      <c r="P711" s="5"/>
    </row>
    <row r="712" spans="16:16" x14ac:dyDescent="0.4">
      <c r="P712" s="5"/>
    </row>
    <row r="713" spans="16:16" x14ac:dyDescent="0.4">
      <c r="P713" s="5"/>
    </row>
    <row r="714" spans="16:16" x14ac:dyDescent="0.4">
      <c r="P714" s="5"/>
    </row>
    <row r="715" spans="16:16" x14ac:dyDescent="0.4">
      <c r="P715" s="5"/>
    </row>
    <row r="716" spans="16:16" x14ac:dyDescent="0.4">
      <c r="P716" s="5"/>
    </row>
    <row r="717" spans="16:16" x14ac:dyDescent="0.4">
      <c r="P717" s="5"/>
    </row>
    <row r="718" spans="16:16" x14ac:dyDescent="0.4">
      <c r="P718" s="5"/>
    </row>
    <row r="719" spans="16:16" x14ac:dyDescent="0.4">
      <c r="P719" s="5"/>
    </row>
    <row r="720" spans="16:16" x14ac:dyDescent="0.4">
      <c r="P720" s="5"/>
    </row>
    <row r="721" spans="16:16" x14ac:dyDescent="0.4">
      <c r="P721" s="5"/>
    </row>
    <row r="722" spans="16:16" x14ac:dyDescent="0.4">
      <c r="P722" s="5"/>
    </row>
    <row r="723" spans="16:16" x14ac:dyDescent="0.4">
      <c r="P723" s="5"/>
    </row>
    <row r="724" spans="16:16" x14ac:dyDescent="0.4">
      <c r="P724" s="5"/>
    </row>
    <row r="725" spans="16:16" x14ac:dyDescent="0.4">
      <c r="P725" s="5"/>
    </row>
    <row r="726" spans="16:16" x14ac:dyDescent="0.4">
      <c r="P726" s="5"/>
    </row>
    <row r="727" spans="16:16" x14ac:dyDescent="0.4">
      <c r="P727" s="5"/>
    </row>
    <row r="728" spans="16:16" x14ac:dyDescent="0.4">
      <c r="P728" s="5"/>
    </row>
    <row r="729" spans="16:16" x14ac:dyDescent="0.4">
      <c r="P729" s="5"/>
    </row>
    <row r="730" spans="16:16" x14ac:dyDescent="0.4">
      <c r="P730" s="5"/>
    </row>
    <row r="731" spans="16:16" x14ac:dyDescent="0.4">
      <c r="P731" s="5"/>
    </row>
    <row r="732" spans="16:16" x14ac:dyDescent="0.4">
      <c r="P732" s="5"/>
    </row>
    <row r="733" spans="16:16" x14ac:dyDescent="0.4">
      <c r="P733" s="5"/>
    </row>
    <row r="734" spans="16:16" x14ac:dyDescent="0.4">
      <c r="P734" s="5"/>
    </row>
    <row r="735" spans="16:16" x14ac:dyDescent="0.4">
      <c r="P735" s="5"/>
    </row>
    <row r="736" spans="16:16" x14ac:dyDescent="0.4">
      <c r="P736" s="5"/>
    </row>
    <row r="737" spans="16:16" x14ac:dyDescent="0.4">
      <c r="P737" s="5"/>
    </row>
    <row r="738" spans="16:16" x14ac:dyDescent="0.4">
      <c r="P738" s="5"/>
    </row>
    <row r="739" spans="16:16" x14ac:dyDescent="0.4">
      <c r="P739" s="5"/>
    </row>
    <row r="740" spans="16:16" x14ac:dyDescent="0.4">
      <c r="P740" s="5"/>
    </row>
    <row r="741" spans="16:16" x14ac:dyDescent="0.4">
      <c r="P741" s="5"/>
    </row>
    <row r="742" spans="16:16" x14ac:dyDescent="0.4">
      <c r="P742" s="5"/>
    </row>
    <row r="743" spans="16:16" x14ac:dyDescent="0.4">
      <c r="P743" s="5"/>
    </row>
    <row r="744" spans="16:16" x14ac:dyDescent="0.4">
      <c r="P744" s="5"/>
    </row>
    <row r="745" spans="16:16" x14ac:dyDescent="0.4">
      <c r="P745" s="5"/>
    </row>
    <row r="746" spans="16:16" x14ac:dyDescent="0.4">
      <c r="P746" s="5"/>
    </row>
    <row r="747" spans="16:16" x14ac:dyDescent="0.4">
      <c r="P747" s="5"/>
    </row>
    <row r="748" spans="16:16" x14ac:dyDescent="0.4">
      <c r="P748" s="5"/>
    </row>
    <row r="749" spans="16:16" x14ac:dyDescent="0.4">
      <c r="P749" s="5"/>
    </row>
    <row r="750" spans="16:16" x14ac:dyDescent="0.4">
      <c r="P750" s="5"/>
    </row>
    <row r="751" spans="16:16" x14ac:dyDescent="0.4">
      <c r="P751" s="5"/>
    </row>
    <row r="752" spans="16:16" x14ac:dyDescent="0.4">
      <c r="P752" s="5"/>
    </row>
    <row r="753" spans="16:16" x14ac:dyDescent="0.4">
      <c r="P753" s="5"/>
    </row>
    <row r="754" spans="16:16" x14ac:dyDescent="0.4">
      <c r="P754" s="5"/>
    </row>
    <row r="755" spans="16:16" x14ac:dyDescent="0.4">
      <c r="P755" s="5"/>
    </row>
    <row r="756" spans="16:16" x14ac:dyDescent="0.4">
      <c r="P756" s="5"/>
    </row>
    <row r="757" spans="16:16" x14ac:dyDescent="0.4">
      <c r="P757" s="5"/>
    </row>
    <row r="758" spans="16:16" x14ac:dyDescent="0.4">
      <c r="P758" s="5"/>
    </row>
    <row r="759" spans="16:16" x14ac:dyDescent="0.4">
      <c r="P759" s="5"/>
    </row>
    <row r="760" spans="16:16" x14ac:dyDescent="0.4">
      <c r="P760" s="5"/>
    </row>
    <row r="761" spans="16:16" x14ac:dyDescent="0.4">
      <c r="P761" s="5"/>
    </row>
    <row r="762" spans="16:16" x14ac:dyDescent="0.4">
      <c r="P762" s="5"/>
    </row>
    <row r="763" spans="16:16" x14ac:dyDescent="0.4">
      <c r="P763" s="5"/>
    </row>
    <row r="764" spans="16:16" x14ac:dyDescent="0.4">
      <c r="P764" s="5"/>
    </row>
    <row r="765" spans="16:16" x14ac:dyDescent="0.4">
      <c r="P765" s="5"/>
    </row>
    <row r="766" spans="16:16" x14ac:dyDescent="0.4">
      <c r="P766" s="5"/>
    </row>
    <row r="767" spans="16:16" x14ac:dyDescent="0.4">
      <c r="P767" s="5"/>
    </row>
    <row r="768" spans="16:16" x14ac:dyDescent="0.4">
      <c r="P768" s="5"/>
    </row>
    <row r="769" spans="16:16" x14ac:dyDescent="0.4">
      <c r="P769" s="5"/>
    </row>
    <row r="770" spans="16:16" x14ac:dyDescent="0.4">
      <c r="P770" s="5"/>
    </row>
    <row r="771" spans="16:16" x14ac:dyDescent="0.4">
      <c r="P771" s="5"/>
    </row>
    <row r="772" spans="16:16" x14ac:dyDescent="0.4">
      <c r="P772" s="5"/>
    </row>
    <row r="773" spans="16:16" x14ac:dyDescent="0.4">
      <c r="P773" s="5"/>
    </row>
    <row r="774" spans="16:16" x14ac:dyDescent="0.4">
      <c r="P774" s="5"/>
    </row>
    <row r="775" spans="16:16" x14ac:dyDescent="0.4">
      <c r="P775" s="5"/>
    </row>
    <row r="776" spans="16:16" x14ac:dyDescent="0.4">
      <c r="P776" s="5"/>
    </row>
    <row r="777" spans="16:16" x14ac:dyDescent="0.4">
      <c r="P777" s="5"/>
    </row>
    <row r="778" spans="16:16" x14ac:dyDescent="0.4">
      <c r="P778" s="5"/>
    </row>
    <row r="779" spans="16:16" x14ac:dyDescent="0.4">
      <c r="P779" s="5"/>
    </row>
    <row r="780" spans="16:16" x14ac:dyDescent="0.4">
      <c r="P780" s="5"/>
    </row>
    <row r="781" spans="16:16" x14ac:dyDescent="0.4">
      <c r="P781" s="5"/>
    </row>
    <row r="782" spans="16:16" x14ac:dyDescent="0.4">
      <c r="P782" s="5"/>
    </row>
    <row r="783" spans="16:16" x14ac:dyDescent="0.4">
      <c r="P783" s="5"/>
    </row>
    <row r="784" spans="16:16" x14ac:dyDescent="0.4">
      <c r="P784" s="5"/>
    </row>
    <row r="785" spans="16:16" x14ac:dyDescent="0.4">
      <c r="P785" s="5"/>
    </row>
    <row r="786" spans="16:16" x14ac:dyDescent="0.4">
      <c r="P786" s="5"/>
    </row>
    <row r="787" spans="16:16" x14ac:dyDescent="0.4">
      <c r="P787" s="5"/>
    </row>
    <row r="788" spans="16:16" x14ac:dyDescent="0.4">
      <c r="P788" s="5"/>
    </row>
    <row r="789" spans="16:16" x14ac:dyDescent="0.4">
      <c r="P789" s="5"/>
    </row>
    <row r="790" spans="16:16" x14ac:dyDescent="0.4">
      <c r="P790" s="5"/>
    </row>
    <row r="791" spans="16:16" x14ac:dyDescent="0.4">
      <c r="P791" s="5"/>
    </row>
    <row r="792" spans="16:16" x14ac:dyDescent="0.4">
      <c r="P792" s="5"/>
    </row>
    <row r="793" spans="16:16" x14ac:dyDescent="0.4">
      <c r="P793" s="5"/>
    </row>
    <row r="794" spans="16:16" x14ac:dyDescent="0.4">
      <c r="P794" s="5"/>
    </row>
    <row r="795" spans="16:16" x14ac:dyDescent="0.4">
      <c r="P795" s="5"/>
    </row>
    <row r="796" spans="16:16" x14ac:dyDescent="0.4">
      <c r="P796" s="5"/>
    </row>
    <row r="797" spans="16:16" x14ac:dyDescent="0.4">
      <c r="P797" s="5"/>
    </row>
    <row r="798" spans="16:16" x14ac:dyDescent="0.4">
      <c r="P798" s="5"/>
    </row>
    <row r="799" spans="16:16" x14ac:dyDescent="0.4">
      <c r="P799" s="5"/>
    </row>
    <row r="800" spans="16:16" x14ac:dyDescent="0.4">
      <c r="P800" s="5"/>
    </row>
    <row r="801" spans="16:16" x14ac:dyDescent="0.4">
      <c r="P801" s="5"/>
    </row>
    <row r="802" spans="16:16" x14ac:dyDescent="0.4">
      <c r="P802" s="5"/>
    </row>
    <row r="803" spans="16:16" x14ac:dyDescent="0.4">
      <c r="P803" s="5"/>
    </row>
    <row r="804" spans="16:16" x14ac:dyDescent="0.4">
      <c r="P804" s="5"/>
    </row>
    <row r="805" spans="16:16" x14ac:dyDescent="0.4">
      <c r="P805" s="5"/>
    </row>
    <row r="806" spans="16:16" x14ac:dyDescent="0.4">
      <c r="P806" s="5"/>
    </row>
    <row r="807" spans="16:16" x14ac:dyDescent="0.4">
      <c r="P807" s="5"/>
    </row>
    <row r="808" spans="16:16" x14ac:dyDescent="0.4">
      <c r="P808" s="5"/>
    </row>
    <row r="809" spans="16:16" x14ac:dyDescent="0.4">
      <c r="P809" s="5"/>
    </row>
    <row r="810" spans="16:16" x14ac:dyDescent="0.4">
      <c r="P810" s="5"/>
    </row>
    <row r="811" spans="16:16" x14ac:dyDescent="0.4">
      <c r="P811" s="5"/>
    </row>
    <row r="812" spans="16:16" x14ac:dyDescent="0.4">
      <c r="P812" s="5"/>
    </row>
    <row r="813" spans="16:16" x14ac:dyDescent="0.4">
      <c r="P813" s="5"/>
    </row>
    <row r="814" spans="16:16" x14ac:dyDescent="0.4">
      <c r="P814" s="5"/>
    </row>
    <row r="815" spans="16:16" x14ac:dyDescent="0.4">
      <c r="P815" s="5"/>
    </row>
    <row r="816" spans="16:16" x14ac:dyDescent="0.4">
      <c r="P816" s="5"/>
    </row>
    <row r="817" spans="16:16" x14ac:dyDescent="0.4">
      <c r="P817" s="5"/>
    </row>
    <row r="818" spans="16:16" x14ac:dyDescent="0.4">
      <c r="P818" s="5"/>
    </row>
    <row r="819" spans="16:16" x14ac:dyDescent="0.4">
      <c r="P819" s="5"/>
    </row>
    <row r="820" spans="16:16" x14ac:dyDescent="0.4">
      <c r="P820" s="5"/>
    </row>
    <row r="821" spans="16:16" x14ac:dyDescent="0.4">
      <c r="P821" s="5"/>
    </row>
    <row r="822" spans="16:16" x14ac:dyDescent="0.4">
      <c r="P822" s="5"/>
    </row>
    <row r="823" spans="16:16" x14ac:dyDescent="0.4">
      <c r="P823" s="5"/>
    </row>
    <row r="824" spans="16:16" x14ac:dyDescent="0.4">
      <c r="P824" s="5"/>
    </row>
    <row r="825" spans="16:16" x14ac:dyDescent="0.4">
      <c r="P825" s="5"/>
    </row>
    <row r="826" spans="16:16" x14ac:dyDescent="0.4">
      <c r="P826" s="5"/>
    </row>
    <row r="827" spans="16:16" x14ac:dyDescent="0.4">
      <c r="P827" s="5"/>
    </row>
    <row r="828" spans="16:16" x14ac:dyDescent="0.4">
      <c r="P828" s="5"/>
    </row>
    <row r="829" spans="16:16" x14ac:dyDescent="0.4">
      <c r="P829" s="5"/>
    </row>
    <row r="830" spans="16:16" x14ac:dyDescent="0.4">
      <c r="P830" s="5"/>
    </row>
    <row r="831" spans="16:16" x14ac:dyDescent="0.4">
      <c r="P831" s="5"/>
    </row>
    <row r="832" spans="16:16" x14ac:dyDescent="0.4">
      <c r="P832" s="5"/>
    </row>
    <row r="833" spans="16:16" x14ac:dyDescent="0.4">
      <c r="P833" s="5"/>
    </row>
    <row r="834" spans="16:16" x14ac:dyDescent="0.4">
      <c r="P834" s="5"/>
    </row>
    <row r="835" spans="16:16" x14ac:dyDescent="0.4">
      <c r="P835" s="5"/>
    </row>
    <row r="836" spans="16:16" x14ac:dyDescent="0.4">
      <c r="P836" s="5"/>
    </row>
    <row r="837" spans="16:16" x14ac:dyDescent="0.4">
      <c r="P837" s="5"/>
    </row>
    <row r="838" spans="16:16" x14ac:dyDescent="0.4">
      <c r="P838" s="5"/>
    </row>
    <row r="839" spans="16:16" x14ac:dyDescent="0.4">
      <c r="P839" s="5"/>
    </row>
    <row r="840" spans="16:16" x14ac:dyDescent="0.4">
      <c r="P840" s="5"/>
    </row>
    <row r="841" spans="16:16" x14ac:dyDescent="0.4">
      <c r="P841" s="5"/>
    </row>
    <row r="842" spans="16:16" x14ac:dyDescent="0.4">
      <c r="P842" s="5"/>
    </row>
    <row r="843" spans="16:16" x14ac:dyDescent="0.4">
      <c r="P843" s="5"/>
    </row>
    <row r="844" spans="16:16" x14ac:dyDescent="0.4">
      <c r="P844" s="5"/>
    </row>
    <row r="845" spans="16:16" x14ac:dyDescent="0.4">
      <c r="P845" s="5"/>
    </row>
    <row r="846" spans="16:16" x14ac:dyDescent="0.4">
      <c r="P846" s="5"/>
    </row>
    <row r="847" spans="16:16" x14ac:dyDescent="0.4">
      <c r="P847" s="5"/>
    </row>
    <row r="848" spans="16:16" x14ac:dyDescent="0.4">
      <c r="P848" s="5"/>
    </row>
    <row r="849" spans="16:16" x14ac:dyDescent="0.4">
      <c r="P849" s="5"/>
    </row>
    <row r="850" spans="16:16" x14ac:dyDescent="0.4">
      <c r="P850" s="5"/>
    </row>
    <row r="851" spans="16:16" x14ac:dyDescent="0.4">
      <c r="P851" s="5"/>
    </row>
    <row r="852" spans="16:16" x14ac:dyDescent="0.4">
      <c r="P852" s="5"/>
    </row>
    <row r="853" spans="16:16" x14ac:dyDescent="0.4">
      <c r="P853" s="5"/>
    </row>
    <row r="854" spans="16:16" x14ac:dyDescent="0.4">
      <c r="P854" s="5"/>
    </row>
    <row r="855" spans="16:16" x14ac:dyDescent="0.4">
      <c r="P855" s="5"/>
    </row>
    <row r="856" spans="16:16" x14ac:dyDescent="0.4">
      <c r="P856" s="5"/>
    </row>
    <row r="857" spans="16:16" x14ac:dyDescent="0.4">
      <c r="P857" s="5"/>
    </row>
    <row r="858" spans="16:16" x14ac:dyDescent="0.4">
      <c r="P858" s="5"/>
    </row>
    <row r="859" spans="16:16" x14ac:dyDescent="0.4">
      <c r="P859" s="5"/>
    </row>
    <row r="860" spans="16:16" x14ac:dyDescent="0.4">
      <c r="P860" s="5"/>
    </row>
    <row r="861" spans="16:16" x14ac:dyDescent="0.4">
      <c r="P861" s="5"/>
    </row>
    <row r="862" spans="16:16" x14ac:dyDescent="0.4">
      <c r="P862" s="5"/>
    </row>
    <row r="863" spans="16:16" x14ac:dyDescent="0.4">
      <c r="P863" s="5"/>
    </row>
    <row r="864" spans="16:16" x14ac:dyDescent="0.4">
      <c r="P864" s="5"/>
    </row>
    <row r="865" spans="16:16" x14ac:dyDescent="0.4">
      <c r="P865" s="5"/>
    </row>
    <row r="866" spans="16:16" x14ac:dyDescent="0.4">
      <c r="P866" s="5"/>
    </row>
    <row r="867" spans="16:16" x14ac:dyDescent="0.4">
      <c r="P867" s="5"/>
    </row>
    <row r="868" spans="16:16" x14ac:dyDescent="0.4">
      <c r="P868" s="5"/>
    </row>
    <row r="869" spans="16:16" x14ac:dyDescent="0.4">
      <c r="P869" s="5"/>
    </row>
    <row r="870" spans="16:16" x14ac:dyDescent="0.4">
      <c r="P870" s="5"/>
    </row>
    <row r="871" spans="16:16" x14ac:dyDescent="0.4">
      <c r="P871" s="5"/>
    </row>
    <row r="872" spans="16:16" x14ac:dyDescent="0.4">
      <c r="P872" s="5"/>
    </row>
    <row r="873" spans="16:16" x14ac:dyDescent="0.4">
      <c r="P873" s="5"/>
    </row>
    <row r="874" spans="16:16" x14ac:dyDescent="0.4">
      <c r="P874" s="5"/>
    </row>
    <row r="875" spans="16:16" x14ac:dyDescent="0.4">
      <c r="P875" s="5"/>
    </row>
    <row r="876" spans="16:16" x14ac:dyDescent="0.4">
      <c r="P876" s="5"/>
    </row>
    <row r="877" spans="16:16" x14ac:dyDescent="0.4">
      <c r="P877" s="5"/>
    </row>
    <row r="878" spans="16:16" x14ac:dyDescent="0.4">
      <c r="P878" s="5"/>
    </row>
    <row r="879" spans="16:16" x14ac:dyDescent="0.4">
      <c r="P879" s="5"/>
    </row>
    <row r="880" spans="16:16" x14ac:dyDescent="0.4">
      <c r="P880" s="5"/>
    </row>
    <row r="881" spans="16:16" x14ac:dyDescent="0.4">
      <c r="P881" s="5"/>
    </row>
    <row r="882" spans="16:16" x14ac:dyDescent="0.4">
      <c r="P882" s="5"/>
    </row>
    <row r="883" spans="16:16" x14ac:dyDescent="0.4">
      <c r="P883" s="5"/>
    </row>
    <row r="884" spans="16:16" x14ac:dyDescent="0.4">
      <c r="P884" s="5"/>
    </row>
    <row r="885" spans="16:16" x14ac:dyDescent="0.4">
      <c r="P885" s="5"/>
    </row>
    <row r="886" spans="16:16" x14ac:dyDescent="0.4">
      <c r="P886" s="5"/>
    </row>
    <row r="887" spans="16:16" x14ac:dyDescent="0.4">
      <c r="P887" s="5"/>
    </row>
    <row r="888" spans="16:16" x14ac:dyDescent="0.4">
      <c r="P888" s="5"/>
    </row>
    <row r="889" spans="16:16" x14ac:dyDescent="0.4">
      <c r="P889" s="5"/>
    </row>
    <row r="890" spans="16:16" x14ac:dyDescent="0.4">
      <c r="P890" s="5"/>
    </row>
    <row r="891" spans="16:16" x14ac:dyDescent="0.4">
      <c r="P891" s="5"/>
    </row>
    <row r="892" spans="16:16" x14ac:dyDescent="0.4">
      <c r="P892" s="5"/>
    </row>
    <row r="893" spans="16:16" x14ac:dyDescent="0.4">
      <c r="P893" s="5"/>
    </row>
    <row r="894" spans="16:16" x14ac:dyDescent="0.4">
      <c r="P894" s="5"/>
    </row>
    <row r="895" spans="16:16" x14ac:dyDescent="0.4">
      <c r="P895" s="5"/>
    </row>
    <row r="896" spans="16:16" x14ac:dyDescent="0.4">
      <c r="P896" s="5"/>
    </row>
    <row r="897" spans="16:16" x14ac:dyDescent="0.4">
      <c r="P897" s="5"/>
    </row>
    <row r="898" spans="16:16" x14ac:dyDescent="0.4">
      <c r="P898" s="5"/>
    </row>
    <row r="899" spans="16:16" x14ac:dyDescent="0.4">
      <c r="P899" s="5"/>
    </row>
    <row r="900" spans="16:16" x14ac:dyDescent="0.4">
      <c r="P900" s="5"/>
    </row>
    <row r="901" spans="16:16" x14ac:dyDescent="0.4">
      <c r="P901" s="5"/>
    </row>
    <row r="902" spans="16:16" x14ac:dyDescent="0.4">
      <c r="P902" s="5"/>
    </row>
    <row r="903" spans="16:16" x14ac:dyDescent="0.4">
      <c r="P903" s="5"/>
    </row>
    <row r="904" spans="16:16" x14ac:dyDescent="0.4">
      <c r="P904" s="5"/>
    </row>
    <row r="905" spans="16:16" x14ac:dyDescent="0.4">
      <c r="P905" s="5"/>
    </row>
    <row r="906" spans="16:16" x14ac:dyDescent="0.4">
      <c r="P906" s="5"/>
    </row>
    <row r="907" spans="16:16" x14ac:dyDescent="0.4">
      <c r="P907" s="5"/>
    </row>
    <row r="908" spans="16:16" x14ac:dyDescent="0.4">
      <c r="P908" s="5"/>
    </row>
    <row r="909" spans="16:16" x14ac:dyDescent="0.4">
      <c r="P909" s="5"/>
    </row>
    <row r="910" spans="16:16" x14ac:dyDescent="0.4">
      <c r="P910" s="5"/>
    </row>
    <row r="911" spans="16:16" x14ac:dyDescent="0.4">
      <c r="P911" s="5"/>
    </row>
    <row r="912" spans="16:16" x14ac:dyDescent="0.4">
      <c r="P912" s="5"/>
    </row>
    <row r="913" spans="16:16" x14ac:dyDescent="0.4">
      <c r="P913" s="5"/>
    </row>
    <row r="914" spans="16:16" x14ac:dyDescent="0.4">
      <c r="P914" s="5"/>
    </row>
    <row r="915" spans="16:16" x14ac:dyDescent="0.4">
      <c r="P915" s="5"/>
    </row>
    <row r="916" spans="16:16" x14ac:dyDescent="0.4">
      <c r="P916" s="5"/>
    </row>
    <row r="917" spans="16:16" x14ac:dyDescent="0.4">
      <c r="P917" s="5"/>
    </row>
    <row r="918" spans="16:16" x14ac:dyDescent="0.4">
      <c r="P918" s="5"/>
    </row>
    <row r="919" spans="16:16" x14ac:dyDescent="0.4">
      <c r="P919" s="5"/>
    </row>
    <row r="920" spans="16:16" x14ac:dyDescent="0.4">
      <c r="P920" s="5"/>
    </row>
    <row r="921" spans="16:16" x14ac:dyDescent="0.4">
      <c r="P921" s="5"/>
    </row>
    <row r="922" spans="16:16" x14ac:dyDescent="0.4">
      <c r="P922" s="5"/>
    </row>
    <row r="923" spans="16:16" x14ac:dyDescent="0.4">
      <c r="P923" s="5"/>
    </row>
    <row r="924" spans="16:16" x14ac:dyDescent="0.4">
      <c r="P924" s="5"/>
    </row>
    <row r="925" spans="16:16" x14ac:dyDescent="0.4">
      <c r="P925" s="5"/>
    </row>
    <row r="926" spans="16:16" x14ac:dyDescent="0.4">
      <c r="P926" s="5"/>
    </row>
    <row r="927" spans="16:16" x14ac:dyDescent="0.4">
      <c r="P927" s="5"/>
    </row>
    <row r="928" spans="16:16" x14ac:dyDescent="0.4">
      <c r="P928" s="5"/>
    </row>
    <row r="929" spans="16:16" x14ac:dyDescent="0.4">
      <c r="P929" s="5"/>
    </row>
    <row r="930" spans="16:16" x14ac:dyDescent="0.4">
      <c r="P930" s="5"/>
    </row>
    <row r="931" spans="16:16" x14ac:dyDescent="0.4">
      <c r="P931" s="5"/>
    </row>
    <row r="932" spans="16:16" x14ac:dyDescent="0.4">
      <c r="P932" s="5"/>
    </row>
    <row r="933" spans="16:16" x14ac:dyDescent="0.4">
      <c r="P933" s="5"/>
    </row>
    <row r="934" spans="16:16" x14ac:dyDescent="0.4">
      <c r="P934" s="5"/>
    </row>
    <row r="935" spans="16:16" x14ac:dyDescent="0.4">
      <c r="P935" s="5"/>
    </row>
    <row r="936" spans="16:16" x14ac:dyDescent="0.4">
      <c r="P936" s="5"/>
    </row>
    <row r="937" spans="16:16" x14ac:dyDescent="0.4">
      <c r="P937" s="5"/>
    </row>
    <row r="938" spans="16:16" x14ac:dyDescent="0.4">
      <c r="P938" s="5"/>
    </row>
    <row r="939" spans="16:16" x14ac:dyDescent="0.4">
      <c r="P939" s="5"/>
    </row>
    <row r="940" spans="16:16" x14ac:dyDescent="0.4">
      <c r="P940" s="5"/>
    </row>
    <row r="941" spans="16:16" x14ac:dyDescent="0.4">
      <c r="P941" s="5"/>
    </row>
    <row r="942" spans="16:16" x14ac:dyDescent="0.4">
      <c r="P942" s="5"/>
    </row>
    <row r="943" spans="16:16" x14ac:dyDescent="0.4">
      <c r="P943" s="5"/>
    </row>
    <row r="944" spans="16:16" x14ac:dyDescent="0.4">
      <c r="P944" s="5"/>
    </row>
    <row r="945" spans="16:16" x14ac:dyDescent="0.4">
      <c r="P945" s="5"/>
    </row>
    <row r="946" spans="16:16" x14ac:dyDescent="0.4">
      <c r="P946" s="5"/>
    </row>
    <row r="947" spans="16:16" x14ac:dyDescent="0.4">
      <c r="P947" s="5"/>
    </row>
    <row r="948" spans="16:16" x14ac:dyDescent="0.4">
      <c r="P948" s="5"/>
    </row>
    <row r="949" spans="16:16" x14ac:dyDescent="0.4">
      <c r="P949" s="5"/>
    </row>
    <row r="950" spans="16:16" x14ac:dyDescent="0.4">
      <c r="P950" s="5"/>
    </row>
    <row r="951" spans="16:16" x14ac:dyDescent="0.4">
      <c r="P951" s="5"/>
    </row>
    <row r="952" spans="16:16" x14ac:dyDescent="0.4">
      <c r="P952" s="5"/>
    </row>
    <row r="953" spans="16:16" x14ac:dyDescent="0.4">
      <c r="P953" s="5"/>
    </row>
    <row r="954" spans="16:16" x14ac:dyDescent="0.4">
      <c r="P954" s="5"/>
    </row>
    <row r="955" spans="16:16" x14ac:dyDescent="0.4">
      <c r="P955" s="5"/>
    </row>
    <row r="956" spans="16:16" x14ac:dyDescent="0.4">
      <c r="P956" s="5"/>
    </row>
    <row r="957" spans="16:16" x14ac:dyDescent="0.4">
      <c r="P957" s="5"/>
    </row>
    <row r="958" spans="16:16" x14ac:dyDescent="0.4">
      <c r="P958" s="5"/>
    </row>
    <row r="959" spans="16:16" x14ac:dyDescent="0.4">
      <c r="P959" s="5"/>
    </row>
    <row r="960" spans="16:16" x14ac:dyDescent="0.4">
      <c r="P960" s="5"/>
    </row>
    <row r="961" spans="16:16" x14ac:dyDescent="0.4">
      <c r="P961" s="5"/>
    </row>
    <row r="962" spans="16:16" x14ac:dyDescent="0.4">
      <c r="P962" s="5"/>
    </row>
    <row r="963" spans="16:16" x14ac:dyDescent="0.4">
      <c r="P963" s="5"/>
    </row>
    <row r="964" spans="16:16" x14ac:dyDescent="0.4">
      <c r="P964" s="5"/>
    </row>
    <row r="965" spans="16:16" x14ac:dyDescent="0.4">
      <c r="P965" s="5"/>
    </row>
    <row r="966" spans="16:16" x14ac:dyDescent="0.4">
      <c r="P966" s="5"/>
    </row>
    <row r="967" spans="16:16" x14ac:dyDescent="0.4">
      <c r="P967" s="5"/>
    </row>
    <row r="968" spans="16:16" x14ac:dyDescent="0.4">
      <c r="P968" s="5"/>
    </row>
    <row r="969" spans="16:16" x14ac:dyDescent="0.4">
      <c r="P969" s="5"/>
    </row>
    <row r="970" spans="16:16" x14ac:dyDescent="0.4">
      <c r="P970" s="5"/>
    </row>
    <row r="971" spans="16:16" x14ac:dyDescent="0.4">
      <c r="P971" s="5"/>
    </row>
    <row r="972" spans="16:16" x14ac:dyDescent="0.4">
      <c r="P972" s="5"/>
    </row>
    <row r="973" spans="16:16" x14ac:dyDescent="0.4">
      <c r="P973" s="5"/>
    </row>
    <row r="974" spans="16:16" x14ac:dyDescent="0.4">
      <c r="P974" s="5"/>
    </row>
    <row r="975" spans="16:16" x14ac:dyDescent="0.4">
      <c r="P975" s="5"/>
    </row>
    <row r="976" spans="16:16" x14ac:dyDescent="0.4">
      <c r="P976" s="5"/>
    </row>
    <row r="977" spans="16:16" x14ac:dyDescent="0.4">
      <c r="P977" s="5"/>
    </row>
    <row r="978" spans="16:16" x14ac:dyDescent="0.4">
      <c r="P978" s="5"/>
    </row>
    <row r="979" spans="16:16" x14ac:dyDescent="0.4">
      <c r="P979" s="5"/>
    </row>
    <row r="980" spans="16:16" x14ac:dyDescent="0.4">
      <c r="P980" s="5"/>
    </row>
    <row r="981" spans="16:16" x14ac:dyDescent="0.4">
      <c r="P981" s="5"/>
    </row>
    <row r="982" spans="16:16" x14ac:dyDescent="0.4">
      <c r="P982" s="5"/>
    </row>
    <row r="983" spans="16:16" x14ac:dyDescent="0.4">
      <c r="P983" s="5"/>
    </row>
    <row r="984" spans="16:16" x14ac:dyDescent="0.4">
      <c r="P984" s="5"/>
    </row>
    <row r="985" spans="16:16" x14ac:dyDescent="0.4">
      <c r="P985" s="5"/>
    </row>
    <row r="986" spans="16:16" x14ac:dyDescent="0.4">
      <c r="P986" s="5"/>
    </row>
    <row r="987" spans="16:16" x14ac:dyDescent="0.4">
      <c r="P987" s="5"/>
    </row>
    <row r="988" spans="16:16" x14ac:dyDescent="0.4">
      <c r="P988" s="5"/>
    </row>
    <row r="989" spans="16:16" x14ac:dyDescent="0.4">
      <c r="P989" s="5"/>
    </row>
    <row r="990" spans="16:16" x14ac:dyDescent="0.4">
      <c r="P990" s="5"/>
    </row>
    <row r="991" spans="16:16" x14ac:dyDescent="0.4">
      <c r="P991" s="5"/>
    </row>
    <row r="992" spans="16:16" x14ac:dyDescent="0.4">
      <c r="P992" s="5"/>
    </row>
    <row r="993" spans="16:16" x14ac:dyDescent="0.4">
      <c r="P993" s="5"/>
    </row>
    <row r="994" spans="16:16" x14ac:dyDescent="0.4">
      <c r="P994" s="5"/>
    </row>
    <row r="995" spans="16:16" x14ac:dyDescent="0.4">
      <c r="P995" s="5"/>
    </row>
    <row r="996" spans="16:16" x14ac:dyDescent="0.4">
      <c r="P996" s="5"/>
    </row>
    <row r="997" spans="16:16" x14ac:dyDescent="0.4">
      <c r="P997" s="5"/>
    </row>
    <row r="998" spans="16:16" x14ac:dyDescent="0.4">
      <c r="P998" s="5"/>
    </row>
    <row r="999" spans="16:16" x14ac:dyDescent="0.4">
      <c r="P999" s="5"/>
    </row>
    <row r="1000" spans="16:16" x14ac:dyDescent="0.4">
      <c r="P1000" s="5"/>
    </row>
    <row r="1001" spans="16:16" x14ac:dyDescent="0.4">
      <c r="P1001" s="5"/>
    </row>
    <row r="1002" spans="16:16" x14ac:dyDescent="0.4">
      <c r="P1002" s="5"/>
    </row>
    <row r="1003" spans="16:16" x14ac:dyDescent="0.4">
      <c r="P1003" s="5"/>
    </row>
    <row r="1004" spans="16:16" x14ac:dyDescent="0.4">
      <c r="P1004" s="5"/>
    </row>
    <row r="1005" spans="16:16" x14ac:dyDescent="0.4">
      <c r="P1005" s="5"/>
    </row>
    <row r="1006" spans="16:16" x14ac:dyDescent="0.4">
      <c r="P1006" s="5"/>
    </row>
    <row r="1007" spans="16:16" x14ac:dyDescent="0.4">
      <c r="P1007" s="5"/>
    </row>
    <row r="1008" spans="16:16" x14ac:dyDescent="0.4">
      <c r="P1008" s="5"/>
    </row>
    <row r="1009" spans="16:16" x14ac:dyDescent="0.4">
      <c r="P1009" s="5"/>
    </row>
    <row r="1010" spans="16:16" x14ac:dyDescent="0.4">
      <c r="P1010" s="5"/>
    </row>
    <row r="1011" spans="16:16" x14ac:dyDescent="0.4">
      <c r="P1011" s="5"/>
    </row>
    <row r="1012" spans="16:16" x14ac:dyDescent="0.4">
      <c r="P1012" s="5"/>
    </row>
    <row r="1013" spans="16:16" x14ac:dyDescent="0.4">
      <c r="P1013" s="5"/>
    </row>
    <row r="1014" spans="16:16" x14ac:dyDescent="0.4">
      <c r="P1014" s="5"/>
    </row>
    <row r="1015" spans="16:16" x14ac:dyDescent="0.4">
      <c r="P1015" s="5"/>
    </row>
    <row r="1016" spans="16:16" x14ac:dyDescent="0.4">
      <c r="P1016" s="5"/>
    </row>
    <row r="1017" spans="16:16" x14ac:dyDescent="0.4">
      <c r="P1017" s="5"/>
    </row>
    <row r="1018" spans="16:16" x14ac:dyDescent="0.4">
      <c r="P1018" s="5"/>
    </row>
    <row r="1019" spans="16:16" x14ac:dyDescent="0.4">
      <c r="P1019" s="5"/>
    </row>
    <row r="1020" spans="16:16" x14ac:dyDescent="0.4">
      <c r="P1020" s="5"/>
    </row>
    <row r="1021" spans="16:16" x14ac:dyDescent="0.4">
      <c r="P1021" s="5"/>
    </row>
    <row r="1022" spans="16:16" x14ac:dyDescent="0.4">
      <c r="P1022" s="5"/>
    </row>
    <row r="1023" spans="16:16" x14ac:dyDescent="0.4">
      <c r="P1023" s="5"/>
    </row>
    <row r="1024" spans="16:16" x14ac:dyDescent="0.4">
      <c r="P1024" s="5"/>
    </row>
    <row r="1025" spans="16:16" x14ac:dyDescent="0.4">
      <c r="P1025" s="5"/>
    </row>
    <row r="1026" spans="16:16" x14ac:dyDescent="0.4">
      <c r="P1026" s="5"/>
    </row>
    <row r="1027" spans="16:16" x14ac:dyDescent="0.4">
      <c r="P1027" s="5"/>
    </row>
    <row r="1028" spans="16:16" x14ac:dyDescent="0.4">
      <c r="P1028" s="5"/>
    </row>
    <row r="1029" spans="16:16" x14ac:dyDescent="0.4">
      <c r="P1029" s="5"/>
    </row>
    <row r="1030" spans="16:16" x14ac:dyDescent="0.4">
      <c r="P1030" s="5"/>
    </row>
    <row r="1031" spans="16:16" x14ac:dyDescent="0.4">
      <c r="P1031" s="5"/>
    </row>
    <row r="1032" spans="16:16" x14ac:dyDescent="0.4">
      <c r="P1032" s="5"/>
    </row>
    <row r="1033" spans="16:16" x14ac:dyDescent="0.4">
      <c r="P1033" s="5"/>
    </row>
    <row r="1034" spans="16:16" x14ac:dyDescent="0.4">
      <c r="P1034" s="5"/>
    </row>
    <row r="1035" spans="16:16" x14ac:dyDescent="0.4">
      <c r="P1035" s="5"/>
    </row>
    <row r="1036" spans="16:16" x14ac:dyDescent="0.4">
      <c r="P1036" s="5"/>
    </row>
    <row r="1037" spans="16:16" x14ac:dyDescent="0.4">
      <c r="P1037" s="5"/>
    </row>
    <row r="1038" spans="16:16" x14ac:dyDescent="0.4">
      <c r="P1038" s="5"/>
    </row>
    <row r="1039" spans="16:16" x14ac:dyDescent="0.4">
      <c r="P1039" s="5"/>
    </row>
    <row r="1040" spans="16:16" x14ac:dyDescent="0.4">
      <c r="P1040" s="5"/>
    </row>
    <row r="1041" spans="16:16" x14ac:dyDescent="0.4">
      <c r="P1041" s="5"/>
    </row>
    <row r="1042" spans="16:16" x14ac:dyDescent="0.4">
      <c r="P1042" s="5"/>
    </row>
    <row r="1043" spans="16:16" x14ac:dyDescent="0.4">
      <c r="P1043" s="5"/>
    </row>
    <row r="1044" spans="16:16" x14ac:dyDescent="0.4">
      <c r="P1044" s="5"/>
    </row>
    <row r="1045" spans="16:16" x14ac:dyDescent="0.4">
      <c r="P1045" s="5"/>
    </row>
    <row r="1046" spans="16:16" x14ac:dyDescent="0.4">
      <c r="P1046" s="5"/>
    </row>
    <row r="1047" spans="16:16" x14ac:dyDescent="0.4">
      <c r="P1047" s="5"/>
    </row>
    <row r="1048" spans="16:16" x14ac:dyDescent="0.4">
      <c r="P1048" s="5"/>
    </row>
    <row r="1049" spans="16:16" x14ac:dyDescent="0.4">
      <c r="P1049" s="5"/>
    </row>
    <row r="1050" spans="16:16" x14ac:dyDescent="0.4">
      <c r="P1050" s="5"/>
    </row>
    <row r="1051" spans="16:16" x14ac:dyDescent="0.4">
      <c r="P1051" s="5"/>
    </row>
    <row r="1052" spans="16:16" x14ac:dyDescent="0.4">
      <c r="P1052" s="5"/>
    </row>
    <row r="1053" spans="16:16" x14ac:dyDescent="0.4">
      <c r="P1053" s="5"/>
    </row>
    <row r="1054" spans="16:16" x14ac:dyDescent="0.4">
      <c r="P1054" s="5"/>
    </row>
    <row r="1055" spans="16:16" x14ac:dyDescent="0.4">
      <c r="P1055" s="5"/>
    </row>
    <row r="1056" spans="16:16" x14ac:dyDescent="0.4">
      <c r="P1056" s="5"/>
    </row>
    <row r="1057" spans="16:16" x14ac:dyDescent="0.4">
      <c r="P1057" s="5"/>
    </row>
    <row r="1058" spans="16:16" x14ac:dyDescent="0.4">
      <c r="P1058" s="5"/>
    </row>
    <row r="1059" spans="16:16" x14ac:dyDescent="0.4">
      <c r="P1059" s="5"/>
    </row>
    <row r="1060" spans="16:16" x14ac:dyDescent="0.4">
      <c r="P1060" s="5"/>
    </row>
    <row r="1061" spans="16:16" x14ac:dyDescent="0.4">
      <c r="P1061" s="5"/>
    </row>
    <row r="1062" spans="16:16" x14ac:dyDescent="0.4">
      <c r="P1062" s="5"/>
    </row>
    <row r="1063" spans="16:16" x14ac:dyDescent="0.4">
      <c r="P1063" s="5"/>
    </row>
    <row r="1064" spans="16:16" x14ac:dyDescent="0.4">
      <c r="P1064" s="5"/>
    </row>
    <row r="1065" spans="16:16" x14ac:dyDescent="0.4">
      <c r="P1065" s="5"/>
    </row>
    <row r="1066" spans="16:16" x14ac:dyDescent="0.4">
      <c r="P1066" s="5"/>
    </row>
    <row r="1067" spans="16:16" x14ac:dyDescent="0.4">
      <c r="P1067" s="5"/>
    </row>
    <row r="1068" spans="16:16" x14ac:dyDescent="0.4">
      <c r="P1068" s="5"/>
    </row>
    <row r="1069" spans="16:16" x14ac:dyDescent="0.4">
      <c r="P1069" s="5"/>
    </row>
    <row r="1070" spans="16:16" x14ac:dyDescent="0.4">
      <c r="P1070" s="5"/>
    </row>
    <row r="1071" spans="16:16" x14ac:dyDescent="0.4">
      <c r="P1071" s="5"/>
    </row>
    <row r="1072" spans="16:16" x14ac:dyDescent="0.4">
      <c r="P1072" s="5"/>
    </row>
    <row r="1073" spans="16:16" x14ac:dyDescent="0.4">
      <c r="P1073" s="5"/>
    </row>
    <row r="1074" spans="16:16" x14ac:dyDescent="0.4">
      <c r="P1074" s="5"/>
    </row>
    <row r="1075" spans="16:16" x14ac:dyDescent="0.4">
      <c r="P1075" s="5"/>
    </row>
    <row r="1076" spans="16:16" x14ac:dyDescent="0.4">
      <c r="P1076" s="5"/>
    </row>
    <row r="1077" spans="16:16" x14ac:dyDescent="0.4">
      <c r="P1077" s="5"/>
    </row>
    <row r="1078" spans="16:16" x14ac:dyDescent="0.4">
      <c r="P1078" s="5"/>
    </row>
    <row r="1079" spans="16:16" x14ac:dyDescent="0.4">
      <c r="P1079" s="5"/>
    </row>
    <row r="1080" spans="16:16" x14ac:dyDescent="0.4">
      <c r="P1080" s="5"/>
    </row>
    <row r="1081" spans="16:16" x14ac:dyDescent="0.4">
      <c r="P1081" s="5"/>
    </row>
    <row r="1082" spans="16:16" x14ac:dyDescent="0.4">
      <c r="P1082" s="5"/>
    </row>
    <row r="1083" spans="16:16" x14ac:dyDescent="0.4">
      <c r="P1083" s="5"/>
    </row>
    <row r="1084" spans="16:16" x14ac:dyDescent="0.4">
      <c r="P1084" s="5"/>
    </row>
    <row r="1085" spans="16:16" x14ac:dyDescent="0.4">
      <c r="P1085" s="5"/>
    </row>
    <row r="1086" spans="16:16" x14ac:dyDescent="0.4">
      <c r="P1086" s="5"/>
    </row>
    <row r="1087" spans="16:16" x14ac:dyDescent="0.4">
      <c r="P1087" s="5"/>
    </row>
    <row r="1088" spans="16:16" x14ac:dyDescent="0.4">
      <c r="P1088" s="5"/>
    </row>
    <row r="1089" spans="16:16" x14ac:dyDescent="0.4">
      <c r="P1089" s="5"/>
    </row>
    <row r="1090" spans="16:16" x14ac:dyDescent="0.4">
      <c r="P1090" s="5"/>
    </row>
    <row r="1091" spans="16:16" x14ac:dyDescent="0.4">
      <c r="P1091" s="5"/>
    </row>
    <row r="1092" spans="16:16" x14ac:dyDescent="0.4">
      <c r="P1092" s="5"/>
    </row>
    <row r="1093" spans="16:16" x14ac:dyDescent="0.4">
      <c r="P1093" s="5"/>
    </row>
    <row r="1094" spans="16:16" x14ac:dyDescent="0.4">
      <c r="P1094" s="5"/>
    </row>
    <row r="1095" spans="16:16" x14ac:dyDescent="0.4">
      <c r="P1095" s="5"/>
    </row>
    <row r="1096" spans="16:16" x14ac:dyDescent="0.4">
      <c r="P1096" s="5"/>
    </row>
    <row r="1097" spans="16:16" x14ac:dyDescent="0.4">
      <c r="P1097" s="5"/>
    </row>
    <row r="1098" spans="16:16" x14ac:dyDescent="0.4">
      <c r="P1098" s="5"/>
    </row>
    <row r="1099" spans="16:16" x14ac:dyDescent="0.4">
      <c r="P1099" s="5"/>
    </row>
    <row r="1100" spans="16:16" x14ac:dyDescent="0.4">
      <c r="P1100" s="5"/>
    </row>
    <row r="1101" spans="16:16" x14ac:dyDescent="0.4">
      <c r="P1101" s="5"/>
    </row>
    <row r="1102" spans="16:16" x14ac:dyDescent="0.4">
      <c r="P1102" s="5"/>
    </row>
    <row r="1103" spans="16:16" x14ac:dyDescent="0.4">
      <c r="P1103" s="5"/>
    </row>
    <row r="1104" spans="16:16" x14ac:dyDescent="0.4">
      <c r="P1104" s="5"/>
    </row>
    <row r="1105" spans="16:16" x14ac:dyDescent="0.4">
      <c r="P1105" s="5"/>
    </row>
    <row r="1106" spans="16:16" x14ac:dyDescent="0.4">
      <c r="P1106" s="5"/>
    </row>
    <row r="1107" spans="16:16" x14ac:dyDescent="0.4">
      <c r="P1107" s="5"/>
    </row>
    <row r="1108" spans="16:16" x14ac:dyDescent="0.4">
      <c r="P1108" s="5"/>
    </row>
    <row r="1109" spans="16:16" x14ac:dyDescent="0.4">
      <c r="P1109" s="5"/>
    </row>
    <row r="1110" spans="16:16" x14ac:dyDescent="0.4">
      <c r="P1110" s="5"/>
    </row>
    <row r="1111" spans="16:16" x14ac:dyDescent="0.4">
      <c r="P1111" s="5"/>
    </row>
    <row r="1112" spans="16:16" x14ac:dyDescent="0.4">
      <c r="P1112" s="5"/>
    </row>
    <row r="1113" spans="16:16" x14ac:dyDescent="0.4">
      <c r="P1113" s="5"/>
    </row>
    <row r="1114" spans="16:16" x14ac:dyDescent="0.4">
      <c r="P1114" s="5"/>
    </row>
    <row r="1115" spans="16:16" x14ac:dyDescent="0.4">
      <c r="P1115" s="5"/>
    </row>
    <row r="1116" spans="16:16" x14ac:dyDescent="0.4">
      <c r="P1116" s="5"/>
    </row>
    <row r="1117" spans="16:16" x14ac:dyDescent="0.4">
      <c r="P1117" s="5"/>
    </row>
    <row r="1118" spans="16:16" x14ac:dyDescent="0.4">
      <c r="P1118" s="5"/>
    </row>
    <row r="1119" spans="16:16" x14ac:dyDescent="0.4">
      <c r="P1119" s="5"/>
    </row>
    <row r="1120" spans="16:16" x14ac:dyDescent="0.4">
      <c r="P1120" s="5"/>
    </row>
    <row r="1121" spans="16:16" x14ac:dyDescent="0.4">
      <c r="P1121" s="5"/>
    </row>
    <row r="1122" spans="16:16" x14ac:dyDescent="0.4">
      <c r="P1122" s="5"/>
    </row>
    <row r="1123" spans="16:16" x14ac:dyDescent="0.4">
      <c r="P1123" s="5"/>
    </row>
    <row r="1124" spans="16:16" x14ac:dyDescent="0.4">
      <c r="P1124" s="5"/>
    </row>
    <row r="1125" spans="16:16" x14ac:dyDescent="0.4">
      <c r="P1125" s="5"/>
    </row>
    <row r="1126" spans="16:16" x14ac:dyDescent="0.4">
      <c r="P1126" s="5"/>
    </row>
    <row r="1127" spans="16:16" x14ac:dyDescent="0.4">
      <c r="P1127" s="5"/>
    </row>
    <row r="1128" spans="16:16" x14ac:dyDescent="0.4">
      <c r="P1128" s="5"/>
    </row>
    <row r="1129" spans="16:16" x14ac:dyDescent="0.4">
      <c r="P1129" s="5"/>
    </row>
    <row r="1130" spans="16:16" x14ac:dyDescent="0.4">
      <c r="P1130" s="5"/>
    </row>
    <row r="1131" spans="16:16" x14ac:dyDescent="0.4">
      <c r="P1131" s="5"/>
    </row>
    <row r="1132" spans="16:16" x14ac:dyDescent="0.4">
      <c r="P1132" s="5"/>
    </row>
    <row r="1133" spans="16:16" x14ac:dyDescent="0.4">
      <c r="P1133" s="5"/>
    </row>
    <row r="1134" spans="16:16" x14ac:dyDescent="0.4">
      <c r="P1134" s="5"/>
    </row>
    <row r="1135" spans="16:16" x14ac:dyDescent="0.4">
      <c r="P1135" s="5"/>
    </row>
    <row r="1136" spans="16:16" x14ac:dyDescent="0.4">
      <c r="P1136" s="5"/>
    </row>
    <row r="1137" spans="16:16" x14ac:dyDescent="0.4">
      <c r="P1137" s="5"/>
    </row>
    <row r="1138" spans="16:16" x14ac:dyDescent="0.4">
      <c r="P1138" s="5"/>
    </row>
    <row r="1139" spans="16:16" x14ac:dyDescent="0.4">
      <c r="P1139" s="5"/>
    </row>
    <row r="1140" spans="16:16" x14ac:dyDescent="0.4">
      <c r="P1140" s="5"/>
    </row>
    <row r="1141" spans="16:16" x14ac:dyDescent="0.4">
      <c r="P1141" s="5"/>
    </row>
    <row r="1142" spans="16:16" x14ac:dyDescent="0.4">
      <c r="P1142" s="5"/>
    </row>
    <row r="1143" spans="16:16" x14ac:dyDescent="0.4">
      <c r="P1143" s="5"/>
    </row>
    <row r="1144" spans="16:16" x14ac:dyDescent="0.4">
      <c r="P1144" s="5"/>
    </row>
    <row r="1145" spans="16:16" x14ac:dyDescent="0.4">
      <c r="P1145" s="5"/>
    </row>
    <row r="1146" spans="16:16" x14ac:dyDescent="0.4">
      <c r="P1146" s="5"/>
    </row>
    <row r="1147" spans="16:16" x14ac:dyDescent="0.4">
      <c r="P1147" s="5"/>
    </row>
    <row r="1148" spans="16:16" x14ac:dyDescent="0.4">
      <c r="P1148" s="5"/>
    </row>
    <row r="1149" spans="16:16" x14ac:dyDescent="0.4">
      <c r="P1149" s="5"/>
    </row>
    <row r="1150" spans="16:16" x14ac:dyDescent="0.4">
      <c r="P1150" s="5"/>
    </row>
    <row r="1151" spans="16:16" x14ac:dyDescent="0.4">
      <c r="P1151" s="5"/>
    </row>
    <row r="1152" spans="16:16" x14ac:dyDescent="0.4">
      <c r="P1152" s="5"/>
    </row>
    <row r="1153" spans="16:16" x14ac:dyDescent="0.4">
      <c r="P1153" s="5"/>
    </row>
    <row r="1154" spans="16:16" x14ac:dyDescent="0.4">
      <c r="P1154" s="5"/>
    </row>
    <row r="1155" spans="16:16" x14ac:dyDescent="0.4">
      <c r="P1155" s="5"/>
    </row>
    <row r="1156" spans="16:16" x14ac:dyDescent="0.4">
      <c r="P1156" s="5"/>
    </row>
    <row r="1157" spans="16:16" x14ac:dyDescent="0.4">
      <c r="P1157" s="5"/>
    </row>
    <row r="1158" spans="16:16" x14ac:dyDescent="0.4">
      <c r="P1158" s="5"/>
    </row>
    <row r="1159" spans="16:16" x14ac:dyDescent="0.4">
      <c r="P1159" s="5"/>
    </row>
    <row r="1160" spans="16:16" x14ac:dyDescent="0.4">
      <c r="P1160" s="5"/>
    </row>
    <row r="1161" spans="16:16" x14ac:dyDescent="0.4">
      <c r="P1161" s="5"/>
    </row>
    <row r="1162" spans="16:16" x14ac:dyDescent="0.4">
      <c r="P1162" s="5"/>
    </row>
    <row r="1163" spans="16:16" x14ac:dyDescent="0.4">
      <c r="P1163" s="5"/>
    </row>
    <row r="1164" spans="16:16" x14ac:dyDescent="0.4">
      <c r="P1164" s="5"/>
    </row>
    <row r="1165" spans="16:16" x14ac:dyDescent="0.4">
      <c r="P1165" s="5"/>
    </row>
    <row r="1166" spans="16:16" x14ac:dyDescent="0.4">
      <c r="P1166" s="5"/>
    </row>
    <row r="1167" spans="16:16" x14ac:dyDescent="0.4">
      <c r="P1167" s="5"/>
    </row>
    <row r="1168" spans="16:16" x14ac:dyDescent="0.4">
      <c r="P1168" s="5"/>
    </row>
    <row r="1169" spans="16:16" x14ac:dyDescent="0.4">
      <c r="P1169" s="5"/>
    </row>
    <row r="1170" spans="16:16" x14ac:dyDescent="0.4">
      <c r="P1170" s="5"/>
    </row>
    <row r="1171" spans="16:16" x14ac:dyDescent="0.4">
      <c r="P1171" s="5"/>
    </row>
    <row r="1172" spans="16:16" x14ac:dyDescent="0.4">
      <c r="P1172" s="5"/>
    </row>
    <row r="1173" spans="16:16" x14ac:dyDescent="0.4">
      <c r="P1173" s="5"/>
    </row>
    <row r="1174" spans="16:16" x14ac:dyDescent="0.4">
      <c r="P1174" s="5"/>
    </row>
    <row r="1175" spans="16:16" x14ac:dyDescent="0.4">
      <c r="P1175" s="5"/>
    </row>
    <row r="1176" spans="16:16" x14ac:dyDescent="0.4">
      <c r="P1176" s="5"/>
    </row>
    <row r="1177" spans="16:16" x14ac:dyDescent="0.4">
      <c r="P1177" s="5"/>
    </row>
    <row r="1178" spans="16:16" x14ac:dyDescent="0.4">
      <c r="P1178" s="5"/>
    </row>
    <row r="1179" spans="16:16" x14ac:dyDescent="0.4">
      <c r="P1179" s="5"/>
    </row>
    <row r="1180" spans="16:16" x14ac:dyDescent="0.4">
      <c r="P1180" s="5"/>
    </row>
    <row r="1181" spans="16:16" x14ac:dyDescent="0.4">
      <c r="P1181" s="5"/>
    </row>
    <row r="1182" spans="16:16" x14ac:dyDescent="0.4">
      <c r="P1182" s="5"/>
    </row>
    <row r="1183" spans="16:16" x14ac:dyDescent="0.4">
      <c r="P1183" s="5"/>
    </row>
    <row r="1184" spans="16:16" x14ac:dyDescent="0.4">
      <c r="P1184" s="5"/>
    </row>
    <row r="1185" spans="16:16" x14ac:dyDescent="0.4">
      <c r="P1185" s="5"/>
    </row>
    <row r="1186" spans="16:16" x14ac:dyDescent="0.4">
      <c r="P1186" s="5"/>
    </row>
    <row r="1187" spans="16:16" x14ac:dyDescent="0.4">
      <c r="P1187" s="5"/>
    </row>
    <row r="1188" spans="16:16" x14ac:dyDescent="0.4">
      <c r="P1188" s="5"/>
    </row>
    <row r="1189" spans="16:16" x14ac:dyDescent="0.4">
      <c r="P1189" s="5"/>
    </row>
    <row r="1190" spans="16:16" x14ac:dyDescent="0.4">
      <c r="P1190" s="5"/>
    </row>
    <row r="1191" spans="16:16" x14ac:dyDescent="0.4">
      <c r="P1191" s="5"/>
    </row>
    <row r="1192" spans="16:16" x14ac:dyDescent="0.4">
      <c r="P1192" s="5"/>
    </row>
    <row r="1193" spans="16:16" x14ac:dyDescent="0.4">
      <c r="P1193" s="5"/>
    </row>
    <row r="1194" spans="16:16" x14ac:dyDescent="0.4">
      <c r="P1194" s="5"/>
    </row>
    <row r="1195" spans="16:16" x14ac:dyDescent="0.4">
      <c r="P1195" s="5"/>
    </row>
    <row r="1196" spans="16:16" x14ac:dyDescent="0.4">
      <c r="P1196" s="5"/>
    </row>
    <row r="1197" spans="16:16" x14ac:dyDescent="0.4">
      <c r="P1197" s="5"/>
    </row>
    <row r="1198" spans="16:16" x14ac:dyDescent="0.4">
      <c r="P1198" s="5"/>
    </row>
    <row r="1199" spans="16:16" x14ac:dyDescent="0.4">
      <c r="P1199" s="5"/>
    </row>
    <row r="1200" spans="16:16" x14ac:dyDescent="0.4">
      <c r="P1200" s="5"/>
    </row>
    <row r="1201" spans="16:16" x14ac:dyDescent="0.4">
      <c r="P1201" s="5"/>
    </row>
    <row r="1202" spans="16:16" x14ac:dyDescent="0.4">
      <c r="P1202" s="5"/>
    </row>
    <row r="1203" spans="16:16" x14ac:dyDescent="0.4">
      <c r="P1203" s="5"/>
    </row>
    <row r="1204" spans="16:16" x14ac:dyDescent="0.4">
      <c r="P1204" s="5"/>
    </row>
    <row r="1205" spans="16:16" x14ac:dyDescent="0.4">
      <c r="P1205" s="5"/>
    </row>
    <row r="1206" spans="16:16" x14ac:dyDescent="0.4">
      <c r="P1206" s="5"/>
    </row>
    <row r="1207" spans="16:16" x14ac:dyDescent="0.4">
      <c r="P1207" s="5"/>
    </row>
    <row r="1208" spans="16:16" x14ac:dyDescent="0.4">
      <c r="P1208" s="5"/>
    </row>
    <row r="1209" spans="16:16" x14ac:dyDescent="0.4">
      <c r="P1209" s="5"/>
    </row>
    <row r="1210" spans="16:16" x14ac:dyDescent="0.4">
      <c r="P1210" s="5"/>
    </row>
    <row r="1211" spans="16:16" x14ac:dyDescent="0.4">
      <c r="P1211" s="5"/>
    </row>
    <row r="1212" spans="16:16" x14ac:dyDescent="0.4">
      <c r="P1212" s="5"/>
    </row>
    <row r="1213" spans="16:16" x14ac:dyDescent="0.4">
      <c r="P1213" s="5"/>
    </row>
    <row r="1214" spans="16:16" x14ac:dyDescent="0.4">
      <c r="P1214" s="5"/>
    </row>
    <row r="1215" spans="16:16" x14ac:dyDescent="0.4">
      <c r="P1215" s="5"/>
    </row>
    <row r="1216" spans="16:16" x14ac:dyDescent="0.4">
      <c r="P1216" s="5"/>
    </row>
    <row r="1217" spans="16:16" x14ac:dyDescent="0.4">
      <c r="P1217" s="5"/>
    </row>
    <row r="1218" spans="16:16" x14ac:dyDescent="0.4">
      <c r="P1218" s="5"/>
    </row>
    <row r="1219" spans="16:16" x14ac:dyDescent="0.4">
      <c r="P1219" s="5"/>
    </row>
    <row r="1220" spans="16:16" x14ac:dyDescent="0.4">
      <c r="P1220" s="5"/>
    </row>
    <row r="1221" spans="16:16" x14ac:dyDescent="0.4">
      <c r="P1221" s="5"/>
    </row>
    <row r="1222" spans="16:16" x14ac:dyDescent="0.4">
      <c r="P1222" s="5"/>
    </row>
    <row r="1223" spans="16:16" x14ac:dyDescent="0.4">
      <c r="P1223" s="5"/>
    </row>
    <row r="1224" spans="16:16" x14ac:dyDescent="0.4">
      <c r="P1224" s="5"/>
    </row>
    <row r="1225" spans="16:16" x14ac:dyDescent="0.4">
      <c r="P1225" s="5"/>
    </row>
    <row r="1226" spans="16:16" x14ac:dyDescent="0.4">
      <c r="P1226" s="5"/>
    </row>
    <row r="1227" spans="16:16" x14ac:dyDescent="0.4">
      <c r="P1227" s="5"/>
    </row>
    <row r="1228" spans="16:16" x14ac:dyDescent="0.4">
      <c r="P1228" s="5"/>
    </row>
    <row r="1229" spans="16:16" x14ac:dyDescent="0.4">
      <c r="P1229" s="5"/>
    </row>
    <row r="1230" spans="16:16" x14ac:dyDescent="0.4">
      <c r="P1230" s="5"/>
    </row>
    <row r="1231" spans="16:16" x14ac:dyDescent="0.4">
      <c r="P1231" s="5"/>
    </row>
    <row r="1232" spans="16:16" x14ac:dyDescent="0.4">
      <c r="P1232" s="5"/>
    </row>
    <row r="1233" spans="16:16" x14ac:dyDescent="0.4">
      <c r="P1233" s="5"/>
    </row>
    <row r="1234" spans="16:16" x14ac:dyDescent="0.4">
      <c r="P1234" s="5"/>
    </row>
    <row r="1235" spans="16:16" x14ac:dyDescent="0.4">
      <c r="P1235" s="5"/>
    </row>
    <row r="1236" spans="16:16" x14ac:dyDescent="0.4">
      <c r="P1236" s="5"/>
    </row>
    <row r="1237" spans="16:16" x14ac:dyDescent="0.4">
      <c r="P1237" s="5"/>
    </row>
    <row r="1238" spans="16:16" x14ac:dyDescent="0.4">
      <c r="P1238" s="5"/>
    </row>
    <row r="1239" spans="16:16" x14ac:dyDescent="0.4">
      <c r="P1239" s="5"/>
    </row>
    <row r="1240" spans="16:16" x14ac:dyDescent="0.4">
      <c r="P1240" s="5"/>
    </row>
    <row r="1241" spans="16:16" x14ac:dyDescent="0.4">
      <c r="P1241" s="5"/>
    </row>
    <row r="1242" spans="16:16" x14ac:dyDescent="0.4">
      <c r="P1242" s="5"/>
    </row>
    <row r="1243" spans="16:16" x14ac:dyDescent="0.4">
      <c r="P1243" s="5"/>
    </row>
    <row r="1244" spans="16:16" x14ac:dyDescent="0.4">
      <c r="P1244" s="5"/>
    </row>
    <row r="1245" spans="16:16" x14ac:dyDescent="0.4">
      <c r="P1245" s="5"/>
    </row>
    <row r="1246" spans="16:16" x14ac:dyDescent="0.4">
      <c r="P1246" s="5"/>
    </row>
    <row r="1247" spans="16:16" x14ac:dyDescent="0.4">
      <c r="P1247" s="5"/>
    </row>
    <row r="1248" spans="16:16" x14ac:dyDescent="0.4">
      <c r="P1248" s="5"/>
    </row>
    <row r="1249" spans="16:16" x14ac:dyDescent="0.4">
      <c r="P1249" s="5"/>
    </row>
    <row r="1250" spans="16:16" x14ac:dyDescent="0.4">
      <c r="P1250" s="5"/>
    </row>
    <row r="1251" spans="16:16" x14ac:dyDescent="0.4">
      <c r="P1251" s="5"/>
    </row>
    <row r="1252" spans="16:16" x14ac:dyDescent="0.4">
      <c r="P1252" s="5"/>
    </row>
    <row r="1253" spans="16:16" x14ac:dyDescent="0.4">
      <c r="P1253" s="5"/>
    </row>
    <row r="1254" spans="16:16" x14ac:dyDescent="0.4">
      <c r="P1254" s="5"/>
    </row>
    <row r="1255" spans="16:16" x14ac:dyDescent="0.4">
      <c r="P1255" s="5"/>
    </row>
    <row r="1256" spans="16:16" x14ac:dyDescent="0.4">
      <c r="P1256" s="5"/>
    </row>
    <row r="1257" spans="16:16" x14ac:dyDescent="0.4">
      <c r="P1257" s="5"/>
    </row>
    <row r="1258" spans="16:16" x14ac:dyDescent="0.4">
      <c r="P1258" s="5"/>
    </row>
    <row r="1259" spans="16:16" x14ac:dyDescent="0.4">
      <c r="P1259" s="5"/>
    </row>
    <row r="1260" spans="16:16" x14ac:dyDescent="0.4">
      <c r="P1260" s="5"/>
    </row>
    <row r="1261" spans="16:16" x14ac:dyDescent="0.4">
      <c r="P1261" s="5"/>
    </row>
    <row r="1262" spans="16:16" x14ac:dyDescent="0.4">
      <c r="P1262" s="5"/>
    </row>
    <row r="1263" spans="16:16" x14ac:dyDescent="0.4">
      <c r="P1263" s="5"/>
    </row>
    <row r="1264" spans="16:16" x14ac:dyDescent="0.4">
      <c r="P1264" s="5"/>
    </row>
    <row r="1265" spans="16:16" x14ac:dyDescent="0.4">
      <c r="P1265" s="5"/>
    </row>
    <row r="1266" spans="16:16" x14ac:dyDescent="0.4">
      <c r="P1266" s="5"/>
    </row>
    <row r="1267" spans="16:16" x14ac:dyDescent="0.4">
      <c r="P1267" s="5"/>
    </row>
    <row r="1268" spans="16:16" x14ac:dyDescent="0.4">
      <c r="P1268" s="5"/>
    </row>
    <row r="1269" spans="16:16" x14ac:dyDescent="0.4">
      <c r="P1269" s="5"/>
    </row>
    <row r="1270" spans="16:16" x14ac:dyDescent="0.4">
      <c r="P1270" s="5"/>
    </row>
    <row r="1271" spans="16:16" x14ac:dyDescent="0.4">
      <c r="P1271" s="5"/>
    </row>
    <row r="1272" spans="16:16" x14ac:dyDescent="0.4">
      <c r="P1272" s="5"/>
    </row>
    <row r="1273" spans="16:16" x14ac:dyDescent="0.4">
      <c r="P1273" s="5"/>
    </row>
    <row r="1274" spans="16:16" x14ac:dyDescent="0.4">
      <c r="P1274" s="5"/>
    </row>
    <row r="1275" spans="16:16" x14ac:dyDescent="0.4">
      <c r="P1275" s="5"/>
    </row>
    <row r="1276" spans="16:16" x14ac:dyDescent="0.4">
      <c r="P1276" s="5"/>
    </row>
    <row r="1277" spans="16:16" x14ac:dyDescent="0.4">
      <c r="P1277" s="5"/>
    </row>
    <row r="1278" spans="16:16" x14ac:dyDescent="0.4">
      <c r="P1278" s="5"/>
    </row>
    <row r="1279" spans="16:16" x14ac:dyDescent="0.4">
      <c r="P1279" s="5"/>
    </row>
    <row r="1280" spans="16:16" x14ac:dyDescent="0.4">
      <c r="P1280" s="5"/>
    </row>
    <row r="1281" spans="16:16" x14ac:dyDescent="0.4">
      <c r="P1281" s="5"/>
    </row>
    <row r="1282" spans="16:16" x14ac:dyDescent="0.4">
      <c r="P1282" s="5"/>
    </row>
    <row r="1283" spans="16:16" x14ac:dyDescent="0.4">
      <c r="P1283" s="5"/>
    </row>
    <row r="1284" spans="16:16" x14ac:dyDescent="0.4">
      <c r="P1284" s="5"/>
    </row>
    <row r="1285" spans="16:16" x14ac:dyDescent="0.4">
      <c r="P1285" s="5"/>
    </row>
    <row r="1286" spans="16:16" x14ac:dyDescent="0.4">
      <c r="P1286" s="5"/>
    </row>
    <row r="1287" spans="16:16" x14ac:dyDescent="0.4">
      <c r="P1287" s="5"/>
    </row>
    <row r="1288" spans="16:16" x14ac:dyDescent="0.4">
      <c r="P1288" s="5"/>
    </row>
    <row r="1289" spans="16:16" x14ac:dyDescent="0.4">
      <c r="P1289" s="5"/>
    </row>
    <row r="1290" spans="16:16" x14ac:dyDescent="0.4">
      <c r="P1290" s="5"/>
    </row>
    <row r="1291" spans="16:16" x14ac:dyDescent="0.4">
      <c r="P1291" s="5"/>
    </row>
    <row r="1292" spans="16:16" x14ac:dyDescent="0.4">
      <c r="P1292" s="5"/>
    </row>
    <row r="1293" spans="16:16" x14ac:dyDescent="0.4">
      <c r="P1293" s="5"/>
    </row>
    <row r="1294" spans="16:16" x14ac:dyDescent="0.4">
      <c r="P1294" s="5"/>
    </row>
    <row r="1295" spans="16:16" x14ac:dyDescent="0.4">
      <c r="P1295" s="5"/>
    </row>
    <row r="1296" spans="16:16" x14ac:dyDescent="0.4">
      <c r="P1296" s="5"/>
    </row>
    <row r="1297" spans="16:16" x14ac:dyDescent="0.4">
      <c r="P1297" s="5"/>
    </row>
    <row r="1298" spans="16:16" x14ac:dyDescent="0.4">
      <c r="P1298" s="5"/>
    </row>
    <row r="1299" spans="16:16" x14ac:dyDescent="0.4">
      <c r="P1299" s="5"/>
    </row>
    <row r="1300" spans="16:16" x14ac:dyDescent="0.4">
      <c r="P1300" s="5"/>
    </row>
    <row r="1301" spans="16:16" x14ac:dyDescent="0.4">
      <c r="P1301" s="5"/>
    </row>
    <row r="1302" spans="16:16" x14ac:dyDescent="0.4">
      <c r="P1302" s="5"/>
    </row>
    <row r="1303" spans="16:16" x14ac:dyDescent="0.4">
      <c r="P1303" s="5"/>
    </row>
    <row r="1304" spans="16:16" x14ac:dyDescent="0.4">
      <c r="P1304" s="5"/>
    </row>
    <row r="1305" spans="16:16" x14ac:dyDescent="0.4">
      <c r="P1305" s="5"/>
    </row>
    <row r="1306" spans="16:16" x14ac:dyDescent="0.4">
      <c r="P1306" s="5"/>
    </row>
    <row r="1307" spans="16:16" x14ac:dyDescent="0.4">
      <c r="P1307" s="5"/>
    </row>
    <row r="1308" spans="16:16" x14ac:dyDescent="0.4">
      <c r="P1308" s="5"/>
    </row>
    <row r="1309" spans="16:16" x14ac:dyDescent="0.4">
      <c r="P1309" s="5"/>
    </row>
    <row r="1310" spans="16:16" x14ac:dyDescent="0.4">
      <c r="P1310" s="5"/>
    </row>
    <row r="1311" spans="16:16" x14ac:dyDescent="0.4">
      <c r="P1311" s="5"/>
    </row>
    <row r="1312" spans="16:16" x14ac:dyDescent="0.4">
      <c r="P1312" s="5"/>
    </row>
    <row r="1313" spans="16:16" x14ac:dyDescent="0.4">
      <c r="P1313" s="5"/>
    </row>
    <row r="1314" spans="16:16" x14ac:dyDescent="0.4">
      <c r="P1314" s="5"/>
    </row>
    <row r="1315" spans="16:16" x14ac:dyDescent="0.4">
      <c r="P1315" s="5"/>
    </row>
    <row r="1316" spans="16:16" x14ac:dyDescent="0.4">
      <c r="P1316" s="5"/>
    </row>
    <row r="1317" spans="16:16" x14ac:dyDescent="0.4">
      <c r="P1317" s="5"/>
    </row>
    <row r="1318" spans="16:16" x14ac:dyDescent="0.4">
      <c r="P1318" s="5"/>
    </row>
    <row r="1319" spans="16:16" x14ac:dyDescent="0.4">
      <c r="P1319" s="5"/>
    </row>
    <row r="1320" spans="16:16" x14ac:dyDescent="0.4">
      <c r="P1320" s="5"/>
    </row>
    <row r="1321" spans="16:16" x14ac:dyDescent="0.4">
      <c r="P1321" s="5"/>
    </row>
    <row r="1322" spans="16:16" x14ac:dyDescent="0.4">
      <c r="P1322" s="5"/>
    </row>
    <row r="1323" spans="16:16" x14ac:dyDescent="0.4">
      <c r="P1323" s="5"/>
    </row>
    <row r="1324" spans="16:16" x14ac:dyDescent="0.4">
      <c r="P1324" s="5"/>
    </row>
    <row r="1325" spans="16:16" x14ac:dyDescent="0.4">
      <c r="P1325" s="5"/>
    </row>
    <row r="1326" spans="16:16" x14ac:dyDescent="0.4">
      <c r="P1326" s="5"/>
    </row>
    <row r="1327" spans="16:16" x14ac:dyDescent="0.4">
      <c r="P1327" s="5"/>
    </row>
    <row r="1328" spans="16:16" x14ac:dyDescent="0.4">
      <c r="P1328" s="5"/>
    </row>
    <row r="1329" spans="16:16" x14ac:dyDescent="0.4">
      <c r="P1329" s="5"/>
    </row>
    <row r="1330" spans="16:16" x14ac:dyDescent="0.4">
      <c r="P1330" s="5"/>
    </row>
    <row r="1331" spans="16:16" x14ac:dyDescent="0.4">
      <c r="P1331" s="5"/>
    </row>
    <row r="1332" spans="16:16" x14ac:dyDescent="0.4">
      <c r="P1332" s="5"/>
    </row>
    <row r="1333" spans="16:16" x14ac:dyDescent="0.4">
      <c r="P1333" s="5"/>
    </row>
    <row r="1334" spans="16:16" x14ac:dyDescent="0.4">
      <c r="P1334" s="5"/>
    </row>
    <row r="1335" spans="16:16" x14ac:dyDescent="0.4">
      <c r="P1335" s="5"/>
    </row>
    <row r="1336" spans="16:16" x14ac:dyDescent="0.4">
      <c r="P1336" s="5"/>
    </row>
    <row r="1337" spans="16:16" x14ac:dyDescent="0.4">
      <c r="P1337" s="5"/>
    </row>
    <row r="1338" spans="16:16" x14ac:dyDescent="0.4">
      <c r="P1338" s="5"/>
    </row>
    <row r="1339" spans="16:16" x14ac:dyDescent="0.4">
      <c r="P1339" s="5"/>
    </row>
    <row r="1340" spans="16:16" x14ac:dyDescent="0.4">
      <c r="P1340" s="5"/>
    </row>
    <row r="1341" spans="16:16" x14ac:dyDescent="0.4">
      <c r="P1341" s="5"/>
    </row>
    <row r="1342" spans="16:16" x14ac:dyDescent="0.4">
      <c r="P1342" s="5"/>
    </row>
    <row r="1343" spans="16:16" x14ac:dyDescent="0.4">
      <c r="P1343" s="5"/>
    </row>
    <row r="1344" spans="16:16" x14ac:dyDescent="0.4">
      <c r="P1344" s="5"/>
    </row>
    <row r="1345" spans="16:16" x14ac:dyDescent="0.4">
      <c r="P1345" s="5"/>
    </row>
    <row r="1346" spans="16:16" x14ac:dyDescent="0.4">
      <c r="P1346" s="5"/>
    </row>
    <row r="1347" spans="16:16" x14ac:dyDescent="0.4">
      <c r="P1347" s="5"/>
    </row>
    <row r="1348" spans="16:16" x14ac:dyDescent="0.4">
      <c r="P1348" s="5"/>
    </row>
    <row r="1349" spans="16:16" x14ac:dyDescent="0.4">
      <c r="P1349" s="5"/>
    </row>
    <row r="1350" spans="16:16" x14ac:dyDescent="0.4">
      <c r="P1350" s="5"/>
    </row>
    <row r="1351" spans="16:16" x14ac:dyDescent="0.4">
      <c r="P1351" s="5"/>
    </row>
    <row r="1352" spans="16:16" x14ac:dyDescent="0.4">
      <c r="P1352" s="5"/>
    </row>
    <row r="1353" spans="16:16" x14ac:dyDescent="0.4">
      <c r="P1353" s="5"/>
    </row>
    <row r="1354" spans="16:16" x14ac:dyDescent="0.4">
      <c r="P1354" s="5"/>
    </row>
    <row r="1355" spans="16:16" x14ac:dyDescent="0.4">
      <c r="P1355" s="5"/>
    </row>
    <row r="1356" spans="16:16" x14ac:dyDescent="0.4">
      <c r="P1356" s="5"/>
    </row>
    <row r="1357" spans="16:16" x14ac:dyDescent="0.4">
      <c r="P1357" s="5"/>
    </row>
    <row r="1358" spans="16:16" x14ac:dyDescent="0.4">
      <c r="P1358" s="5"/>
    </row>
    <row r="1359" spans="16:16" x14ac:dyDescent="0.4">
      <c r="P1359" s="5"/>
    </row>
    <row r="1360" spans="16:16" x14ac:dyDescent="0.4">
      <c r="P1360" s="5"/>
    </row>
    <row r="1361" spans="16:16" x14ac:dyDescent="0.4">
      <c r="P1361" s="5"/>
    </row>
    <row r="1362" spans="16:16" x14ac:dyDescent="0.4">
      <c r="P1362" s="5"/>
    </row>
    <row r="1363" spans="16:16" x14ac:dyDescent="0.4">
      <c r="P1363" s="5"/>
    </row>
    <row r="1364" spans="16:16" x14ac:dyDescent="0.4">
      <c r="P1364" s="5"/>
    </row>
    <row r="1365" spans="16:16" x14ac:dyDescent="0.4">
      <c r="P1365" s="5"/>
    </row>
    <row r="1366" spans="16:16" x14ac:dyDescent="0.4">
      <c r="P1366" s="5"/>
    </row>
    <row r="1367" spans="16:16" x14ac:dyDescent="0.4">
      <c r="P1367" s="5"/>
    </row>
    <row r="1368" spans="16:16" x14ac:dyDescent="0.4">
      <c r="P1368" s="5"/>
    </row>
    <row r="1369" spans="16:16" x14ac:dyDescent="0.4">
      <c r="P1369" s="5"/>
    </row>
    <row r="1370" spans="16:16" x14ac:dyDescent="0.4">
      <c r="P1370" s="5"/>
    </row>
    <row r="1371" spans="16:16" x14ac:dyDescent="0.4">
      <c r="P1371" s="5"/>
    </row>
    <row r="1372" spans="16:16" x14ac:dyDescent="0.4">
      <c r="P1372" s="5"/>
    </row>
    <row r="1373" spans="16:16" x14ac:dyDescent="0.4">
      <c r="P1373" s="5"/>
    </row>
    <row r="1374" spans="16:16" x14ac:dyDescent="0.4">
      <c r="P1374" s="5"/>
    </row>
    <row r="1375" spans="16:16" x14ac:dyDescent="0.4">
      <c r="P1375" s="5"/>
    </row>
    <row r="1376" spans="16:16" x14ac:dyDescent="0.4">
      <c r="P1376" s="5"/>
    </row>
    <row r="1377" spans="16:16" x14ac:dyDescent="0.4">
      <c r="P1377" s="5"/>
    </row>
    <row r="1378" spans="16:16" x14ac:dyDescent="0.4">
      <c r="P1378" s="5"/>
    </row>
    <row r="1379" spans="16:16" x14ac:dyDescent="0.4">
      <c r="P1379" s="5"/>
    </row>
    <row r="1380" spans="16:16" x14ac:dyDescent="0.4">
      <c r="P1380" s="5"/>
    </row>
    <row r="1381" spans="16:16" x14ac:dyDescent="0.4">
      <c r="P1381" s="5"/>
    </row>
    <row r="1382" spans="16:16" x14ac:dyDescent="0.4">
      <c r="P1382" s="5"/>
    </row>
    <row r="1383" spans="16:16" x14ac:dyDescent="0.4">
      <c r="P1383" s="5"/>
    </row>
    <row r="1384" spans="16:16" x14ac:dyDescent="0.4">
      <c r="P1384" s="5"/>
    </row>
    <row r="1385" spans="16:16" x14ac:dyDescent="0.4">
      <c r="P1385" s="5"/>
    </row>
    <row r="1386" spans="16:16" x14ac:dyDescent="0.4">
      <c r="P1386" s="5"/>
    </row>
    <row r="1387" spans="16:16" x14ac:dyDescent="0.4">
      <c r="P1387" s="5"/>
    </row>
    <row r="1388" spans="16:16" x14ac:dyDescent="0.4">
      <c r="P1388" s="5"/>
    </row>
    <row r="1389" spans="16:16" x14ac:dyDescent="0.4">
      <c r="P1389" s="5"/>
    </row>
    <row r="1390" spans="16:16" x14ac:dyDescent="0.4">
      <c r="P1390" s="5"/>
    </row>
    <row r="1391" spans="16:16" x14ac:dyDescent="0.4">
      <c r="P1391" s="5"/>
    </row>
    <row r="1392" spans="16:16" x14ac:dyDescent="0.4">
      <c r="P1392" s="5"/>
    </row>
    <row r="1393" spans="16:16" x14ac:dyDescent="0.4">
      <c r="P1393" s="5"/>
    </row>
    <row r="1394" spans="16:16" x14ac:dyDescent="0.4">
      <c r="P1394" s="5"/>
    </row>
    <row r="1395" spans="16:16" x14ac:dyDescent="0.4">
      <c r="P1395" s="5"/>
    </row>
    <row r="1396" spans="16:16" x14ac:dyDescent="0.4">
      <c r="P1396" s="5"/>
    </row>
    <row r="1397" spans="16:16" x14ac:dyDescent="0.4">
      <c r="P1397" s="5"/>
    </row>
    <row r="1398" spans="16:16" x14ac:dyDescent="0.4">
      <c r="P1398" s="5"/>
    </row>
    <row r="1399" spans="16:16" x14ac:dyDescent="0.4">
      <c r="P1399" s="5"/>
    </row>
    <row r="1400" spans="16:16" x14ac:dyDescent="0.4">
      <c r="P1400" s="5"/>
    </row>
    <row r="1401" spans="16:16" x14ac:dyDescent="0.4">
      <c r="P1401" s="5"/>
    </row>
    <row r="1402" spans="16:16" x14ac:dyDescent="0.4">
      <c r="P1402" s="5"/>
    </row>
    <row r="1403" spans="16:16" x14ac:dyDescent="0.4">
      <c r="P1403" s="5"/>
    </row>
    <row r="1404" spans="16:16" x14ac:dyDescent="0.4">
      <c r="P1404" s="5"/>
    </row>
    <row r="1405" spans="16:16" x14ac:dyDescent="0.4">
      <c r="P1405" s="5"/>
    </row>
    <row r="1406" spans="16:16" x14ac:dyDescent="0.4">
      <c r="P1406" s="5"/>
    </row>
    <row r="1407" spans="16:16" x14ac:dyDescent="0.4">
      <c r="P1407" s="5"/>
    </row>
    <row r="1408" spans="16:16" x14ac:dyDescent="0.4">
      <c r="P1408" s="5"/>
    </row>
    <row r="1409" spans="16:16" x14ac:dyDescent="0.4">
      <c r="P1409" s="5"/>
    </row>
    <row r="1410" spans="16:16" x14ac:dyDescent="0.4">
      <c r="P1410" s="5"/>
    </row>
    <row r="1411" spans="16:16" x14ac:dyDescent="0.4">
      <c r="P1411" s="5"/>
    </row>
    <row r="1412" spans="16:16" x14ac:dyDescent="0.4">
      <c r="P1412" s="5"/>
    </row>
    <row r="1413" spans="16:16" x14ac:dyDescent="0.4">
      <c r="P1413" s="5"/>
    </row>
    <row r="1414" spans="16:16" x14ac:dyDescent="0.4">
      <c r="P1414" s="5"/>
    </row>
    <row r="1415" spans="16:16" x14ac:dyDescent="0.4">
      <c r="P1415" s="5"/>
    </row>
    <row r="1416" spans="16:16" x14ac:dyDescent="0.4">
      <c r="P1416" s="5"/>
    </row>
    <row r="1417" spans="16:16" x14ac:dyDescent="0.4">
      <c r="P1417" s="5"/>
    </row>
    <row r="1418" spans="16:16" x14ac:dyDescent="0.4">
      <c r="P1418" s="5"/>
    </row>
    <row r="1419" spans="16:16" x14ac:dyDescent="0.4">
      <c r="P1419" s="5"/>
    </row>
    <row r="1420" spans="16:16" x14ac:dyDescent="0.4">
      <c r="P1420" s="5"/>
    </row>
    <row r="1421" spans="16:16" x14ac:dyDescent="0.4">
      <c r="P1421" s="5"/>
    </row>
    <row r="1422" spans="16:16" x14ac:dyDescent="0.4">
      <c r="P1422" s="5"/>
    </row>
    <row r="1423" spans="16:16" x14ac:dyDescent="0.4">
      <c r="P1423" s="5"/>
    </row>
    <row r="1424" spans="16:16" x14ac:dyDescent="0.4">
      <c r="P1424" s="5"/>
    </row>
    <row r="1425" spans="16:16" x14ac:dyDescent="0.4">
      <c r="P1425" s="5"/>
    </row>
    <row r="1426" spans="16:16" x14ac:dyDescent="0.4">
      <c r="P1426" s="5"/>
    </row>
    <row r="1427" spans="16:16" x14ac:dyDescent="0.4">
      <c r="P1427" s="5"/>
    </row>
    <row r="1428" spans="16:16" x14ac:dyDescent="0.4">
      <c r="P1428" s="5"/>
    </row>
    <row r="1429" spans="16:16" x14ac:dyDescent="0.4">
      <c r="P1429" s="5"/>
    </row>
    <row r="1430" spans="16:16" x14ac:dyDescent="0.4">
      <c r="P1430" s="5"/>
    </row>
    <row r="1431" spans="16:16" x14ac:dyDescent="0.4">
      <c r="P1431" s="5"/>
    </row>
    <row r="1432" spans="16:16" x14ac:dyDescent="0.4">
      <c r="P1432" s="5"/>
    </row>
    <row r="1433" spans="16:16" x14ac:dyDescent="0.4">
      <c r="P1433" s="5"/>
    </row>
    <row r="1434" spans="16:16" x14ac:dyDescent="0.4">
      <c r="P1434" s="5"/>
    </row>
    <row r="1435" spans="16:16" x14ac:dyDescent="0.4">
      <c r="P1435" s="5"/>
    </row>
    <row r="1436" spans="16:16" x14ac:dyDescent="0.4">
      <c r="P1436" s="5"/>
    </row>
    <row r="1437" spans="16:16" x14ac:dyDescent="0.4">
      <c r="P1437" s="5"/>
    </row>
    <row r="1438" spans="16:16" x14ac:dyDescent="0.4">
      <c r="P1438" s="5"/>
    </row>
    <row r="1439" spans="16:16" x14ac:dyDescent="0.4">
      <c r="P1439" s="5"/>
    </row>
    <row r="1440" spans="16:16" x14ac:dyDescent="0.4">
      <c r="P1440" s="5"/>
    </row>
    <row r="1441" spans="16:16" x14ac:dyDescent="0.4">
      <c r="P1441" s="5"/>
    </row>
    <row r="1442" spans="16:16" x14ac:dyDescent="0.4">
      <c r="P1442" s="5"/>
    </row>
    <row r="1443" spans="16:16" x14ac:dyDescent="0.4">
      <c r="P1443" s="5"/>
    </row>
    <row r="1444" spans="16:16" x14ac:dyDescent="0.4">
      <c r="P1444" s="5"/>
    </row>
    <row r="1445" spans="16:16" x14ac:dyDescent="0.4">
      <c r="P1445" s="5"/>
    </row>
    <row r="1446" spans="16:16" x14ac:dyDescent="0.4">
      <c r="P1446" s="5"/>
    </row>
    <row r="1447" spans="16:16" x14ac:dyDescent="0.4">
      <c r="P1447" s="5"/>
    </row>
    <row r="1448" spans="16:16" x14ac:dyDescent="0.4">
      <c r="P1448" s="5"/>
    </row>
    <row r="1449" spans="16:16" x14ac:dyDescent="0.4">
      <c r="P1449" s="5"/>
    </row>
    <row r="1450" spans="16:16" x14ac:dyDescent="0.4">
      <c r="P1450" s="5"/>
    </row>
    <row r="1451" spans="16:16" x14ac:dyDescent="0.4">
      <c r="P1451" s="5"/>
    </row>
    <row r="1452" spans="16:16" x14ac:dyDescent="0.4">
      <c r="P1452" s="5"/>
    </row>
    <row r="1453" spans="16:16" x14ac:dyDescent="0.4">
      <c r="P1453" s="5"/>
    </row>
    <row r="1454" spans="16:16" x14ac:dyDescent="0.4">
      <c r="P1454" s="5"/>
    </row>
    <row r="1455" spans="16:16" x14ac:dyDescent="0.4">
      <c r="P1455" s="5"/>
    </row>
    <row r="1456" spans="16:16" x14ac:dyDescent="0.4">
      <c r="P1456" s="5"/>
    </row>
    <row r="1457" spans="16:16" x14ac:dyDescent="0.4">
      <c r="P1457" s="5"/>
    </row>
    <row r="1458" spans="16:16" x14ac:dyDescent="0.4">
      <c r="P1458" s="5"/>
    </row>
    <row r="1459" spans="16:16" x14ac:dyDescent="0.4">
      <c r="P1459" s="5"/>
    </row>
    <row r="1460" spans="16:16" x14ac:dyDescent="0.4">
      <c r="P1460" s="5"/>
    </row>
    <row r="1461" spans="16:16" x14ac:dyDescent="0.4">
      <c r="P1461" s="5"/>
    </row>
    <row r="1462" spans="16:16" x14ac:dyDescent="0.4">
      <c r="P1462" s="5"/>
    </row>
    <row r="1463" spans="16:16" x14ac:dyDescent="0.4">
      <c r="P1463" s="5"/>
    </row>
    <row r="1464" spans="16:16" x14ac:dyDescent="0.4">
      <c r="P1464" s="5"/>
    </row>
    <row r="1465" spans="16:16" x14ac:dyDescent="0.4">
      <c r="P1465" s="5"/>
    </row>
    <row r="1466" spans="16:16" x14ac:dyDescent="0.4">
      <c r="P1466" s="5"/>
    </row>
    <row r="1467" spans="16:16" x14ac:dyDescent="0.4">
      <c r="P1467" s="5"/>
    </row>
    <row r="1468" spans="16:16" x14ac:dyDescent="0.4">
      <c r="P1468" s="5"/>
    </row>
    <row r="1469" spans="16:16" x14ac:dyDescent="0.4">
      <c r="P1469" s="5"/>
    </row>
    <row r="1470" spans="16:16" x14ac:dyDescent="0.4">
      <c r="P1470" s="5"/>
    </row>
    <row r="1471" spans="16:16" x14ac:dyDescent="0.4">
      <c r="P1471" s="5"/>
    </row>
    <row r="1472" spans="16:16" x14ac:dyDescent="0.4">
      <c r="P1472" s="5"/>
    </row>
    <row r="1473" spans="16:16" x14ac:dyDescent="0.4">
      <c r="P1473" s="5"/>
    </row>
    <row r="1474" spans="16:16" x14ac:dyDescent="0.4">
      <c r="P1474" s="5"/>
    </row>
    <row r="1475" spans="16:16" x14ac:dyDescent="0.4">
      <c r="P1475" s="5"/>
    </row>
    <row r="1476" spans="16:16" x14ac:dyDescent="0.4">
      <c r="P1476" s="5"/>
    </row>
    <row r="1477" spans="16:16" x14ac:dyDescent="0.4">
      <c r="P1477" s="5"/>
    </row>
    <row r="1478" spans="16:16" x14ac:dyDescent="0.4">
      <c r="P1478" s="5"/>
    </row>
    <row r="1479" spans="16:16" x14ac:dyDescent="0.4">
      <c r="P1479" s="5"/>
    </row>
    <row r="1480" spans="16:16" x14ac:dyDescent="0.4">
      <c r="P1480" s="5"/>
    </row>
    <row r="1481" spans="16:16" x14ac:dyDescent="0.4">
      <c r="P1481" s="5"/>
    </row>
    <row r="1482" spans="16:16" x14ac:dyDescent="0.4">
      <c r="P1482" s="5"/>
    </row>
    <row r="1483" spans="16:16" x14ac:dyDescent="0.4">
      <c r="P1483" s="5"/>
    </row>
    <row r="1484" spans="16:16" x14ac:dyDescent="0.4">
      <c r="P1484" s="5"/>
    </row>
    <row r="1485" spans="16:16" x14ac:dyDescent="0.4">
      <c r="P1485" s="5"/>
    </row>
    <row r="1486" spans="16:16" x14ac:dyDescent="0.4">
      <c r="P1486" s="5"/>
    </row>
    <row r="1487" spans="16:16" x14ac:dyDescent="0.4">
      <c r="P1487" s="5"/>
    </row>
    <row r="1488" spans="16:16" x14ac:dyDescent="0.4">
      <c r="P1488" s="5"/>
    </row>
    <row r="1489" spans="16:16" x14ac:dyDescent="0.4">
      <c r="P1489" s="5"/>
    </row>
    <row r="1490" spans="16:16" x14ac:dyDescent="0.4">
      <c r="P1490" s="5"/>
    </row>
    <row r="1491" spans="16:16" x14ac:dyDescent="0.4">
      <c r="P1491" s="5"/>
    </row>
    <row r="1492" spans="16:16" x14ac:dyDescent="0.4">
      <c r="P1492" s="5"/>
    </row>
    <row r="1493" spans="16:16" x14ac:dyDescent="0.4">
      <c r="P1493" s="5"/>
    </row>
    <row r="1494" spans="16:16" x14ac:dyDescent="0.4">
      <c r="P1494" s="5"/>
    </row>
    <row r="1495" spans="16:16" x14ac:dyDescent="0.4">
      <c r="P1495" s="5"/>
    </row>
    <row r="1496" spans="16:16" x14ac:dyDescent="0.4">
      <c r="P1496" s="5"/>
    </row>
    <row r="1497" spans="16:16" x14ac:dyDescent="0.4">
      <c r="P1497" s="5"/>
    </row>
    <row r="1498" spans="16:16" x14ac:dyDescent="0.4">
      <c r="P1498" s="5"/>
    </row>
    <row r="1499" spans="16:16" x14ac:dyDescent="0.4">
      <c r="P1499" s="5"/>
    </row>
    <row r="1500" spans="16:16" x14ac:dyDescent="0.4">
      <c r="P1500" s="5"/>
    </row>
    <row r="1501" spans="16:16" x14ac:dyDescent="0.4">
      <c r="P1501" s="5"/>
    </row>
    <row r="1502" spans="16:16" x14ac:dyDescent="0.4">
      <c r="P1502" s="5"/>
    </row>
    <row r="1503" spans="16:16" x14ac:dyDescent="0.4">
      <c r="P1503" s="5"/>
    </row>
    <row r="1504" spans="16:16" x14ac:dyDescent="0.4">
      <c r="P1504" s="5"/>
    </row>
    <row r="1505" spans="16:16" x14ac:dyDescent="0.4">
      <c r="P1505" s="5"/>
    </row>
    <row r="1506" spans="16:16" x14ac:dyDescent="0.4">
      <c r="P1506" s="5"/>
    </row>
    <row r="1507" spans="16:16" x14ac:dyDescent="0.4">
      <c r="P1507" s="5"/>
    </row>
    <row r="1508" spans="16:16" x14ac:dyDescent="0.4">
      <c r="P1508" s="5"/>
    </row>
    <row r="1509" spans="16:16" x14ac:dyDescent="0.4">
      <c r="P1509" s="5"/>
    </row>
    <row r="1510" spans="16:16" x14ac:dyDescent="0.4">
      <c r="P1510" s="5"/>
    </row>
    <row r="1511" spans="16:16" x14ac:dyDescent="0.4">
      <c r="P1511" s="5"/>
    </row>
    <row r="1512" spans="16:16" x14ac:dyDescent="0.4">
      <c r="P1512" s="5"/>
    </row>
    <row r="1513" spans="16:16" x14ac:dyDescent="0.4">
      <c r="P1513" s="5"/>
    </row>
    <row r="1514" spans="16:16" x14ac:dyDescent="0.4">
      <c r="P1514" s="5"/>
    </row>
    <row r="1515" spans="16:16" x14ac:dyDescent="0.4">
      <c r="P1515" s="5"/>
    </row>
    <row r="1516" spans="16:16" x14ac:dyDescent="0.4">
      <c r="P1516" s="5"/>
    </row>
    <row r="1517" spans="16:16" x14ac:dyDescent="0.4">
      <c r="P1517" s="5"/>
    </row>
    <row r="1518" spans="16:16" x14ac:dyDescent="0.4">
      <c r="P1518" s="5"/>
    </row>
    <row r="1519" spans="16:16" x14ac:dyDescent="0.4">
      <c r="P1519" s="5"/>
    </row>
    <row r="1520" spans="16:16" x14ac:dyDescent="0.4">
      <c r="P1520" s="5"/>
    </row>
    <row r="1521" spans="16:16" x14ac:dyDescent="0.4">
      <c r="P1521" s="5"/>
    </row>
    <row r="1522" spans="16:16" x14ac:dyDescent="0.4">
      <c r="P1522" s="5"/>
    </row>
    <row r="1523" spans="16:16" x14ac:dyDescent="0.4">
      <c r="P1523" s="5"/>
    </row>
    <row r="1524" spans="16:16" x14ac:dyDescent="0.4">
      <c r="P1524" s="5"/>
    </row>
    <row r="1525" spans="16:16" x14ac:dyDescent="0.4">
      <c r="P1525" s="5"/>
    </row>
    <row r="1526" spans="16:16" x14ac:dyDescent="0.4">
      <c r="P1526" s="5"/>
    </row>
    <row r="1527" spans="16:16" x14ac:dyDescent="0.4">
      <c r="P1527" s="5"/>
    </row>
    <row r="1528" spans="16:16" x14ac:dyDescent="0.4">
      <c r="P1528" s="5"/>
    </row>
    <row r="1529" spans="16:16" x14ac:dyDescent="0.4">
      <c r="P1529" s="5"/>
    </row>
    <row r="1530" spans="16:16" x14ac:dyDescent="0.4">
      <c r="P1530" s="5"/>
    </row>
    <row r="1531" spans="16:16" x14ac:dyDescent="0.4">
      <c r="P1531" s="5"/>
    </row>
    <row r="1532" spans="16:16" x14ac:dyDescent="0.4">
      <c r="P1532" s="5"/>
    </row>
    <row r="1533" spans="16:16" x14ac:dyDescent="0.4">
      <c r="P1533" s="5"/>
    </row>
    <row r="1534" spans="16:16" x14ac:dyDescent="0.4">
      <c r="P1534" s="5"/>
    </row>
    <row r="1535" spans="16:16" x14ac:dyDescent="0.4">
      <c r="P1535" s="5"/>
    </row>
    <row r="1536" spans="16:16" x14ac:dyDescent="0.4">
      <c r="P1536" s="5"/>
    </row>
    <row r="1537" spans="16:16" x14ac:dyDescent="0.4">
      <c r="P1537" s="5"/>
    </row>
    <row r="1538" spans="16:16" x14ac:dyDescent="0.4">
      <c r="P1538" s="5"/>
    </row>
    <row r="1539" spans="16:16" x14ac:dyDescent="0.4">
      <c r="P1539" s="5"/>
    </row>
    <row r="1540" spans="16:16" x14ac:dyDescent="0.4">
      <c r="P1540" s="5"/>
    </row>
    <row r="1541" spans="16:16" x14ac:dyDescent="0.4">
      <c r="P1541" s="5"/>
    </row>
    <row r="1542" spans="16:16" x14ac:dyDescent="0.4">
      <c r="P1542" s="5"/>
    </row>
    <row r="1543" spans="16:16" x14ac:dyDescent="0.4">
      <c r="P1543" s="5"/>
    </row>
    <row r="1544" spans="16:16" x14ac:dyDescent="0.4">
      <c r="P1544" s="5"/>
    </row>
    <row r="1545" spans="16:16" x14ac:dyDescent="0.4">
      <c r="P1545" s="5"/>
    </row>
    <row r="1546" spans="16:16" x14ac:dyDescent="0.4">
      <c r="P1546" s="5"/>
    </row>
    <row r="1547" spans="16:16" x14ac:dyDescent="0.4">
      <c r="P1547" s="5"/>
    </row>
    <row r="1548" spans="16:16" x14ac:dyDescent="0.4">
      <c r="P1548" s="5"/>
    </row>
    <row r="1549" spans="16:16" x14ac:dyDescent="0.4">
      <c r="P1549" s="5"/>
    </row>
    <row r="1550" spans="16:16" x14ac:dyDescent="0.4">
      <c r="P1550" s="5"/>
    </row>
    <row r="1551" spans="16:16" x14ac:dyDescent="0.4">
      <c r="P1551" s="5"/>
    </row>
    <row r="1552" spans="16:16" x14ac:dyDescent="0.4">
      <c r="P1552" s="5"/>
    </row>
    <row r="1553" spans="16:16" x14ac:dyDescent="0.4">
      <c r="P1553" s="5"/>
    </row>
    <row r="1554" spans="16:16" x14ac:dyDescent="0.4">
      <c r="P1554" s="5"/>
    </row>
    <row r="1555" spans="16:16" x14ac:dyDescent="0.4">
      <c r="P1555" s="5"/>
    </row>
    <row r="1556" spans="16:16" x14ac:dyDescent="0.4">
      <c r="P1556" s="5"/>
    </row>
    <row r="1557" spans="16:16" x14ac:dyDescent="0.4">
      <c r="P1557" s="5"/>
    </row>
    <row r="1558" spans="16:16" x14ac:dyDescent="0.4">
      <c r="P1558" s="5"/>
    </row>
    <row r="1559" spans="16:16" x14ac:dyDescent="0.4">
      <c r="P1559" s="5"/>
    </row>
    <row r="1560" spans="16:16" x14ac:dyDescent="0.4">
      <c r="P1560" s="5"/>
    </row>
    <row r="1561" spans="16:16" x14ac:dyDescent="0.4">
      <c r="P1561" s="5"/>
    </row>
    <row r="1562" spans="16:16" x14ac:dyDescent="0.4">
      <c r="P1562" s="5"/>
    </row>
    <row r="1563" spans="16:16" x14ac:dyDescent="0.4">
      <c r="P1563" s="5"/>
    </row>
    <row r="1564" spans="16:16" x14ac:dyDescent="0.4">
      <c r="P1564" s="5"/>
    </row>
    <row r="1565" spans="16:16" x14ac:dyDescent="0.4">
      <c r="P1565" s="5"/>
    </row>
    <row r="1566" spans="16:16" x14ac:dyDescent="0.4">
      <c r="P1566" s="5"/>
    </row>
    <row r="1567" spans="16:16" x14ac:dyDescent="0.4">
      <c r="P1567" s="5"/>
    </row>
    <row r="1568" spans="16:16" x14ac:dyDescent="0.4">
      <c r="P1568" s="5"/>
    </row>
    <row r="1569" spans="16:16" x14ac:dyDescent="0.4">
      <c r="P1569" s="5"/>
    </row>
    <row r="1570" spans="16:16" x14ac:dyDescent="0.4">
      <c r="P1570" s="5"/>
    </row>
    <row r="1571" spans="16:16" x14ac:dyDescent="0.4">
      <c r="P1571" s="5"/>
    </row>
    <row r="1572" spans="16:16" x14ac:dyDescent="0.4">
      <c r="P1572" s="5"/>
    </row>
    <row r="1573" spans="16:16" x14ac:dyDescent="0.4">
      <c r="P1573" s="5"/>
    </row>
    <row r="1574" spans="16:16" x14ac:dyDescent="0.4">
      <c r="P1574" s="5"/>
    </row>
    <row r="1575" spans="16:16" x14ac:dyDescent="0.4">
      <c r="P1575" s="5"/>
    </row>
    <row r="1576" spans="16:16" x14ac:dyDescent="0.4">
      <c r="P1576" s="5"/>
    </row>
    <row r="1577" spans="16:16" x14ac:dyDescent="0.4">
      <c r="P1577" s="5"/>
    </row>
    <row r="1578" spans="16:16" x14ac:dyDescent="0.4">
      <c r="P1578" s="5"/>
    </row>
    <row r="1579" spans="16:16" x14ac:dyDescent="0.4">
      <c r="P1579" s="5"/>
    </row>
    <row r="1580" spans="16:16" x14ac:dyDescent="0.4">
      <c r="P1580" s="5"/>
    </row>
    <row r="1581" spans="16:16" x14ac:dyDescent="0.4">
      <c r="P1581" s="5"/>
    </row>
    <row r="1582" spans="16:16" x14ac:dyDescent="0.4">
      <c r="P1582" s="5"/>
    </row>
    <row r="1583" spans="16:16" x14ac:dyDescent="0.4">
      <c r="P1583" s="5"/>
    </row>
    <row r="1584" spans="16:16" x14ac:dyDescent="0.4">
      <c r="P1584" s="5"/>
    </row>
    <row r="1585" spans="16:16" x14ac:dyDescent="0.4">
      <c r="P1585" s="5"/>
    </row>
    <row r="1586" spans="16:16" x14ac:dyDescent="0.4">
      <c r="P1586" s="5"/>
    </row>
    <row r="1587" spans="16:16" x14ac:dyDescent="0.4">
      <c r="P1587" s="5"/>
    </row>
    <row r="1588" spans="16:16" x14ac:dyDescent="0.4">
      <c r="P1588" s="5"/>
    </row>
    <row r="1589" spans="16:16" x14ac:dyDescent="0.4">
      <c r="P1589" s="5"/>
    </row>
    <row r="1590" spans="16:16" x14ac:dyDescent="0.4">
      <c r="P1590" s="5"/>
    </row>
    <row r="1591" spans="16:16" x14ac:dyDescent="0.4">
      <c r="P1591" s="5"/>
    </row>
    <row r="1592" spans="16:16" x14ac:dyDescent="0.4">
      <c r="P1592" s="5"/>
    </row>
    <row r="1593" spans="16:16" x14ac:dyDescent="0.4">
      <c r="P1593" s="5"/>
    </row>
    <row r="1594" spans="16:16" x14ac:dyDescent="0.4">
      <c r="P1594" s="5"/>
    </row>
    <row r="1595" spans="16:16" x14ac:dyDescent="0.4">
      <c r="P1595" s="5"/>
    </row>
    <row r="1596" spans="16:16" x14ac:dyDescent="0.4">
      <c r="P1596" s="5"/>
    </row>
    <row r="1597" spans="16:16" x14ac:dyDescent="0.4">
      <c r="P1597" s="5"/>
    </row>
    <row r="1598" spans="16:16" x14ac:dyDescent="0.4">
      <c r="P1598" s="5"/>
    </row>
    <row r="1599" spans="16:16" x14ac:dyDescent="0.4">
      <c r="P1599" s="5"/>
    </row>
    <row r="1600" spans="16:16" x14ac:dyDescent="0.4">
      <c r="P1600" s="5"/>
    </row>
    <row r="1601" spans="16:16" x14ac:dyDescent="0.4">
      <c r="P1601" s="5"/>
    </row>
    <row r="1602" spans="16:16" x14ac:dyDescent="0.4">
      <c r="P1602" s="5"/>
    </row>
    <row r="1603" spans="16:16" x14ac:dyDescent="0.4">
      <c r="P1603" s="5"/>
    </row>
    <row r="1604" spans="16:16" x14ac:dyDescent="0.4">
      <c r="P1604" s="5"/>
    </row>
    <row r="1605" spans="16:16" x14ac:dyDescent="0.4">
      <c r="P1605" s="5"/>
    </row>
    <row r="1606" spans="16:16" x14ac:dyDescent="0.4">
      <c r="P1606" s="5"/>
    </row>
    <row r="1607" spans="16:16" x14ac:dyDescent="0.4">
      <c r="P1607" s="5"/>
    </row>
    <row r="1608" spans="16:16" x14ac:dyDescent="0.4">
      <c r="P1608" s="5"/>
    </row>
    <row r="1609" spans="16:16" x14ac:dyDescent="0.4">
      <c r="P1609" s="5"/>
    </row>
    <row r="1610" spans="16:16" x14ac:dyDescent="0.4">
      <c r="P1610" s="5"/>
    </row>
    <row r="1611" spans="16:16" x14ac:dyDescent="0.4">
      <c r="P1611" s="5"/>
    </row>
    <row r="1612" spans="16:16" x14ac:dyDescent="0.4">
      <c r="P1612" s="5"/>
    </row>
    <row r="1613" spans="16:16" x14ac:dyDescent="0.4">
      <c r="P1613" s="5"/>
    </row>
    <row r="1614" spans="16:16" x14ac:dyDescent="0.4">
      <c r="P1614" s="5"/>
    </row>
    <row r="1615" spans="16:16" x14ac:dyDescent="0.4">
      <c r="P1615" s="5"/>
    </row>
    <row r="1616" spans="16:16" x14ac:dyDescent="0.4">
      <c r="P1616" s="5"/>
    </row>
    <row r="1617" spans="16:16" x14ac:dyDescent="0.4">
      <c r="P1617" s="5"/>
    </row>
    <row r="1618" spans="16:16" x14ac:dyDescent="0.4">
      <c r="P1618" s="5"/>
    </row>
    <row r="1619" spans="16:16" x14ac:dyDescent="0.4">
      <c r="P1619" s="5"/>
    </row>
    <row r="1620" spans="16:16" x14ac:dyDescent="0.4">
      <c r="P1620" s="5"/>
    </row>
    <row r="1621" spans="16:16" x14ac:dyDescent="0.4">
      <c r="P1621" s="5"/>
    </row>
    <row r="1622" spans="16:16" x14ac:dyDescent="0.4">
      <c r="P1622" s="5"/>
    </row>
    <row r="1623" spans="16:16" x14ac:dyDescent="0.4">
      <c r="P1623" s="5"/>
    </row>
    <row r="1624" spans="16:16" x14ac:dyDescent="0.4">
      <c r="P1624" s="5"/>
    </row>
    <row r="1625" spans="16:16" x14ac:dyDescent="0.4">
      <c r="P1625" s="5"/>
    </row>
    <row r="1626" spans="16:16" x14ac:dyDescent="0.4">
      <c r="P1626" s="5"/>
    </row>
    <row r="1627" spans="16:16" x14ac:dyDescent="0.4">
      <c r="P1627" s="5"/>
    </row>
    <row r="1628" spans="16:16" x14ac:dyDescent="0.4">
      <c r="P1628" s="5"/>
    </row>
    <row r="1629" spans="16:16" x14ac:dyDescent="0.4">
      <c r="P1629" s="5"/>
    </row>
    <row r="1630" spans="16:16" x14ac:dyDescent="0.4">
      <c r="P1630" s="5"/>
    </row>
    <row r="1631" spans="16:16" x14ac:dyDescent="0.4">
      <c r="P1631" s="5"/>
    </row>
    <row r="1632" spans="16:16" x14ac:dyDescent="0.4">
      <c r="P1632" s="5"/>
    </row>
    <row r="1633" spans="16:16" x14ac:dyDescent="0.4">
      <c r="P1633" s="5"/>
    </row>
    <row r="1634" spans="16:16" x14ac:dyDescent="0.4">
      <c r="P1634" s="5"/>
    </row>
    <row r="1635" spans="16:16" x14ac:dyDescent="0.4">
      <c r="P1635" s="5"/>
    </row>
    <row r="1636" spans="16:16" x14ac:dyDescent="0.4">
      <c r="P1636" s="5"/>
    </row>
    <row r="1637" spans="16:16" x14ac:dyDescent="0.4">
      <c r="P1637" s="5"/>
    </row>
    <row r="1638" spans="16:16" x14ac:dyDescent="0.4">
      <c r="P1638" s="5"/>
    </row>
    <row r="1639" spans="16:16" x14ac:dyDescent="0.4">
      <c r="P1639" s="5"/>
    </row>
    <row r="1640" spans="16:16" x14ac:dyDescent="0.4">
      <c r="P1640" s="5"/>
    </row>
    <row r="1641" spans="16:16" x14ac:dyDescent="0.4">
      <c r="P1641" s="5"/>
    </row>
    <row r="1642" spans="16:16" x14ac:dyDescent="0.4">
      <c r="P1642" s="5"/>
    </row>
    <row r="1643" spans="16:16" x14ac:dyDescent="0.4">
      <c r="P1643" s="5"/>
    </row>
    <row r="1644" spans="16:16" x14ac:dyDescent="0.4">
      <c r="P1644" s="5"/>
    </row>
    <row r="1645" spans="16:16" x14ac:dyDescent="0.4">
      <c r="P1645" s="5"/>
    </row>
    <row r="1646" spans="16:16" x14ac:dyDescent="0.4">
      <c r="P1646" s="5"/>
    </row>
    <row r="1647" spans="16:16" x14ac:dyDescent="0.4">
      <c r="P1647" s="5"/>
    </row>
    <row r="1648" spans="16:16" x14ac:dyDescent="0.4">
      <c r="P1648" s="5"/>
    </row>
    <row r="1649" spans="16:16" x14ac:dyDescent="0.4">
      <c r="P1649" s="5"/>
    </row>
    <row r="1650" spans="16:16" x14ac:dyDescent="0.4">
      <c r="P1650" s="5"/>
    </row>
    <row r="1651" spans="16:16" x14ac:dyDescent="0.4">
      <c r="P1651" s="5"/>
    </row>
    <row r="1652" spans="16:16" x14ac:dyDescent="0.4">
      <c r="P1652" s="5"/>
    </row>
    <row r="1653" spans="16:16" x14ac:dyDescent="0.4">
      <c r="P1653" s="5"/>
    </row>
    <row r="1654" spans="16:16" x14ac:dyDescent="0.4">
      <c r="P1654" s="5"/>
    </row>
    <row r="1655" spans="16:16" x14ac:dyDescent="0.4">
      <c r="P1655" s="5"/>
    </row>
    <row r="1656" spans="16:16" x14ac:dyDescent="0.4">
      <c r="P1656" s="5"/>
    </row>
    <row r="1657" spans="16:16" x14ac:dyDescent="0.4">
      <c r="P1657" s="5"/>
    </row>
    <row r="1658" spans="16:16" x14ac:dyDescent="0.4">
      <c r="P1658" s="5"/>
    </row>
    <row r="1659" spans="16:16" x14ac:dyDescent="0.4">
      <c r="P1659" s="5"/>
    </row>
    <row r="1660" spans="16:16" x14ac:dyDescent="0.4">
      <c r="P1660" s="5"/>
    </row>
    <row r="1661" spans="16:16" x14ac:dyDescent="0.4">
      <c r="P1661" s="5"/>
    </row>
    <row r="1662" spans="16:16" x14ac:dyDescent="0.4">
      <c r="P1662" s="5"/>
    </row>
    <row r="1663" spans="16:16" x14ac:dyDescent="0.4">
      <c r="P1663" s="5"/>
    </row>
    <row r="1664" spans="16:16" x14ac:dyDescent="0.4">
      <c r="P1664" s="5"/>
    </row>
    <row r="1665" spans="16:16" x14ac:dyDescent="0.4">
      <c r="P1665" s="5"/>
    </row>
    <row r="1666" spans="16:16" x14ac:dyDescent="0.4">
      <c r="P1666" s="5"/>
    </row>
    <row r="1667" spans="16:16" x14ac:dyDescent="0.4">
      <c r="P1667" s="5"/>
    </row>
    <row r="1668" spans="16:16" x14ac:dyDescent="0.4">
      <c r="P1668" s="5"/>
    </row>
    <row r="1669" spans="16:16" x14ac:dyDescent="0.4">
      <c r="P1669" s="5"/>
    </row>
    <row r="1670" spans="16:16" x14ac:dyDescent="0.4">
      <c r="P1670" s="5"/>
    </row>
    <row r="1671" spans="16:16" x14ac:dyDescent="0.4">
      <c r="P1671" s="5"/>
    </row>
    <row r="1672" spans="16:16" x14ac:dyDescent="0.4">
      <c r="P1672" s="5"/>
    </row>
    <row r="1673" spans="16:16" x14ac:dyDescent="0.4">
      <c r="P1673" s="5"/>
    </row>
    <row r="1674" spans="16:16" x14ac:dyDescent="0.4">
      <c r="P1674" s="5"/>
    </row>
    <row r="1675" spans="16:16" x14ac:dyDescent="0.4">
      <c r="P1675" s="5"/>
    </row>
    <row r="1676" spans="16:16" x14ac:dyDescent="0.4">
      <c r="P1676" s="5"/>
    </row>
    <row r="1677" spans="16:16" x14ac:dyDescent="0.4">
      <c r="P1677" s="5"/>
    </row>
    <row r="1678" spans="16:16" x14ac:dyDescent="0.4">
      <c r="P1678" s="5"/>
    </row>
    <row r="1679" spans="16:16" x14ac:dyDescent="0.4">
      <c r="P1679" s="5"/>
    </row>
    <row r="1680" spans="16:16" x14ac:dyDescent="0.4">
      <c r="P1680" s="5"/>
    </row>
    <row r="1681" spans="16:16" x14ac:dyDescent="0.4">
      <c r="P1681" s="5"/>
    </row>
    <row r="1682" spans="16:16" x14ac:dyDescent="0.4">
      <c r="P1682" s="5"/>
    </row>
    <row r="1683" spans="16:16" x14ac:dyDescent="0.4">
      <c r="P1683" s="5"/>
    </row>
    <row r="1684" spans="16:16" x14ac:dyDescent="0.4">
      <c r="P1684" s="5"/>
    </row>
    <row r="1685" spans="16:16" x14ac:dyDescent="0.4">
      <c r="P1685" s="5"/>
    </row>
    <row r="1686" spans="16:16" x14ac:dyDescent="0.4">
      <c r="P1686" s="5"/>
    </row>
    <row r="1687" spans="16:16" x14ac:dyDescent="0.4">
      <c r="P1687" s="5"/>
    </row>
    <row r="1688" spans="16:16" x14ac:dyDescent="0.4">
      <c r="P1688" s="5"/>
    </row>
    <row r="1689" spans="16:16" x14ac:dyDescent="0.4">
      <c r="P1689" s="5"/>
    </row>
    <row r="1690" spans="16:16" x14ac:dyDescent="0.4">
      <c r="P1690" s="5"/>
    </row>
    <row r="1691" spans="16:16" x14ac:dyDescent="0.4">
      <c r="P1691" s="5"/>
    </row>
    <row r="1692" spans="16:16" x14ac:dyDescent="0.4">
      <c r="P1692" s="5"/>
    </row>
    <row r="1693" spans="16:16" x14ac:dyDescent="0.4">
      <c r="P1693" s="5"/>
    </row>
    <row r="1694" spans="16:16" x14ac:dyDescent="0.4">
      <c r="P1694" s="5"/>
    </row>
    <row r="1695" spans="16:16" x14ac:dyDescent="0.4">
      <c r="P1695" s="5"/>
    </row>
    <row r="1696" spans="16:16" x14ac:dyDescent="0.4">
      <c r="P1696" s="5"/>
    </row>
    <row r="1697" spans="16:16" x14ac:dyDescent="0.4">
      <c r="P1697" s="5"/>
    </row>
    <row r="1698" spans="16:16" x14ac:dyDescent="0.4">
      <c r="P1698" s="5"/>
    </row>
    <row r="1699" spans="16:16" x14ac:dyDescent="0.4">
      <c r="P1699" s="5"/>
    </row>
    <row r="1700" spans="16:16" x14ac:dyDescent="0.4">
      <c r="P1700" s="5"/>
    </row>
    <row r="1701" spans="16:16" x14ac:dyDescent="0.4">
      <c r="P1701" s="5"/>
    </row>
    <row r="1702" spans="16:16" x14ac:dyDescent="0.4">
      <c r="P1702" s="5"/>
    </row>
    <row r="1703" spans="16:16" x14ac:dyDescent="0.4">
      <c r="P1703" s="5"/>
    </row>
    <row r="1704" spans="16:16" x14ac:dyDescent="0.4">
      <c r="P1704" s="5"/>
    </row>
    <row r="1705" spans="16:16" x14ac:dyDescent="0.4">
      <c r="P1705" s="5"/>
    </row>
    <row r="1706" spans="16:16" x14ac:dyDescent="0.4">
      <c r="P1706" s="5"/>
    </row>
    <row r="1707" spans="16:16" x14ac:dyDescent="0.4">
      <c r="P1707" s="5"/>
    </row>
    <row r="1708" spans="16:16" x14ac:dyDescent="0.4">
      <c r="P1708" s="5"/>
    </row>
    <row r="1709" spans="16:16" x14ac:dyDescent="0.4">
      <c r="P1709" s="5"/>
    </row>
    <row r="1710" spans="16:16" x14ac:dyDescent="0.4">
      <c r="P1710" s="5"/>
    </row>
    <row r="1711" spans="16:16" x14ac:dyDescent="0.4">
      <c r="P1711" s="5"/>
    </row>
    <row r="1712" spans="16:16" x14ac:dyDescent="0.4">
      <c r="P1712" s="5"/>
    </row>
    <row r="1713" spans="16:16" x14ac:dyDescent="0.4">
      <c r="P1713" s="5"/>
    </row>
    <row r="1714" spans="16:16" x14ac:dyDescent="0.4">
      <c r="P1714" s="5"/>
    </row>
    <row r="1715" spans="16:16" x14ac:dyDescent="0.4">
      <c r="P1715" s="5"/>
    </row>
    <row r="1716" spans="16:16" x14ac:dyDescent="0.4">
      <c r="P1716" s="5"/>
    </row>
    <row r="1717" spans="16:16" x14ac:dyDescent="0.4">
      <c r="P1717" s="5"/>
    </row>
    <row r="1718" spans="16:16" x14ac:dyDescent="0.4">
      <c r="P1718" s="5"/>
    </row>
    <row r="1719" spans="16:16" x14ac:dyDescent="0.4">
      <c r="P1719" s="5"/>
    </row>
    <row r="1720" spans="16:16" x14ac:dyDescent="0.4">
      <c r="P1720" s="5"/>
    </row>
    <row r="1721" spans="16:16" x14ac:dyDescent="0.4">
      <c r="P1721" s="5"/>
    </row>
    <row r="1722" spans="16:16" x14ac:dyDescent="0.4">
      <c r="P1722" s="5"/>
    </row>
    <row r="1723" spans="16:16" x14ac:dyDescent="0.4">
      <c r="P1723" s="5"/>
    </row>
    <row r="1724" spans="16:16" x14ac:dyDescent="0.4">
      <c r="P1724" s="5"/>
    </row>
    <row r="1725" spans="16:16" x14ac:dyDescent="0.4">
      <c r="P1725" s="5"/>
    </row>
    <row r="1726" spans="16:16" x14ac:dyDescent="0.4">
      <c r="P1726" s="5"/>
    </row>
    <row r="1727" spans="16:16" x14ac:dyDescent="0.4">
      <c r="P1727" s="5"/>
    </row>
    <row r="1728" spans="16:16" x14ac:dyDescent="0.4">
      <c r="P1728" s="5"/>
    </row>
    <row r="1729" spans="16:16" x14ac:dyDescent="0.4">
      <c r="P1729" s="5"/>
    </row>
    <row r="1730" spans="16:16" x14ac:dyDescent="0.4">
      <c r="P1730" s="5"/>
    </row>
    <row r="1731" spans="16:16" x14ac:dyDescent="0.4">
      <c r="P1731" s="5"/>
    </row>
    <row r="1732" spans="16:16" x14ac:dyDescent="0.4">
      <c r="P1732" s="5"/>
    </row>
    <row r="1733" spans="16:16" x14ac:dyDescent="0.4">
      <c r="P1733" s="5"/>
    </row>
    <row r="1734" spans="16:16" x14ac:dyDescent="0.4">
      <c r="P1734" s="5"/>
    </row>
    <row r="1735" spans="16:16" x14ac:dyDescent="0.4">
      <c r="P1735" s="5"/>
    </row>
    <row r="1736" spans="16:16" x14ac:dyDescent="0.4">
      <c r="P1736" s="5"/>
    </row>
    <row r="1737" spans="16:16" x14ac:dyDescent="0.4">
      <c r="P1737" s="5"/>
    </row>
    <row r="1738" spans="16:16" x14ac:dyDescent="0.4">
      <c r="P1738" s="5"/>
    </row>
    <row r="1739" spans="16:16" x14ac:dyDescent="0.4">
      <c r="P1739" s="5"/>
    </row>
    <row r="1740" spans="16:16" x14ac:dyDescent="0.4">
      <c r="P1740" s="5"/>
    </row>
    <row r="1741" spans="16:16" x14ac:dyDescent="0.4">
      <c r="P1741" s="5"/>
    </row>
    <row r="1742" spans="16:16" x14ac:dyDescent="0.4">
      <c r="P1742" s="5"/>
    </row>
    <row r="1743" spans="16:16" x14ac:dyDescent="0.4">
      <c r="P1743" s="5"/>
    </row>
    <row r="1744" spans="16:16" x14ac:dyDescent="0.4">
      <c r="P1744" s="5"/>
    </row>
    <row r="1745" spans="16:16" x14ac:dyDescent="0.4">
      <c r="P1745" s="5"/>
    </row>
    <row r="1746" spans="16:16" x14ac:dyDescent="0.4">
      <c r="P1746" s="5"/>
    </row>
    <row r="1747" spans="16:16" x14ac:dyDescent="0.4">
      <c r="P1747" s="5"/>
    </row>
    <row r="1748" spans="16:16" x14ac:dyDescent="0.4">
      <c r="P1748" s="5"/>
    </row>
    <row r="1749" spans="16:16" x14ac:dyDescent="0.4">
      <c r="P1749" s="5"/>
    </row>
    <row r="1750" spans="16:16" x14ac:dyDescent="0.4">
      <c r="P1750" s="5"/>
    </row>
    <row r="1751" spans="16:16" x14ac:dyDescent="0.4">
      <c r="P1751" s="5"/>
    </row>
    <row r="1752" spans="16:16" x14ac:dyDescent="0.4">
      <c r="P1752" s="5"/>
    </row>
    <row r="1753" spans="16:16" x14ac:dyDescent="0.4">
      <c r="P1753" s="5"/>
    </row>
    <row r="1754" spans="16:16" x14ac:dyDescent="0.4">
      <c r="P1754" s="5"/>
    </row>
    <row r="1755" spans="16:16" x14ac:dyDescent="0.4">
      <c r="P1755" s="5"/>
    </row>
    <row r="1756" spans="16:16" x14ac:dyDescent="0.4">
      <c r="P1756" s="5"/>
    </row>
    <row r="1757" spans="16:16" x14ac:dyDescent="0.4">
      <c r="P1757" s="5"/>
    </row>
    <row r="1758" spans="16:16" x14ac:dyDescent="0.4">
      <c r="P1758" s="5"/>
    </row>
    <row r="1759" spans="16:16" x14ac:dyDescent="0.4">
      <c r="P1759" s="5"/>
    </row>
    <row r="1760" spans="16:16" x14ac:dyDescent="0.4">
      <c r="P1760" s="5"/>
    </row>
    <row r="1761" spans="16:16" x14ac:dyDescent="0.4">
      <c r="P1761" s="5"/>
    </row>
    <row r="1762" spans="16:16" x14ac:dyDescent="0.4">
      <c r="P1762" s="5"/>
    </row>
    <row r="1763" spans="16:16" x14ac:dyDescent="0.4">
      <c r="P1763" s="5"/>
    </row>
    <row r="1764" spans="16:16" x14ac:dyDescent="0.4">
      <c r="P1764" s="5"/>
    </row>
    <row r="1765" spans="16:16" x14ac:dyDescent="0.4">
      <c r="P1765" s="5"/>
    </row>
    <row r="1766" spans="16:16" x14ac:dyDescent="0.4">
      <c r="P1766" s="5"/>
    </row>
    <row r="1767" spans="16:16" x14ac:dyDescent="0.4">
      <c r="P1767" s="5"/>
    </row>
    <row r="1768" spans="16:16" x14ac:dyDescent="0.4">
      <c r="P1768" s="5"/>
    </row>
    <row r="1769" spans="16:16" x14ac:dyDescent="0.4">
      <c r="P1769" s="5"/>
    </row>
    <row r="1770" spans="16:16" x14ac:dyDescent="0.4">
      <c r="P1770" s="5"/>
    </row>
    <row r="1771" spans="16:16" x14ac:dyDescent="0.4">
      <c r="P1771" s="5"/>
    </row>
    <row r="1772" spans="16:16" x14ac:dyDescent="0.4">
      <c r="P1772" s="5"/>
    </row>
    <row r="1773" spans="16:16" x14ac:dyDescent="0.4">
      <c r="P1773" s="5"/>
    </row>
    <row r="1774" spans="16:16" x14ac:dyDescent="0.4">
      <c r="P1774" s="5"/>
    </row>
    <row r="1775" spans="16:16" x14ac:dyDescent="0.4">
      <c r="P1775" s="5"/>
    </row>
    <row r="1776" spans="16:16" x14ac:dyDescent="0.4">
      <c r="P1776" s="5"/>
    </row>
    <row r="1777" spans="16:16" x14ac:dyDescent="0.4">
      <c r="P1777" s="5"/>
    </row>
    <row r="1778" spans="16:16" x14ac:dyDescent="0.4">
      <c r="P1778" s="5"/>
    </row>
    <row r="1779" spans="16:16" x14ac:dyDescent="0.4">
      <c r="P1779" s="5"/>
    </row>
    <row r="1780" spans="16:16" x14ac:dyDescent="0.4">
      <c r="P1780" s="5"/>
    </row>
    <row r="1781" spans="16:16" x14ac:dyDescent="0.4">
      <c r="P1781" s="5"/>
    </row>
    <row r="1782" spans="16:16" x14ac:dyDescent="0.4">
      <c r="P1782" s="5"/>
    </row>
    <row r="1783" spans="16:16" x14ac:dyDescent="0.4">
      <c r="P1783" s="5"/>
    </row>
    <row r="1784" spans="16:16" x14ac:dyDescent="0.4">
      <c r="P1784" s="5"/>
    </row>
    <row r="1785" spans="16:16" x14ac:dyDescent="0.4">
      <c r="P1785" s="5"/>
    </row>
    <row r="1786" spans="16:16" x14ac:dyDescent="0.4">
      <c r="P1786" s="5"/>
    </row>
    <row r="1787" spans="16:16" x14ac:dyDescent="0.4">
      <c r="P1787" s="5"/>
    </row>
    <row r="1788" spans="16:16" x14ac:dyDescent="0.4">
      <c r="P1788" s="5"/>
    </row>
    <row r="1789" spans="16:16" x14ac:dyDescent="0.4">
      <c r="P1789" s="5"/>
    </row>
    <row r="1790" spans="16:16" x14ac:dyDescent="0.4">
      <c r="P1790" s="5"/>
    </row>
    <row r="1791" spans="16:16" x14ac:dyDescent="0.4">
      <c r="P1791" s="5"/>
    </row>
    <row r="1792" spans="16:16" x14ac:dyDescent="0.4">
      <c r="P1792" s="5"/>
    </row>
    <row r="1793" spans="16:16" x14ac:dyDescent="0.4">
      <c r="P1793" s="5"/>
    </row>
    <row r="1794" spans="16:16" x14ac:dyDescent="0.4">
      <c r="P1794" s="5"/>
    </row>
  </sheetData>
  <mergeCells count="43">
    <mergeCell ref="Q310:Q354"/>
    <mergeCell ref="Q355:Q394"/>
    <mergeCell ref="Q395:Q440"/>
    <mergeCell ref="Q441:Q468"/>
    <mergeCell ref="P13:P15"/>
    <mergeCell ref="M14:N14"/>
    <mergeCell ref="O14:O15"/>
    <mergeCell ref="F14:F15"/>
    <mergeCell ref="E13:I13"/>
    <mergeCell ref="L14:L15"/>
    <mergeCell ref="I14:I15"/>
    <mergeCell ref="A10:P10"/>
    <mergeCell ref="A488:E489"/>
    <mergeCell ref="K4:P4"/>
    <mergeCell ref="J14:J15"/>
    <mergeCell ref="J13:O13"/>
    <mergeCell ref="E14:E15"/>
    <mergeCell ref="K14:K15"/>
    <mergeCell ref="G14:H14"/>
    <mergeCell ref="K5:P5"/>
    <mergeCell ref="K7:P7"/>
    <mergeCell ref="A9:P9"/>
    <mergeCell ref="A13:A15"/>
    <mergeCell ref="C13:C15"/>
    <mergeCell ref="B13:B15"/>
    <mergeCell ref="D13:D15"/>
    <mergeCell ref="A11:P11"/>
    <mergeCell ref="Q36:Q70"/>
    <mergeCell ref="Q72:Q94"/>
    <mergeCell ref="L488:N488"/>
    <mergeCell ref="R76:R95"/>
    <mergeCell ref="Q96:Q114"/>
    <mergeCell ref="Q115:Q137"/>
    <mergeCell ref="Q138:Q154"/>
    <mergeCell ref="Q160:Q209"/>
    <mergeCell ref="Q210:Q225"/>
    <mergeCell ref="O488:P488"/>
    <mergeCell ref="Q226:Q240"/>
    <mergeCell ref="Q241:Q256"/>
    <mergeCell ref="Q469:Q489"/>
    <mergeCell ref="Q257:Q259"/>
    <mergeCell ref="Q260:Q275"/>
    <mergeCell ref="Q276:Q309"/>
  </mergeCells>
  <phoneticPr fontId="3" type="noConversion"/>
  <printOptions horizontalCentered="1"/>
  <pageMargins left="0.19685039370078741" right="0" top="0.92" bottom="0.2" header="0" footer="0"/>
  <pageSetup paperSize="9" scale="42" fitToHeight="10000" orientation="landscape" useFirstPageNumber="1" r:id="rId1"/>
  <headerFooter scaleWithDoc="0" alignWithMargins="0"/>
  <rowBreaks count="1" manualBreakCount="1">
    <brk id="46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6"/>
  <sheetViews>
    <sheetView showGridLines="0" showZeros="0" tabSelected="1" view="pageBreakPreview" zoomScale="60" zoomScaleNormal="87" workbookViewId="0">
      <selection activeCell="J5" sqref="J5"/>
    </sheetView>
  </sheetViews>
  <sheetFormatPr defaultColWidth="9.140625" defaultRowHeight="15.4" x14ac:dyDescent="0.45"/>
  <cols>
    <col min="1" max="1" width="19.140625" style="69" customWidth="1"/>
    <col min="2" max="2" width="22.140625" style="70" customWidth="1"/>
    <col min="3" max="3" width="74.140625" style="71" customWidth="1"/>
    <col min="4" max="4" width="23.140625" style="72" customWidth="1"/>
    <col min="5" max="5" width="23.85546875" style="72" customWidth="1"/>
    <col min="6" max="6" width="23.640625" style="72" customWidth="1"/>
    <col min="7" max="7" width="20.85546875" style="72" customWidth="1"/>
    <col min="8" max="8" width="21.140625" style="72" customWidth="1"/>
    <col min="9" max="9" width="22.5" style="72" customWidth="1"/>
    <col min="10" max="10" width="21.140625" style="72" customWidth="1"/>
    <col min="11" max="11" width="21.35546875" style="72" customWidth="1"/>
    <col min="12" max="12" width="19.140625" style="72" customWidth="1"/>
    <col min="13" max="13" width="18.85546875" style="72" customWidth="1"/>
    <col min="14" max="14" width="23" style="72" customWidth="1"/>
    <col min="15" max="15" width="22.85546875" style="72" customWidth="1"/>
    <col min="16" max="16" width="5.5" style="117" customWidth="1"/>
    <col min="17" max="17" width="0.140625" style="70" customWidth="1"/>
    <col min="18" max="18" width="23" style="70" customWidth="1"/>
    <col min="19" max="19" width="12.140625" style="70" customWidth="1"/>
    <col min="20" max="20" width="11.35546875" style="70" customWidth="1"/>
    <col min="21" max="21" width="10.85546875" style="70" customWidth="1"/>
    <col min="22" max="16384" width="9.140625" style="70"/>
  </cols>
  <sheetData>
    <row r="1" spans="1:17" ht="27.75" customHeight="1" x14ac:dyDescent="0.85">
      <c r="J1" s="122" t="s">
        <v>756</v>
      </c>
      <c r="K1" s="122"/>
      <c r="L1" s="122"/>
      <c r="M1" s="122"/>
      <c r="N1" s="122"/>
      <c r="O1" s="122"/>
      <c r="P1" s="155"/>
      <c r="Q1" s="155"/>
    </row>
    <row r="2" spans="1:17" ht="24" customHeight="1" x14ac:dyDescent="0.45">
      <c r="J2" s="7" t="s">
        <v>646</v>
      </c>
      <c r="K2" s="7"/>
      <c r="L2" s="7"/>
      <c r="M2" s="7"/>
      <c r="N2" s="7"/>
      <c r="O2" s="7"/>
      <c r="P2" s="155"/>
      <c r="Q2" s="155"/>
    </row>
    <row r="3" spans="1:17" ht="26.25" customHeight="1" x14ac:dyDescent="0.45">
      <c r="J3" s="7" t="s">
        <v>647</v>
      </c>
      <c r="K3" s="7"/>
      <c r="L3" s="7"/>
      <c r="M3" s="7"/>
      <c r="N3" s="7"/>
      <c r="O3" s="7"/>
      <c r="P3" s="155"/>
      <c r="Q3" s="155"/>
    </row>
    <row r="4" spans="1:17" ht="26.25" customHeight="1" x14ac:dyDescent="0.85">
      <c r="J4" s="145" t="s">
        <v>761</v>
      </c>
      <c r="K4" s="145"/>
      <c r="L4" s="145"/>
      <c r="M4" s="145"/>
      <c r="N4" s="145"/>
      <c r="O4" s="145"/>
      <c r="P4" s="155"/>
      <c r="Q4" s="155"/>
    </row>
    <row r="5" spans="1:17" ht="54" customHeight="1" x14ac:dyDescent="0.85">
      <c r="J5" s="122"/>
      <c r="K5" s="122"/>
      <c r="L5" s="122"/>
      <c r="M5" s="122"/>
      <c r="N5" s="122"/>
      <c r="O5" s="122"/>
      <c r="P5" s="155"/>
      <c r="Q5" s="155"/>
    </row>
    <row r="6" spans="1:17" ht="15" hidden="1" customHeight="1" x14ac:dyDescent="0.85">
      <c r="J6" s="122"/>
      <c r="K6" s="122"/>
      <c r="L6" s="122"/>
      <c r="M6" s="122"/>
      <c r="N6" s="122"/>
      <c r="O6" s="122"/>
      <c r="P6" s="155"/>
      <c r="Q6" s="155"/>
    </row>
    <row r="7" spans="1:17" ht="105.75" customHeight="1" x14ac:dyDescent="0.45">
      <c r="A7" s="158" t="s">
        <v>649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5"/>
      <c r="Q7" s="155"/>
    </row>
    <row r="8" spans="1:17" ht="23.25" customHeight="1" x14ac:dyDescent="0.45">
      <c r="A8" s="157" t="s">
        <v>618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5"/>
      <c r="Q8" s="155"/>
    </row>
    <row r="9" spans="1:17" ht="21" customHeight="1" x14ac:dyDescent="0.45">
      <c r="A9" s="153" t="s">
        <v>517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5"/>
    </row>
    <row r="10" spans="1:17" s="77" customFormat="1" ht="5.25" customHeight="1" x14ac:dyDescent="0.55000000000000004">
      <c r="A10" s="73"/>
      <c r="B10" s="74"/>
      <c r="C10" s="75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12" t="s">
        <v>344</v>
      </c>
      <c r="P10" s="155"/>
      <c r="Q10" s="155"/>
    </row>
    <row r="11" spans="1:17" s="78" customFormat="1" ht="21.75" customHeight="1" x14ac:dyDescent="0.4">
      <c r="A11" s="159" t="s">
        <v>323</v>
      </c>
      <c r="B11" s="159" t="s">
        <v>313</v>
      </c>
      <c r="C11" s="159" t="s">
        <v>325</v>
      </c>
      <c r="D11" s="147" t="s">
        <v>216</v>
      </c>
      <c r="E11" s="147"/>
      <c r="F11" s="147"/>
      <c r="G11" s="147"/>
      <c r="H11" s="147"/>
      <c r="I11" s="147" t="s">
        <v>217</v>
      </c>
      <c r="J11" s="147"/>
      <c r="K11" s="147"/>
      <c r="L11" s="147"/>
      <c r="M11" s="147"/>
      <c r="N11" s="147"/>
      <c r="O11" s="147" t="s">
        <v>218</v>
      </c>
      <c r="P11" s="155"/>
      <c r="Q11" s="155"/>
    </row>
    <row r="12" spans="1:17" s="78" customFormat="1" ht="29.25" customHeight="1" x14ac:dyDescent="0.4">
      <c r="A12" s="159"/>
      <c r="B12" s="159"/>
      <c r="C12" s="159"/>
      <c r="D12" s="156" t="s">
        <v>314</v>
      </c>
      <c r="E12" s="156" t="s">
        <v>219</v>
      </c>
      <c r="F12" s="148" t="s">
        <v>220</v>
      </c>
      <c r="G12" s="148"/>
      <c r="H12" s="156" t="s">
        <v>221</v>
      </c>
      <c r="I12" s="156" t="s">
        <v>314</v>
      </c>
      <c r="J12" s="156" t="s">
        <v>315</v>
      </c>
      <c r="K12" s="156" t="s">
        <v>219</v>
      </c>
      <c r="L12" s="148" t="s">
        <v>220</v>
      </c>
      <c r="M12" s="148"/>
      <c r="N12" s="156" t="s">
        <v>221</v>
      </c>
      <c r="O12" s="147"/>
      <c r="P12" s="155"/>
      <c r="Q12" s="155"/>
    </row>
    <row r="13" spans="1:17" s="78" customFormat="1" ht="60.75" customHeight="1" x14ac:dyDescent="0.4">
      <c r="A13" s="159"/>
      <c r="B13" s="159"/>
      <c r="C13" s="159"/>
      <c r="D13" s="156"/>
      <c r="E13" s="156"/>
      <c r="F13" s="124" t="s">
        <v>222</v>
      </c>
      <c r="G13" s="124" t="s">
        <v>223</v>
      </c>
      <c r="H13" s="156"/>
      <c r="I13" s="156"/>
      <c r="J13" s="156"/>
      <c r="K13" s="156"/>
      <c r="L13" s="124" t="s">
        <v>222</v>
      </c>
      <c r="M13" s="124" t="s">
        <v>223</v>
      </c>
      <c r="N13" s="156"/>
      <c r="O13" s="147"/>
      <c r="P13" s="155"/>
      <c r="Q13" s="155"/>
    </row>
    <row r="14" spans="1:17" s="78" customFormat="1" ht="21" customHeight="1" x14ac:dyDescent="0.4">
      <c r="A14" s="79" t="s">
        <v>42</v>
      </c>
      <c r="B14" s="80"/>
      <c r="C14" s="81" t="s">
        <v>741</v>
      </c>
      <c r="D14" s="82">
        <f>D16+D18+D19+D21</f>
        <v>346184869.16000003</v>
      </c>
      <c r="E14" s="82">
        <f t="shared" ref="E14:O14" si="0">E16+E18+E19+E21</f>
        <v>346184869.16000003</v>
      </c>
      <c r="F14" s="82">
        <f>F16+F18+F19+F21</f>
        <v>259209749</v>
      </c>
      <c r="G14" s="82">
        <f t="shared" si="0"/>
        <v>11323565</v>
      </c>
      <c r="H14" s="82">
        <f t="shared" si="0"/>
        <v>0</v>
      </c>
      <c r="I14" s="82">
        <f t="shared" si="0"/>
        <v>15730636.4</v>
      </c>
      <c r="J14" s="82">
        <f t="shared" si="0"/>
        <v>15361636.4</v>
      </c>
      <c r="K14" s="82">
        <f t="shared" si="0"/>
        <v>369000</v>
      </c>
      <c r="L14" s="82">
        <f t="shared" si="0"/>
        <v>0</v>
      </c>
      <c r="M14" s="82">
        <f t="shared" si="0"/>
        <v>208200</v>
      </c>
      <c r="N14" s="82">
        <f t="shared" si="0"/>
        <v>15361636.4</v>
      </c>
      <c r="O14" s="82">
        <f t="shared" si="0"/>
        <v>361915505.56</v>
      </c>
      <c r="P14" s="155"/>
      <c r="Q14" s="155"/>
    </row>
    <row r="15" spans="1:17" s="78" customFormat="1" ht="83.45" customHeight="1" x14ac:dyDescent="0.4">
      <c r="A15" s="79"/>
      <c r="B15" s="80"/>
      <c r="C15" s="54" t="s">
        <v>619</v>
      </c>
      <c r="D15" s="83">
        <f>D17+D20</f>
        <v>3426052</v>
      </c>
      <c r="E15" s="83">
        <f t="shared" ref="E15:O15" si="1">E17+E20</f>
        <v>3426052</v>
      </c>
      <c r="F15" s="83">
        <f t="shared" si="1"/>
        <v>2531101</v>
      </c>
      <c r="G15" s="83">
        <f t="shared" si="1"/>
        <v>0</v>
      </c>
      <c r="H15" s="83">
        <f t="shared" si="1"/>
        <v>0</v>
      </c>
      <c r="I15" s="83">
        <f t="shared" si="1"/>
        <v>312000</v>
      </c>
      <c r="J15" s="83">
        <f t="shared" si="1"/>
        <v>312000</v>
      </c>
      <c r="K15" s="83">
        <f t="shared" si="1"/>
        <v>0</v>
      </c>
      <c r="L15" s="83">
        <f t="shared" si="1"/>
        <v>0</v>
      </c>
      <c r="M15" s="83">
        <f t="shared" si="1"/>
        <v>0</v>
      </c>
      <c r="N15" s="83">
        <f t="shared" si="1"/>
        <v>312000</v>
      </c>
      <c r="O15" s="83">
        <f t="shared" si="1"/>
        <v>3738052</v>
      </c>
      <c r="P15" s="155"/>
      <c r="Q15" s="155"/>
    </row>
    <row r="16" spans="1:17" ht="37.5" customHeight="1" x14ac:dyDescent="0.45">
      <c r="A16" s="45" t="s">
        <v>114</v>
      </c>
      <c r="B16" s="45" t="s">
        <v>44</v>
      </c>
      <c r="C16" s="35" t="s">
        <v>708</v>
      </c>
      <c r="D16" s="84">
        <f>'дод 3'!E23+'дод 3'!E92+'дод 3'!E188+'дод 3'!E229+'дод 3'!E275+'дод 3'!E284+'дод 3'!E309+'дод 3'!E375+'дод 3'!E387+'дод 3'!E418+'дод 3'!E426+'дод 3'!E433+'дод 3'!E463+'дод 3'!E378+'дод 3'!E442+'дод 3'!E451+'дод 3'!E429+'дод 3'!E477</f>
        <v>343866269.16000003</v>
      </c>
      <c r="E16" s="84">
        <f>'дод 3'!F23+'дод 3'!F92+'дод 3'!F188+'дод 3'!F229+'дод 3'!F275+'дод 3'!F284+'дод 3'!F309+'дод 3'!F375+'дод 3'!F387+'дод 3'!F418+'дод 3'!F426+'дод 3'!F433+'дод 3'!F463+'дод 3'!F378+'дод 3'!F442+'дод 3'!F451+'дод 3'!F429+'дод 3'!F477</f>
        <v>343866269.16000003</v>
      </c>
      <c r="F16" s="84">
        <f>'дод 3'!G23+'дод 3'!G92+'дод 3'!G188+'дод 3'!G229+'дод 3'!G275+'дод 3'!G284+'дод 3'!G309+'дод 3'!G375+'дод 3'!G387+'дод 3'!G418+'дод 3'!G426+'дод 3'!G433+'дод 3'!G463+'дод 3'!G378+'дод 3'!G442+'дод 3'!G451+'дод 3'!G429+'дод 3'!G477</f>
        <v>259209749</v>
      </c>
      <c r="G16" s="84">
        <f>'дод 3'!H23+'дод 3'!H92+'дод 3'!H188+'дод 3'!H229+'дод 3'!H275+'дод 3'!H284+'дод 3'!H309+'дод 3'!H375+'дод 3'!H387+'дод 3'!H418+'дод 3'!H426+'дод 3'!H433+'дод 3'!H463+'дод 3'!H378+'дод 3'!H442+'дод 3'!H451+'дод 3'!H429+'дод 3'!H477</f>
        <v>11323565</v>
      </c>
      <c r="H16" s="84">
        <f>'дод 3'!I23+'дод 3'!I92+'дод 3'!I188+'дод 3'!I229+'дод 3'!I275+'дод 3'!I284+'дод 3'!I309+'дод 3'!I375+'дод 3'!I387+'дод 3'!I418+'дод 3'!I426+'дод 3'!I433+'дод 3'!I463+'дод 3'!I378+'дод 3'!I442+'дод 3'!I451+'дод 3'!I429+'дод 3'!I477</f>
        <v>0</v>
      </c>
      <c r="I16" s="84">
        <f>'дод 3'!J23+'дод 3'!J92+'дод 3'!J188+'дод 3'!J229+'дод 3'!J275+'дод 3'!J284+'дод 3'!J309+'дод 3'!J375+'дод 3'!J387+'дод 3'!J418+'дод 3'!J426+'дод 3'!J433+'дод 3'!J463+'дод 3'!J378+'дод 3'!J442+'дод 3'!J451+'дод 3'!J429+'дод 3'!J477</f>
        <v>15730636.4</v>
      </c>
      <c r="J16" s="84">
        <f>'дод 3'!K23+'дод 3'!K92+'дод 3'!K188+'дод 3'!K229+'дод 3'!K275+'дод 3'!K284+'дод 3'!K309+'дод 3'!K375+'дод 3'!K387+'дод 3'!K418+'дод 3'!K426+'дод 3'!K433+'дод 3'!K463+'дод 3'!K378+'дод 3'!K442+'дод 3'!K451+'дод 3'!K429+'дод 3'!K477</f>
        <v>15361636.4</v>
      </c>
      <c r="K16" s="84">
        <f>'дод 3'!L23+'дод 3'!L92+'дод 3'!L188+'дод 3'!L229+'дод 3'!L275+'дод 3'!L284+'дод 3'!L309+'дод 3'!L375+'дод 3'!L387+'дод 3'!L418+'дод 3'!L426+'дод 3'!L433+'дод 3'!L463+'дод 3'!L378+'дод 3'!L442+'дод 3'!L451+'дод 3'!L429+'дод 3'!L477</f>
        <v>369000</v>
      </c>
      <c r="L16" s="84">
        <f>'дод 3'!M23+'дод 3'!M92+'дод 3'!M188+'дод 3'!M229+'дод 3'!M275+'дод 3'!M284+'дод 3'!M309+'дод 3'!M375+'дод 3'!M387+'дод 3'!M418+'дод 3'!M426+'дод 3'!M433+'дод 3'!M463+'дод 3'!M378+'дод 3'!M442+'дод 3'!M451+'дод 3'!M429+'дод 3'!M477</f>
        <v>0</v>
      </c>
      <c r="M16" s="84">
        <f>'дод 3'!N23+'дод 3'!N92+'дод 3'!N188+'дод 3'!N229+'дод 3'!N275+'дод 3'!N284+'дод 3'!N309+'дод 3'!N375+'дод 3'!N387+'дод 3'!N418+'дод 3'!N426+'дод 3'!N433+'дод 3'!N463+'дод 3'!N378+'дод 3'!N442+'дод 3'!N451+'дод 3'!N429+'дод 3'!N477</f>
        <v>208200</v>
      </c>
      <c r="N16" s="84">
        <f>'дод 3'!O23+'дод 3'!O92+'дод 3'!O188+'дод 3'!O229+'дод 3'!O275+'дод 3'!O284+'дод 3'!O309+'дод 3'!O375+'дод 3'!O387+'дод 3'!O418+'дод 3'!O426+'дод 3'!O433+'дод 3'!O463+'дод 3'!O378+'дод 3'!O442+'дод 3'!O451+'дод 3'!O429+'дод 3'!O477</f>
        <v>15361636.4</v>
      </c>
      <c r="O16" s="84">
        <f>'дод 3'!P23+'дод 3'!P92+'дод 3'!P188+'дод 3'!P229+'дод 3'!P275+'дод 3'!P284+'дод 3'!P309+'дод 3'!P375+'дод 3'!P387+'дод 3'!P418+'дод 3'!P426+'дод 3'!P433+'дод 3'!P463+'дод 3'!P378+'дод 3'!P442+'дод 3'!P451+'дод 3'!P429+'дод 3'!P477</f>
        <v>359596905.56</v>
      </c>
      <c r="P16" s="155"/>
      <c r="Q16" s="155"/>
    </row>
    <row r="17" spans="1:17" ht="78.400000000000006" customHeight="1" x14ac:dyDescent="0.45">
      <c r="A17" s="45"/>
      <c r="B17" s="45"/>
      <c r="C17" s="48" t="s">
        <v>619</v>
      </c>
      <c r="D17" s="85">
        <f>'дод 3'!E464+'дод 3'!E478+'дод 3'!E310</f>
        <v>3126052</v>
      </c>
      <c r="E17" s="85">
        <f>'дод 3'!F464+'дод 3'!F478+'дод 3'!F310</f>
        <v>3126052</v>
      </c>
      <c r="F17" s="85">
        <f>'дод 3'!G464+'дод 3'!G478+'дод 3'!G310</f>
        <v>2531101</v>
      </c>
      <c r="G17" s="85">
        <f>'дод 3'!H464+'дод 3'!H478+'дод 3'!H310</f>
        <v>0</v>
      </c>
      <c r="H17" s="85">
        <f>'дод 3'!I464+'дод 3'!I478+'дод 3'!I310</f>
        <v>0</v>
      </c>
      <c r="I17" s="85">
        <f>'дод 3'!J464+'дод 3'!J478+'дод 3'!J310</f>
        <v>312000</v>
      </c>
      <c r="J17" s="85">
        <f>'дод 3'!K464+'дод 3'!K478+'дод 3'!K310</f>
        <v>312000</v>
      </c>
      <c r="K17" s="85">
        <f>'дод 3'!L464+'дод 3'!L478+'дод 3'!L310</f>
        <v>0</v>
      </c>
      <c r="L17" s="85">
        <f>'дод 3'!M464+'дод 3'!M478+'дод 3'!M310</f>
        <v>0</v>
      </c>
      <c r="M17" s="85">
        <f>'дод 3'!N464+'дод 3'!N478+'дод 3'!N310</f>
        <v>0</v>
      </c>
      <c r="N17" s="85">
        <f>'дод 3'!O464+'дод 3'!O478+'дод 3'!O310</f>
        <v>312000</v>
      </c>
      <c r="O17" s="85">
        <f>'дод 3'!P464+'дод 3'!P478+'дод 3'!P310</f>
        <v>3438052</v>
      </c>
      <c r="P17" s="155"/>
      <c r="Q17" s="155"/>
    </row>
    <row r="18" spans="1:17" ht="33" hidden="1" customHeight="1" x14ac:dyDescent="0.45">
      <c r="A18" s="34" t="s">
        <v>86</v>
      </c>
      <c r="B18" s="34" t="s">
        <v>432</v>
      </c>
      <c r="C18" s="35" t="s">
        <v>423</v>
      </c>
      <c r="D18" s="84">
        <f>'дод 3'!E24</f>
        <v>0</v>
      </c>
      <c r="E18" s="84">
        <f>'дод 3'!F24</f>
        <v>0</v>
      </c>
      <c r="F18" s="84">
        <f>'дод 3'!G24</f>
        <v>0</v>
      </c>
      <c r="G18" s="84">
        <f>'дод 3'!H24</f>
        <v>0</v>
      </c>
      <c r="H18" s="84">
        <f>'дод 3'!I24</f>
        <v>0</v>
      </c>
      <c r="I18" s="84">
        <f>'дод 3'!J24</f>
        <v>0</v>
      </c>
      <c r="J18" s="84">
        <f>'дод 3'!K24</f>
        <v>0</v>
      </c>
      <c r="K18" s="84">
        <f>'дод 3'!L24</f>
        <v>0</v>
      </c>
      <c r="L18" s="84">
        <f>'дод 3'!M24</f>
        <v>0</v>
      </c>
      <c r="M18" s="84">
        <f>'дод 3'!N24</f>
        <v>0</v>
      </c>
      <c r="N18" s="84">
        <f>'дод 3'!O24</f>
        <v>0</v>
      </c>
      <c r="O18" s="84">
        <f>'дод 3'!P24</f>
        <v>0</v>
      </c>
      <c r="P18" s="155"/>
      <c r="Q18" s="155"/>
    </row>
    <row r="19" spans="1:17" ht="22.5" customHeight="1" x14ac:dyDescent="0.45">
      <c r="A19" s="45" t="s">
        <v>43</v>
      </c>
      <c r="B19" s="45" t="s">
        <v>89</v>
      </c>
      <c r="C19" s="35" t="s">
        <v>713</v>
      </c>
      <c r="D19" s="84">
        <f>'дод 3'!E25+'дод 3'!E230+'дод 3'!E311</f>
        <v>2318600</v>
      </c>
      <c r="E19" s="84">
        <f>'дод 3'!F25+'дод 3'!F230+'дод 3'!F311</f>
        <v>2318600</v>
      </c>
      <c r="F19" s="84">
        <f>'дод 3'!G25+'дод 3'!G230+'дод 3'!G311</f>
        <v>0</v>
      </c>
      <c r="G19" s="84">
        <f>'дод 3'!H25+'дод 3'!H230+'дод 3'!H311</f>
        <v>0</v>
      </c>
      <c r="H19" s="84">
        <f>'дод 3'!I25+'дод 3'!I230+'дод 3'!I311</f>
        <v>0</v>
      </c>
      <c r="I19" s="84">
        <f>'дод 3'!J25+'дод 3'!J230+'дод 3'!J311</f>
        <v>0</v>
      </c>
      <c r="J19" s="84">
        <f>'дод 3'!K25+'дод 3'!K230+'дод 3'!K311</f>
        <v>0</v>
      </c>
      <c r="K19" s="84">
        <f>'дод 3'!L25+'дод 3'!L230+'дод 3'!L311</f>
        <v>0</v>
      </c>
      <c r="L19" s="84">
        <f>'дод 3'!M25+'дод 3'!M230+'дод 3'!M311</f>
        <v>0</v>
      </c>
      <c r="M19" s="84">
        <f>'дод 3'!N25+'дод 3'!N230+'дод 3'!N311</f>
        <v>0</v>
      </c>
      <c r="N19" s="84">
        <f>'дод 3'!O25+'дод 3'!O230+'дод 3'!O311</f>
        <v>0</v>
      </c>
      <c r="O19" s="84">
        <f>'дод 3'!P25+'дод 3'!P230+'дод 3'!P311</f>
        <v>2318600</v>
      </c>
      <c r="P19" s="155"/>
      <c r="Q19" s="155"/>
    </row>
    <row r="20" spans="1:17" ht="95.25" customHeight="1" x14ac:dyDescent="0.45">
      <c r="A20" s="45"/>
      <c r="B20" s="45"/>
      <c r="C20" s="48" t="s">
        <v>619</v>
      </c>
      <c r="D20" s="85">
        <f>'дод 3'!E26</f>
        <v>300000</v>
      </c>
      <c r="E20" s="85">
        <f>'дод 3'!F26</f>
        <v>300000</v>
      </c>
      <c r="F20" s="85">
        <f>'дод 3'!G26</f>
        <v>0</v>
      </c>
      <c r="G20" s="85">
        <f>'дод 3'!H26</f>
        <v>0</v>
      </c>
      <c r="H20" s="85">
        <f>'дод 3'!I26</f>
        <v>0</v>
      </c>
      <c r="I20" s="85">
        <f>'дод 3'!J26</f>
        <v>0</v>
      </c>
      <c r="J20" s="85">
        <f>'дод 3'!K26</f>
        <v>0</v>
      </c>
      <c r="K20" s="85">
        <f>'дод 3'!L26</f>
        <v>0</v>
      </c>
      <c r="L20" s="85">
        <f>'дод 3'!M26</f>
        <v>0</v>
      </c>
      <c r="M20" s="85">
        <f>'дод 3'!N26</f>
        <v>0</v>
      </c>
      <c r="N20" s="85">
        <f>'дод 3'!O26</f>
        <v>0</v>
      </c>
      <c r="O20" s="85">
        <f>'дод 3'!P26</f>
        <v>300000</v>
      </c>
      <c r="P20" s="155"/>
      <c r="Q20" s="155"/>
    </row>
    <row r="21" spans="1:17" ht="27" hidden="1" customHeight="1" x14ac:dyDescent="0.45">
      <c r="A21" s="34" t="s">
        <v>411</v>
      </c>
      <c r="B21" s="34" t="s">
        <v>114</v>
      </c>
      <c r="C21" s="35" t="s">
        <v>412</v>
      </c>
      <c r="D21" s="84">
        <f>'дод 3'!E27</f>
        <v>0</v>
      </c>
      <c r="E21" s="84">
        <f>'дод 3'!F27</f>
        <v>0</v>
      </c>
      <c r="F21" s="84">
        <f>'дод 3'!G27</f>
        <v>0</v>
      </c>
      <c r="G21" s="84">
        <f>'дод 3'!H27</f>
        <v>0</v>
      </c>
      <c r="H21" s="84">
        <f>'дод 3'!I27</f>
        <v>0</v>
      </c>
      <c r="I21" s="84">
        <f>'дод 3'!J27</f>
        <v>0</v>
      </c>
      <c r="J21" s="84">
        <f>'дод 3'!K27</f>
        <v>0</v>
      </c>
      <c r="K21" s="84">
        <f>'дод 3'!L27</f>
        <v>0</v>
      </c>
      <c r="L21" s="84">
        <f>'дод 3'!M27</f>
        <v>0</v>
      </c>
      <c r="M21" s="84">
        <f>'дод 3'!N27</f>
        <v>0</v>
      </c>
      <c r="N21" s="84">
        <f>'дод 3'!O27</f>
        <v>0</v>
      </c>
      <c r="O21" s="84">
        <f>'дод 3'!P27</f>
        <v>0</v>
      </c>
      <c r="P21" s="155"/>
      <c r="Q21" s="155"/>
    </row>
    <row r="22" spans="1:17" s="87" customFormat="1" ht="63" hidden="1" customHeight="1" x14ac:dyDescent="0.45">
      <c r="A22" s="86"/>
      <c r="B22" s="28"/>
      <c r="C22" s="48" t="s">
        <v>415</v>
      </c>
      <c r="D22" s="85">
        <f>'дод 3'!E28</f>
        <v>0</v>
      </c>
      <c r="E22" s="85">
        <f>'дод 3'!F28</f>
        <v>0</v>
      </c>
      <c r="F22" s="85">
        <f>'дод 3'!G28</f>
        <v>0</v>
      </c>
      <c r="G22" s="85">
        <f>'дод 3'!H28</f>
        <v>0</v>
      </c>
      <c r="H22" s="85">
        <f>'дод 3'!I28</f>
        <v>0</v>
      </c>
      <c r="I22" s="85">
        <f>'дод 3'!J28</f>
        <v>0</v>
      </c>
      <c r="J22" s="85">
        <f>'дод 3'!K28</f>
        <v>0</v>
      </c>
      <c r="K22" s="85">
        <f>'дод 3'!L28</f>
        <v>0</v>
      </c>
      <c r="L22" s="85">
        <f>'дод 3'!M28</f>
        <v>0</v>
      </c>
      <c r="M22" s="85">
        <f>'дод 3'!N28</f>
        <v>0</v>
      </c>
      <c r="N22" s="85">
        <f>'дод 3'!O28</f>
        <v>0</v>
      </c>
      <c r="O22" s="85">
        <f>'дод 3'!P28</f>
        <v>0</v>
      </c>
      <c r="P22" s="155"/>
      <c r="Q22" s="155"/>
    </row>
    <row r="23" spans="1:17" s="78" customFormat="1" ht="18.75" customHeight="1" x14ac:dyDescent="0.4">
      <c r="A23" s="88" t="s">
        <v>45</v>
      </c>
      <c r="B23" s="38"/>
      <c r="C23" s="81" t="s">
        <v>602</v>
      </c>
      <c r="D23" s="82">
        <f>D39+D41+D50+D53+D54+D57+D59+D61+D64+D66+D67+D74+D75+D76+D77+D79+D80+D81+D83+D85+D87+D89+D68+D70+D97+D98+D102+D100+D92+D91+D94+D72+D95+D104</f>
        <v>1527601023.1700001</v>
      </c>
      <c r="E23" s="82">
        <f t="shared" ref="E23:O23" si="2">E39+E41+E50+E53+E54+E57+E59+E61+E64+E66+E67+E74+E75+E76+E77+E79+E80+E81+E83+E85+E87+E89+E68+E70+E97+E98+E102+E100+E92+E91+E94+E72+E95+E104</f>
        <v>1527601023.1700001</v>
      </c>
      <c r="F23" s="82">
        <f t="shared" si="2"/>
        <v>1040771761</v>
      </c>
      <c r="G23" s="82">
        <f t="shared" si="2"/>
        <v>144472365</v>
      </c>
      <c r="H23" s="82">
        <f t="shared" si="2"/>
        <v>0</v>
      </c>
      <c r="I23" s="82">
        <f t="shared" si="2"/>
        <v>555307622</v>
      </c>
      <c r="J23" s="82">
        <f t="shared" si="2"/>
        <v>424864394.64999998</v>
      </c>
      <c r="K23" s="82">
        <f t="shared" si="2"/>
        <v>115948258</v>
      </c>
      <c r="L23" s="82">
        <f t="shared" si="2"/>
        <v>9759935</v>
      </c>
      <c r="M23" s="82">
        <f t="shared" si="2"/>
        <v>5594400</v>
      </c>
      <c r="N23" s="82">
        <f t="shared" si="2"/>
        <v>439359364</v>
      </c>
      <c r="O23" s="82">
        <f t="shared" si="2"/>
        <v>2082908645.1700001</v>
      </c>
      <c r="P23" s="155"/>
      <c r="Q23" s="155"/>
    </row>
    <row r="24" spans="1:17" s="90" customFormat="1" ht="30.75" customHeight="1" x14ac:dyDescent="0.4">
      <c r="A24" s="89"/>
      <c r="B24" s="40"/>
      <c r="C24" s="54" t="s">
        <v>375</v>
      </c>
      <c r="D24" s="83">
        <f>D55+D58+D60+D71</f>
        <v>551078300</v>
      </c>
      <c r="E24" s="83">
        <f t="shared" ref="E24:O24" si="3">E55+E58+E60+E71</f>
        <v>551078300</v>
      </c>
      <c r="F24" s="83">
        <f t="shared" si="3"/>
        <v>452384600</v>
      </c>
      <c r="G24" s="83">
        <f t="shared" si="3"/>
        <v>0</v>
      </c>
      <c r="H24" s="83">
        <f t="shared" si="3"/>
        <v>0</v>
      </c>
      <c r="I24" s="83">
        <f t="shared" si="3"/>
        <v>0</v>
      </c>
      <c r="J24" s="83">
        <f t="shared" si="3"/>
        <v>0</v>
      </c>
      <c r="K24" s="83">
        <f t="shared" si="3"/>
        <v>0</v>
      </c>
      <c r="L24" s="83">
        <f t="shared" si="3"/>
        <v>0</v>
      </c>
      <c r="M24" s="83">
        <f t="shared" si="3"/>
        <v>0</v>
      </c>
      <c r="N24" s="83">
        <f t="shared" si="3"/>
        <v>0</v>
      </c>
      <c r="O24" s="83">
        <f t="shared" si="3"/>
        <v>551078300</v>
      </c>
      <c r="P24" s="155"/>
      <c r="Q24" s="155"/>
    </row>
    <row r="25" spans="1:17" s="90" customFormat="1" ht="31.5" customHeight="1" x14ac:dyDescent="0.4">
      <c r="A25" s="89"/>
      <c r="B25" s="40"/>
      <c r="C25" s="19" t="s">
        <v>575</v>
      </c>
      <c r="D25" s="83">
        <f>D63</f>
        <v>351767.89</v>
      </c>
      <c r="E25" s="83">
        <f t="shared" ref="E25:O25" si="4">E63</f>
        <v>351767.89</v>
      </c>
      <c r="F25" s="83">
        <f t="shared" si="4"/>
        <v>290000</v>
      </c>
      <c r="G25" s="83">
        <f t="shared" si="4"/>
        <v>0</v>
      </c>
      <c r="H25" s="83">
        <f t="shared" si="4"/>
        <v>0</v>
      </c>
      <c r="I25" s="83">
        <f t="shared" si="4"/>
        <v>0</v>
      </c>
      <c r="J25" s="83">
        <f t="shared" si="4"/>
        <v>0</v>
      </c>
      <c r="K25" s="83">
        <f t="shared" si="4"/>
        <v>0</v>
      </c>
      <c r="L25" s="83">
        <f t="shared" si="4"/>
        <v>0</v>
      </c>
      <c r="M25" s="83">
        <f t="shared" si="4"/>
        <v>0</v>
      </c>
      <c r="N25" s="83">
        <f t="shared" si="4"/>
        <v>0</v>
      </c>
      <c r="O25" s="83">
        <f t="shared" si="4"/>
        <v>351767.89</v>
      </c>
      <c r="P25" s="155"/>
      <c r="Q25" s="155"/>
    </row>
    <row r="26" spans="1:17" s="90" customFormat="1" ht="54.4" customHeight="1" x14ac:dyDescent="0.4">
      <c r="A26" s="89"/>
      <c r="B26" s="40"/>
      <c r="C26" s="19" t="s">
        <v>680</v>
      </c>
      <c r="D26" s="83">
        <f>D93</f>
        <v>2847046</v>
      </c>
      <c r="E26" s="83">
        <f t="shared" ref="E26:O26" si="5">E93</f>
        <v>2847046</v>
      </c>
      <c r="F26" s="83">
        <f t="shared" si="5"/>
        <v>0</v>
      </c>
      <c r="G26" s="83">
        <f t="shared" si="5"/>
        <v>0</v>
      </c>
      <c r="H26" s="83">
        <f t="shared" si="5"/>
        <v>0</v>
      </c>
      <c r="I26" s="83">
        <f t="shared" si="5"/>
        <v>5552954</v>
      </c>
      <c r="J26" s="83">
        <f t="shared" si="5"/>
        <v>5552954</v>
      </c>
      <c r="K26" s="83">
        <f t="shared" si="5"/>
        <v>0</v>
      </c>
      <c r="L26" s="83">
        <f t="shared" si="5"/>
        <v>0</v>
      </c>
      <c r="M26" s="83">
        <f t="shared" si="5"/>
        <v>0</v>
      </c>
      <c r="N26" s="83">
        <f t="shared" si="5"/>
        <v>5552954</v>
      </c>
      <c r="O26" s="83">
        <f t="shared" si="5"/>
        <v>8400000</v>
      </c>
      <c r="P26" s="155"/>
      <c r="Q26" s="155"/>
    </row>
    <row r="27" spans="1:17" s="90" customFormat="1" ht="75.400000000000006" customHeight="1" x14ac:dyDescent="0.4">
      <c r="A27" s="89"/>
      <c r="B27" s="40"/>
      <c r="C27" s="19" t="str">
        <f>C96</f>
        <v>субвенції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v>
      </c>
      <c r="D27" s="83">
        <f>D96</f>
        <v>0</v>
      </c>
      <c r="E27" s="83">
        <f t="shared" ref="E27:O27" si="6">E96</f>
        <v>0</v>
      </c>
      <c r="F27" s="83">
        <f t="shared" si="6"/>
        <v>0</v>
      </c>
      <c r="G27" s="83">
        <f t="shared" si="6"/>
        <v>0</v>
      </c>
      <c r="H27" s="83">
        <f t="shared" si="6"/>
        <v>0</v>
      </c>
      <c r="I27" s="83">
        <f t="shared" si="6"/>
        <v>82600800</v>
      </c>
      <c r="J27" s="83">
        <f t="shared" si="6"/>
        <v>82600800</v>
      </c>
      <c r="K27" s="83">
        <f t="shared" si="6"/>
        <v>0</v>
      </c>
      <c r="L27" s="83">
        <f t="shared" si="6"/>
        <v>0</v>
      </c>
      <c r="M27" s="83">
        <f t="shared" si="6"/>
        <v>0</v>
      </c>
      <c r="N27" s="83">
        <f t="shared" si="6"/>
        <v>82600800</v>
      </c>
      <c r="O27" s="83">
        <f t="shared" si="6"/>
        <v>82600800</v>
      </c>
      <c r="P27" s="155"/>
      <c r="Q27" s="155"/>
    </row>
    <row r="28" spans="1:17" s="90" customFormat="1" ht="58.5" customHeight="1" x14ac:dyDescent="0.4">
      <c r="A28" s="89"/>
      <c r="B28" s="40"/>
      <c r="C28" s="19" t="str">
        <f>C105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D28" s="83">
        <f>D105</f>
        <v>12935800</v>
      </c>
      <c r="E28" s="83">
        <f t="shared" ref="E28:O28" si="7">E105</f>
        <v>12935800</v>
      </c>
      <c r="F28" s="83">
        <f t="shared" si="7"/>
        <v>0</v>
      </c>
      <c r="G28" s="83">
        <f t="shared" si="7"/>
        <v>0</v>
      </c>
      <c r="H28" s="83">
        <f t="shared" si="7"/>
        <v>0</v>
      </c>
      <c r="I28" s="83">
        <f t="shared" si="7"/>
        <v>0</v>
      </c>
      <c r="J28" s="83">
        <f t="shared" si="7"/>
        <v>0</v>
      </c>
      <c r="K28" s="83">
        <f t="shared" si="7"/>
        <v>0</v>
      </c>
      <c r="L28" s="83">
        <f t="shared" si="7"/>
        <v>0</v>
      </c>
      <c r="M28" s="83">
        <f t="shared" si="7"/>
        <v>0</v>
      </c>
      <c r="N28" s="83">
        <f t="shared" si="7"/>
        <v>0</v>
      </c>
      <c r="O28" s="83">
        <f t="shared" si="7"/>
        <v>12935800</v>
      </c>
      <c r="P28" s="155"/>
      <c r="Q28" s="155"/>
    </row>
    <row r="29" spans="1:17" s="90" customFormat="1" ht="75.400000000000006" customHeight="1" x14ac:dyDescent="0.4">
      <c r="A29" s="89"/>
      <c r="B29" s="40"/>
      <c r="C29" s="19" t="str">
        <f>C69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D29" s="83">
        <f>D69+D42+D101+D51</f>
        <v>1686473</v>
      </c>
      <c r="E29" s="83">
        <f t="shared" ref="E29:O29" si="8">E69+E42+E101+E51</f>
        <v>1686473</v>
      </c>
      <c r="F29" s="83">
        <f t="shared" si="8"/>
        <v>0</v>
      </c>
      <c r="G29" s="83">
        <f t="shared" si="8"/>
        <v>0</v>
      </c>
      <c r="H29" s="83">
        <f t="shared" si="8"/>
        <v>0</v>
      </c>
      <c r="I29" s="83">
        <f t="shared" si="8"/>
        <v>39145989</v>
      </c>
      <c r="J29" s="83">
        <f t="shared" si="8"/>
        <v>39145989</v>
      </c>
      <c r="K29" s="83">
        <f t="shared" si="8"/>
        <v>0</v>
      </c>
      <c r="L29" s="83">
        <f t="shared" si="8"/>
        <v>0</v>
      </c>
      <c r="M29" s="83">
        <f t="shared" si="8"/>
        <v>0</v>
      </c>
      <c r="N29" s="83">
        <f t="shared" si="8"/>
        <v>39145989</v>
      </c>
      <c r="O29" s="83">
        <f t="shared" si="8"/>
        <v>40832462</v>
      </c>
      <c r="P29" s="155"/>
      <c r="Q29" s="155"/>
    </row>
    <row r="30" spans="1:17" s="90" customFormat="1" ht="30" x14ac:dyDescent="0.4">
      <c r="A30" s="89"/>
      <c r="B30" s="40"/>
      <c r="C30" s="54" t="s">
        <v>370</v>
      </c>
      <c r="D30" s="83">
        <f>D56+D78</f>
        <v>4320175</v>
      </c>
      <c r="E30" s="83">
        <f t="shared" ref="E30:O30" si="9">E56+E78</f>
        <v>4320175</v>
      </c>
      <c r="F30" s="83">
        <f t="shared" si="9"/>
        <v>1714570</v>
      </c>
      <c r="G30" s="83">
        <f t="shared" si="9"/>
        <v>0</v>
      </c>
      <c r="H30" s="83">
        <f t="shared" si="9"/>
        <v>0</v>
      </c>
      <c r="I30" s="83">
        <f t="shared" si="9"/>
        <v>0</v>
      </c>
      <c r="J30" s="83">
        <f t="shared" si="9"/>
        <v>0</v>
      </c>
      <c r="K30" s="83">
        <f t="shared" si="9"/>
        <v>0</v>
      </c>
      <c r="L30" s="83">
        <f t="shared" si="9"/>
        <v>0</v>
      </c>
      <c r="M30" s="83">
        <f t="shared" si="9"/>
        <v>0</v>
      </c>
      <c r="N30" s="83">
        <f t="shared" si="9"/>
        <v>0</v>
      </c>
      <c r="O30" s="83">
        <f t="shared" si="9"/>
        <v>4320175</v>
      </c>
      <c r="P30" s="155"/>
      <c r="Q30" s="155"/>
    </row>
    <row r="31" spans="1:17" s="90" customFormat="1" ht="47.25" customHeight="1" x14ac:dyDescent="0.4">
      <c r="A31" s="89"/>
      <c r="B31" s="40"/>
      <c r="C31" s="54" t="s">
        <v>372</v>
      </c>
      <c r="D31" s="83">
        <f t="shared" ref="D31:O31" si="10">D62+D103+D73</f>
        <v>0</v>
      </c>
      <c r="E31" s="83">
        <f t="shared" si="10"/>
        <v>0</v>
      </c>
      <c r="F31" s="83">
        <f t="shared" si="10"/>
        <v>0</v>
      </c>
      <c r="G31" s="83">
        <f t="shared" si="10"/>
        <v>0</v>
      </c>
      <c r="H31" s="83">
        <f t="shared" si="10"/>
        <v>0</v>
      </c>
      <c r="I31" s="83">
        <f t="shared" si="10"/>
        <v>25887830</v>
      </c>
      <c r="J31" s="83">
        <f t="shared" si="10"/>
        <v>7819500</v>
      </c>
      <c r="K31" s="83">
        <f t="shared" si="10"/>
        <v>4558902</v>
      </c>
      <c r="L31" s="83">
        <f t="shared" si="10"/>
        <v>0</v>
      </c>
      <c r="M31" s="83">
        <f t="shared" si="10"/>
        <v>0</v>
      </c>
      <c r="N31" s="83">
        <f t="shared" si="10"/>
        <v>21328928</v>
      </c>
      <c r="O31" s="83">
        <f t="shared" si="10"/>
        <v>25887830</v>
      </c>
      <c r="P31" s="155"/>
      <c r="Q31" s="155"/>
    </row>
    <row r="32" spans="1:17" s="90" customFormat="1" ht="53.25" customHeight="1" x14ac:dyDescent="0.4">
      <c r="A32" s="89"/>
      <c r="B32" s="40"/>
      <c r="C32" s="19" t="s">
        <v>675</v>
      </c>
      <c r="D32" s="83">
        <f>D88</f>
        <v>2233488.84</v>
      </c>
      <c r="E32" s="83">
        <f t="shared" ref="E32:O32" si="11">E88</f>
        <v>2233488.84</v>
      </c>
      <c r="F32" s="83">
        <f t="shared" si="11"/>
        <v>1830728</v>
      </c>
      <c r="G32" s="83">
        <f t="shared" si="11"/>
        <v>0</v>
      </c>
      <c r="H32" s="83">
        <f t="shared" si="11"/>
        <v>0</v>
      </c>
      <c r="I32" s="83">
        <f t="shared" si="11"/>
        <v>0</v>
      </c>
      <c r="J32" s="83">
        <f t="shared" si="11"/>
        <v>0</v>
      </c>
      <c r="K32" s="83">
        <f t="shared" si="11"/>
        <v>0</v>
      </c>
      <c r="L32" s="83">
        <f t="shared" si="11"/>
        <v>0</v>
      </c>
      <c r="M32" s="83">
        <f t="shared" si="11"/>
        <v>0</v>
      </c>
      <c r="N32" s="83">
        <f t="shared" si="11"/>
        <v>0</v>
      </c>
      <c r="O32" s="83">
        <f t="shared" si="11"/>
        <v>2233488.84</v>
      </c>
      <c r="P32" s="155"/>
      <c r="Q32" s="155"/>
    </row>
    <row r="33" spans="1:17" s="90" customFormat="1" ht="63" customHeight="1" x14ac:dyDescent="0.4">
      <c r="A33" s="89"/>
      <c r="B33" s="40"/>
      <c r="C33" s="19" t="str">
        <f>C86</f>
        <v>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v>
      </c>
      <c r="D33" s="83">
        <f>D86</f>
        <v>577400</v>
      </c>
      <c r="E33" s="83">
        <f t="shared" ref="E33:O33" si="12">E86</f>
        <v>577400</v>
      </c>
      <c r="F33" s="83">
        <f t="shared" si="12"/>
        <v>0</v>
      </c>
      <c r="G33" s="83">
        <f t="shared" si="12"/>
        <v>0</v>
      </c>
      <c r="H33" s="83">
        <f t="shared" si="12"/>
        <v>0</v>
      </c>
      <c r="I33" s="83">
        <f t="shared" si="12"/>
        <v>10157256</v>
      </c>
      <c r="J33" s="83">
        <f t="shared" si="12"/>
        <v>10157256</v>
      </c>
      <c r="K33" s="83">
        <f t="shared" si="12"/>
        <v>0</v>
      </c>
      <c r="L33" s="83">
        <f t="shared" si="12"/>
        <v>0</v>
      </c>
      <c r="M33" s="83">
        <f t="shared" si="12"/>
        <v>0</v>
      </c>
      <c r="N33" s="83">
        <f t="shared" si="12"/>
        <v>10157256</v>
      </c>
      <c r="O33" s="83">
        <f t="shared" si="12"/>
        <v>10734656</v>
      </c>
      <c r="P33" s="160">
        <v>2</v>
      </c>
      <c r="Q33" s="155"/>
    </row>
    <row r="34" spans="1:17" s="90" customFormat="1" ht="63" customHeight="1" x14ac:dyDescent="0.4">
      <c r="A34" s="89"/>
      <c r="B34" s="89"/>
      <c r="C34" s="19" t="s">
        <v>676</v>
      </c>
      <c r="D34" s="83">
        <f>D90</f>
        <v>872618.44</v>
      </c>
      <c r="E34" s="83">
        <f t="shared" ref="E34:O34" si="13">E90</f>
        <v>872618.44</v>
      </c>
      <c r="F34" s="83">
        <f t="shared" si="13"/>
        <v>715261</v>
      </c>
      <c r="G34" s="83">
        <f t="shared" si="13"/>
        <v>0</v>
      </c>
      <c r="H34" s="83">
        <f t="shared" si="13"/>
        <v>0</v>
      </c>
      <c r="I34" s="83">
        <f t="shared" si="13"/>
        <v>0</v>
      </c>
      <c r="J34" s="83">
        <f t="shared" si="13"/>
        <v>0</v>
      </c>
      <c r="K34" s="83">
        <f t="shared" si="13"/>
        <v>0</v>
      </c>
      <c r="L34" s="83">
        <f t="shared" si="13"/>
        <v>0</v>
      </c>
      <c r="M34" s="83">
        <f t="shared" si="13"/>
        <v>0</v>
      </c>
      <c r="N34" s="83">
        <f t="shared" si="13"/>
        <v>0</v>
      </c>
      <c r="O34" s="83">
        <f t="shared" si="13"/>
        <v>872618.44</v>
      </c>
      <c r="P34" s="160"/>
      <c r="Q34" s="155"/>
    </row>
    <row r="35" spans="1:17" s="90" customFormat="1" ht="55.5" hidden="1" customHeight="1" x14ac:dyDescent="0.4">
      <c r="A35" s="89"/>
      <c r="B35" s="89"/>
      <c r="C35" s="19" t="s">
        <v>524</v>
      </c>
      <c r="D35" s="83">
        <f>D82</f>
        <v>0</v>
      </c>
      <c r="E35" s="83">
        <f t="shared" ref="E35:O35" si="14">E82</f>
        <v>0</v>
      </c>
      <c r="F35" s="83">
        <f t="shared" si="14"/>
        <v>0</v>
      </c>
      <c r="G35" s="83">
        <f t="shared" si="14"/>
        <v>0</v>
      </c>
      <c r="H35" s="83">
        <f t="shared" si="14"/>
        <v>0</v>
      </c>
      <c r="I35" s="83">
        <f t="shared" si="14"/>
        <v>0</v>
      </c>
      <c r="J35" s="83">
        <f t="shared" si="14"/>
        <v>0</v>
      </c>
      <c r="K35" s="83">
        <f t="shared" si="14"/>
        <v>0</v>
      </c>
      <c r="L35" s="83">
        <f t="shared" si="14"/>
        <v>0</v>
      </c>
      <c r="M35" s="83">
        <f t="shared" si="14"/>
        <v>0</v>
      </c>
      <c r="N35" s="83">
        <f t="shared" si="14"/>
        <v>0</v>
      </c>
      <c r="O35" s="83">
        <f t="shared" si="14"/>
        <v>0</v>
      </c>
      <c r="P35" s="160"/>
      <c r="Q35" s="155"/>
    </row>
    <row r="36" spans="1:17" s="90" customFormat="1" ht="63" hidden="1" customHeight="1" x14ac:dyDescent="0.4">
      <c r="A36" s="89"/>
      <c r="B36" s="89"/>
      <c r="C36" s="19" t="s">
        <v>505</v>
      </c>
      <c r="D36" s="83">
        <f>D86</f>
        <v>577400</v>
      </c>
      <c r="E36" s="83">
        <f t="shared" ref="E36:O36" si="15">E86</f>
        <v>577400</v>
      </c>
      <c r="F36" s="83">
        <f t="shared" si="15"/>
        <v>0</v>
      </c>
      <c r="G36" s="83">
        <f t="shared" si="15"/>
        <v>0</v>
      </c>
      <c r="H36" s="83">
        <f t="shared" si="15"/>
        <v>0</v>
      </c>
      <c r="I36" s="83">
        <f t="shared" si="15"/>
        <v>10157256</v>
      </c>
      <c r="J36" s="83">
        <f t="shared" si="15"/>
        <v>10157256</v>
      </c>
      <c r="K36" s="83">
        <f t="shared" si="15"/>
        <v>0</v>
      </c>
      <c r="L36" s="83">
        <f t="shared" si="15"/>
        <v>0</v>
      </c>
      <c r="M36" s="83">
        <f t="shared" si="15"/>
        <v>0</v>
      </c>
      <c r="N36" s="83">
        <f t="shared" si="15"/>
        <v>10157256</v>
      </c>
      <c r="O36" s="83">
        <f t="shared" si="15"/>
        <v>10734656</v>
      </c>
      <c r="P36" s="160"/>
      <c r="Q36" s="155"/>
    </row>
    <row r="37" spans="1:17" s="90" customFormat="1" ht="15.75" customHeight="1" x14ac:dyDescent="0.4">
      <c r="A37" s="89"/>
      <c r="B37" s="89"/>
      <c r="C37" s="19" t="s">
        <v>380</v>
      </c>
      <c r="D37" s="83">
        <f>D43</f>
        <v>0</v>
      </c>
      <c r="E37" s="83">
        <f t="shared" ref="E37:O37" si="16">E43</f>
        <v>0</v>
      </c>
      <c r="F37" s="83">
        <f t="shared" si="16"/>
        <v>0</v>
      </c>
      <c r="G37" s="83">
        <f t="shared" si="16"/>
        <v>0</v>
      </c>
      <c r="H37" s="83">
        <f t="shared" si="16"/>
        <v>0</v>
      </c>
      <c r="I37" s="83">
        <f t="shared" si="16"/>
        <v>6564196</v>
      </c>
      <c r="J37" s="83">
        <f t="shared" si="16"/>
        <v>0</v>
      </c>
      <c r="K37" s="83">
        <f t="shared" si="16"/>
        <v>6564196</v>
      </c>
      <c r="L37" s="83">
        <f t="shared" si="16"/>
        <v>0</v>
      </c>
      <c r="M37" s="83">
        <f t="shared" si="16"/>
        <v>0</v>
      </c>
      <c r="N37" s="83">
        <f t="shared" si="16"/>
        <v>0</v>
      </c>
      <c r="O37" s="83">
        <f t="shared" si="16"/>
        <v>6564196</v>
      </c>
      <c r="P37" s="160"/>
      <c r="Q37" s="155"/>
    </row>
    <row r="38" spans="1:17" s="90" customFormat="1" ht="48.75" customHeight="1" x14ac:dyDescent="0.4">
      <c r="A38" s="89"/>
      <c r="B38" s="89"/>
      <c r="C38" s="19" t="s">
        <v>686</v>
      </c>
      <c r="D38" s="83">
        <f>D99</f>
        <v>0</v>
      </c>
      <c r="E38" s="83">
        <f t="shared" ref="E38:O38" si="17">E99</f>
        <v>0</v>
      </c>
      <c r="F38" s="83">
        <f t="shared" si="17"/>
        <v>0</v>
      </c>
      <c r="G38" s="83">
        <f t="shared" si="17"/>
        <v>0</v>
      </c>
      <c r="H38" s="83">
        <f t="shared" si="17"/>
        <v>0</v>
      </c>
      <c r="I38" s="83">
        <f>I99</f>
        <v>73585211</v>
      </c>
      <c r="J38" s="83">
        <f t="shared" si="17"/>
        <v>73585211</v>
      </c>
      <c r="K38" s="83">
        <f t="shared" si="17"/>
        <v>0</v>
      </c>
      <c r="L38" s="83">
        <f t="shared" si="17"/>
        <v>0</v>
      </c>
      <c r="M38" s="83">
        <f t="shared" si="17"/>
        <v>0</v>
      </c>
      <c r="N38" s="83">
        <f t="shared" si="17"/>
        <v>73585211</v>
      </c>
      <c r="O38" s="83">
        <f t="shared" si="17"/>
        <v>73585211</v>
      </c>
      <c r="P38" s="160"/>
      <c r="Q38" s="155"/>
    </row>
    <row r="39" spans="1:17" ht="17.25" customHeight="1" x14ac:dyDescent="0.45">
      <c r="A39" s="45" t="s">
        <v>46</v>
      </c>
      <c r="B39" s="45" t="s">
        <v>47</v>
      </c>
      <c r="C39" s="35" t="s">
        <v>468</v>
      </c>
      <c r="D39" s="84">
        <f>'дод 3'!E93+'дод 3'!E388</f>
        <v>372814754</v>
      </c>
      <c r="E39" s="84">
        <f>'дод 3'!F93+'дод 3'!F388</f>
        <v>372814754</v>
      </c>
      <c r="F39" s="84">
        <f>'дод 3'!G93+'дод 3'!G388</f>
        <v>249988758</v>
      </c>
      <c r="G39" s="84">
        <f>'дод 3'!H93+'дод 3'!H388</f>
        <v>46095800</v>
      </c>
      <c r="H39" s="84">
        <f>'дод 3'!I93+'дод 3'!I388</f>
        <v>0</v>
      </c>
      <c r="I39" s="84">
        <f>'дод 3'!J93+'дод 3'!J388</f>
        <v>112068138</v>
      </c>
      <c r="J39" s="84">
        <f>'дод 3'!K93+'дод 3'!K388</f>
        <v>81315646.650000006</v>
      </c>
      <c r="K39" s="84">
        <f>'дод 3'!L93+'дод 3'!L388</f>
        <v>29919150</v>
      </c>
      <c r="L39" s="84">
        <f>'дод 3'!M93+'дод 3'!M388</f>
        <v>0</v>
      </c>
      <c r="M39" s="84">
        <f>'дод 3'!N93+'дод 3'!N388</f>
        <v>0</v>
      </c>
      <c r="N39" s="84">
        <f>'дод 3'!O93+'дод 3'!O388</f>
        <v>82148988</v>
      </c>
      <c r="O39" s="84">
        <f>'дод 3'!P93+'дод 3'!P388</f>
        <v>484882892</v>
      </c>
      <c r="P39" s="160"/>
      <c r="Q39" s="155"/>
    </row>
    <row r="40" spans="1:17" s="87" customFormat="1" ht="47.25" hidden="1" customHeight="1" x14ac:dyDescent="0.45">
      <c r="A40" s="86"/>
      <c r="B40" s="86"/>
      <c r="C40" s="48" t="s">
        <v>369</v>
      </c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160"/>
      <c r="Q40" s="155"/>
    </row>
    <row r="41" spans="1:17" ht="38.25" customHeight="1" x14ac:dyDescent="0.45">
      <c r="A41" s="45">
        <v>1021</v>
      </c>
      <c r="B41" s="45" t="s">
        <v>49</v>
      </c>
      <c r="C41" s="24" t="s">
        <v>670</v>
      </c>
      <c r="D41" s="84">
        <f>'дод 3'!E94+'дод 3'!E389</f>
        <v>259665872</v>
      </c>
      <c r="E41" s="84">
        <f>'дод 3'!F94+'дод 3'!F389</f>
        <v>259665872</v>
      </c>
      <c r="F41" s="84">
        <f>'дод 3'!G94+'дод 3'!G389</f>
        <v>137075250</v>
      </c>
      <c r="G41" s="84">
        <f>'дод 3'!H94+'дод 3'!H389</f>
        <v>63623300</v>
      </c>
      <c r="H41" s="84">
        <f>'дод 3'!I94+'дод 3'!I389</f>
        <v>0</v>
      </c>
      <c r="I41" s="84">
        <f>'дод 3'!J94+'дод 3'!J389</f>
        <v>84505320</v>
      </c>
      <c r="J41" s="84">
        <f>'дод 3'!K94+'дод 3'!K389</f>
        <v>21156374</v>
      </c>
      <c r="K41" s="84">
        <f>'дод 3'!L94+'дод 3'!L389</f>
        <v>63348946</v>
      </c>
      <c r="L41" s="84">
        <f>'дод 3'!M94+'дод 3'!M389</f>
        <v>2197510</v>
      </c>
      <c r="M41" s="84">
        <f>'дод 3'!N94+'дод 3'!N389</f>
        <v>276700</v>
      </c>
      <c r="N41" s="84">
        <f>'дод 3'!O94+'дод 3'!O389</f>
        <v>21156374</v>
      </c>
      <c r="O41" s="84">
        <f>'дод 3'!P94+'дод 3'!P389</f>
        <v>344171192</v>
      </c>
      <c r="P41" s="160"/>
      <c r="Q41" s="155"/>
    </row>
    <row r="42" spans="1:17" s="87" customFormat="1" ht="76.900000000000006" x14ac:dyDescent="0.45">
      <c r="A42" s="86"/>
      <c r="B42" s="86"/>
      <c r="C42" s="48" t="s">
        <v>619</v>
      </c>
      <c r="D42" s="85">
        <f>'дод 3'!E96</f>
        <v>325568</v>
      </c>
      <c r="E42" s="85">
        <f>'дод 3'!F96</f>
        <v>325568</v>
      </c>
      <c r="F42" s="85">
        <f>'дод 3'!G96</f>
        <v>0</v>
      </c>
      <c r="G42" s="85">
        <f>'дод 3'!H96</f>
        <v>0</v>
      </c>
      <c r="H42" s="85">
        <f>'дод 3'!I96</f>
        <v>0</v>
      </c>
      <c r="I42" s="85">
        <f>'дод 3'!J96</f>
        <v>30000</v>
      </c>
      <c r="J42" s="85">
        <f>'дод 3'!K96</f>
        <v>30000</v>
      </c>
      <c r="K42" s="85">
        <f>'дод 3'!L96</f>
        <v>0</v>
      </c>
      <c r="L42" s="85">
        <f>'дод 3'!M96</f>
        <v>0</v>
      </c>
      <c r="M42" s="85">
        <f>'дод 3'!N96</f>
        <v>0</v>
      </c>
      <c r="N42" s="85">
        <f>'дод 3'!O96</f>
        <v>30000</v>
      </c>
      <c r="O42" s="85">
        <f>'дод 3'!P96</f>
        <v>355568</v>
      </c>
      <c r="P42" s="160"/>
      <c r="Q42" s="155"/>
    </row>
    <row r="43" spans="1:17" s="87" customFormat="1" ht="20.65" customHeight="1" x14ac:dyDescent="0.45">
      <c r="A43" s="86"/>
      <c r="B43" s="86"/>
      <c r="C43" s="29" t="s">
        <v>379</v>
      </c>
      <c r="D43" s="85">
        <f>'дод 3'!E95</f>
        <v>0</v>
      </c>
      <c r="E43" s="85">
        <f>'дод 3'!F95</f>
        <v>0</v>
      </c>
      <c r="F43" s="85">
        <f>'дод 3'!G95</f>
        <v>0</v>
      </c>
      <c r="G43" s="85">
        <f>'дод 3'!H95</f>
        <v>0</v>
      </c>
      <c r="H43" s="85">
        <f>'дод 3'!I95</f>
        <v>0</v>
      </c>
      <c r="I43" s="85">
        <f>'дод 3'!J95</f>
        <v>6564196</v>
      </c>
      <c r="J43" s="85">
        <f>'дод 3'!K95</f>
        <v>0</v>
      </c>
      <c r="K43" s="85">
        <f>'дод 3'!L95</f>
        <v>6564196</v>
      </c>
      <c r="L43" s="85">
        <f>'дод 3'!M95</f>
        <v>0</v>
      </c>
      <c r="M43" s="85">
        <f>'дод 3'!N95</f>
        <v>0</v>
      </c>
      <c r="N43" s="85">
        <f>'дод 3'!O95</f>
        <v>0</v>
      </c>
      <c r="O43" s="85">
        <f>'дод 3'!P95</f>
        <v>6564196</v>
      </c>
      <c r="P43" s="160"/>
      <c r="Q43" s="155"/>
    </row>
    <row r="44" spans="1:17" s="87" customFormat="1" ht="50.25" hidden="1" customHeight="1" x14ac:dyDescent="0.45">
      <c r="A44" s="86"/>
      <c r="B44" s="86"/>
      <c r="C44" s="29" t="str">
        <f>'дод 3'!D95</f>
        <v>іншої субвенції з місцевого бюджету</v>
      </c>
      <c r="D44" s="85">
        <f>'дод 3'!E95</f>
        <v>0</v>
      </c>
      <c r="E44" s="85">
        <f>'дод 3'!F95</f>
        <v>0</v>
      </c>
      <c r="F44" s="85">
        <f>'дод 3'!G95</f>
        <v>0</v>
      </c>
      <c r="G44" s="85">
        <f>'дод 3'!H95</f>
        <v>0</v>
      </c>
      <c r="H44" s="85">
        <f>'дод 3'!I95</f>
        <v>0</v>
      </c>
      <c r="I44" s="85">
        <f>'дод 3'!J95</f>
        <v>6564196</v>
      </c>
      <c r="J44" s="85">
        <f>'дод 3'!K95</f>
        <v>0</v>
      </c>
      <c r="K44" s="85">
        <f>'дод 3'!L95</f>
        <v>6564196</v>
      </c>
      <c r="L44" s="85">
        <f>'дод 3'!M95</f>
        <v>0</v>
      </c>
      <c r="M44" s="85">
        <f>'дод 3'!N95</f>
        <v>0</v>
      </c>
      <c r="N44" s="85">
        <f>'дод 3'!O95</f>
        <v>0</v>
      </c>
      <c r="O44" s="85">
        <f>'дод 3'!P95</f>
        <v>6564196</v>
      </c>
      <c r="P44" s="160"/>
      <c r="Q44" s="155"/>
    </row>
    <row r="45" spans="1:17" s="87" customFormat="1" ht="47.25" hidden="1" customHeight="1" x14ac:dyDescent="0.45">
      <c r="A45" s="86"/>
      <c r="B45" s="86"/>
      <c r="C45" s="48" t="s">
        <v>370</v>
      </c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160"/>
      <c r="Q45" s="155"/>
    </row>
    <row r="46" spans="1:17" s="87" customFormat="1" ht="47.25" hidden="1" customHeight="1" x14ac:dyDescent="0.45">
      <c r="A46" s="86"/>
      <c r="B46" s="86"/>
      <c r="C46" s="48" t="s">
        <v>372</v>
      </c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160"/>
      <c r="Q46" s="155"/>
    </row>
    <row r="47" spans="1:17" s="87" customFormat="1" ht="58.5" hidden="1" customHeight="1" x14ac:dyDescent="0.45">
      <c r="A47" s="86"/>
      <c r="B47" s="86"/>
      <c r="C47" s="48" t="s">
        <v>369</v>
      </c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160"/>
      <c r="Q47" s="155"/>
    </row>
    <row r="48" spans="1:17" s="87" customFormat="1" ht="31.5" hidden="1" customHeight="1" x14ac:dyDescent="0.45">
      <c r="A48" s="86"/>
      <c r="B48" s="86"/>
      <c r="C48" s="48" t="s">
        <v>375</v>
      </c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160"/>
      <c r="Q48" s="155"/>
    </row>
    <row r="49" spans="1:17" s="87" customFormat="1" ht="63" hidden="1" customHeight="1" x14ac:dyDescent="0.45">
      <c r="A49" s="86"/>
      <c r="B49" s="86"/>
      <c r="C49" s="48" t="s">
        <v>371</v>
      </c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160"/>
      <c r="Q49" s="155"/>
    </row>
    <row r="50" spans="1:17" ht="64.150000000000006" customHeight="1" x14ac:dyDescent="0.45">
      <c r="A50" s="45">
        <v>1022</v>
      </c>
      <c r="B50" s="22" t="s">
        <v>53</v>
      </c>
      <c r="C50" s="24" t="s">
        <v>603</v>
      </c>
      <c r="D50" s="84">
        <f>'дод 3'!E97+'дод 3'!E390</f>
        <v>18169841</v>
      </c>
      <c r="E50" s="84">
        <f>'дод 3'!F97+'дод 3'!F390</f>
        <v>18169841</v>
      </c>
      <c r="F50" s="84">
        <f>'дод 3'!G97+'дод 3'!G390</f>
        <v>10850800</v>
      </c>
      <c r="G50" s="84">
        <f>'дод 3'!H97+'дод 3'!H390</f>
        <v>2866500</v>
      </c>
      <c r="H50" s="84">
        <f>'дод 3'!I97+'дод 3'!I390</f>
        <v>0</v>
      </c>
      <c r="I50" s="84">
        <f>'дод 3'!J97+'дод 3'!J390</f>
        <v>0</v>
      </c>
      <c r="J50" s="84">
        <f>'дод 3'!K97+'дод 3'!K390</f>
        <v>0</v>
      </c>
      <c r="K50" s="84">
        <f>'дод 3'!L97+'дод 3'!L390</f>
        <v>0</v>
      </c>
      <c r="L50" s="84">
        <f>'дод 3'!M97+'дод 3'!M390</f>
        <v>0</v>
      </c>
      <c r="M50" s="84">
        <f>'дод 3'!N97+'дод 3'!N390</f>
        <v>0</v>
      </c>
      <c r="N50" s="84">
        <f>'дод 3'!O97+'дод 3'!O390</f>
        <v>0</v>
      </c>
      <c r="O50" s="84">
        <f>'дод 3'!P97+'дод 3'!P390</f>
        <v>18169841</v>
      </c>
      <c r="P50" s="160"/>
      <c r="Q50" s="155"/>
    </row>
    <row r="51" spans="1:17" ht="76.900000000000006" x14ac:dyDescent="0.45">
      <c r="A51" s="45"/>
      <c r="B51" s="22"/>
      <c r="C51" s="48" t="s">
        <v>619</v>
      </c>
      <c r="D51" s="85">
        <f>'дод 3'!E98</f>
        <v>21541</v>
      </c>
      <c r="E51" s="85">
        <f>'дод 3'!F98</f>
        <v>21541</v>
      </c>
      <c r="F51" s="85">
        <f>'дод 3'!G98</f>
        <v>0</v>
      </c>
      <c r="G51" s="85">
        <f>'дод 3'!H98</f>
        <v>0</v>
      </c>
      <c r="H51" s="85">
        <f>'дод 3'!I98</f>
        <v>0</v>
      </c>
      <c r="I51" s="85">
        <f>'дод 3'!J98</f>
        <v>0</v>
      </c>
      <c r="J51" s="85">
        <f>'дод 3'!K98</f>
        <v>0</v>
      </c>
      <c r="K51" s="85">
        <f>'дод 3'!L98</f>
        <v>0</v>
      </c>
      <c r="L51" s="85">
        <f>'дод 3'!M98</f>
        <v>0</v>
      </c>
      <c r="M51" s="85">
        <f>'дод 3'!N98</f>
        <v>0</v>
      </c>
      <c r="N51" s="85">
        <f>'дод 3'!O98</f>
        <v>0</v>
      </c>
      <c r="O51" s="85">
        <f>'дод 3'!P98</f>
        <v>21541</v>
      </c>
      <c r="P51" s="160"/>
      <c r="Q51" s="155"/>
    </row>
    <row r="52" spans="1:17" ht="78.75" hidden="1" customHeight="1" x14ac:dyDescent="0.45">
      <c r="A52" s="45"/>
      <c r="B52" s="45"/>
      <c r="C52" s="48" t="s">
        <v>373</v>
      </c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160"/>
      <c r="Q52" s="155"/>
    </row>
    <row r="53" spans="1:17" ht="64.5" customHeight="1" x14ac:dyDescent="0.45">
      <c r="A53" s="45">
        <v>1025</v>
      </c>
      <c r="B53" s="45" t="s">
        <v>53</v>
      </c>
      <c r="C53" s="33" t="s">
        <v>604</v>
      </c>
      <c r="D53" s="84">
        <f>'дод 3'!E99</f>
        <v>13539100</v>
      </c>
      <c r="E53" s="84">
        <f>'дод 3'!F99</f>
        <v>13539100</v>
      </c>
      <c r="F53" s="84">
        <f>'дод 3'!G99</f>
        <v>9565000</v>
      </c>
      <c r="G53" s="84">
        <f>'дод 3'!H99</f>
        <v>1219000</v>
      </c>
      <c r="H53" s="84">
        <f>'дод 3'!I99</f>
        <v>0</v>
      </c>
      <c r="I53" s="84">
        <f>'дод 3'!J99</f>
        <v>0</v>
      </c>
      <c r="J53" s="84">
        <f>'дод 3'!K99</f>
        <v>0</v>
      </c>
      <c r="K53" s="84">
        <f>'дод 3'!L99</f>
        <v>0</v>
      </c>
      <c r="L53" s="84">
        <f>'дод 3'!M99</f>
        <v>0</v>
      </c>
      <c r="M53" s="84">
        <f>'дод 3'!N99</f>
        <v>0</v>
      </c>
      <c r="N53" s="84">
        <f>'дод 3'!O99</f>
        <v>0</v>
      </c>
      <c r="O53" s="84">
        <f>'дод 3'!P99</f>
        <v>13539100</v>
      </c>
      <c r="P53" s="160"/>
      <c r="Q53" s="155"/>
    </row>
    <row r="54" spans="1:17" s="87" customFormat="1" ht="30.75" x14ac:dyDescent="0.45">
      <c r="A54" s="23">
        <v>1031</v>
      </c>
      <c r="B54" s="22" t="s">
        <v>49</v>
      </c>
      <c r="C54" s="24" t="s">
        <v>605</v>
      </c>
      <c r="D54" s="84">
        <f>'дод 3'!E100</f>
        <v>508400300</v>
      </c>
      <c r="E54" s="84">
        <f>'дод 3'!F100</f>
        <v>508400300</v>
      </c>
      <c r="F54" s="84">
        <f>'дод 3'!G100</f>
        <v>415576000</v>
      </c>
      <c r="G54" s="84">
        <f>'дод 3'!H100</f>
        <v>0</v>
      </c>
      <c r="H54" s="84">
        <f>'дод 3'!I100</f>
        <v>0</v>
      </c>
      <c r="I54" s="84">
        <f>'дод 3'!J100</f>
        <v>0</v>
      </c>
      <c r="J54" s="84">
        <f>'дод 3'!K100</f>
        <v>0</v>
      </c>
      <c r="K54" s="84">
        <f>'дод 3'!L100</f>
        <v>0</v>
      </c>
      <c r="L54" s="84">
        <f>'дод 3'!M100</f>
        <v>0</v>
      </c>
      <c r="M54" s="84">
        <f>'дод 3'!N100</f>
        <v>0</v>
      </c>
      <c r="N54" s="84">
        <f>'дод 3'!O100</f>
        <v>0</v>
      </c>
      <c r="O54" s="84">
        <f>'дод 3'!P100</f>
        <v>508400300</v>
      </c>
      <c r="P54" s="160"/>
      <c r="Q54" s="155"/>
    </row>
    <row r="55" spans="1:17" s="87" customFormat="1" ht="18.75" customHeight="1" x14ac:dyDescent="0.45">
      <c r="A55" s="86"/>
      <c r="B55" s="86"/>
      <c r="C55" s="29" t="s">
        <v>375</v>
      </c>
      <c r="D55" s="85">
        <f>'дод 3'!E101</f>
        <v>506171900</v>
      </c>
      <c r="E55" s="85">
        <f>'дод 3'!F101</f>
        <v>506171900</v>
      </c>
      <c r="F55" s="85">
        <f>'дод 3'!G101</f>
        <v>415576000</v>
      </c>
      <c r="G55" s="85">
        <f>'дод 3'!H101</f>
        <v>0</v>
      </c>
      <c r="H55" s="85">
        <f>'дод 3'!I101</f>
        <v>0</v>
      </c>
      <c r="I55" s="85">
        <f>'дод 3'!J101</f>
        <v>0</v>
      </c>
      <c r="J55" s="85">
        <f>'дод 3'!K101</f>
        <v>0</v>
      </c>
      <c r="K55" s="85">
        <f>'дод 3'!L101</f>
        <v>0</v>
      </c>
      <c r="L55" s="85">
        <f>'дод 3'!M101</f>
        <v>0</v>
      </c>
      <c r="M55" s="85">
        <f>'дод 3'!N101</f>
        <v>0</v>
      </c>
      <c r="N55" s="85">
        <f>'дод 3'!O101</f>
        <v>0</v>
      </c>
      <c r="O55" s="85">
        <f>'дод 3'!P101</f>
        <v>506171900</v>
      </c>
      <c r="P55" s="160"/>
      <c r="Q55" s="155"/>
    </row>
    <row r="56" spans="1:17" ht="36" customHeight="1" x14ac:dyDescent="0.45">
      <c r="A56" s="45"/>
      <c r="B56" s="45"/>
      <c r="C56" s="29" t="s">
        <v>370</v>
      </c>
      <c r="D56" s="85">
        <f>'дод 3'!E102</f>
        <v>2228400</v>
      </c>
      <c r="E56" s="85">
        <f>'дод 3'!F102</f>
        <v>2228400</v>
      </c>
      <c r="F56" s="85">
        <f>'дод 3'!G102</f>
        <v>0</v>
      </c>
      <c r="G56" s="85">
        <f>'дод 3'!H102</f>
        <v>0</v>
      </c>
      <c r="H56" s="85">
        <f>'дод 3'!I102</f>
        <v>0</v>
      </c>
      <c r="I56" s="85">
        <f>'дод 3'!J102</f>
        <v>0</v>
      </c>
      <c r="J56" s="85">
        <f>'дод 3'!K102</f>
        <v>0</v>
      </c>
      <c r="K56" s="85">
        <f>'дод 3'!L102</f>
        <v>0</v>
      </c>
      <c r="L56" s="85">
        <f>'дод 3'!M102</f>
        <v>0</v>
      </c>
      <c r="M56" s="85">
        <f>'дод 3'!N102</f>
        <v>0</v>
      </c>
      <c r="N56" s="85">
        <f>'дод 3'!O102</f>
        <v>0</v>
      </c>
      <c r="O56" s="85">
        <f>'дод 3'!P102</f>
        <v>2228400</v>
      </c>
      <c r="P56" s="160"/>
      <c r="Q56" s="155"/>
    </row>
    <row r="57" spans="1:17" ht="52.5" customHeight="1" x14ac:dyDescent="0.45">
      <c r="A57" s="22" t="s">
        <v>443</v>
      </c>
      <c r="B57" s="22" t="s">
        <v>53</v>
      </c>
      <c r="C57" s="24" t="s">
        <v>606</v>
      </c>
      <c r="D57" s="84">
        <f>'дод 3'!E103</f>
        <v>20154300</v>
      </c>
      <c r="E57" s="84">
        <f>'дод 3'!F103</f>
        <v>20154300</v>
      </c>
      <c r="F57" s="84">
        <f>'дод 3'!G103</f>
        <v>16520000</v>
      </c>
      <c r="G57" s="84">
        <f>'дод 3'!H103</f>
        <v>0</v>
      </c>
      <c r="H57" s="84">
        <f>'дод 3'!I103</f>
        <v>0</v>
      </c>
      <c r="I57" s="84">
        <f>'дод 3'!J103</f>
        <v>0</v>
      </c>
      <c r="J57" s="84">
        <f>'дод 3'!K103</f>
        <v>0</v>
      </c>
      <c r="K57" s="84">
        <f>'дод 3'!L103</f>
        <v>0</v>
      </c>
      <c r="L57" s="84">
        <f>'дод 3'!M103</f>
        <v>0</v>
      </c>
      <c r="M57" s="84">
        <f>'дод 3'!N103</f>
        <v>0</v>
      </c>
      <c r="N57" s="84">
        <f>'дод 3'!O103</f>
        <v>0</v>
      </c>
      <c r="O57" s="84">
        <f>'дод 3'!P103</f>
        <v>20154300</v>
      </c>
      <c r="P57" s="160"/>
      <c r="Q57" s="155"/>
    </row>
    <row r="58" spans="1:17" ht="31.5" customHeight="1" x14ac:dyDescent="0.45">
      <c r="A58" s="45"/>
      <c r="B58" s="45"/>
      <c r="C58" s="29" t="s">
        <v>375</v>
      </c>
      <c r="D58" s="85">
        <f>'дод 3'!E104</f>
        <v>20154300</v>
      </c>
      <c r="E58" s="85">
        <f>'дод 3'!F104</f>
        <v>20154300</v>
      </c>
      <c r="F58" s="85">
        <f>'дод 3'!G104</f>
        <v>16520000</v>
      </c>
      <c r="G58" s="85">
        <f>'дод 3'!H104</f>
        <v>0</v>
      </c>
      <c r="H58" s="85">
        <f>'дод 3'!I104</f>
        <v>0</v>
      </c>
      <c r="I58" s="85">
        <f>'дод 3'!J104</f>
        <v>0</v>
      </c>
      <c r="J58" s="85">
        <f>'дод 3'!K104</f>
        <v>0</v>
      </c>
      <c r="K58" s="85">
        <f>'дод 3'!L104</f>
        <v>0</v>
      </c>
      <c r="L58" s="85">
        <f>'дод 3'!M104</f>
        <v>0</v>
      </c>
      <c r="M58" s="85">
        <f>'дод 3'!N104</f>
        <v>0</v>
      </c>
      <c r="N58" s="85">
        <f>'дод 3'!O104</f>
        <v>0</v>
      </c>
      <c r="O58" s="85">
        <f>'дод 3'!P104</f>
        <v>20154300</v>
      </c>
      <c r="P58" s="160"/>
      <c r="Q58" s="155"/>
    </row>
    <row r="59" spans="1:17" ht="69.400000000000006" customHeight="1" x14ac:dyDescent="0.45">
      <c r="A59" s="45">
        <v>1035</v>
      </c>
      <c r="B59" s="45" t="s">
        <v>53</v>
      </c>
      <c r="C59" s="24" t="s">
        <v>607</v>
      </c>
      <c r="D59" s="84">
        <f>'дод 3'!E105</f>
        <v>1773800</v>
      </c>
      <c r="E59" s="84">
        <f>'дод 3'!F105</f>
        <v>1773800</v>
      </c>
      <c r="F59" s="84">
        <f>'дод 3'!G105</f>
        <v>1454000</v>
      </c>
      <c r="G59" s="84">
        <f>'дод 3'!H105</f>
        <v>0</v>
      </c>
      <c r="H59" s="84">
        <f>'дод 3'!I105</f>
        <v>0</v>
      </c>
      <c r="I59" s="84">
        <f>'дод 3'!J105</f>
        <v>0</v>
      </c>
      <c r="J59" s="84">
        <f>'дод 3'!K105</f>
        <v>0</v>
      </c>
      <c r="K59" s="84">
        <f>'дод 3'!L105</f>
        <v>0</v>
      </c>
      <c r="L59" s="84">
        <f>'дод 3'!M105</f>
        <v>0</v>
      </c>
      <c r="M59" s="84">
        <f>'дод 3'!N105</f>
        <v>0</v>
      </c>
      <c r="N59" s="84">
        <f>'дод 3'!O105</f>
        <v>0</v>
      </c>
      <c r="O59" s="84">
        <f>'дод 3'!P105</f>
        <v>1773800</v>
      </c>
      <c r="P59" s="160"/>
      <c r="Q59" s="155"/>
    </row>
    <row r="60" spans="1:17" ht="31.5" customHeight="1" x14ac:dyDescent="0.45">
      <c r="A60" s="45"/>
      <c r="B60" s="45"/>
      <c r="C60" s="29" t="s">
        <v>375</v>
      </c>
      <c r="D60" s="85">
        <f>'дод 3'!E106</f>
        <v>1773800</v>
      </c>
      <c r="E60" s="85">
        <f>'дод 3'!F106</f>
        <v>1773800</v>
      </c>
      <c r="F60" s="85">
        <f>'дод 3'!G106</f>
        <v>1454000</v>
      </c>
      <c r="G60" s="85">
        <f>'дод 3'!H106</f>
        <v>0</v>
      </c>
      <c r="H60" s="85">
        <f>'дод 3'!I106</f>
        <v>0</v>
      </c>
      <c r="I60" s="85">
        <f>'дод 3'!J106</f>
        <v>0</v>
      </c>
      <c r="J60" s="85">
        <f>'дод 3'!K106</f>
        <v>0</v>
      </c>
      <c r="K60" s="85">
        <f>'дод 3'!L106</f>
        <v>0</v>
      </c>
      <c r="L60" s="85">
        <f>'дод 3'!M106</f>
        <v>0</v>
      </c>
      <c r="M60" s="85">
        <f>'дод 3'!N106</f>
        <v>0</v>
      </c>
      <c r="N60" s="85">
        <f>'дод 3'!O106</f>
        <v>0</v>
      </c>
      <c r="O60" s="85">
        <f>'дод 3'!P106</f>
        <v>1773800</v>
      </c>
      <c r="P60" s="160"/>
      <c r="Q60" s="155"/>
    </row>
    <row r="61" spans="1:17" ht="31.5" customHeight="1" x14ac:dyDescent="0.45">
      <c r="A61" s="45">
        <v>1061</v>
      </c>
      <c r="B61" s="22" t="s">
        <v>49</v>
      </c>
      <c r="C61" s="24" t="s">
        <v>484</v>
      </c>
      <c r="D61" s="84">
        <f>'дод 3'!E107</f>
        <v>351767.89</v>
      </c>
      <c r="E61" s="84">
        <f>'дод 3'!F107</f>
        <v>351767.89</v>
      </c>
      <c r="F61" s="84">
        <f>'дод 3'!G107</f>
        <v>290000</v>
      </c>
      <c r="G61" s="84">
        <f>'дод 3'!H107</f>
        <v>0</v>
      </c>
      <c r="H61" s="84">
        <f>'дод 3'!I107</f>
        <v>0</v>
      </c>
      <c r="I61" s="84">
        <f>'дод 3'!J107</f>
        <v>0</v>
      </c>
      <c r="J61" s="84">
        <f>'дод 3'!K107</f>
        <v>0</v>
      </c>
      <c r="K61" s="84">
        <f>'дод 3'!L107</f>
        <v>0</v>
      </c>
      <c r="L61" s="84">
        <f>'дод 3'!M107</f>
        <v>0</v>
      </c>
      <c r="M61" s="84">
        <f>'дод 3'!N107</f>
        <v>0</v>
      </c>
      <c r="N61" s="84">
        <f>'дод 3'!O107</f>
        <v>0</v>
      </c>
      <c r="O61" s="84">
        <f>'дод 3'!P107</f>
        <v>351767.89</v>
      </c>
      <c r="P61" s="160"/>
      <c r="Q61" s="155"/>
    </row>
    <row r="62" spans="1:17" ht="47.25" hidden="1" customHeight="1" x14ac:dyDescent="0.45">
      <c r="A62" s="45"/>
      <c r="B62" s="22"/>
      <c r="C62" s="29" t="s">
        <v>494</v>
      </c>
      <c r="D62" s="85">
        <f>'дод 3'!E108</f>
        <v>0</v>
      </c>
      <c r="E62" s="85">
        <f>'дод 3'!F108</f>
        <v>0</v>
      </c>
      <c r="F62" s="85">
        <f>'дод 3'!G108</f>
        <v>0</v>
      </c>
      <c r="G62" s="85">
        <f>'дод 3'!H108</f>
        <v>0</v>
      </c>
      <c r="H62" s="85">
        <f>'дод 3'!I108</f>
        <v>0</v>
      </c>
      <c r="I62" s="85">
        <f>'дод 3'!J108</f>
        <v>0</v>
      </c>
      <c r="J62" s="85">
        <f>'дод 3'!K108</f>
        <v>0</v>
      </c>
      <c r="K62" s="85">
        <f>'дод 3'!L108</f>
        <v>0</v>
      </c>
      <c r="L62" s="85">
        <f>'дод 3'!M108</f>
        <v>0</v>
      </c>
      <c r="M62" s="85">
        <f>'дод 3'!N108</f>
        <v>0</v>
      </c>
      <c r="N62" s="85">
        <f>'дод 3'!O108</f>
        <v>0</v>
      </c>
      <c r="O62" s="85">
        <f>'дод 3'!P108</f>
        <v>0</v>
      </c>
      <c r="P62" s="160"/>
      <c r="Q62" s="155"/>
    </row>
    <row r="63" spans="1:17" s="87" customFormat="1" ht="31.5" customHeight="1" x14ac:dyDescent="0.45">
      <c r="A63" s="86"/>
      <c r="B63" s="27"/>
      <c r="C63" s="29" t="s">
        <v>491</v>
      </c>
      <c r="D63" s="85">
        <f>'дод 3'!E109</f>
        <v>351767.89</v>
      </c>
      <c r="E63" s="85">
        <f>'дод 3'!F109</f>
        <v>351767.89</v>
      </c>
      <c r="F63" s="85">
        <f>'дод 3'!G109</f>
        <v>290000</v>
      </c>
      <c r="G63" s="85">
        <f>'дод 3'!H109</f>
        <v>0</v>
      </c>
      <c r="H63" s="85">
        <f>'дод 3'!I109</f>
        <v>0</v>
      </c>
      <c r="I63" s="85">
        <f>'дод 3'!J109</f>
        <v>0</v>
      </c>
      <c r="J63" s="85">
        <f>'дод 3'!K109</f>
        <v>0</v>
      </c>
      <c r="K63" s="85">
        <f>'дод 3'!L109</f>
        <v>0</v>
      </c>
      <c r="L63" s="85">
        <f>'дод 3'!M109</f>
        <v>0</v>
      </c>
      <c r="M63" s="85">
        <f>'дод 3'!N109</f>
        <v>0</v>
      </c>
      <c r="N63" s="85">
        <f>'дод 3'!O109</f>
        <v>0</v>
      </c>
      <c r="O63" s="85">
        <f>'дод 3'!P109</f>
        <v>351767.89</v>
      </c>
      <c r="P63" s="160"/>
      <c r="Q63" s="155"/>
    </row>
    <row r="64" spans="1:17" s="87" customFormat="1" ht="63" hidden="1" customHeight="1" x14ac:dyDescent="0.45">
      <c r="A64" s="45">
        <v>1062</v>
      </c>
      <c r="B64" s="22" t="s">
        <v>53</v>
      </c>
      <c r="C64" s="24" t="s">
        <v>469</v>
      </c>
      <c r="D64" s="84">
        <f>'дод 3'!E110</f>
        <v>0</v>
      </c>
      <c r="E64" s="84">
        <f>'дод 3'!F110</f>
        <v>0</v>
      </c>
      <c r="F64" s="84">
        <f>'дод 3'!G110</f>
        <v>0</v>
      </c>
      <c r="G64" s="84">
        <f>'дод 3'!H110</f>
        <v>0</v>
      </c>
      <c r="H64" s="84">
        <f>'дод 3'!I110</f>
        <v>0</v>
      </c>
      <c r="I64" s="84">
        <f>'дод 3'!J110</f>
        <v>0</v>
      </c>
      <c r="J64" s="84">
        <f>'дод 3'!K110</f>
        <v>0</v>
      </c>
      <c r="K64" s="84">
        <f>'дод 3'!L110</f>
        <v>0</v>
      </c>
      <c r="L64" s="84">
        <f>'дод 3'!M110</f>
        <v>0</v>
      </c>
      <c r="M64" s="84">
        <f>'дод 3'!N110</f>
        <v>0</v>
      </c>
      <c r="N64" s="84">
        <f>'дод 3'!O110</f>
        <v>0</v>
      </c>
      <c r="O64" s="84">
        <f>'дод 3'!P110</f>
        <v>0</v>
      </c>
      <c r="P64" s="160"/>
      <c r="Q64" s="155"/>
    </row>
    <row r="65" spans="1:17" s="87" customFormat="1" ht="31.5" hidden="1" customHeight="1" x14ac:dyDescent="0.45">
      <c r="A65" s="86"/>
      <c r="B65" s="27"/>
      <c r="C65" s="29" t="str">
        <f>'дод 3'!D111</f>
        <v>залишку коштів освітньої субвенції , що утворився на початок бюджетного періоду</v>
      </c>
      <c r="D65" s="85">
        <f>'дод 3'!E111</f>
        <v>0</v>
      </c>
      <c r="E65" s="85">
        <f>'дод 3'!F111</f>
        <v>0</v>
      </c>
      <c r="F65" s="85">
        <f>'дод 3'!G111</f>
        <v>0</v>
      </c>
      <c r="G65" s="85">
        <f>'дод 3'!H111</f>
        <v>0</v>
      </c>
      <c r="H65" s="85">
        <f>'дод 3'!I111</f>
        <v>0</v>
      </c>
      <c r="I65" s="85">
        <f>'дод 3'!J111</f>
        <v>0</v>
      </c>
      <c r="J65" s="85">
        <f>'дод 3'!K111</f>
        <v>0</v>
      </c>
      <c r="K65" s="85">
        <f>'дод 3'!L111</f>
        <v>0</v>
      </c>
      <c r="L65" s="85">
        <f>'дод 3'!M111</f>
        <v>0</v>
      </c>
      <c r="M65" s="85">
        <f>'дод 3'!N111</f>
        <v>0</v>
      </c>
      <c r="N65" s="85">
        <f>'дод 3'!O111</f>
        <v>0</v>
      </c>
      <c r="O65" s="85">
        <f>'дод 3'!P111</f>
        <v>0</v>
      </c>
      <c r="P65" s="160"/>
      <c r="Q65" s="155"/>
    </row>
    <row r="66" spans="1:17" s="87" customFormat="1" ht="38.25" customHeight="1" x14ac:dyDescent="0.45">
      <c r="A66" s="22" t="s">
        <v>52</v>
      </c>
      <c r="B66" s="22" t="s">
        <v>55</v>
      </c>
      <c r="C66" s="24" t="s">
        <v>351</v>
      </c>
      <c r="D66" s="84">
        <f>'дод 3'!E112</f>
        <v>47641500</v>
      </c>
      <c r="E66" s="84">
        <f>'дод 3'!F112</f>
        <v>47641500</v>
      </c>
      <c r="F66" s="84">
        <f>'дод 3'!G112</f>
        <v>33130200</v>
      </c>
      <c r="G66" s="84">
        <f>'дод 3'!H112</f>
        <v>6479900</v>
      </c>
      <c r="H66" s="84">
        <f>'дод 3'!I112</f>
        <v>0</v>
      </c>
      <c r="I66" s="84">
        <f>'дод 3'!J112</f>
        <v>4042440</v>
      </c>
      <c r="J66" s="84">
        <f>'дод 3'!K112</f>
        <v>4042440</v>
      </c>
      <c r="K66" s="84">
        <f>'дод 3'!L112</f>
        <v>0</v>
      </c>
      <c r="L66" s="84">
        <f>'дод 3'!M112</f>
        <v>0</v>
      </c>
      <c r="M66" s="84">
        <f>'дод 3'!N112</f>
        <v>0</v>
      </c>
      <c r="N66" s="84">
        <f>'дод 3'!O112</f>
        <v>4042440</v>
      </c>
      <c r="O66" s="84">
        <f>'дод 3'!P112</f>
        <v>51683940</v>
      </c>
      <c r="P66" s="160"/>
      <c r="Q66" s="155"/>
    </row>
    <row r="67" spans="1:17" s="87" customFormat="1" ht="30" customHeight="1" x14ac:dyDescent="0.45">
      <c r="A67" s="23">
        <v>1080</v>
      </c>
      <c r="B67" s="22" t="s">
        <v>55</v>
      </c>
      <c r="C67" s="24" t="s">
        <v>531</v>
      </c>
      <c r="D67" s="84">
        <f>'дод 3'!E285</f>
        <v>58830500</v>
      </c>
      <c r="E67" s="84">
        <f>'дод 3'!F285</f>
        <v>58830500</v>
      </c>
      <c r="F67" s="84">
        <f>'дод 3'!G285</f>
        <v>45963100</v>
      </c>
      <c r="G67" s="84">
        <f>'дод 3'!H285</f>
        <v>1589300</v>
      </c>
      <c r="H67" s="84">
        <f>'дод 3'!I285</f>
        <v>0</v>
      </c>
      <c r="I67" s="84">
        <f>'дод 3'!J285</f>
        <v>3692735</v>
      </c>
      <c r="J67" s="84">
        <f>'дод 3'!K285</f>
        <v>0</v>
      </c>
      <c r="K67" s="84">
        <f>'дод 3'!L285</f>
        <v>3690535</v>
      </c>
      <c r="L67" s="84">
        <f>'дод 3'!M285</f>
        <v>3020273</v>
      </c>
      <c r="M67" s="84">
        <f>'дод 3'!N285</f>
        <v>0</v>
      </c>
      <c r="N67" s="84">
        <f>'дод 3'!O285</f>
        <v>2200</v>
      </c>
      <c r="O67" s="84">
        <f>'дод 3'!P285</f>
        <v>62523235</v>
      </c>
      <c r="P67" s="160"/>
      <c r="Q67" s="155"/>
    </row>
    <row r="68" spans="1:17" s="87" customFormat="1" ht="54.4" customHeight="1" x14ac:dyDescent="0.45">
      <c r="A68" s="23">
        <v>1091</v>
      </c>
      <c r="B68" s="22" t="s">
        <v>549</v>
      </c>
      <c r="C68" s="24" t="s">
        <v>705</v>
      </c>
      <c r="D68" s="84">
        <f>'дод 3'!E113</f>
        <v>160316700</v>
      </c>
      <c r="E68" s="84">
        <f>'дод 3'!F113</f>
        <v>160316700</v>
      </c>
      <c r="F68" s="84">
        <f>'дод 3'!G113</f>
        <v>85326494</v>
      </c>
      <c r="G68" s="84">
        <f>'дод 3'!H113</f>
        <v>20871665</v>
      </c>
      <c r="H68" s="84">
        <f>'дод 3'!I113</f>
        <v>0</v>
      </c>
      <c r="I68" s="84">
        <f>'дод 3'!J113</f>
        <v>51702725</v>
      </c>
      <c r="J68" s="84">
        <f>'дод 3'!K113</f>
        <v>37122000</v>
      </c>
      <c r="K68" s="84">
        <f>'дод 3'!L113</f>
        <v>14430725</v>
      </c>
      <c r="L68" s="84">
        <f>'дод 3'!M113</f>
        <v>4542152</v>
      </c>
      <c r="M68" s="84">
        <f>'дод 3'!N113</f>
        <v>5317700</v>
      </c>
      <c r="N68" s="84">
        <f>'дод 3'!O113</f>
        <v>37272000</v>
      </c>
      <c r="O68" s="84">
        <f>'дод 3'!P113</f>
        <v>212019425</v>
      </c>
      <c r="P68" s="160"/>
      <c r="Q68" s="155"/>
    </row>
    <row r="69" spans="1:17" s="87" customFormat="1" ht="76.900000000000006" x14ac:dyDescent="0.45">
      <c r="A69" s="28"/>
      <c r="B69" s="27"/>
      <c r="C69" s="29" t="s">
        <v>619</v>
      </c>
      <c r="D69" s="85">
        <f>'дод 3'!E114</f>
        <v>0</v>
      </c>
      <c r="E69" s="85">
        <f>'дод 3'!F114</f>
        <v>0</v>
      </c>
      <c r="F69" s="85">
        <f>'дод 3'!G114</f>
        <v>0</v>
      </c>
      <c r="G69" s="85">
        <f>'дод 3'!H114</f>
        <v>0</v>
      </c>
      <c r="H69" s="85">
        <f>'дод 3'!I114</f>
        <v>0</v>
      </c>
      <c r="I69" s="85">
        <f>'дод 3'!J114</f>
        <v>37122000</v>
      </c>
      <c r="J69" s="85">
        <f>'дод 3'!K114</f>
        <v>37122000</v>
      </c>
      <c r="K69" s="85">
        <f>'дод 3'!L114</f>
        <v>0</v>
      </c>
      <c r="L69" s="85">
        <f>'дод 3'!M114</f>
        <v>0</v>
      </c>
      <c r="M69" s="85">
        <f>'дод 3'!N114</f>
        <v>0</v>
      </c>
      <c r="N69" s="85">
        <f>'дод 3'!O114</f>
        <v>37122000</v>
      </c>
      <c r="O69" s="85">
        <f>'дод 3'!P114</f>
        <v>37122000</v>
      </c>
      <c r="P69" s="160">
        <v>3</v>
      </c>
      <c r="Q69" s="155"/>
    </row>
    <row r="70" spans="1:17" s="87" customFormat="1" ht="45.75" customHeight="1" x14ac:dyDescent="0.45">
      <c r="A70" s="23">
        <v>1092</v>
      </c>
      <c r="B70" s="22" t="s">
        <v>549</v>
      </c>
      <c r="C70" s="24" t="s">
        <v>551</v>
      </c>
      <c r="D70" s="84">
        <f>'дод 3'!E115</f>
        <v>22978300</v>
      </c>
      <c r="E70" s="84">
        <f>'дод 3'!F115</f>
        <v>22978300</v>
      </c>
      <c r="F70" s="84">
        <f>'дод 3'!G115</f>
        <v>18834600</v>
      </c>
      <c r="G70" s="84">
        <f>'дод 3'!H115</f>
        <v>0</v>
      </c>
      <c r="H70" s="84">
        <f>'дод 3'!I115</f>
        <v>0</v>
      </c>
      <c r="I70" s="84">
        <f>'дод 3'!J115</f>
        <v>0</v>
      </c>
      <c r="J70" s="84">
        <f>'дод 3'!K115</f>
        <v>0</v>
      </c>
      <c r="K70" s="84">
        <f>'дод 3'!L115</f>
        <v>0</v>
      </c>
      <c r="L70" s="84">
        <f>'дод 3'!M115</f>
        <v>0</v>
      </c>
      <c r="M70" s="84">
        <f>'дод 3'!N115</f>
        <v>0</v>
      </c>
      <c r="N70" s="84">
        <f>'дод 3'!O115</f>
        <v>0</v>
      </c>
      <c r="O70" s="84">
        <f>'дод 3'!P115</f>
        <v>22978300</v>
      </c>
      <c r="P70" s="160"/>
      <c r="Q70" s="155"/>
    </row>
    <row r="71" spans="1:17" s="87" customFormat="1" ht="31.5" customHeight="1" x14ac:dyDescent="0.45">
      <c r="A71" s="28"/>
      <c r="B71" s="27"/>
      <c r="C71" s="29" t="s">
        <v>375</v>
      </c>
      <c r="D71" s="85">
        <f>'дод 3'!E116</f>
        <v>22978300</v>
      </c>
      <c r="E71" s="85">
        <f>'дод 3'!F116</f>
        <v>22978300</v>
      </c>
      <c r="F71" s="85">
        <f>'дод 3'!G116</f>
        <v>18834600</v>
      </c>
      <c r="G71" s="85">
        <f>'дод 3'!H116</f>
        <v>0</v>
      </c>
      <c r="H71" s="85">
        <f>'дод 3'!I116</f>
        <v>0</v>
      </c>
      <c r="I71" s="85">
        <f>'дод 3'!J116</f>
        <v>0</v>
      </c>
      <c r="J71" s="85">
        <f>'дод 3'!K116</f>
        <v>0</v>
      </c>
      <c r="K71" s="85">
        <f>'дод 3'!L116</f>
        <v>0</v>
      </c>
      <c r="L71" s="85">
        <f>'дод 3'!M116</f>
        <v>0</v>
      </c>
      <c r="M71" s="85">
        <f>'дод 3'!N116</f>
        <v>0</v>
      </c>
      <c r="N71" s="85">
        <f>'дод 3'!O116</f>
        <v>0</v>
      </c>
      <c r="O71" s="85">
        <f>'дод 3'!P116</f>
        <v>22978300</v>
      </c>
      <c r="P71" s="160"/>
      <c r="Q71" s="155"/>
    </row>
    <row r="72" spans="1:17" s="87" customFormat="1" ht="91.9" customHeight="1" x14ac:dyDescent="0.45">
      <c r="A72" s="23">
        <v>1094</v>
      </c>
      <c r="B72" s="22" t="s">
        <v>549</v>
      </c>
      <c r="C72" s="24" t="s">
        <v>694</v>
      </c>
      <c r="D72" s="84">
        <f>'дод 3'!E117</f>
        <v>0</v>
      </c>
      <c r="E72" s="84">
        <f>'дод 3'!F117</f>
        <v>0</v>
      </c>
      <c r="F72" s="84">
        <f>'дод 3'!G117</f>
        <v>0</v>
      </c>
      <c r="G72" s="84">
        <f>'дод 3'!H117</f>
        <v>0</v>
      </c>
      <c r="H72" s="84">
        <f>'дод 3'!I117</f>
        <v>0</v>
      </c>
      <c r="I72" s="84">
        <f>'дод 3'!J117</f>
        <v>7819500</v>
      </c>
      <c r="J72" s="84">
        <f>'дод 3'!K117</f>
        <v>7819500</v>
      </c>
      <c r="K72" s="84">
        <f>'дод 3'!L117</f>
        <v>0</v>
      </c>
      <c r="L72" s="84">
        <f>'дод 3'!M117</f>
        <v>0</v>
      </c>
      <c r="M72" s="84">
        <f>'дод 3'!N117</f>
        <v>0</v>
      </c>
      <c r="N72" s="84">
        <f>'дод 3'!O117</f>
        <v>7819500</v>
      </c>
      <c r="O72" s="84">
        <f>'дод 3'!P117</f>
        <v>7819500</v>
      </c>
      <c r="P72" s="160"/>
      <c r="Q72" s="155"/>
    </row>
    <row r="73" spans="1:17" s="87" customFormat="1" ht="38.25" customHeight="1" x14ac:dyDescent="0.45">
      <c r="A73" s="28"/>
      <c r="B73" s="27"/>
      <c r="C73" s="29" t="s">
        <v>494</v>
      </c>
      <c r="D73" s="85">
        <f>'дод 3'!E118</f>
        <v>0</v>
      </c>
      <c r="E73" s="85">
        <f>'дод 3'!F118</f>
        <v>0</v>
      </c>
      <c r="F73" s="85">
        <f>'дод 3'!G118</f>
        <v>0</v>
      </c>
      <c r="G73" s="85">
        <f>'дод 3'!H118</f>
        <v>0</v>
      </c>
      <c r="H73" s="85">
        <f>'дод 3'!I118</f>
        <v>0</v>
      </c>
      <c r="I73" s="85">
        <f>'дод 3'!J118</f>
        <v>7819500</v>
      </c>
      <c r="J73" s="85">
        <f>'дод 3'!K118</f>
        <v>7819500</v>
      </c>
      <c r="K73" s="85">
        <f>'дод 3'!L118</f>
        <v>0</v>
      </c>
      <c r="L73" s="85">
        <f>'дод 3'!M118</f>
        <v>0</v>
      </c>
      <c r="M73" s="85">
        <f>'дод 3'!N118</f>
        <v>0</v>
      </c>
      <c r="N73" s="85">
        <f>'дод 3'!O118</f>
        <v>7819500</v>
      </c>
      <c r="O73" s="85">
        <f>'дод 3'!P118</f>
        <v>7819500</v>
      </c>
      <c r="P73" s="160"/>
      <c r="Q73" s="155"/>
    </row>
    <row r="74" spans="1:17" s="87" customFormat="1" ht="24.75" customHeight="1" x14ac:dyDescent="0.45">
      <c r="A74" s="22" t="s">
        <v>446</v>
      </c>
      <c r="B74" s="22" t="s">
        <v>56</v>
      </c>
      <c r="C74" s="24" t="s">
        <v>472</v>
      </c>
      <c r="D74" s="84">
        <f>'дод 3'!E119</f>
        <v>13487200</v>
      </c>
      <c r="E74" s="84">
        <f>'дод 3'!F119</f>
        <v>13487200</v>
      </c>
      <c r="F74" s="84">
        <f>'дод 3'!G119</f>
        <v>9412000</v>
      </c>
      <c r="G74" s="84">
        <f>'дод 3'!H119</f>
        <v>1300700</v>
      </c>
      <c r="H74" s="84">
        <f>'дод 3'!I119</f>
        <v>0</v>
      </c>
      <c r="I74" s="84">
        <f>'дод 3'!J119</f>
        <v>0</v>
      </c>
      <c r="J74" s="84">
        <f>'дод 3'!K119</f>
        <v>0</v>
      </c>
      <c r="K74" s="84">
        <f>'дод 3'!L119</f>
        <v>0</v>
      </c>
      <c r="L74" s="84">
        <f>'дод 3'!M119</f>
        <v>0</v>
      </c>
      <c r="M74" s="84">
        <f>'дод 3'!N119</f>
        <v>0</v>
      </c>
      <c r="N74" s="84">
        <f>'дод 3'!O119</f>
        <v>0</v>
      </c>
      <c r="O74" s="84">
        <f>'дод 3'!P119</f>
        <v>13487200</v>
      </c>
      <c r="P74" s="160"/>
      <c r="Q74" s="155"/>
    </row>
    <row r="75" spans="1:17" ht="24" customHeight="1" x14ac:dyDescent="0.45">
      <c r="A75" s="22" t="s">
        <v>448</v>
      </c>
      <c r="B75" s="22" t="s">
        <v>56</v>
      </c>
      <c r="C75" s="24" t="s">
        <v>272</v>
      </c>
      <c r="D75" s="84">
        <f>'дод 3'!E120</f>
        <v>134000</v>
      </c>
      <c r="E75" s="84">
        <f>'дод 3'!F120</f>
        <v>134000</v>
      </c>
      <c r="F75" s="84">
        <f>'дод 3'!G120</f>
        <v>0</v>
      </c>
      <c r="G75" s="84">
        <f>'дод 3'!H120</f>
        <v>0</v>
      </c>
      <c r="H75" s="84">
        <f>'дод 3'!I120</f>
        <v>0</v>
      </c>
      <c r="I75" s="84">
        <f>'дод 3'!J120</f>
        <v>0</v>
      </c>
      <c r="J75" s="84">
        <f>'дод 3'!K120</f>
        <v>0</v>
      </c>
      <c r="K75" s="84">
        <f>'дод 3'!L120</f>
        <v>0</v>
      </c>
      <c r="L75" s="84">
        <f>'дод 3'!M120</f>
        <v>0</v>
      </c>
      <c r="M75" s="84">
        <f>'дод 3'!N120</f>
        <v>0</v>
      </c>
      <c r="N75" s="84">
        <f>'дод 3'!O120</f>
        <v>0</v>
      </c>
      <c r="O75" s="84">
        <f>'дод 3'!P120</f>
        <v>134000</v>
      </c>
      <c r="P75" s="160"/>
      <c r="Q75" s="155"/>
    </row>
    <row r="76" spans="1:17" ht="30.75" x14ac:dyDescent="0.45">
      <c r="A76" s="22" t="s">
        <v>450</v>
      </c>
      <c r="B76" s="22" t="s">
        <v>56</v>
      </c>
      <c r="C76" s="24" t="s">
        <v>451</v>
      </c>
      <c r="D76" s="84">
        <f>'дод 3'!E121</f>
        <v>174700</v>
      </c>
      <c r="E76" s="84">
        <f>'дод 3'!F121</f>
        <v>174700</v>
      </c>
      <c r="F76" s="84">
        <f>'дод 3'!G121</f>
        <v>0</v>
      </c>
      <c r="G76" s="84">
        <f>'дод 3'!H121</f>
        <v>122400</v>
      </c>
      <c r="H76" s="84">
        <f>'дод 3'!I121</f>
        <v>0</v>
      </c>
      <c r="I76" s="84">
        <f>'дод 3'!J121</f>
        <v>0</v>
      </c>
      <c r="J76" s="84">
        <f>'дод 3'!K121</f>
        <v>0</v>
      </c>
      <c r="K76" s="84">
        <f>'дод 3'!L121</f>
        <v>0</v>
      </c>
      <c r="L76" s="84">
        <f>'дод 3'!M121</f>
        <v>0</v>
      </c>
      <c r="M76" s="84">
        <f>'дод 3'!N121</f>
        <v>0</v>
      </c>
      <c r="N76" s="84">
        <f>'дод 3'!O121</f>
        <v>0</v>
      </c>
      <c r="O76" s="84">
        <f>'дод 3'!P121</f>
        <v>174700</v>
      </c>
      <c r="P76" s="160"/>
      <c r="Q76" s="155"/>
    </row>
    <row r="77" spans="1:17" ht="45" customHeight="1" x14ac:dyDescent="0.45">
      <c r="A77" s="22" t="s">
        <v>453</v>
      </c>
      <c r="B77" s="22" t="s">
        <v>56</v>
      </c>
      <c r="C77" s="24" t="s">
        <v>473</v>
      </c>
      <c r="D77" s="84">
        <f>'дод 3'!E122</f>
        <v>2091775</v>
      </c>
      <c r="E77" s="84">
        <f>'дод 3'!F122</f>
        <v>2091775</v>
      </c>
      <c r="F77" s="84">
        <f>'дод 3'!G122</f>
        <v>1714570</v>
      </c>
      <c r="G77" s="84">
        <f>'дод 3'!H122</f>
        <v>0</v>
      </c>
      <c r="H77" s="84">
        <f>'дод 3'!I122</f>
        <v>0</v>
      </c>
      <c r="I77" s="84">
        <f>'дод 3'!J122</f>
        <v>0</v>
      </c>
      <c r="J77" s="84">
        <f>'дод 3'!K122</f>
        <v>0</v>
      </c>
      <c r="K77" s="84">
        <f>'дод 3'!L122</f>
        <v>0</v>
      </c>
      <c r="L77" s="84">
        <f>'дод 3'!M122</f>
        <v>0</v>
      </c>
      <c r="M77" s="84">
        <f>'дод 3'!N122</f>
        <v>0</v>
      </c>
      <c r="N77" s="84">
        <f>'дод 3'!O122</f>
        <v>0</v>
      </c>
      <c r="O77" s="84">
        <f>'дод 3'!P122</f>
        <v>2091775</v>
      </c>
      <c r="P77" s="160"/>
      <c r="Q77" s="155"/>
    </row>
    <row r="78" spans="1:17" ht="39" customHeight="1" x14ac:dyDescent="0.45">
      <c r="A78" s="45"/>
      <c r="B78" s="45"/>
      <c r="C78" s="29" t="s">
        <v>370</v>
      </c>
      <c r="D78" s="85">
        <f>'дод 3'!E123</f>
        <v>2091775</v>
      </c>
      <c r="E78" s="85">
        <f>'дод 3'!F123</f>
        <v>2091775</v>
      </c>
      <c r="F78" s="85">
        <f>'дод 3'!G123</f>
        <v>1714570</v>
      </c>
      <c r="G78" s="85">
        <f>'дод 3'!H123</f>
        <v>0</v>
      </c>
      <c r="H78" s="85">
        <f>'дод 3'!I123</f>
        <v>0</v>
      </c>
      <c r="I78" s="85">
        <f>'дод 3'!J123</f>
        <v>0</v>
      </c>
      <c r="J78" s="85">
        <f>'дод 3'!K123</f>
        <v>0</v>
      </c>
      <c r="K78" s="85">
        <f>'дод 3'!L123</f>
        <v>0</v>
      </c>
      <c r="L78" s="85">
        <f>'дод 3'!M123</f>
        <v>0</v>
      </c>
      <c r="M78" s="85">
        <f>'дод 3'!N123</f>
        <v>0</v>
      </c>
      <c r="N78" s="85">
        <f>'дод 3'!O123</f>
        <v>0</v>
      </c>
      <c r="O78" s="85">
        <f>'дод 3'!P123</f>
        <v>2091775</v>
      </c>
      <c r="P78" s="160"/>
      <c r="Q78" s="155"/>
    </row>
    <row r="79" spans="1:17" s="87" customFormat="1" ht="30.75" x14ac:dyDescent="0.45">
      <c r="A79" s="22" t="s">
        <v>455</v>
      </c>
      <c r="B79" s="22" t="str">
        <f>'дод 7'!A16</f>
        <v>0160</v>
      </c>
      <c r="C79" s="24" t="s">
        <v>456</v>
      </c>
      <c r="D79" s="84">
        <f>'дод 3'!E124</f>
        <v>3521300</v>
      </c>
      <c r="E79" s="84">
        <f>'дод 3'!F124</f>
        <v>3521300</v>
      </c>
      <c r="F79" s="84">
        <f>'дод 3'!G124</f>
        <v>2525000</v>
      </c>
      <c r="G79" s="84">
        <f>'дод 3'!H124</f>
        <v>303800</v>
      </c>
      <c r="H79" s="84">
        <f>'дод 3'!I124</f>
        <v>0</v>
      </c>
      <c r="I79" s="84">
        <f>'дод 3'!J124</f>
        <v>0</v>
      </c>
      <c r="J79" s="84">
        <f>'дод 3'!K124</f>
        <v>0</v>
      </c>
      <c r="K79" s="84">
        <f>'дод 3'!L124</f>
        <v>0</v>
      </c>
      <c r="L79" s="84">
        <f>'дод 3'!M124</f>
        <v>0</v>
      </c>
      <c r="M79" s="84">
        <f>'дод 3'!N124</f>
        <v>0</v>
      </c>
      <c r="N79" s="84">
        <f>'дод 3'!O124</f>
        <v>0</v>
      </c>
      <c r="O79" s="84">
        <f>'дод 3'!P124</f>
        <v>3521300</v>
      </c>
      <c r="P79" s="160"/>
      <c r="Q79" s="155"/>
    </row>
    <row r="80" spans="1:17" s="87" customFormat="1" ht="66" hidden="1" customHeight="1" x14ac:dyDescent="0.45">
      <c r="A80" s="22" t="s">
        <v>511</v>
      </c>
      <c r="B80" s="22" t="s">
        <v>56</v>
      </c>
      <c r="C80" s="24" t="s">
        <v>514</v>
      </c>
      <c r="D80" s="84">
        <f>'дод 3'!E125</f>
        <v>0</v>
      </c>
      <c r="E80" s="84">
        <f>'дод 3'!F125</f>
        <v>0</v>
      </c>
      <c r="F80" s="84">
        <f>'дод 3'!G125</f>
        <v>0</v>
      </c>
      <c r="G80" s="84">
        <f>'дод 3'!H125</f>
        <v>0</v>
      </c>
      <c r="H80" s="84">
        <f>'дод 3'!I125</f>
        <v>0</v>
      </c>
      <c r="I80" s="84">
        <f>'дод 3'!J125</f>
        <v>0</v>
      </c>
      <c r="J80" s="84">
        <f>'дод 3'!K125</f>
        <v>0</v>
      </c>
      <c r="K80" s="84">
        <f>'дод 3'!L125</f>
        <v>0</v>
      </c>
      <c r="L80" s="84">
        <f>'дод 3'!M125</f>
        <v>0</v>
      </c>
      <c r="M80" s="84">
        <f>'дод 3'!N125</f>
        <v>0</v>
      </c>
      <c r="N80" s="84">
        <f>'дод 3'!O125</f>
        <v>0</v>
      </c>
      <c r="O80" s="84">
        <f>'дод 3'!P125</f>
        <v>0</v>
      </c>
      <c r="P80" s="160"/>
      <c r="Q80" s="155"/>
    </row>
    <row r="81" spans="1:17" s="87" customFormat="1" ht="65.25" hidden="1" customHeight="1" x14ac:dyDescent="0.45">
      <c r="A81" s="22" t="s">
        <v>503</v>
      </c>
      <c r="B81" s="22" t="s">
        <v>56</v>
      </c>
      <c r="C81" s="24" t="s">
        <v>529</v>
      </c>
      <c r="D81" s="25">
        <f>'дод 3'!E126</f>
        <v>0</v>
      </c>
      <c r="E81" s="25">
        <f>'дод 3'!F126</f>
        <v>0</v>
      </c>
      <c r="F81" s="25">
        <f>'дод 3'!G126</f>
        <v>0</v>
      </c>
      <c r="G81" s="25">
        <f>'дод 3'!H126</f>
        <v>0</v>
      </c>
      <c r="H81" s="25">
        <f>'дод 3'!I126</f>
        <v>0</v>
      </c>
      <c r="I81" s="25">
        <f>'дод 3'!J126</f>
        <v>0</v>
      </c>
      <c r="J81" s="25">
        <f>'дод 3'!K126</f>
        <v>0</v>
      </c>
      <c r="K81" s="25">
        <f>'дод 3'!L126</f>
        <v>0</v>
      </c>
      <c r="L81" s="25">
        <f>'дод 3'!M126</f>
        <v>0</v>
      </c>
      <c r="M81" s="25">
        <f>'дод 3'!N126</f>
        <v>0</v>
      </c>
      <c r="N81" s="25">
        <f>'дод 3'!O126</f>
        <v>0</v>
      </c>
      <c r="O81" s="25">
        <f>'дод 3'!P126</f>
        <v>0</v>
      </c>
      <c r="P81" s="160"/>
      <c r="Q81" s="155"/>
    </row>
    <row r="82" spans="1:17" s="87" customFormat="1" ht="47.25" hidden="1" customHeight="1" x14ac:dyDescent="0.45">
      <c r="A82" s="27"/>
      <c r="B82" s="27"/>
      <c r="C82" s="29" t="s">
        <v>524</v>
      </c>
      <c r="D82" s="30">
        <f>'дод 3'!E127</f>
        <v>0</v>
      </c>
      <c r="E82" s="30">
        <f>'дод 3'!F127</f>
        <v>0</v>
      </c>
      <c r="F82" s="30">
        <f>'дод 3'!G127</f>
        <v>0</v>
      </c>
      <c r="G82" s="30">
        <f>'дод 3'!H127</f>
        <v>0</v>
      </c>
      <c r="H82" s="30">
        <f>'дод 3'!I127</f>
        <v>0</v>
      </c>
      <c r="I82" s="30">
        <f>'дод 3'!J127</f>
        <v>0</v>
      </c>
      <c r="J82" s="30">
        <f>'дод 3'!K127</f>
        <v>0</v>
      </c>
      <c r="K82" s="30">
        <f>'дод 3'!L127</f>
        <v>0</v>
      </c>
      <c r="L82" s="30">
        <f>'дод 3'!M127</f>
        <v>0</v>
      </c>
      <c r="M82" s="30">
        <f>'дод 3'!N127</f>
        <v>0</v>
      </c>
      <c r="N82" s="30">
        <f>'дод 3'!O127</f>
        <v>0</v>
      </c>
      <c r="O82" s="30">
        <f>'дод 3'!P127</f>
        <v>0</v>
      </c>
      <c r="P82" s="160"/>
      <c r="Q82" s="155"/>
    </row>
    <row r="83" spans="1:17" s="87" customFormat="1" ht="63" customHeight="1" x14ac:dyDescent="0.45">
      <c r="A83" s="22" t="s">
        <v>513</v>
      </c>
      <c r="B83" s="22" t="s">
        <v>56</v>
      </c>
      <c r="C83" s="24" t="s">
        <v>541</v>
      </c>
      <c r="D83" s="25">
        <f>'дод 3'!E128</f>
        <v>247457</v>
      </c>
      <c r="E83" s="25">
        <f>'дод 3'!F128</f>
        <v>247457</v>
      </c>
      <c r="F83" s="25">
        <f>'дод 3'!G128</f>
        <v>0</v>
      </c>
      <c r="G83" s="25">
        <f>'дод 3'!H128</f>
        <v>0</v>
      </c>
      <c r="H83" s="25">
        <f>'дод 3'!I128</f>
        <v>0</v>
      </c>
      <c r="I83" s="25">
        <f>'дод 3'!J128</f>
        <v>4353105</v>
      </c>
      <c r="J83" s="25">
        <f>'дод 3'!K128</f>
        <v>4353105</v>
      </c>
      <c r="K83" s="25">
        <f>'дод 3'!L128</f>
        <v>0</v>
      </c>
      <c r="L83" s="25">
        <f>'дод 3'!M128</f>
        <v>0</v>
      </c>
      <c r="M83" s="25">
        <f>'дод 3'!N128</f>
        <v>0</v>
      </c>
      <c r="N83" s="25">
        <f>'дод 3'!O128</f>
        <v>4353105</v>
      </c>
      <c r="O83" s="25">
        <f>'дод 3'!P128</f>
        <v>4600562</v>
      </c>
      <c r="P83" s="160"/>
      <c r="Q83" s="155"/>
    </row>
    <row r="84" spans="1:17" s="87" customFormat="1" ht="15.75" hidden="1" customHeight="1" x14ac:dyDescent="0.45">
      <c r="A84" s="27"/>
      <c r="B84" s="27"/>
      <c r="C84" s="29" t="s">
        <v>380</v>
      </c>
      <c r="D84" s="30">
        <f>'дод 3'!E129</f>
        <v>0</v>
      </c>
      <c r="E84" s="30">
        <f>'дод 3'!F129</f>
        <v>0</v>
      </c>
      <c r="F84" s="30">
        <f>'дод 3'!G129</f>
        <v>0</v>
      </c>
      <c r="G84" s="30">
        <f>'дод 3'!H129</f>
        <v>0</v>
      </c>
      <c r="H84" s="30">
        <f>'дод 3'!I129</f>
        <v>0</v>
      </c>
      <c r="I84" s="30">
        <f>'дод 3'!J129</f>
        <v>0</v>
      </c>
      <c r="J84" s="30">
        <f>'дод 3'!K129</f>
        <v>0</v>
      </c>
      <c r="K84" s="30">
        <f>'дод 3'!L129</f>
        <v>0</v>
      </c>
      <c r="L84" s="30">
        <f>'дод 3'!M129</f>
        <v>0</v>
      </c>
      <c r="M84" s="30">
        <f>'дод 3'!N129</f>
        <v>0</v>
      </c>
      <c r="N84" s="30">
        <f>'дод 3'!O129</f>
        <v>0</v>
      </c>
      <c r="O84" s="30">
        <f>'дод 3'!P129</f>
        <v>0</v>
      </c>
      <c r="P84" s="160"/>
      <c r="Q84" s="155"/>
    </row>
    <row r="85" spans="1:17" s="87" customFormat="1" ht="78.75" customHeight="1" x14ac:dyDescent="0.45">
      <c r="A85" s="22" t="s">
        <v>504</v>
      </c>
      <c r="B85" s="22" t="s">
        <v>56</v>
      </c>
      <c r="C85" s="24" t="s">
        <v>525</v>
      </c>
      <c r="D85" s="84">
        <f>'дод 3'!E130</f>
        <v>577400</v>
      </c>
      <c r="E85" s="84">
        <f>'дод 3'!F130</f>
        <v>577400</v>
      </c>
      <c r="F85" s="84">
        <f>'дод 3'!G130</f>
        <v>0</v>
      </c>
      <c r="G85" s="84">
        <f>'дод 3'!H130</f>
        <v>0</v>
      </c>
      <c r="H85" s="84">
        <f>'дод 3'!I130</f>
        <v>0</v>
      </c>
      <c r="I85" s="84">
        <f>'дод 3'!J130</f>
        <v>10157256</v>
      </c>
      <c r="J85" s="84">
        <f>'дод 3'!K130</f>
        <v>10157256</v>
      </c>
      <c r="K85" s="84">
        <f>'дод 3'!L130</f>
        <v>0</v>
      </c>
      <c r="L85" s="84">
        <f>'дод 3'!M130</f>
        <v>0</v>
      </c>
      <c r="M85" s="84">
        <f>'дод 3'!N130</f>
        <v>0</v>
      </c>
      <c r="N85" s="84">
        <f>'дод 3'!O130</f>
        <v>10157256</v>
      </c>
      <c r="O85" s="84">
        <f>'дод 3'!P130</f>
        <v>10734656</v>
      </c>
      <c r="P85" s="160"/>
      <c r="Q85" s="155"/>
    </row>
    <row r="86" spans="1:17" s="87" customFormat="1" ht="62.25" customHeight="1" x14ac:dyDescent="0.45">
      <c r="A86" s="27"/>
      <c r="B86" s="27"/>
      <c r="C86" s="29" t="s">
        <v>505</v>
      </c>
      <c r="D86" s="85">
        <f>'дод 3'!E131</f>
        <v>577400</v>
      </c>
      <c r="E86" s="85">
        <f>'дод 3'!F131</f>
        <v>577400</v>
      </c>
      <c r="F86" s="85">
        <f>'дод 3'!G131</f>
        <v>0</v>
      </c>
      <c r="G86" s="85">
        <f>'дод 3'!H131</f>
        <v>0</v>
      </c>
      <c r="H86" s="85">
        <f>'дод 3'!I131</f>
        <v>0</v>
      </c>
      <c r="I86" s="85">
        <f>'дод 3'!J131</f>
        <v>10157256</v>
      </c>
      <c r="J86" s="85">
        <f>'дод 3'!K131</f>
        <v>10157256</v>
      </c>
      <c r="K86" s="85">
        <f>'дод 3'!L131</f>
        <v>0</v>
      </c>
      <c r="L86" s="85">
        <f>'дод 3'!M131</f>
        <v>0</v>
      </c>
      <c r="M86" s="85">
        <f>'дод 3'!N131</f>
        <v>0</v>
      </c>
      <c r="N86" s="85">
        <f>'дод 3'!O131</f>
        <v>10157256</v>
      </c>
      <c r="O86" s="85">
        <f>'дод 3'!P131</f>
        <v>10734656</v>
      </c>
      <c r="P86" s="160"/>
      <c r="Q86" s="155"/>
    </row>
    <row r="87" spans="1:17" s="87" customFormat="1" ht="63" customHeight="1" x14ac:dyDescent="0.45">
      <c r="A87" s="22" t="s">
        <v>458</v>
      </c>
      <c r="B87" s="22" t="s">
        <v>56</v>
      </c>
      <c r="C87" s="42" t="s">
        <v>474</v>
      </c>
      <c r="D87" s="84">
        <f>'дод 3'!E132</f>
        <v>2233488.84</v>
      </c>
      <c r="E87" s="84">
        <f>'дод 3'!F132</f>
        <v>2233488.84</v>
      </c>
      <c r="F87" s="84">
        <f>'дод 3'!G132</f>
        <v>1830728</v>
      </c>
      <c r="G87" s="84">
        <f>'дод 3'!H132</f>
        <v>0</v>
      </c>
      <c r="H87" s="84">
        <f>'дод 3'!I132</f>
        <v>0</v>
      </c>
      <c r="I87" s="84">
        <f>'дод 3'!J132</f>
        <v>0</v>
      </c>
      <c r="J87" s="84">
        <f>'дод 3'!K132</f>
        <v>0</v>
      </c>
      <c r="K87" s="84">
        <f>'дод 3'!L132</f>
        <v>0</v>
      </c>
      <c r="L87" s="84">
        <f>'дод 3'!M132</f>
        <v>0</v>
      </c>
      <c r="M87" s="84">
        <f>'дод 3'!N132</f>
        <v>0</v>
      </c>
      <c r="N87" s="84">
        <f>'дод 3'!O132</f>
        <v>0</v>
      </c>
      <c r="O87" s="84">
        <f>'дод 3'!P132</f>
        <v>2233488.84</v>
      </c>
      <c r="P87" s="160"/>
      <c r="Q87" s="155"/>
    </row>
    <row r="88" spans="1:17" s="87" customFormat="1" ht="65.25" customHeight="1" x14ac:dyDescent="0.45">
      <c r="A88" s="22"/>
      <c r="B88" s="22"/>
      <c r="C88" s="29" t="s">
        <v>675</v>
      </c>
      <c r="D88" s="85">
        <f>'дод 3'!E133</f>
        <v>2233488.84</v>
      </c>
      <c r="E88" s="85">
        <f>'дод 3'!F133</f>
        <v>2233488.84</v>
      </c>
      <c r="F88" s="85">
        <f>'дод 3'!G133</f>
        <v>1830728</v>
      </c>
      <c r="G88" s="85">
        <f>'дод 3'!H133</f>
        <v>0</v>
      </c>
      <c r="H88" s="85">
        <f>'дод 3'!I133</f>
        <v>0</v>
      </c>
      <c r="I88" s="85">
        <f>'дод 3'!J133</f>
        <v>0</v>
      </c>
      <c r="J88" s="85">
        <f>'дод 3'!K133</f>
        <v>0</v>
      </c>
      <c r="K88" s="85">
        <f>'дод 3'!L133</f>
        <v>0</v>
      </c>
      <c r="L88" s="85">
        <f>'дод 3'!M133</f>
        <v>0</v>
      </c>
      <c r="M88" s="85">
        <f>'дод 3'!N133</f>
        <v>0</v>
      </c>
      <c r="N88" s="85">
        <f>'дод 3'!O133</f>
        <v>0</v>
      </c>
      <c r="O88" s="85">
        <f>'дод 3'!P133</f>
        <v>2233488.84</v>
      </c>
      <c r="P88" s="160"/>
      <c r="Q88" s="155"/>
    </row>
    <row r="89" spans="1:17" s="87" customFormat="1" ht="63" customHeight="1" x14ac:dyDescent="0.45">
      <c r="A89" s="22" t="s">
        <v>478</v>
      </c>
      <c r="B89" s="22" t="s">
        <v>56</v>
      </c>
      <c r="C89" s="24" t="s">
        <v>477</v>
      </c>
      <c r="D89" s="84">
        <f>'дод 3'!E134</f>
        <v>872618.44</v>
      </c>
      <c r="E89" s="84">
        <f>'дод 3'!F134</f>
        <v>872618.44</v>
      </c>
      <c r="F89" s="84">
        <f>'дод 3'!G134</f>
        <v>715261</v>
      </c>
      <c r="G89" s="84">
        <f>'дод 3'!H134</f>
        <v>0</v>
      </c>
      <c r="H89" s="84">
        <f>'дод 3'!I134</f>
        <v>0</v>
      </c>
      <c r="I89" s="84">
        <f>'дод 3'!J134</f>
        <v>0</v>
      </c>
      <c r="J89" s="84">
        <f>'дод 3'!K134</f>
        <v>0</v>
      </c>
      <c r="K89" s="84">
        <f>'дод 3'!L134</f>
        <v>0</v>
      </c>
      <c r="L89" s="84">
        <f>'дод 3'!M134</f>
        <v>0</v>
      </c>
      <c r="M89" s="84">
        <f>'дод 3'!N134</f>
        <v>0</v>
      </c>
      <c r="N89" s="84">
        <f>'дод 3'!O134</f>
        <v>0</v>
      </c>
      <c r="O89" s="84">
        <f>'дод 3'!P134</f>
        <v>872618.44</v>
      </c>
      <c r="P89" s="160"/>
      <c r="Q89" s="155"/>
    </row>
    <row r="90" spans="1:17" s="87" customFormat="1" ht="59.25" customHeight="1" x14ac:dyDescent="0.45">
      <c r="A90" s="22"/>
      <c r="B90" s="22"/>
      <c r="C90" s="29" t="s">
        <v>676</v>
      </c>
      <c r="D90" s="85">
        <f>'дод 3'!E135</f>
        <v>872618.44</v>
      </c>
      <c r="E90" s="85">
        <f>'дод 3'!F135</f>
        <v>872618.44</v>
      </c>
      <c r="F90" s="85">
        <f>'дод 3'!G135</f>
        <v>715261</v>
      </c>
      <c r="G90" s="85">
        <f>'дод 3'!H135</f>
        <v>0</v>
      </c>
      <c r="H90" s="85">
        <f>'дод 3'!I135</f>
        <v>0</v>
      </c>
      <c r="I90" s="85">
        <f>'дод 3'!J135</f>
        <v>0</v>
      </c>
      <c r="J90" s="85">
        <f>'дод 3'!K135</f>
        <v>0</v>
      </c>
      <c r="K90" s="85">
        <f>'дод 3'!L135</f>
        <v>0</v>
      </c>
      <c r="L90" s="85">
        <f>'дод 3'!M135</f>
        <v>0</v>
      </c>
      <c r="M90" s="85">
        <f>'дод 3'!N135</f>
        <v>0</v>
      </c>
      <c r="N90" s="85">
        <f>'дод 3'!O135</f>
        <v>0</v>
      </c>
      <c r="O90" s="85">
        <f>'дод 3'!P135</f>
        <v>872618.44</v>
      </c>
      <c r="P90" s="160"/>
      <c r="Q90" s="155"/>
    </row>
    <row r="91" spans="1:17" s="87" customFormat="1" ht="63" customHeight="1" x14ac:dyDescent="0.45">
      <c r="A91" s="22" t="s">
        <v>684</v>
      </c>
      <c r="B91" s="22" t="s">
        <v>56</v>
      </c>
      <c r="C91" s="24" t="s">
        <v>685</v>
      </c>
      <c r="D91" s="84">
        <f>'дод 3'!E137</f>
        <v>2000000</v>
      </c>
      <c r="E91" s="84">
        <f>'дод 3'!F137</f>
        <v>2000000</v>
      </c>
      <c r="F91" s="84">
        <f>'дод 3'!G137</f>
        <v>0</v>
      </c>
      <c r="G91" s="84">
        <f>'дод 3'!H137</f>
        <v>0</v>
      </c>
      <c r="H91" s="84">
        <f>'дод 3'!I137</f>
        <v>0</v>
      </c>
      <c r="I91" s="84">
        <f>'дод 3'!J137</f>
        <v>0</v>
      </c>
      <c r="J91" s="84">
        <f>'дод 3'!K137</f>
        <v>0</v>
      </c>
      <c r="K91" s="84">
        <f>'дод 3'!L137</f>
        <v>0</v>
      </c>
      <c r="L91" s="84">
        <f>'дод 3'!M137</f>
        <v>0</v>
      </c>
      <c r="M91" s="84">
        <f>'дод 3'!N137</f>
        <v>0</v>
      </c>
      <c r="N91" s="84">
        <f>'дод 3'!O137</f>
        <v>0</v>
      </c>
      <c r="O91" s="84">
        <f>'дод 3'!P137</f>
        <v>2000000</v>
      </c>
      <c r="P91" s="160"/>
      <c r="Q91" s="155"/>
    </row>
    <row r="92" spans="1:17" ht="63" customHeight="1" x14ac:dyDescent="0.45">
      <c r="A92" s="22" t="s">
        <v>678</v>
      </c>
      <c r="B92" s="22" t="s">
        <v>56</v>
      </c>
      <c r="C92" s="24" t="s">
        <v>679</v>
      </c>
      <c r="D92" s="84">
        <f>'дод 3'!E138</f>
        <v>2847046</v>
      </c>
      <c r="E92" s="84">
        <f>'дод 3'!F138</f>
        <v>2847046</v>
      </c>
      <c r="F92" s="84">
        <f>'дод 3'!G138</f>
        <v>0</v>
      </c>
      <c r="G92" s="84">
        <f>'дод 3'!H138</f>
        <v>0</v>
      </c>
      <c r="H92" s="84">
        <f>'дод 3'!I138</f>
        <v>0</v>
      </c>
      <c r="I92" s="84">
        <f>'дод 3'!J138</f>
        <v>5552954</v>
      </c>
      <c r="J92" s="84">
        <f>'дод 3'!K138</f>
        <v>5552954</v>
      </c>
      <c r="K92" s="84">
        <f>'дод 3'!L138</f>
        <v>0</v>
      </c>
      <c r="L92" s="84">
        <f>'дод 3'!M138</f>
        <v>0</v>
      </c>
      <c r="M92" s="84">
        <f>'дод 3'!N138</f>
        <v>0</v>
      </c>
      <c r="N92" s="84">
        <f>'дод 3'!O138</f>
        <v>5552954</v>
      </c>
      <c r="O92" s="84">
        <f>'дод 3'!P138</f>
        <v>8400000</v>
      </c>
      <c r="P92" s="160"/>
      <c r="Q92" s="155"/>
    </row>
    <row r="93" spans="1:17" s="87" customFormat="1" ht="63" customHeight="1" x14ac:dyDescent="0.45">
      <c r="A93" s="27"/>
      <c r="B93" s="27"/>
      <c r="C93" s="29" t="s">
        <v>680</v>
      </c>
      <c r="D93" s="85">
        <f>'дод 3'!E139</f>
        <v>2847046</v>
      </c>
      <c r="E93" s="85">
        <f>'дод 3'!F139</f>
        <v>2847046</v>
      </c>
      <c r="F93" s="85">
        <f>'дод 3'!G139</f>
        <v>0</v>
      </c>
      <c r="G93" s="85">
        <f>'дод 3'!H139</f>
        <v>0</v>
      </c>
      <c r="H93" s="85">
        <f>'дод 3'!I139</f>
        <v>0</v>
      </c>
      <c r="I93" s="85">
        <f>'дод 3'!J139</f>
        <v>5552954</v>
      </c>
      <c r="J93" s="85">
        <f>'дод 3'!K139</f>
        <v>5552954</v>
      </c>
      <c r="K93" s="85">
        <f>'дод 3'!L139</f>
        <v>0</v>
      </c>
      <c r="L93" s="85">
        <f>'дод 3'!M139</f>
        <v>0</v>
      </c>
      <c r="M93" s="85">
        <f>'дод 3'!N139</f>
        <v>0</v>
      </c>
      <c r="N93" s="85">
        <f>'дод 3'!O139</f>
        <v>5552954</v>
      </c>
      <c r="O93" s="85">
        <f>'дод 3'!P139</f>
        <v>8400000</v>
      </c>
      <c r="P93" s="127"/>
      <c r="Q93" s="155"/>
    </row>
    <row r="94" spans="1:17" s="87" customFormat="1" ht="79.5" customHeight="1" x14ac:dyDescent="0.45">
      <c r="A94" s="22" t="s">
        <v>691</v>
      </c>
      <c r="B94" s="22" t="s">
        <v>56</v>
      </c>
      <c r="C94" s="36" t="s">
        <v>692</v>
      </c>
      <c r="D94" s="84">
        <f>'дод 3'!E140</f>
        <v>0</v>
      </c>
      <c r="E94" s="84">
        <f>'дод 3'!F140</f>
        <v>0</v>
      </c>
      <c r="F94" s="84">
        <f>'дод 3'!G140</f>
        <v>0</v>
      </c>
      <c r="G94" s="84">
        <f>'дод 3'!H140</f>
        <v>0</v>
      </c>
      <c r="H94" s="84">
        <f>'дод 3'!I140</f>
        <v>0</v>
      </c>
      <c r="I94" s="84">
        <f>'дод 3'!J140</f>
        <v>37015300</v>
      </c>
      <c r="J94" s="84">
        <f>'дод 3'!K140</f>
        <v>37015300</v>
      </c>
      <c r="K94" s="84">
        <f>'дод 3'!L140</f>
        <v>0</v>
      </c>
      <c r="L94" s="84">
        <f>'дод 3'!M140</f>
        <v>0</v>
      </c>
      <c r="M94" s="84">
        <f>'дод 3'!N140</f>
        <v>0</v>
      </c>
      <c r="N94" s="84">
        <f>'дод 3'!O140</f>
        <v>37015300</v>
      </c>
      <c r="O94" s="84">
        <f>'дод 3'!P140</f>
        <v>37015300</v>
      </c>
      <c r="P94" s="160">
        <v>4</v>
      </c>
      <c r="Q94" s="155"/>
    </row>
    <row r="95" spans="1:17" s="87" customFormat="1" ht="79.5" customHeight="1" x14ac:dyDescent="0.45">
      <c r="A95" s="22" t="s">
        <v>701</v>
      </c>
      <c r="B95" s="22" t="s">
        <v>56</v>
      </c>
      <c r="C95" s="36" t="s">
        <v>702</v>
      </c>
      <c r="D95" s="84">
        <f>'дод 3'!E141</f>
        <v>0</v>
      </c>
      <c r="E95" s="84">
        <f>'дод 3'!F141</f>
        <v>0</v>
      </c>
      <c r="F95" s="84">
        <f>'дод 3'!G141</f>
        <v>0</v>
      </c>
      <c r="G95" s="84">
        <f>'дод 3'!H141</f>
        <v>0</v>
      </c>
      <c r="H95" s="84">
        <f>'дод 3'!I141</f>
        <v>0</v>
      </c>
      <c r="I95" s="84">
        <f>'дод 3'!J141</f>
        <v>82600800</v>
      </c>
      <c r="J95" s="84">
        <f>'дод 3'!K141</f>
        <v>82600800</v>
      </c>
      <c r="K95" s="84">
        <f>'дод 3'!L141</f>
        <v>0</v>
      </c>
      <c r="L95" s="84">
        <f>'дод 3'!M141</f>
        <v>0</v>
      </c>
      <c r="M95" s="84">
        <f>'дод 3'!N141</f>
        <v>0</v>
      </c>
      <c r="N95" s="84">
        <f>'дод 3'!O141</f>
        <v>82600800</v>
      </c>
      <c r="O95" s="84">
        <f>'дод 3'!P141</f>
        <v>82600800</v>
      </c>
      <c r="P95" s="160"/>
      <c r="Q95" s="155"/>
    </row>
    <row r="96" spans="1:17" s="87" customFormat="1" ht="79.5" customHeight="1" x14ac:dyDescent="0.45">
      <c r="A96" s="22"/>
      <c r="B96" s="22"/>
      <c r="C96" s="43" t="s">
        <v>703</v>
      </c>
      <c r="D96" s="84">
        <f>'дод 3'!E142</f>
        <v>0</v>
      </c>
      <c r="E96" s="84">
        <f>'дод 3'!F142</f>
        <v>0</v>
      </c>
      <c r="F96" s="84">
        <f>'дод 3'!G142</f>
        <v>0</v>
      </c>
      <c r="G96" s="84">
        <f>'дод 3'!H142</f>
        <v>0</v>
      </c>
      <c r="H96" s="84">
        <f>'дод 3'!I142</f>
        <v>0</v>
      </c>
      <c r="I96" s="84">
        <f>'дод 3'!J142</f>
        <v>82600800</v>
      </c>
      <c r="J96" s="84">
        <f>'дод 3'!K142</f>
        <v>82600800</v>
      </c>
      <c r="K96" s="84">
        <f>'дод 3'!L142</f>
        <v>0</v>
      </c>
      <c r="L96" s="84">
        <f>'дод 3'!M142</f>
        <v>0</v>
      </c>
      <c r="M96" s="84">
        <f>'дод 3'!N142</f>
        <v>0</v>
      </c>
      <c r="N96" s="84">
        <f>'дод 3'!O142</f>
        <v>82600800</v>
      </c>
      <c r="O96" s="84">
        <f>'дод 3'!P142</f>
        <v>82600800</v>
      </c>
      <c r="P96" s="160"/>
      <c r="Q96" s="155"/>
    </row>
    <row r="97" spans="1:17" s="87" customFormat="1" ht="63" customHeight="1" x14ac:dyDescent="0.45">
      <c r="A97" s="22" t="s">
        <v>629</v>
      </c>
      <c r="B97" s="22" t="s">
        <v>56</v>
      </c>
      <c r="C97" s="24" t="s">
        <v>653</v>
      </c>
      <c r="D97" s="85">
        <f>'дод 3'!E143+'дод 3'!E393</f>
        <v>0</v>
      </c>
      <c r="E97" s="85">
        <f>'дод 3'!F143+'дод 3'!F393</f>
        <v>0</v>
      </c>
      <c r="F97" s="85">
        <f>'дод 3'!G143+'дод 3'!G393</f>
        <v>0</v>
      </c>
      <c r="G97" s="85">
        <f>'дод 3'!H143+'дод 3'!H393</f>
        <v>0</v>
      </c>
      <c r="H97" s="85">
        <f>'дод 3'!I143+'дод 3'!I393</f>
        <v>0</v>
      </c>
      <c r="I97" s="84">
        <f>'дод 3'!J143+'дод 3'!J393</f>
        <v>54354052</v>
      </c>
      <c r="J97" s="84">
        <f>'дод 3'!K143+'дод 3'!K393</f>
        <v>54354052</v>
      </c>
      <c r="K97" s="84">
        <f>'дод 3'!L143+'дод 3'!L393</f>
        <v>0</v>
      </c>
      <c r="L97" s="84">
        <f>'дод 3'!M143+'дод 3'!M393</f>
        <v>0</v>
      </c>
      <c r="M97" s="84">
        <f>'дод 3'!N143+'дод 3'!N393</f>
        <v>0</v>
      </c>
      <c r="N97" s="84">
        <f>'дод 3'!O143+'дод 3'!O393</f>
        <v>54354052</v>
      </c>
      <c r="O97" s="84">
        <f>'дод 3'!P143+'дод 3'!P393</f>
        <v>54354052</v>
      </c>
      <c r="P97" s="160"/>
      <c r="Q97" s="155"/>
    </row>
    <row r="98" spans="1:17" s="87" customFormat="1" ht="46.15" x14ac:dyDescent="0.45">
      <c r="A98" s="22" t="s">
        <v>630</v>
      </c>
      <c r="B98" s="22" t="s">
        <v>56</v>
      </c>
      <c r="C98" s="91" t="s">
        <v>688</v>
      </c>
      <c r="D98" s="85">
        <f>'дод 3'!E144+'дод 3'!E394</f>
        <v>0</v>
      </c>
      <c r="E98" s="85">
        <f>'дод 3'!F144+'дод 3'!F394</f>
        <v>0</v>
      </c>
      <c r="F98" s="85">
        <f>'дод 3'!G144+'дод 3'!G394</f>
        <v>0</v>
      </c>
      <c r="G98" s="85">
        <f>'дод 3'!H144+'дод 3'!H394</f>
        <v>0</v>
      </c>
      <c r="H98" s="85">
        <f>'дод 3'!I144+'дод 3'!I394</f>
        <v>0</v>
      </c>
      <c r="I98" s="84">
        <f>'дод 3'!J144+'дод 3'!J394</f>
        <v>73585211</v>
      </c>
      <c r="J98" s="84">
        <f>'дод 3'!K144+'дод 3'!K394</f>
        <v>73585211</v>
      </c>
      <c r="K98" s="84">
        <f>'дод 3'!L144+'дод 3'!L394</f>
        <v>0</v>
      </c>
      <c r="L98" s="84">
        <f>'дод 3'!M144+'дод 3'!M394</f>
        <v>0</v>
      </c>
      <c r="M98" s="84">
        <f>'дод 3'!N144+'дод 3'!N394</f>
        <v>0</v>
      </c>
      <c r="N98" s="84">
        <f>'дод 3'!O144+'дод 3'!O394</f>
        <v>73585211</v>
      </c>
      <c r="O98" s="84">
        <f>'дод 3'!P144+'дод 3'!P394</f>
        <v>73585211</v>
      </c>
      <c r="P98" s="160"/>
      <c r="Q98" s="155"/>
    </row>
    <row r="99" spans="1:17" s="87" customFormat="1" ht="50.25" customHeight="1" x14ac:dyDescent="0.45">
      <c r="A99" s="22"/>
      <c r="B99" s="22"/>
      <c r="C99" s="29" t="s">
        <v>686</v>
      </c>
      <c r="D99" s="85">
        <f>'дод 3'!E145+'дод 3'!E395</f>
        <v>0</v>
      </c>
      <c r="E99" s="85">
        <f>'дод 3'!F145+'дод 3'!F395</f>
        <v>0</v>
      </c>
      <c r="F99" s="85">
        <f>'дод 3'!G145+'дод 3'!G395</f>
        <v>0</v>
      </c>
      <c r="G99" s="85">
        <f>'дод 3'!H145+'дод 3'!H395</f>
        <v>0</v>
      </c>
      <c r="H99" s="85">
        <f>'дод 3'!I145+'дод 3'!I395</f>
        <v>0</v>
      </c>
      <c r="I99" s="85">
        <f>'дод 3'!J145+'дод 3'!J395</f>
        <v>73585211</v>
      </c>
      <c r="J99" s="85">
        <f>'дод 3'!K145+'дод 3'!K395</f>
        <v>73585211</v>
      </c>
      <c r="K99" s="85">
        <f>'дод 3'!L145+'дод 3'!L395</f>
        <v>0</v>
      </c>
      <c r="L99" s="85">
        <f>'дод 3'!M145+'дод 3'!M395</f>
        <v>0</v>
      </c>
      <c r="M99" s="85">
        <f>'дод 3'!N145+'дод 3'!N395</f>
        <v>0</v>
      </c>
      <c r="N99" s="85">
        <f>'дод 3'!O145+'дод 3'!O395</f>
        <v>73585211</v>
      </c>
      <c r="O99" s="85">
        <f>'дод 3'!P145+'дод 3'!P395</f>
        <v>73585211</v>
      </c>
      <c r="P99" s="160"/>
      <c r="Q99" s="155"/>
    </row>
    <row r="100" spans="1:17" s="87" customFormat="1" ht="94.5" customHeight="1" x14ac:dyDescent="0.45">
      <c r="A100" s="23">
        <v>1291</v>
      </c>
      <c r="B100" s="22" t="s">
        <v>56</v>
      </c>
      <c r="C100" s="35" t="s">
        <v>712</v>
      </c>
      <c r="D100" s="84">
        <f>'дод 3'!E146</f>
        <v>1841503</v>
      </c>
      <c r="E100" s="84">
        <f>'дод 3'!F146</f>
        <v>1841503</v>
      </c>
      <c r="F100" s="84">
        <f>'дод 3'!G146</f>
        <v>0</v>
      </c>
      <c r="G100" s="84">
        <f>'дод 3'!H146</f>
        <v>0</v>
      </c>
      <c r="H100" s="84">
        <f>'дод 3'!I146</f>
        <v>0</v>
      </c>
      <c r="I100" s="84">
        <f>'дод 3'!J146</f>
        <v>5789756</v>
      </c>
      <c r="J100" s="84">
        <f>'дод 3'!K146</f>
        <v>5789756</v>
      </c>
      <c r="K100" s="84">
        <f>'дод 3'!L146</f>
        <v>0</v>
      </c>
      <c r="L100" s="84">
        <f>'дод 3'!M146</f>
        <v>0</v>
      </c>
      <c r="M100" s="84">
        <f>'дод 3'!N146</f>
        <v>0</v>
      </c>
      <c r="N100" s="84">
        <f>'дод 3'!O146</f>
        <v>5789756</v>
      </c>
      <c r="O100" s="84">
        <f>'дод 3'!P146</f>
        <v>7631259</v>
      </c>
      <c r="P100" s="160"/>
      <c r="Q100" s="155"/>
    </row>
    <row r="101" spans="1:17" s="87" customFormat="1" ht="94.5" customHeight="1" x14ac:dyDescent="0.45">
      <c r="A101" s="23"/>
      <c r="B101" s="22"/>
      <c r="C101" s="48" t="s">
        <v>619</v>
      </c>
      <c r="D101" s="85">
        <f>'дод 3'!E147</f>
        <v>1339364</v>
      </c>
      <c r="E101" s="85">
        <f>'дод 3'!F147</f>
        <v>1339364</v>
      </c>
      <c r="F101" s="85">
        <f>'дод 3'!G147</f>
        <v>0</v>
      </c>
      <c r="G101" s="85">
        <f>'дод 3'!H147</f>
        <v>0</v>
      </c>
      <c r="H101" s="85">
        <f>'дод 3'!I147</f>
        <v>0</v>
      </c>
      <c r="I101" s="85">
        <f>'дод 3'!J147</f>
        <v>1993989</v>
      </c>
      <c r="J101" s="85">
        <f>'дод 3'!K147</f>
        <v>1993989</v>
      </c>
      <c r="K101" s="85">
        <f>'дод 3'!L147</f>
        <v>0</v>
      </c>
      <c r="L101" s="85">
        <f>'дод 3'!M147</f>
        <v>0</v>
      </c>
      <c r="M101" s="85">
        <f>'дод 3'!N147</f>
        <v>0</v>
      </c>
      <c r="N101" s="85">
        <f>'дод 3'!O147</f>
        <v>1993989</v>
      </c>
      <c r="O101" s="85">
        <f>'дод 3'!P147</f>
        <v>3333353</v>
      </c>
      <c r="P101" s="160"/>
      <c r="Q101" s="155"/>
    </row>
    <row r="102" spans="1:17" s="87" customFormat="1" ht="72" customHeight="1" x14ac:dyDescent="0.45">
      <c r="A102" s="22" t="s">
        <v>673</v>
      </c>
      <c r="B102" s="22" t="s">
        <v>56</v>
      </c>
      <c r="C102" s="24" t="s">
        <v>674</v>
      </c>
      <c r="D102" s="85">
        <f>'дод 3'!E148</f>
        <v>0</v>
      </c>
      <c r="E102" s="85">
        <f>'дод 3'!F148</f>
        <v>0</v>
      </c>
      <c r="F102" s="85">
        <f>'дод 3'!G148</f>
        <v>0</v>
      </c>
      <c r="G102" s="85">
        <f>'дод 3'!H148</f>
        <v>0</v>
      </c>
      <c r="H102" s="85">
        <f>'дод 3'!I148</f>
        <v>0</v>
      </c>
      <c r="I102" s="85">
        <f>'дод 3'!J148</f>
        <v>18068330</v>
      </c>
      <c r="J102" s="85">
        <f>'дод 3'!K148</f>
        <v>0</v>
      </c>
      <c r="K102" s="85">
        <f>'дод 3'!L148</f>
        <v>4558902</v>
      </c>
      <c r="L102" s="85">
        <f>'дод 3'!M148</f>
        <v>0</v>
      </c>
      <c r="M102" s="85">
        <f>'дод 3'!N148</f>
        <v>0</v>
      </c>
      <c r="N102" s="85">
        <f>'дод 3'!O148</f>
        <v>13509428</v>
      </c>
      <c r="O102" s="85">
        <f>'дод 3'!P148</f>
        <v>18068330</v>
      </c>
      <c r="P102" s="160"/>
      <c r="Q102" s="155"/>
    </row>
    <row r="103" spans="1:17" s="87" customFormat="1" ht="40.5" customHeight="1" x14ac:dyDescent="0.45">
      <c r="A103" s="22"/>
      <c r="B103" s="22"/>
      <c r="C103" s="29" t="s">
        <v>494</v>
      </c>
      <c r="D103" s="85">
        <f>'дод 3'!E149</f>
        <v>0</v>
      </c>
      <c r="E103" s="85">
        <f>'дод 3'!F149</f>
        <v>0</v>
      </c>
      <c r="F103" s="85">
        <f>'дод 3'!G149</f>
        <v>0</v>
      </c>
      <c r="G103" s="85">
        <f>'дод 3'!H149</f>
        <v>0</v>
      </c>
      <c r="H103" s="85">
        <f>'дод 3'!I149</f>
        <v>0</v>
      </c>
      <c r="I103" s="85">
        <f>'дод 3'!J149</f>
        <v>18068330</v>
      </c>
      <c r="J103" s="85">
        <f>'дод 3'!K149</f>
        <v>0</v>
      </c>
      <c r="K103" s="85">
        <f>'дод 3'!L149</f>
        <v>4558902</v>
      </c>
      <c r="L103" s="85">
        <f>'дод 3'!M149</f>
        <v>0</v>
      </c>
      <c r="M103" s="85">
        <f>'дод 3'!N149</f>
        <v>0</v>
      </c>
      <c r="N103" s="85">
        <f>'дод 3'!O149</f>
        <v>13509428</v>
      </c>
      <c r="O103" s="85">
        <f>'дод 3'!P149</f>
        <v>18068330</v>
      </c>
      <c r="P103" s="160"/>
      <c r="Q103" s="155"/>
    </row>
    <row r="104" spans="1:17" ht="46.9" customHeight="1" x14ac:dyDescent="0.45">
      <c r="A104" s="22" t="s">
        <v>729</v>
      </c>
      <c r="B104" s="22" t="s">
        <v>56</v>
      </c>
      <c r="C104" s="24" t="s">
        <v>730</v>
      </c>
      <c r="D104" s="84">
        <f>'дод 3'!E151</f>
        <v>12935800</v>
      </c>
      <c r="E104" s="84">
        <f>'дод 3'!F151</f>
        <v>12935800</v>
      </c>
      <c r="F104" s="84">
        <f>'дод 3'!G151</f>
        <v>0</v>
      </c>
      <c r="G104" s="84">
        <f>'дод 3'!H151</f>
        <v>0</v>
      </c>
      <c r="H104" s="84">
        <f>'дод 3'!I151</f>
        <v>0</v>
      </c>
      <c r="I104" s="84">
        <f>'дод 3'!J151</f>
        <v>0</v>
      </c>
      <c r="J104" s="84">
        <f>'дод 3'!K151</f>
        <v>0</v>
      </c>
      <c r="K104" s="84">
        <f>'дод 3'!L151</f>
        <v>0</v>
      </c>
      <c r="L104" s="84">
        <f>'дод 3'!M151</f>
        <v>0</v>
      </c>
      <c r="M104" s="84">
        <f>'дод 3'!N151</f>
        <v>0</v>
      </c>
      <c r="N104" s="84">
        <f>'дод 3'!O151</f>
        <v>0</v>
      </c>
      <c r="O104" s="84">
        <f>'дод 3'!P151</f>
        <v>12935800</v>
      </c>
      <c r="P104" s="160"/>
      <c r="Q104" s="155"/>
    </row>
    <row r="105" spans="1:17" s="87" customFormat="1" ht="40.5" customHeight="1" x14ac:dyDescent="0.45">
      <c r="A105" s="27"/>
      <c r="B105" s="27"/>
      <c r="C105" s="29" t="s">
        <v>731</v>
      </c>
      <c r="D105" s="85">
        <f>'дод 3'!E152</f>
        <v>12935800</v>
      </c>
      <c r="E105" s="85">
        <f>'дод 3'!F152</f>
        <v>12935800</v>
      </c>
      <c r="F105" s="85">
        <f>'дод 3'!G152</f>
        <v>0</v>
      </c>
      <c r="G105" s="85">
        <f>'дод 3'!H152</f>
        <v>0</v>
      </c>
      <c r="H105" s="85">
        <f>'дод 3'!I152</f>
        <v>0</v>
      </c>
      <c r="I105" s="85">
        <f>'дод 3'!J152</f>
        <v>0</v>
      </c>
      <c r="J105" s="85">
        <f>'дод 3'!K152</f>
        <v>0</v>
      </c>
      <c r="K105" s="85">
        <f>'дод 3'!L152</f>
        <v>0</v>
      </c>
      <c r="L105" s="85">
        <f>'дод 3'!M152</f>
        <v>0</v>
      </c>
      <c r="M105" s="85">
        <f>'дод 3'!N152</f>
        <v>0</v>
      </c>
      <c r="N105" s="85">
        <f>'дод 3'!O152</f>
        <v>0</v>
      </c>
      <c r="O105" s="85">
        <f>'дод 3'!P152</f>
        <v>12935800</v>
      </c>
      <c r="P105" s="160"/>
      <c r="Q105" s="155"/>
    </row>
    <row r="106" spans="1:17" s="78" customFormat="1" ht="19.5" customHeight="1" x14ac:dyDescent="0.4">
      <c r="A106" s="88" t="s">
        <v>57</v>
      </c>
      <c r="B106" s="38"/>
      <c r="C106" s="81" t="s">
        <v>699</v>
      </c>
      <c r="D106" s="82">
        <f t="shared" ref="D106:O106" si="18">D110+D114+D117+D119+D121+D124+D125+D113+D116+D126+D128</f>
        <v>126855535</v>
      </c>
      <c r="E106" s="82">
        <f t="shared" si="18"/>
        <v>126855535</v>
      </c>
      <c r="F106" s="82">
        <f t="shared" si="18"/>
        <v>3079800</v>
      </c>
      <c r="G106" s="82">
        <f t="shared" si="18"/>
        <v>154200</v>
      </c>
      <c r="H106" s="82">
        <f t="shared" si="18"/>
        <v>0</v>
      </c>
      <c r="I106" s="82">
        <f t="shared" si="18"/>
        <v>110940406</v>
      </c>
      <c r="J106" s="82">
        <f t="shared" si="18"/>
        <v>110940406</v>
      </c>
      <c r="K106" s="82">
        <f t="shared" si="18"/>
        <v>0</v>
      </c>
      <c r="L106" s="82">
        <f t="shared" si="18"/>
        <v>0</v>
      </c>
      <c r="M106" s="82">
        <f t="shared" si="18"/>
        <v>0</v>
      </c>
      <c r="N106" s="82">
        <f t="shared" si="18"/>
        <v>110940406</v>
      </c>
      <c r="O106" s="82">
        <f t="shared" si="18"/>
        <v>237795941</v>
      </c>
      <c r="P106" s="160"/>
      <c r="Q106" s="155"/>
    </row>
    <row r="107" spans="1:17" s="90" customFormat="1" ht="36.75" customHeight="1" x14ac:dyDescent="0.4">
      <c r="A107" s="89"/>
      <c r="B107" s="40"/>
      <c r="C107" s="19" t="str">
        <f>C129</f>
        <v>субвенції з державного бюджету місцевим бюджетам на облаштування безпечних умов у закладах охорони здоров'я</v>
      </c>
      <c r="D107" s="83">
        <f t="shared" ref="D107:O107" si="19">D129</f>
        <v>0</v>
      </c>
      <c r="E107" s="83">
        <f t="shared" si="19"/>
        <v>0</v>
      </c>
      <c r="F107" s="83">
        <f t="shared" si="19"/>
        <v>0</v>
      </c>
      <c r="G107" s="83">
        <f t="shared" si="19"/>
        <v>0</v>
      </c>
      <c r="H107" s="83">
        <f t="shared" si="19"/>
        <v>0</v>
      </c>
      <c r="I107" s="83">
        <f t="shared" si="19"/>
        <v>31936617</v>
      </c>
      <c r="J107" s="83">
        <f t="shared" si="19"/>
        <v>31936617</v>
      </c>
      <c r="K107" s="83">
        <f t="shared" si="19"/>
        <v>0</v>
      </c>
      <c r="L107" s="83">
        <f t="shared" si="19"/>
        <v>0</v>
      </c>
      <c r="M107" s="83">
        <f t="shared" si="19"/>
        <v>0</v>
      </c>
      <c r="N107" s="83">
        <f t="shared" si="19"/>
        <v>31936617</v>
      </c>
      <c r="O107" s="83">
        <f t="shared" si="19"/>
        <v>31936617</v>
      </c>
      <c r="P107" s="160"/>
      <c r="Q107" s="155"/>
    </row>
    <row r="108" spans="1:17" s="90" customFormat="1" ht="75" x14ac:dyDescent="0.4">
      <c r="A108" s="89"/>
      <c r="B108" s="40"/>
      <c r="C108" s="54" t="s">
        <v>619</v>
      </c>
      <c r="D108" s="83">
        <f>D111+D127</f>
        <v>1588294</v>
      </c>
      <c r="E108" s="83">
        <f t="shared" ref="E108:O108" si="20">E111+E127</f>
        <v>1588294</v>
      </c>
      <c r="F108" s="83">
        <f t="shared" si="20"/>
        <v>0</v>
      </c>
      <c r="G108" s="83">
        <f t="shared" si="20"/>
        <v>0</v>
      </c>
      <c r="H108" s="83">
        <f t="shared" si="20"/>
        <v>0</v>
      </c>
      <c r="I108" s="83">
        <f t="shared" si="20"/>
        <v>1964776</v>
      </c>
      <c r="J108" s="83">
        <f t="shared" si="20"/>
        <v>1964776</v>
      </c>
      <c r="K108" s="83">
        <f t="shared" si="20"/>
        <v>0</v>
      </c>
      <c r="L108" s="83">
        <f t="shared" si="20"/>
        <v>0</v>
      </c>
      <c r="M108" s="83">
        <f t="shared" si="20"/>
        <v>0</v>
      </c>
      <c r="N108" s="83">
        <f t="shared" si="20"/>
        <v>1964776</v>
      </c>
      <c r="O108" s="83">
        <f t="shared" si="20"/>
        <v>3553070</v>
      </c>
      <c r="P108" s="160"/>
      <c r="Q108" s="155"/>
    </row>
    <row r="109" spans="1:17" s="120" customFormat="1" ht="15" x14ac:dyDescent="0.4">
      <c r="A109" s="89"/>
      <c r="B109" s="40"/>
      <c r="C109" s="54" t="s">
        <v>379</v>
      </c>
      <c r="D109" s="83">
        <f>D112</f>
        <v>300000</v>
      </c>
      <c r="E109" s="83">
        <f t="shared" ref="E109:O109" si="21">E112</f>
        <v>300000</v>
      </c>
      <c r="F109" s="83">
        <f t="shared" si="21"/>
        <v>0</v>
      </c>
      <c r="G109" s="83">
        <f t="shared" si="21"/>
        <v>0</v>
      </c>
      <c r="H109" s="83">
        <f t="shared" si="21"/>
        <v>0</v>
      </c>
      <c r="I109" s="83">
        <f t="shared" si="21"/>
        <v>100000</v>
      </c>
      <c r="J109" s="83">
        <f t="shared" si="21"/>
        <v>100000</v>
      </c>
      <c r="K109" s="83">
        <f t="shared" si="21"/>
        <v>0</v>
      </c>
      <c r="L109" s="83">
        <f t="shared" si="21"/>
        <v>0</v>
      </c>
      <c r="M109" s="83">
        <f t="shared" si="21"/>
        <v>0</v>
      </c>
      <c r="N109" s="83">
        <f t="shared" si="21"/>
        <v>100000</v>
      </c>
      <c r="O109" s="83">
        <f t="shared" si="21"/>
        <v>400000</v>
      </c>
      <c r="P109" s="160"/>
      <c r="Q109" s="155"/>
    </row>
    <row r="110" spans="1:17" ht="33" customHeight="1" x14ac:dyDescent="0.45">
      <c r="A110" s="45" t="s">
        <v>58</v>
      </c>
      <c r="B110" s="45" t="s">
        <v>59</v>
      </c>
      <c r="C110" s="35" t="s">
        <v>711</v>
      </c>
      <c r="D110" s="84">
        <f>'дод 3'!E189+'дод 3'!E391</f>
        <v>74043095</v>
      </c>
      <c r="E110" s="84">
        <f>'дод 3'!F189+'дод 3'!F391</f>
        <v>74043095</v>
      </c>
      <c r="F110" s="84">
        <f>'дод 3'!G189+'дод 3'!G391</f>
        <v>0</v>
      </c>
      <c r="G110" s="84">
        <f>'дод 3'!H189+'дод 3'!H391</f>
        <v>0</v>
      </c>
      <c r="H110" s="84">
        <f>'дод 3'!I189+'дод 3'!I391</f>
        <v>0</v>
      </c>
      <c r="I110" s="84">
        <f>'дод 3'!J189+'дод 3'!J391</f>
        <v>17948187</v>
      </c>
      <c r="J110" s="84">
        <f>'дод 3'!K189+'дод 3'!K391</f>
        <v>17948187</v>
      </c>
      <c r="K110" s="84">
        <f>'дод 3'!L189+'дод 3'!L391</f>
        <v>0</v>
      </c>
      <c r="L110" s="84">
        <f>'дод 3'!M189+'дод 3'!M391</f>
        <v>0</v>
      </c>
      <c r="M110" s="84">
        <f>'дод 3'!N189+'дод 3'!N391</f>
        <v>0</v>
      </c>
      <c r="N110" s="84">
        <f>'дод 3'!O189+'дод 3'!O391</f>
        <v>17948187</v>
      </c>
      <c r="O110" s="84">
        <f>'дод 3'!P189+'дод 3'!P391</f>
        <v>91991282</v>
      </c>
      <c r="P110" s="160"/>
      <c r="Q110" s="155"/>
    </row>
    <row r="111" spans="1:17" s="87" customFormat="1" ht="76.900000000000006" x14ac:dyDescent="0.45">
      <c r="A111" s="86"/>
      <c r="B111" s="86"/>
      <c r="C111" s="48" t="s">
        <v>619</v>
      </c>
      <c r="D111" s="85">
        <f>'дод 3'!E190</f>
        <v>1588294</v>
      </c>
      <c r="E111" s="85">
        <f>'дод 3'!F190</f>
        <v>1588294</v>
      </c>
      <c r="F111" s="85">
        <f>'дод 3'!G190</f>
        <v>0</v>
      </c>
      <c r="G111" s="85">
        <f>'дод 3'!H190</f>
        <v>0</v>
      </c>
      <c r="H111" s="85">
        <f>'дод 3'!I190</f>
        <v>0</v>
      </c>
      <c r="I111" s="85">
        <f>'дод 3'!J190</f>
        <v>1143800</v>
      </c>
      <c r="J111" s="85">
        <f>'дод 3'!K190</f>
        <v>1143800</v>
      </c>
      <c r="K111" s="85">
        <f>'дод 3'!L190</f>
        <v>0</v>
      </c>
      <c r="L111" s="85">
        <f>'дод 3'!M190</f>
        <v>0</v>
      </c>
      <c r="M111" s="85">
        <f>'дод 3'!N190</f>
        <v>0</v>
      </c>
      <c r="N111" s="85">
        <f>'дод 3'!O190</f>
        <v>1143800</v>
      </c>
      <c r="O111" s="85">
        <f>'дод 3'!P190</f>
        <v>2732094</v>
      </c>
      <c r="P111" s="160"/>
      <c r="Q111" s="155"/>
    </row>
    <row r="112" spans="1:17" s="119" customFormat="1" x14ac:dyDescent="0.45">
      <c r="A112" s="86"/>
      <c r="B112" s="86"/>
      <c r="C112" s="48" t="s">
        <v>379</v>
      </c>
      <c r="D112" s="85">
        <f>'дод 3'!E191</f>
        <v>300000</v>
      </c>
      <c r="E112" s="85">
        <f>'дод 3'!F191</f>
        <v>300000</v>
      </c>
      <c r="F112" s="85">
        <f>'дод 3'!G191</f>
        <v>0</v>
      </c>
      <c r="G112" s="85">
        <f>'дод 3'!H191</f>
        <v>0</v>
      </c>
      <c r="H112" s="85">
        <f>'дод 3'!I191</f>
        <v>0</v>
      </c>
      <c r="I112" s="85">
        <f>'дод 3'!J191</f>
        <v>100000</v>
      </c>
      <c r="J112" s="85">
        <f>'дод 3'!K191</f>
        <v>100000</v>
      </c>
      <c r="K112" s="85">
        <f>'дод 3'!L191</f>
        <v>0</v>
      </c>
      <c r="L112" s="85">
        <f>'дод 3'!M191</f>
        <v>0</v>
      </c>
      <c r="M112" s="85">
        <f>'дод 3'!N191</f>
        <v>0</v>
      </c>
      <c r="N112" s="85">
        <f>'дод 3'!O191</f>
        <v>100000</v>
      </c>
      <c r="O112" s="85">
        <f>'дод 3'!P191</f>
        <v>400000</v>
      </c>
      <c r="P112" s="160"/>
      <c r="Q112" s="155"/>
    </row>
    <row r="113" spans="1:17" ht="31.5" customHeight="1" x14ac:dyDescent="0.45">
      <c r="A113" s="45">
        <v>2020</v>
      </c>
      <c r="B113" s="34" t="s">
        <v>420</v>
      </c>
      <c r="C113" s="35" t="s">
        <v>421</v>
      </c>
      <c r="D113" s="84">
        <f>'дод 3'!E192</f>
        <v>0</v>
      </c>
      <c r="E113" s="84">
        <f>'дод 3'!F192</f>
        <v>0</v>
      </c>
      <c r="F113" s="84">
        <f>'дод 3'!G192</f>
        <v>0</v>
      </c>
      <c r="G113" s="84">
        <f>'дод 3'!H192</f>
        <v>0</v>
      </c>
      <c r="H113" s="84">
        <f>'дод 3'!I192</f>
        <v>0</v>
      </c>
      <c r="I113" s="84">
        <f>'дод 3'!J192</f>
        <v>0</v>
      </c>
      <c r="J113" s="84">
        <f>'дод 3'!K192</f>
        <v>0</v>
      </c>
      <c r="K113" s="84">
        <f>'дод 3'!L192</f>
        <v>0</v>
      </c>
      <c r="L113" s="84">
        <f>'дод 3'!M192</f>
        <v>0</v>
      </c>
      <c r="M113" s="84">
        <f>'дод 3'!N192</f>
        <v>0</v>
      </c>
      <c r="N113" s="84">
        <f>'дод 3'!O192</f>
        <v>0</v>
      </c>
      <c r="O113" s="84">
        <f>'дод 3'!P192</f>
        <v>0</v>
      </c>
      <c r="P113" s="160"/>
      <c r="Q113" s="155"/>
    </row>
    <row r="114" spans="1:17" ht="36.75" customHeight="1" x14ac:dyDescent="0.45">
      <c r="A114" s="45" t="s">
        <v>115</v>
      </c>
      <c r="B114" s="45" t="s">
        <v>60</v>
      </c>
      <c r="C114" s="35" t="s">
        <v>434</v>
      </c>
      <c r="D114" s="84">
        <f>'дод 3'!E193</f>
        <v>6012400</v>
      </c>
      <c r="E114" s="84">
        <f>'дод 3'!F193</f>
        <v>6012400</v>
      </c>
      <c r="F114" s="84">
        <f>'дод 3'!G193</f>
        <v>0</v>
      </c>
      <c r="G114" s="84">
        <f>'дод 3'!H193</f>
        <v>0</v>
      </c>
      <c r="H114" s="84">
        <f>'дод 3'!I193</f>
        <v>0</v>
      </c>
      <c r="I114" s="84">
        <f>'дод 3'!J193</f>
        <v>0</v>
      </c>
      <c r="J114" s="84">
        <f>'дод 3'!K193</f>
        <v>0</v>
      </c>
      <c r="K114" s="84">
        <f>'дод 3'!L193</f>
        <v>0</v>
      </c>
      <c r="L114" s="84">
        <f>'дод 3'!M193</f>
        <v>0</v>
      </c>
      <c r="M114" s="84">
        <f>'дод 3'!N193</f>
        <v>0</v>
      </c>
      <c r="N114" s="84">
        <f>'дод 3'!O193</f>
        <v>0</v>
      </c>
      <c r="O114" s="84">
        <f>'дод 3'!P193</f>
        <v>6012400</v>
      </c>
      <c r="P114" s="160">
        <v>5</v>
      </c>
      <c r="Q114" s="155"/>
    </row>
    <row r="115" spans="1:17" s="87" customFormat="1" ht="31.5" hidden="1" customHeight="1" x14ac:dyDescent="0.45">
      <c r="A115" s="86"/>
      <c r="B115" s="86"/>
      <c r="C115" s="48" t="s">
        <v>376</v>
      </c>
      <c r="D115" s="85">
        <f>'дод 3'!E194</f>
        <v>0</v>
      </c>
      <c r="E115" s="85">
        <f>'дод 3'!F194</f>
        <v>0</v>
      </c>
      <c r="F115" s="85">
        <f>'дод 3'!G194</f>
        <v>0</v>
      </c>
      <c r="G115" s="85">
        <f>'дод 3'!H194</f>
        <v>0</v>
      </c>
      <c r="H115" s="85">
        <f>'дод 3'!I194</f>
        <v>0</v>
      </c>
      <c r="I115" s="85">
        <f>'дод 3'!J194</f>
        <v>0</v>
      </c>
      <c r="J115" s="85">
        <f>'дод 3'!K194</f>
        <v>0</v>
      </c>
      <c r="K115" s="85">
        <f>'дод 3'!L194</f>
        <v>0</v>
      </c>
      <c r="L115" s="85">
        <f>'дод 3'!M194</f>
        <v>0</v>
      </c>
      <c r="M115" s="85">
        <f>'дод 3'!N194</f>
        <v>0</v>
      </c>
      <c r="N115" s="85">
        <f>'дод 3'!O194</f>
        <v>0</v>
      </c>
      <c r="O115" s="85">
        <f>'дод 3'!P194</f>
        <v>0</v>
      </c>
      <c r="P115" s="160"/>
      <c r="Q115" s="155"/>
    </row>
    <row r="116" spans="1:17" ht="24" hidden="1" customHeight="1" x14ac:dyDescent="0.45">
      <c r="A116" s="45">
        <v>2070</v>
      </c>
      <c r="B116" s="45" t="s">
        <v>559</v>
      </c>
      <c r="C116" s="35" t="s">
        <v>560</v>
      </c>
      <c r="D116" s="84">
        <f>'дод 3'!E195</f>
        <v>0</v>
      </c>
      <c r="E116" s="84">
        <f>'дод 3'!F195</f>
        <v>0</v>
      </c>
      <c r="F116" s="84">
        <f>'дод 3'!G195</f>
        <v>0</v>
      </c>
      <c r="G116" s="84">
        <f>'дод 3'!H195</f>
        <v>0</v>
      </c>
      <c r="H116" s="84">
        <f>'дод 3'!I195</f>
        <v>0</v>
      </c>
      <c r="I116" s="84">
        <f>'дод 3'!J195</f>
        <v>0</v>
      </c>
      <c r="J116" s="84">
        <f>'дод 3'!K195</f>
        <v>0</v>
      </c>
      <c r="K116" s="84">
        <f>'дод 3'!L195</f>
        <v>0</v>
      </c>
      <c r="L116" s="84">
        <f>'дод 3'!M195</f>
        <v>0</v>
      </c>
      <c r="M116" s="84">
        <f>'дод 3'!N195</f>
        <v>0</v>
      </c>
      <c r="N116" s="84">
        <f>'дод 3'!O195</f>
        <v>0</v>
      </c>
      <c r="O116" s="84">
        <f>'дод 3'!P195</f>
        <v>0</v>
      </c>
      <c r="P116" s="160"/>
      <c r="Q116" s="155"/>
    </row>
    <row r="117" spans="1:17" ht="19.5" customHeight="1" x14ac:dyDescent="0.45">
      <c r="A117" s="45" t="s">
        <v>116</v>
      </c>
      <c r="B117" s="45" t="s">
        <v>61</v>
      </c>
      <c r="C117" s="35" t="s">
        <v>435</v>
      </c>
      <c r="D117" s="84">
        <f>'дод 3'!E196</f>
        <v>12460400</v>
      </c>
      <c r="E117" s="84">
        <f>'дод 3'!F196</f>
        <v>12460400</v>
      </c>
      <c r="F117" s="84">
        <f>'дод 3'!G196</f>
        <v>0</v>
      </c>
      <c r="G117" s="84">
        <f>'дод 3'!H196</f>
        <v>0</v>
      </c>
      <c r="H117" s="84">
        <f>'дод 3'!I196</f>
        <v>0</v>
      </c>
      <c r="I117" s="84">
        <f>'дод 3'!J196</f>
        <v>0</v>
      </c>
      <c r="J117" s="84">
        <f>'дод 3'!K196</f>
        <v>0</v>
      </c>
      <c r="K117" s="84">
        <f>'дод 3'!L196</f>
        <v>0</v>
      </c>
      <c r="L117" s="84">
        <f>'дод 3'!M196</f>
        <v>0</v>
      </c>
      <c r="M117" s="84">
        <f>'дод 3'!N196</f>
        <v>0</v>
      </c>
      <c r="N117" s="84">
        <f>'дод 3'!O196</f>
        <v>0</v>
      </c>
      <c r="O117" s="84">
        <f>'дод 3'!P196</f>
        <v>12460400</v>
      </c>
      <c r="P117" s="160"/>
      <c r="Q117" s="155"/>
    </row>
    <row r="118" spans="1:17" s="87" customFormat="1" ht="31.5" hidden="1" customHeight="1" x14ac:dyDescent="0.45">
      <c r="A118" s="86"/>
      <c r="B118" s="86"/>
      <c r="C118" s="48" t="s">
        <v>376</v>
      </c>
      <c r="D118" s="85">
        <f>'дод 3'!E197</f>
        <v>0</v>
      </c>
      <c r="E118" s="85">
        <f>'дод 3'!F197</f>
        <v>0</v>
      </c>
      <c r="F118" s="85">
        <f>'дод 3'!G197</f>
        <v>0</v>
      </c>
      <c r="G118" s="85">
        <f>'дод 3'!H197</f>
        <v>0</v>
      </c>
      <c r="H118" s="85">
        <f>'дод 3'!I197</f>
        <v>0</v>
      </c>
      <c r="I118" s="85">
        <f>'дод 3'!J197</f>
        <v>0</v>
      </c>
      <c r="J118" s="85">
        <f>'дод 3'!K197</f>
        <v>0</v>
      </c>
      <c r="K118" s="85">
        <f>'дод 3'!L197</f>
        <v>0</v>
      </c>
      <c r="L118" s="85">
        <f>'дод 3'!M197</f>
        <v>0</v>
      </c>
      <c r="M118" s="85">
        <f>'дод 3'!N197</f>
        <v>0</v>
      </c>
      <c r="N118" s="85">
        <f>'дод 3'!O197</f>
        <v>0</v>
      </c>
      <c r="O118" s="85">
        <f>'дод 3'!P197</f>
        <v>0</v>
      </c>
      <c r="P118" s="160"/>
      <c r="Q118" s="155"/>
    </row>
    <row r="119" spans="1:17" ht="48.75" customHeight="1" x14ac:dyDescent="0.45">
      <c r="A119" s="45" t="s">
        <v>117</v>
      </c>
      <c r="B119" s="45" t="s">
        <v>300</v>
      </c>
      <c r="C119" s="35" t="s">
        <v>436</v>
      </c>
      <c r="D119" s="84">
        <f>'дод 3'!E198</f>
        <v>5716100</v>
      </c>
      <c r="E119" s="84">
        <f>'дод 3'!F198</f>
        <v>5716100</v>
      </c>
      <c r="F119" s="84">
        <f>'дод 3'!G198</f>
        <v>0</v>
      </c>
      <c r="G119" s="84">
        <f>'дод 3'!H198</f>
        <v>0</v>
      </c>
      <c r="H119" s="84">
        <f>'дод 3'!I198</f>
        <v>0</v>
      </c>
      <c r="I119" s="84">
        <f>'дод 3'!J198</f>
        <v>1638127</v>
      </c>
      <c r="J119" s="84">
        <f>'дод 3'!K198</f>
        <v>1638127</v>
      </c>
      <c r="K119" s="84">
        <f>'дод 3'!L198</f>
        <v>0</v>
      </c>
      <c r="L119" s="84">
        <f>'дод 3'!M198</f>
        <v>0</v>
      </c>
      <c r="M119" s="84">
        <f>'дод 3'!N198</f>
        <v>0</v>
      </c>
      <c r="N119" s="84">
        <f>'дод 3'!O198</f>
        <v>1638127</v>
      </c>
      <c r="O119" s="84">
        <f>'дод 3'!P198</f>
        <v>7354227</v>
      </c>
      <c r="P119" s="160"/>
      <c r="Q119" s="155"/>
    </row>
    <row r="120" spans="1:17" s="87" customFormat="1" ht="47.25" hidden="1" customHeight="1" x14ac:dyDescent="0.45">
      <c r="A120" s="86"/>
      <c r="B120" s="86"/>
      <c r="C120" s="44" t="s">
        <v>378</v>
      </c>
      <c r="D120" s="85">
        <f>'дод 3'!E199</f>
        <v>0</v>
      </c>
      <c r="E120" s="85">
        <f>'дод 3'!F199</f>
        <v>0</v>
      </c>
      <c r="F120" s="85">
        <f>'дод 3'!G199</f>
        <v>0</v>
      </c>
      <c r="G120" s="85">
        <f>'дод 3'!H199</f>
        <v>0</v>
      </c>
      <c r="H120" s="85">
        <f>'дод 3'!I199</f>
        <v>0</v>
      </c>
      <c r="I120" s="85">
        <f>'дод 3'!J199</f>
        <v>0</v>
      </c>
      <c r="J120" s="85">
        <f>'дод 3'!K199</f>
        <v>0</v>
      </c>
      <c r="K120" s="85">
        <f>'дод 3'!L199</f>
        <v>0</v>
      </c>
      <c r="L120" s="85">
        <f>'дод 3'!M199</f>
        <v>0</v>
      </c>
      <c r="M120" s="85">
        <f>'дод 3'!N199</f>
        <v>0</v>
      </c>
      <c r="N120" s="85">
        <f>'дод 3'!O199</f>
        <v>0</v>
      </c>
      <c r="O120" s="85">
        <f>'дод 3'!P199</f>
        <v>0</v>
      </c>
      <c r="P120" s="160"/>
    </row>
    <row r="121" spans="1:17" ht="31.5" hidden="1" customHeight="1" x14ac:dyDescent="0.45">
      <c r="A121" s="45">
        <v>2144</v>
      </c>
      <c r="B121" s="45" t="s">
        <v>62</v>
      </c>
      <c r="C121" s="35" t="s">
        <v>385</v>
      </c>
      <c r="D121" s="84">
        <f>'дод 3'!E200</f>
        <v>0</v>
      </c>
      <c r="E121" s="84">
        <f>'дод 3'!F200</f>
        <v>0</v>
      </c>
      <c r="F121" s="84">
        <f>'дод 3'!G200</f>
        <v>0</v>
      </c>
      <c r="G121" s="84">
        <f>'дод 3'!H200</f>
        <v>0</v>
      </c>
      <c r="H121" s="84">
        <f>'дод 3'!I200</f>
        <v>0</v>
      </c>
      <c r="I121" s="84">
        <f>'дод 3'!J200</f>
        <v>0</v>
      </c>
      <c r="J121" s="84">
        <f>'дод 3'!K200</f>
        <v>0</v>
      </c>
      <c r="K121" s="84">
        <f>'дод 3'!L200</f>
        <v>0</v>
      </c>
      <c r="L121" s="84">
        <f>'дод 3'!M200</f>
        <v>0</v>
      </c>
      <c r="M121" s="84">
        <f>'дод 3'!N200</f>
        <v>0</v>
      </c>
      <c r="N121" s="84">
        <f>'дод 3'!O200</f>
        <v>0</v>
      </c>
      <c r="O121" s="84">
        <f>'дод 3'!P200</f>
        <v>0</v>
      </c>
      <c r="P121" s="160"/>
    </row>
    <row r="122" spans="1:17" s="87" customFormat="1" ht="47.25" hidden="1" customHeight="1" x14ac:dyDescent="0.45">
      <c r="A122" s="86"/>
      <c r="B122" s="86"/>
      <c r="C122" s="48" t="s">
        <v>377</v>
      </c>
      <c r="D122" s="85">
        <f>'дод 3'!E201</f>
        <v>0</v>
      </c>
      <c r="E122" s="85">
        <f>'дод 3'!F201</f>
        <v>0</v>
      </c>
      <c r="F122" s="85">
        <f>'дод 3'!G201</f>
        <v>0</v>
      </c>
      <c r="G122" s="85">
        <f>'дод 3'!H201</f>
        <v>0</v>
      </c>
      <c r="H122" s="85">
        <f>'дод 3'!I201</f>
        <v>0</v>
      </c>
      <c r="I122" s="85">
        <f>'дод 3'!J201</f>
        <v>0</v>
      </c>
      <c r="J122" s="85">
        <f>'дод 3'!K201</f>
        <v>0</v>
      </c>
      <c r="K122" s="85">
        <f>'дод 3'!L201</f>
        <v>0</v>
      </c>
      <c r="L122" s="85">
        <f>'дод 3'!M201</f>
        <v>0</v>
      </c>
      <c r="M122" s="85">
        <f>'дод 3'!N201</f>
        <v>0</v>
      </c>
      <c r="N122" s="85">
        <f>'дод 3'!O201</f>
        <v>0</v>
      </c>
      <c r="O122" s="85">
        <f>'дод 3'!P201</f>
        <v>0</v>
      </c>
      <c r="P122" s="160"/>
    </row>
    <row r="123" spans="1:17" s="87" customFormat="1" ht="63" hidden="1" customHeight="1" x14ac:dyDescent="0.45">
      <c r="A123" s="86"/>
      <c r="B123" s="86"/>
      <c r="C123" s="48" t="s">
        <v>378</v>
      </c>
      <c r="D123" s="85">
        <f>'дод 3'!E202</f>
        <v>0</v>
      </c>
      <c r="E123" s="85">
        <f>'дод 3'!F202</f>
        <v>0</v>
      </c>
      <c r="F123" s="85">
        <f>'дод 3'!G202</f>
        <v>0</v>
      </c>
      <c r="G123" s="85">
        <f>'дод 3'!H202</f>
        <v>0</v>
      </c>
      <c r="H123" s="85">
        <f>'дод 3'!I202</f>
        <v>0</v>
      </c>
      <c r="I123" s="85">
        <f>'дод 3'!J202</f>
        <v>0</v>
      </c>
      <c r="J123" s="85">
        <f>'дод 3'!K202</f>
        <v>0</v>
      </c>
      <c r="K123" s="85">
        <f>'дод 3'!L202</f>
        <v>0</v>
      </c>
      <c r="L123" s="85">
        <f>'дод 3'!M202</f>
        <v>0</v>
      </c>
      <c r="M123" s="85">
        <f>'дод 3'!N202</f>
        <v>0</v>
      </c>
      <c r="N123" s="85">
        <f>'дод 3'!O202</f>
        <v>0</v>
      </c>
      <c r="O123" s="85">
        <f>'дод 3'!P202</f>
        <v>0</v>
      </c>
      <c r="P123" s="160"/>
    </row>
    <row r="124" spans="1:17" ht="33.75" customHeight="1" x14ac:dyDescent="0.45">
      <c r="A124" s="45" t="s">
        <v>273</v>
      </c>
      <c r="B124" s="45" t="s">
        <v>62</v>
      </c>
      <c r="C124" s="33" t="s">
        <v>544</v>
      </c>
      <c r="D124" s="84">
        <f>'дод 3'!E203</f>
        <v>4113000</v>
      </c>
      <c r="E124" s="84">
        <f>'дод 3'!F203</f>
        <v>4113000</v>
      </c>
      <c r="F124" s="84">
        <f>'дод 3'!G203</f>
        <v>3079800</v>
      </c>
      <c r="G124" s="84">
        <f>'дод 3'!H203</f>
        <v>154200</v>
      </c>
      <c r="H124" s="84">
        <f>'дод 3'!I203</f>
        <v>0</v>
      </c>
      <c r="I124" s="84">
        <f>'дод 3'!J203</f>
        <v>0</v>
      </c>
      <c r="J124" s="84">
        <f>'дод 3'!K203</f>
        <v>0</v>
      </c>
      <c r="K124" s="84">
        <f>'дод 3'!L203</f>
        <v>0</v>
      </c>
      <c r="L124" s="84">
        <f>'дод 3'!M203</f>
        <v>0</v>
      </c>
      <c r="M124" s="84">
        <f>'дод 3'!N203</f>
        <v>0</v>
      </c>
      <c r="N124" s="84">
        <f>'дод 3'!O203</f>
        <v>0</v>
      </c>
      <c r="O124" s="84">
        <f>'дод 3'!P203</f>
        <v>4113000</v>
      </c>
      <c r="P124" s="160"/>
    </row>
    <row r="125" spans="1:17" ht="21.75" customHeight="1" x14ac:dyDescent="0.45">
      <c r="A125" s="45" t="s">
        <v>274</v>
      </c>
      <c r="B125" s="45" t="s">
        <v>62</v>
      </c>
      <c r="C125" s="33" t="s">
        <v>545</v>
      </c>
      <c r="D125" s="84">
        <f>'дод 3'!E204</f>
        <v>24510540</v>
      </c>
      <c r="E125" s="84">
        <f>'дод 3'!F204</f>
        <v>24510540</v>
      </c>
      <c r="F125" s="84">
        <f>'дод 3'!G204</f>
        <v>0</v>
      </c>
      <c r="G125" s="84">
        <f>'дод 3'!H204</f>
        <v>0</v>
      </c>
      <c r="H125" s="84">
        <f>'дод 3'!I204</f>
        <v>0</v>
      </c>
      <c r="I125" s="84">
        <f>'дод 3'!J204</f>
        <v>50000000</v>
      </c>
      <c r="J125" s="84">
        <f>'дод 3'!K204</f>
        <v>50000000</v>
      </c>
      <c r="K125" s="84">
        <f>'дод 3'!L204</f>
        <v>0</v>
      </c>
      <c r="L125" s="84">
        <f>'дод 3'!M204</f>
        <v>0</v>
      </c>
      <c r="M125" s="84">
        <f>'дод 3'!N204</f>
        <v>0</v>
      </c>
      <c r="N125" s="84">
        <f>'дод 3'!O204</f>
        <v>50000000</v>
      </c>
      <c r="O125" s="84">
        <f>'дод 3'!P204</f>
        <v>74510540</v>
      </c>
      <c r="P125" s="160"/>
    </row>
    <row r="126" spans="1:17" ht="46.15" x14ac:dyDescent="0.45">
      <c r="A126" s="23">
        <v>2161</v>
      </c>
      <c r="B126" s="22" t="s">
        <v>62</v>
      </c>
      <c r="C126" s="24" t="s">
        <v>738</v>
      </c>
      <c r="D126" s="84">
        <f>'дод 3'!E209</f>
        <v>0</v>
      </c>
      <c r="E126" s="84">
        <f>'дод 3'!F209</f>
        <v>0</v>
      </c>
      <c r="F126" s="84">
        <f>'дод 3'!G209</f>
        <v>0</v>
      </c>
      <c r="G126" s="84">
        <f>'дод 3'!H209</f>
        <v>0</v>
      </c>
      <c r="H126" s="84">
        <f>'дод 3'!I209</f>
        <v>0</v>
      </c>
      <c r="I126" s="84">
        <f>'дод 3'!J209</f>
        <v>9417475</v>
      </c>
      <c r="J126" s="84">
        <f>'дод 3'!K209</f>
        <v>9417475</v>
      </c>
      <c r="K126" s="84">
        <f>'дод 3'!L209</f>
        <v>0</v>
      </c>
      <c r="L126" s="84">
        <f>'дод 3'!M209</f>
        <v>0</v>
      </c>
      <c r="M126" s="84">
        <f>'дод 3'!N209</f>
        <v>0</v>
      </c>
      <c r="N126" s="84">
        <f>'дод 3'!O209</f>
        <v>9417475</v>
      </c>
      <c r="O126" s="84">
        <f>'дод 3'!P209</f>
        <v>9417475</v>
      </c>
      <c r="P126" s="160"/>
    </row>
    <row r="127" spans="1:17" ht="76.900000000000006" x14ac:dyDescent="0.45">
      <c r="A127" s="23"/>
      <c r="B127" s="22"/>
      <c r="C127" s="48" t="s">
        <v>619</v>
      </c>
      <c r="D127" s="85">
        <f>'дод 3'!E210</f>
        <v>0</v>
      </c>
      <c r="E127" s="85">
        <f>'дод 3'!F210</f>
        <v>0</v>
      </c>
      <c r="F127" s="85">
        <f>'дод 3'!G210</f>
        <v>0</v>
      </c>
      <c r="G127" s="85">
        <f>'дод 3'!H210</f>
        <v>0</v>
      </c>
      <c r="H127" s="85">
        <f>'дод 3'!I210</f>
        <v>0</v>
      </c>
      <c r="I127" s="85">
        <f>'дод 3'!J210</f>
        <v>820976</v>
      </c>
      <c r="J127" s="85">
        <f>'дод 3'!K210</f>
        <v>820976</v>
      </c>
      <c r="K127" s="85">
        <f>'дод 3'!L210</f>
        <v>0</v>
      </c>
      <c r="L127" s="85">
        <f>'дод 3'!M210</f>
        <v>0</v>
      </c>
      <c r="M127" s="85">
        <f>'дод 3'!N210</f>
        <v>0</v>
      </c>
      <c r="N127" s="85">
        <f>'дод 3'!O210</f>
        <v>820976</v>
      </c>
      <c r="O127" s="85">
        <f>'дод 3'!P210</f>
        <v>820976</v>
      </c>
      <c r="P127" s="160"/>
    </row>
    <row r="128" spans="1:17" ht="46.15" x14ac:dyDescent="0.45">
      <c r="A128" s="23">
        <v>2162</v>
      </c>
      <c r="B128" s="22" t="s">
        <v>62</v>
      </c>
      <c r="C128" s="24" t="s">
        <v>697</v>
      </c>
      <c r="D128" s="84">
        <f>'дод 3'!E211</f>
        <v>0</v>
      </c>
      <c r="E128" s="84">
        <f>'дод 3'!F211</f>
        <v>0</v>
      </c>
      <c r="F128" s="84">
        <f>'дод 3'!G211</f>
        <v>0</v>
      </c>
      <c r="G128" s="84">
        <f>'дод 3'!H211</f>
        <v>0</v>
      </c>
      <c r="H128" s="84">
        <f>'дод 3'!I211</f>
        <v>0</v>
      </c>
      <c r="I128" s="84">
        <f>'дод 3'!J211</f>
        <v>31936617</v>
      </c>
      <c r="J128" s="84">
        <f>'дод 3'!K211</f>
        <v>31936617</v>
      </c>
      <c r="K128" s="84">
        <f>'дод 3'!L211</f>
        <v>0</v>
      </c>
      <c r="L128" s="84">
        <f>'дод 3'!M211</f>
        <v>0</v>
      </c>
      <c r="M128" s="84">
        <f>'дод 3'!N211</f>
        <v>0</v>
      </c>
      <c r="N128" s="84">
        <f>'дод 3'!O211</f>
        <v>31936617</v>
      </c>
      <c r="O128" s="84">
        <f>'дод 3'!P211</f>
        <v>31936617</v>
      </c>
      <c r="P128" s="160"/>
    </row>
    <row r="129" spans="1:16" s="87" customFormat="1" ht="30.75" x14ac:dyDescent="0.45">
      <c r="A129" s="28"/>
      <c r="B129" s="28"/>
      <c r="C129" s="29" t="s">
        <v>698</v>
      </c>
      <c r="D129" s="85">
        <f>'дод 3'!E212</f>
        <v>0</v>
      </c>
      <c r="E129" s="85">
        <f>'дод 3'!F212</f>
        <v>0</v>
      </c>
      <c r="F129" s="85">
        <f>'дод 3'!G212</f>
        <v>0</v>
      </c>
      <c r="G129" s="85">
        <f>'дод 3'!H212</f>
        <v>0</v>
      </c>
      <c r="H129" s="85">
        <f>'дод 3'!I212</f>
        <v>0</v>
      </c>
      <c r="I129" s="85">
        <f>'дод 3'!J212</f>
        <v>31936617</v>
      </c>
      <c r="J129" s="85">
        <f>'дод 3'!K212</f>
        <v>31936617</v>
      </c>
      <c r="K129" s="85">
        <f>'дод 3'!L212</f>
        <v>0</v>
      </c>
      <c r="L129" s="85">
        <f>'дод 3'!M212</f>
        <v>0</v>
      </c>
      <c r="M129" s="85">
        <f>'дод 3'!N212</f>
        <v>0</v>
      </c>
      <c r="N129" s="85">
        <f>'дод 3'!O212</f>
        <v>31936617</v>
      </c>
      <c r="O129" s="85">
        <f>'дод 3'!P212</f>
        <v>31936617</v>
      </c>
      <c r="P129" s="160"/>
    </row>
    <row r="130" spans="1:16" s="78" customFormat="1" ht="33" customHeight="1" x14ac:dyDescent="0.4">
      <c r="A130" s="88" t="s">
        <v>63</v>
      </c>
      <c r="B130" s="92"/>
      <c r="C130" s="93" t="s">
        <v>595</v>
      </c>
      <c r="D130" s="82">
        <f>D141+D142+D143+D145+D146+D147+D149+D151+D152+D153+D154+D156+D158+D159+D162+D164+D166+D167+D168+D171+D172+D173+D175+D179+D180+D157+D177+D169</f>
        <v>427867039.13</v>
      </c>
      <c r="E130" s="82">
        <f t="shared" ref="E130:O130" si="22">E141+E142+E143+E145+E146+E147+E149+E151+E152+E153+E154+E156+E158+E159+E162+E164+E166+E167+E168+E171+E172+E173+E175+E179+E180+E157+E177+E169</f>
        <v>427867039.13</v>
      </c>
      <c r="F130" s="82">
        <f t="shared" si="22"/>
        <v>30040209</v>
      </c>
      <c r="G130" s="82">
        <f t="shared" si="22"/>
        <v>3074900</v>
      </c>
      <c r="H130" s="82">
        <f t="shared" si="22"/>
        <v>0</v>
      </c>
      <c r="I130" s="82">
        <f t="shared" si="22"/>
        <v>34319499.789999999</v>
      </c>
      <c r="J130" s="82">
        <f t="shared" si="22"/>
        <v>34240899.789999999</v>
      </c>
      <c r="K130" s="82">
        <f t="shared" si="22"/>
        <v>78600</v>
      </c>
      <c r="L130" s="82">
        <f t="shared" si="22"/>
        <v>56100</v>
      </c>
      <c r="M130" s="82">
        <f t="shared" si="22"/>
        <v>3500</v>
      </c>
      <c r="N130" s="82">
        <f t="shared" si="22"/>
        <v>34240899.789999999</v>
      </c>
      <c r="O130" s="82">
        <f t="shared" si="22"/>
        <v>462186538.92000002</v>
      </c>
      <c r="P130" s="160"/>
    </row>
    <row r="131" spans="1:16" s="90" customFormat="1" ht="262.5" hidden="1" customHeight="1" x14ac:dyDescent="0.4">
      <c r="A131" s="89"/>
      <c r="B131" s="94"/>
      <c r="C131" s="54" t="s">
        <v>636</v>
      </c>
      <c r="D131" s="83">
        <f>D174</f>
        <v>0</v>
      </c>
      <c r="E131" s="83">
        <f t="shared" ref="E131:O131" si="23">E174</f>
        <v>0</v>
      </c>
      <c r="F131" s="83">
        <f t="shared" si="23"/>
        <v>0</v>
      </c>
      <c r="G131" s="83">
        <f t="shared" si="23"/>
        <v>0</v>
      </c>
      <c r="H131" s="83">
        <f t="shared" si="23"/>
        <v>0</v>
      </c>
      <c r="I131" s="83">
        <f t="shared" si="23"/>
        <v>8260461.4100000001</v>
      </c>
      <c r="J131" s="83">
        <f t="shared" si="23"/>
        <v>8260461.4100000001</v>
      </c>
      <c r="K131" s="83">
        <f t="shared" si="23"/>
        <v>0</v>
      </c>
      <c r="L131" s="83">
        <f t="shared" si="23"/>
        <v>0</v>
      </c>
      <c r="M131" s="83">
        <f t="shared" si="23"/>
        <v>0</v>
      </c>
      <c r="N131" s="83">
        <f t="shared" si="23"/>
        <v>8260461.4100000001</v>
      </c>
      <c r="O131" s="83">
        <f t="shared" si="23"/>
        <v>8260461.4100000001</v>
      </c>
      <c r="P131" s="160"/>
    </row>
    <row r="132" spans="1:16" s="90" customFormat="1" ht="258" hidden="1" customHeight="1" x14ac:dyDescent="0.4">
      <c r="A132" s="89"/>
      <c r="B132" s="94"/>
      <c r="C132" s="95" t="s">
        <v>638</v>
      </c>
      <c r="D132" s="83" t="e">
        <f>'дод 3'!#REF!</f>
        <v>#REF!</v>
      </c>
      <c r="E132" s="83" t="e">
        <f>'дод 3'!#REF!</f>
        <v>#REF!</v>
      </c>
      <c r="F132" s="83" t="e">
        <f>'дод 3'!#REF!</f>
        <v>#REF!</v>
      </c>
      <c r="G132" s="83" t="e">
        <f>'дод 3'!#REF!</f>
        <v>#REF!</v>
      </c>
      <c r="H132" s="83" t="e">
        <f>'дод 3'!#REF!</f>
        <v>#REF!</v>
      </c>
      <c r="I132" s="83" t="e">
        <f>'дод 3'!#REF!</f>
        <v>#REF!</v>
      </c>
      <c r="J132" s="83" t="e">
        <f>'дод 3'!#REF!</f>
        <v>#REF!</v>
      </c>
      <c r="K132" s="83" t="e">
        <f>'дод 3'!#REF!</f>
        <v>#REF!</v>
      </c>
      <c r="L132" s="83" t="e">
        <f>'дод 3'!#REF!</f>
        <v>#REF!</v>
      </c>
      <c r="M132" s="83" t="e">
        <f>'дод 3'!#REF!</f>
        <v>#REF!</v>
      </c>
      <c r="N132" s="83" t="e">
        <f>'дод 3'!#REF!</f>
        <v>#REF!</v>
      </c>
      <c r="O132" s="83" t="e">
        <f>'дод 3'!#REF!</f>
        <v>#REF!</v>
      </c>
      <c r="P132" s="160"/>
    </row>
    <row r="133" spans="1:16" s="90" customFormat="1" ht="21" customHeight="1" x14ac:dyDescent="0.4">
      <c r="A133" s="89"/>
      <c r="B133" s="94"/>
      <c r="C133" s="54" t="s">
        <v>380</v>
      </c>
      <c r="D133" s="83">
        <f t="shared" ref="D133:O133" si="24">D144+D148+D150+D163+D165+D181</f>
        <v>11086875.810000001</v>
      </c>
      <c r="E133" s="83">
        <f t="shared" si="24"/>
        <v>11086875.810000001</v>
      </c>
      <c r="F133" s="83">
        <f t="shared" si="24"/>
        <v>0</v>
      </c>
      <c r="G133" s="83">
        <f t="shared" si="24"/>
        <v>0</v>
      </c>
      <c r="H133" s="83">
        <f t="shared" si="24"/>
        <v>0</v>
      </c>
      <c r="I133" s="83">
        <f t="shared" si="24"/>
        <v>0</v>
      </c>
      <c r="J133" s="83">
        <f t="shared" si="24"/>
        <v>0</v>
      </c>
      <c r="K133" s="83">
        <f t="shared" si="24"/>
        <v>0</v>
      </c>
      <c r="L133" s="83">
        <f t="shared" si="24"/>
        <v>0</v>
      </c>
      <c r="M133" s="83">
        <f t="shared" si="24"/>
        <v>0</v>
      </c>
      <c r="N133" s="83">
        <f t="shared" si="24"/>
        <v>0</v>
      </c>
      <c r="O133" s="83">
        <f t="shared" si="24"/>
        <v>11086875.810000001</v>
      </c>
      <c r="P133" s="160"/>
    </row>
    <row r="134" spans="1:16" s="90" customFormat="1" ht="97.15" customHeight="1" x14ac:dyDescent="0.4">
      <c r="A134" s="89"/>
      <c r="B134" s="94"/>
      <c r="C134" s="54" t="str">
        <f>C160</f>
        <v>залишку коштів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Федерації, що утворився станом на 01.01.2024 року</v>
      </c>
      <c r="D134" s="83">
        <f>D160</f>
        <v>1495257</v>
      </c>
      <c r="E134" s="83">
        <f t="shared" ref="E134:O134" si="25">E160</f>
        <v>1495257</v>
      </c>
      <c r="F134" s="83">
        <f t="shared" si="25"/>
        <v>0</v>
      </c>
      <c r="G134" s="83">
        <f t="shared" si="25"/>
        <v>0</v>
      </c>
      <c r="H134" s="83">
        <f t="shared" si="25"/>
        <v>0</v>
      </c>
      <c r="I134" s="83">
        <f t="shared" si="25"/>
        <v>0</v>
      </c>
      <c r="J134" s="83">
        <f t="shared" si="25"/>
        <v>0</v>
      </c>
      <c r="K134" s="83">
        <f t="shared" si="25"/>
        <v>0</v>
      </c>
      <c r="L134" s="83">
        <f t="shared" si="25"/>
        <v>0</v>
      </c>
      <c r="M134" s="83">
        <f t="shared" si="25"/>
        <v>0</v>
      </c>
      <c r="N134" s="83">
        <f t="shared" si="25"/>
        <v>0</v>
      </c>
      <c r="O134" s="83">
        <f t="shared" si="25"/>
        <v>1495257</v>
      </c>
      <c r="P134" s="160"/>
    </row>
    <row r="135" spans="1:16" s="90" customFormat="1" ht="86.65" customHeight="1" x14ac:dyDescent="0.4">
      <c r="A135" s="89"/>
      <c r="B135" s="94"/>
      <c r="C135" s="19" t="s">
        <v>619</v>
      </c>
      <c r="D135" s="83">
        <f t="shared" ref="D135:O135" si="26">D161+D182</f>
        <v>75253000</v>
      </c>
      <c r="E135" s="83">
        <f t="shared" si="26"/>
        <v>75253000</v>
      </c>
      <c r="F135" s="83">
        <f t="shared" si="26"/>
        <v>0</v>
      </c>
      <c r="G135" s="83">
        <f t="shared" si="26"/>
        <v>0</v>
      </c>
      <c r="H135" s="83">
        <f t="shared" si="26"/>
        <v>0</v>
      </c>
      <c r="I135" s="83">
        <f t="shared" si="26"/>
        <v>0</v>
      </c>
      <c r="J135" s="83">
        <f t="shared" si="26"/>
        <v>0</v>
      </c>
      <c r="K135" s="83">
        <f t="shared" si="26"/>
        <v>0</v>
      </c>
      <c r="L135" s="83">
        <f t="shared" si="26"/>
        <v>0</v>
      </c>
      <c r="M135" s="83">
        <f t="shared" si="26"/>
        <v>0</v>
      </c>
      <c r="N135" s="83">
        <f t="shared" si="26"/>
        <v>0</v>
      </c>
      <c r="O135" s="83">
        <f t="shared" si="26"/>
        <v>75253000</v>
      </c>
      <c r="P135" s="160"/>
    </row>
    <row r="136" spans="1:16" s="90" customFormat="1" ht="62.65" customHeight="1" x14ac:dyDescent="0.4">
      <c r="A136" s="89"/>
      <c r="B136" s="94"/>
      <c r="C136" s="54" t="s">
        <v>733</v>
      </c>
      <c r="D136" s="83">
        <f>D155</f>
        <v>0</v>
      </c>
      <c r="E136" s="83">
        <f t="shared" ref="E136:O136" si="27">E155</f>
        <v>0</v>
      </c>
      <c r="F136" s="83">
        <f t="shared" si="27"/>
        <v>0</v>
      </c>
      <c r="G136" s="83">
        <f t="shared" si="27"/>
        <v>0</v>
      </c>
      <c r="H136" s="83">
        <f t="shared" si="27"/>
        <v>0</v>
      </c>
      <c r="I136" s="83">
        <f t="shared" si="27"/>
        <v>2000000</v>
      </c>
      <c r="J136" s="83">
        <f t="shared" si="27"/>
        <v>2000000</v>
      </c>
      <c r="K136" s="83">
        <f t="shared" si="27"/>
        <v>0</v>
      </c>
      <c r="L136" s="83">
        <f t="shared" si="27"/>
        <v>0</v>
      </c>
      <c r="M136" s="83">
        <f t="shared" si="27"/>
        <v>0</v>
      </c>
      <c r="N136" s="83">
        <f t="shared" si="27"/>
        <v>2000000</v>
      </c>
      <c r="O136" s="83">
        <f t="shared" si="27"/>
        <v>2000000</v>
      </c>
      <c r="P136" s="160"/>
    </row>
    <row r="137" spans="1:16" s="90" customFormat="1" ht="255" x14ac:dyDescent="0.4">
      <c r="A137" s="89"/>
      <c r="B137" s="94"/>
      <c r="C137" s="19" t="str">
        <f>C174</f>
        <v>субвенції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v>
      </c>
      <c r="D137" s="83">
        <f t="shared" ref="D137:O137" si="28">D174</f>
        <v>0</v>
      </c>
      <c r="E137" s="83">
        <f t="shared" si="28"/>
        <v>0</v>
      </c>
      <c r="F137" s="83">
        <f t="shared" si="28"/>
        <v>0</v>
      </c>
      <c r="G137" s="83">
        <f t="shared" si="28"/>
        <v>0</v>
      </c>
      <c r="H137" s="83">
        <f t="shared" si="28"/>
        <v>0</v>
      </c>
      <c r="I137" s="83">
        <f t="shared" si="28"/>
        <v>8260461.4100000001</v>
      </c>
      <c r="J137" s="83">
        <f t="shared" si="28"/>
        <v>8260461.4100000001</v>
      </c>
      <c r="K137" s="83">
        <f t="shared" si="28"/>
        <v>0</v>
      </c>
      <c r="L137" s="83">
        <f t="shared" si="28"/>
        <v>0</v>
      </c>
      <c r="M137" s="83">
        <f t="shared" si="28"/>
        <v>0</v>
      </c>
      <c r="N137" s="83">
        <f t="shared" si="28"/>
        <v>8260461.4100000001</v>
      </c>
      <c r="O137" s="83">
        <f t="shared" si="28"/>
        <v>8260461.4100000001</v>
      </c>
      <c r="P137" s="160"/>
    </row>
    <row r="138" spans="1:16" s="90" customFormat="1" ht="261.75" customHeight="1" x14ac:dyDescent="0.4">
      <c r="A138" s="89"/>
      <c r="B138" s="94"/>
      <c r="C138" s="19" t="str">
        <f>C176</f>
        <v>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v>
      </c>
      <c r="D138" s="83">
        <f t="shared" ref="D138:O138" si="29">D176</f>
        <v>0</v>
      </c>
      <c r="E138" s="83">
        <f t="shared" si="29"/>
        <v>0</v>
      </c>
      <c r="F138" s="83">
        <f t="shared" si="29"/>
        <v>0</v>
      </c>
      <c r="G138" s="83">
        <f t="shared" si="29"/>
        <v>0</v>
      </c>
      <c r="H138" s="83">
        <f t="shared" si="29"/>
        <v>0</v>
      </c>
      <c r="I138" s="83">
        <f t="shared" si="29"/>
        <v>20395339.16</v>
      </c>
      <c r="J138" s="83">
        <f t="shared" si="29"/>
        <v>20395339.16</v>
      </c>
      <c r="K138" s="83">
        <f t="shared" si="29"/>
        <v>0</v>
      </c>
      <c r="L138" s="83">
        <f t="shared" si="29"/>
        <v>0</v>
      </c>
      <c r="M138" s="83">
        <f t="shared" si="29"/>
        <v>0</v>
      </c>
      <c r="N138" s="83">
        <f t="shared" si="29"/>
        <v>20395339.16</v>
      </c>
      <c r="O138" s="83">
        <f t="shared" si="29"/>
        <v>20395339.16</v>
      </c>
      <c r="P138" s="160">
        <v>6</v>
      </c>
    </row>
    <row r="139" spans="1:16" s="120" customFormat="1" ht="177.75" customHeight="1" x14ac:dyDescent="0.4">
      <c r="A139" s="89"/>
      <c r="B139" s="94"/>
      <c r="C139" s="19" t="str">
        <f>C178</f>
        <v>субвенції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v>
      </c>
      <c r="D139" s="83">
        <f>D178</f>
        <v>0</v>
      </c>
      <c r="E139" s="83">
        <f t="shared" ref="E139:O139" si="30">E178</f>
        <v>0</v>
      </c>
      <c r="F139" s="83">
        <f t="shared" si="30"/>
        <v>0</v>
      </c>
      <c r="G139" s="83">
        <f t="shared" si="30"/>
        <v>0</v>
      </c>
      <c r="H139" s="83">
        <f t="shared" si="30"/>
        <v>0</v>
      </c>
      <c r="I139" s="83">
        <f t="shared" si="30"/>
        <v>3386099.22</v>
      </c>
      <c r="J139" s="83">
        <f t="shared" si="30"/>
        <v>3386099.22</v>
      </c>
      <c r="K139" s="83">
        <f t="shared" si="30"/>
        <v>0</v>
      </c>
      <c r="L139" s="83">
        <f t="shared" si="30"/>
        <v>0</v>
      </c>
      <c r="M139" s="83">
        <f t="shared" si="30"/>
        <v>0</v>
      </c>
      <c r="N139" s="83">
        <f t="shared" si="30"/>
        <v>3386099.22</v>
      </c>
      <c r="O139" s="83">
        <f t="shared" si="30"/>
        <v>3386099.22</v>
      </c>
      <c r="P139" s="160"/>
    </row>
    <row r="140" spans="1:16" s="90" customFormat="1" ht="88.15" customHeight="1" x14ac:dyDescent="0.4">
      <c r="A140" s="89"/>
      <c r="B140" s="94"/>
      <c r="C140" s="19" t="str">
        <f>C170</f>
        <v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v>
      </c>
      <c r="D140" s="83">
        <f>D170</f>
        <v>184288.32</v>
      </c>
      <c r="E140" s="83">
        <f t="shared" ref="E140:O140" si="31">E170</f>
        <v>184288.32</v>
      </c>
      <c r="F140" s="83">
        <f t="shared" si="31"/>
        <v>151056</v>
      </c>
      <c r="G140" s="83">
        <f t="shared" si="31"/>
        <v>0</v>
      </c>
      <c r="H140" s="83">
        <f t="shared" si="31"/>
        <v>0</v>
      </c>
      <c r="I140" s="83">
        <f t="shared" si="31"/>
        <v>0</v>
      </c>
      <c r="J140" s="83">
        <f t="shared" si="31"/>
        <v>0</v>
      </c>
      <c r="K140" s="83">
        <f t="shared" si="31"/>
        <v>0</v>
      </c>
      <c r="L140" s="83">
        <f t="shared" si="31"/>
        <v>0</v>
      </c>
      <c r="M140" s="83">
        <f t="shared" si="31"/>
        <v>0</v>
      </c>
      <c r="N140" s="83">
        <f t="shared" si="31"/>
        <v>0</v>
      </c>
      <c r="O140" s="83">
        <f t="shared" si="31"/>
        <v>184288.32</v>
      </c>
      <c r="P140" s="160"/>
    </row>
    <row r="141" spans="1:16" ht="38.25" customHeight="1" x14ac:dyDescent="0.45">
      <c r="A141" s="45" t="s">
        <v>94</v>
      </c>
      <c r="B141" s="45" t="s">
        <v>50</v>
      </c>
      <c r="C141" s="33" t="s">
        <v>118</v>
      </c>
      <c r="D141" s="84">
        <f>'дод 3'!E231</f>
        <v>433000</v>
      </c>
      <c r="E141" s="84">
        <f>'дод 3'!F231</f>
        <v>433000</v>
      </c>
      <c r="F141" s="84">
        <f>'дод 3'!G231</f>
        <v>0</v>
      </c>
      <c r="G141" s="84">
        <f>'дод 3'!H231</f>
        <v>0</v>
      </c>
      <c r="H141" s="84">
        <f>'дод 3'!I231</f>
        <v>0</v>
      </c>
      <c r="I141" s="84">
        <f>'дод 3'!J231</f>
        <v>0</v>
      </c>
      <c r="J141" s="84">
        <f>'дод 3'!K231</f>
        <v>0</v>
      </c>
      <c r="K141" s="84">
        <f>'дод 3'!L231</f>
        <v>0</v>
      </c>
      <c r="L141" s="84">
        <f>'дод 3'!M231</f>
        <v>0</v>
      </c>
      <c r="M141" s="84">
        <f>'дод 3'!N231</f>
        <v>0</v>
      </c>
      <c r="N141" s="84">
        <f>'дод 3'!O231</f>
        <v>0</v>
      </c>
      <c r="O141" s="84">
        <f>'дод 3'!P231</f>
        <v>433000</v>
      </c>
      <c r="P141" s="160"/>
    </row>
    <row r="142" spans="1:16" ht="35.25" customHeight="1" x14ac:dyDescent="0.45">
      <c r="A142" s="45" t="s">
        <v>119</v>
      </c>
      <c r="B142" s="45" t="s">
        <v>52</v>
      </c>
      <c r="C142" s="33" t="s">
        <v>346</v>
      </c>
      <c r="D142" s="84">
        <f>'дод 3'!E232</f>
        <v>650450</v>
      </c>
      <c r="E142" s="84">
        <f>'дод 3'!F232</f>
        <v>650450</v>
      </c>
      <c r="F142" s="84">
        <f>'дод 3'!G232</f>
        <v>0</v>
      </c>
      <c r="G142" s="84">
        <f>'дод 3'!H232</f>
        <v>0</v>
      </c>
      <c r="H142" s="84">
        <f>'дод 3'!I232</f>
        <v>0</v>
      </c>
      <c r="I142" s="84">
        <f>'дод 3'!J232</f>
        <v>0</v>
      </c>
      <c r="J142" s="84">
        <f>'дод 3'!K232</f>
        <v>0</v>
      </c>
      <c r="K142" s="84">
        <f>'дод 3'!L232</f>
        <v>0</v>
      </c>
      <c r="L142" s="84">
        <f>'дод 3'!M232</f>
        <v>0</v>
      </c>
      <c r="M142" s="84">
        <f>'дод 3'!N232</f>
        <v>0</v>
      </c>
      <c r="N142" s="84">
        <f>'дод 3'!O232</f>
        <v>0</v>
      </c>
      <c r="O142" s="84">
        <f>'дод 3'!P232</f>
        <v>650450</v>
      </c>
      <c r="P142" s="160"/>
    </row>
    <row r="143" spans="1:16" ht="30.75" x14ac:dyDescent="0.45">
      <c r="A143" s="45" t="s">
        <v>95</v>
      </c>
      <c r="B143" s="45" t="s">
        <v>52</v>
      </c>
      <c r="C143" s="33" t="s">
        <v>391</v>
      </c>
      <c r="D143" s="84">
        <f>'дод 3'!E233+'дод 3'!E29</f>
        <v>20788379.810000002</v>
      </c>
      <c r="E143" s="84">
        <f>'дод 3'!F233+'дод 3'!F29</f>
        <v>20788379.810000002</v>
      </c>
      <c r="F143" s="84">
        <f>'дод 3'!G233+'дод 3'!G29</f>
        <v>0</v>
      </c>
      <c r="G143" s="84">
        <f>'дод 3'!H233+'дод 3'!H29</f>
        <v>0</v>
      </c>
      <c r="H143" s="84">
        <f>'дод 3'!I233+'дод 3'!I29</f>
        <v>0</v>
      </c>
      <c r="I143" s="84">
        <f>'дод 3'!J233+'дод 3'!J29</f>
        <v>0</v>
      </c>
      <c r="J143" s="84">
        <f>'дод 3'!K233+'дод 3'!K29</f>
        <v>0</v>
      </c>
      <c r="K143" s="84">
        <f>'дод 3'!L233+'дод 3'!L29</f>
        <v>0</v>
      </c>
      <c r="L143" s="84">
        <f>'дод 3'!M233+'дод 3'!M29</f>
        <v>0</v>
      </c>
      <c r="M143" s="84">
        <f>'дод 3'!N233+'дод 3'!N29</f>
        <v>0</v>
      </c>
      <c r="N143" s="84">
        <f>'дод 3'!O233+'дод 3'!O29</f>
        <v>0</v>
      </c>
      <c r="O143" s="84">
        <f>'дод 3'!P233+'дод 3'!P29</f>
        <v>20788379.810000002</v>
      </c>
      <c r="P143" s="160"/>
    </row>
    <row r="144" spans="1:16" s="87" customFormat="1" ht="21.75" customHeight="1" x14ac:dyDescent="0.45">
      <c r="A144" s="86"/>
      <c r="B144" s="86"/>
      <c r="C144" s="48" t="s">
        <v>379</v>
      </c>
      <c r="D144" s="85">
        <f>'дод 3'!E234</f>
        <v>1730679.81</v>
      </c>
      <c r="E144" s="85">
        <f>'дод 3'!F234</f>
        <v>1730679.81</v>
      </c>
      <c r="F144" s="85">
        <f>'дод 3'!G234</f>
        <v>0</v>
      </c>
      <c r="G144" s="85">
        <f>'дод 3'!H234</f>
        <v>0</v>
      </c>
      <c r="H144" s="85">
        <f>'дод 3'!I234</f>
        <v>0</v>
      </c>
      <c r="I144" s="85">
        <f>'дод 3'!J234</f>
        <v>0</v>
      </c>
      <c r="J144" s="85">
        <f>'дод 3'!K234</f>
        <v>0</v>
      </c>
      <c r="K144" s="85">
        <f>'дод 3'!L234</f>
        <v>0</v>
      </c>
      <c r="L144" s="85">
        <f>'дод 3'!M234</f>
        <v>0</v>
      </c>
      <c r="M144" s="85">
        <f>'дод 3'!N234</f>
        <v>0</v>
      </c>
      <c r="N144" s="85">
        <f>'дод 3'!O234</f>
        <v>0</v>
      </c>
      <c r="O144" s="85">
        <f>'дод 3'!P234</f>
        <v>1730679.81</v>
      </c>
      <c r="P144" s="160"/>
    </row>
    <row r="145" spans="1:16" ht="36" customHeight="1" x14ac:dyDescent="0.45">
      <c r="A145" s="45" t="s">
        <v>309</v>
      </c>
      <c r="B145" s="45" t="s">
        <v>52</v>
      </c>
      <c r="C145" s="33" t="s">
        <v>308</v>
      </c>
      <c r="D145" s="84">
        <f>'дод 3'!E235</f>
        <v>1000000</v>
      </c>
      <c r="E145" s="84">
        <f>'дод 3'!F235</f>
        <v>1000000</v>
      </c>
      <c r="F145" s="84">
        <f>'дод 3'!G235</f>
        <v>0</v>
      </c>
      <c r="G145" s="84">
        <f>'дод 3'!H235</f>
        <v>0</v>
      </c>
      <c r="H145" s="84">
        <f>'дод 3'!I235</f>
        <v>0</v>
      </c>
      <c r="I145" s="84">
        <f>'дод 3'!J235</f>
        <v>0</v>
      </c>
      <c r="J145" s="84">
        <f>'дод 3'!K235</f>
        <v>0</v>
      </c>
      <c r="K145" s="84">
        <f>'дод 3'!L235</f>
        <v>0</v>
      </c>
      <c r="L145" s="84">
        <f>'дод 3'!M235</f>
        <v>0</v>
      </c>
      <c r="M145" s="84">
        <f>'дод 3'!N235</f>
        <v>0</v>
      </c>
      <c r="N145" s="84">
        <f>'дод 3'!O235</f>
        <v>0</v>
      </c>
      <c r="O145" s="84">
        <f>'дод 3'!P235</f>
        <v>1000000</v>
      </c>
      <c r="P145" s="160"/>
    </row>
    <row r="146" spans="1:16" ht="34.5" customHeight="1" x14ac:dyDescent="0.45">
      <c r="A146" s="45" t="s">
        <v>120</v>
      </c>
      <c r="B146" s="45" t="s">
        <v>52</v>
      </c>
      <c r="C146" s="33" t="s">
        <v>19</v>
      </c>
      <c r="D146" s="84">
        <f>'дод 3'!E236+'дод 3'!E30</f>
        <v>45654300</v>
      </c>
      <c r="E146" s="84">
        <f>'дод 3'!F236+'дод 3'!F30</f>
        <v>45654300</v>
      </c>
      <c r="F146" s="84">
        <f>'дод 3'!G236+'дод 3'!G30</f>
        <v>0</v>
      </c>
      <c r="G146" s="84">
        <f>'дод 3'!H236+'дод 3'!H30</f>
        <v>0</v>
      </c>
      <c r="H146" s="84">
        <f>'дод 3'!I236+'дод 3'!I30</f>
        <v>0</v>
      </c>
      <c r="I146" s="84">
        <f>'дод 3'!J236+'дод 3'!J30</f>
        <v>0</v>
      </c>
      <c r="J146" s="84">
        <f>'дод 3'!K236+'дод 3'!K30</f>
        <v>0</v>
      </c>
      <c r="K146" s="84">
        <f>'дод 3'!L236+'дод 3'!L30</f>
        <v>0</v>
      </c>
      <c r="L146" s="84">
        <f>'дод 3'!M236+'дод 3'!M30</f>
        <v>0</v>
      </c>
      <c r="M146" s="84">
        <f>'дод 3'!N236+'дод 3'!N30</f>
        <v>0</v>
      </c>
      <c r="N146" s="84">
        <f>'дод 3'!O236+'дод 3'!O30</f>
        <v>0</v>
      </c>
      <c r="O146" s="84">
        <f>'дод 3'!P236+'дод 3'!P30</f>
        <v>45654300</v>
      </c>
      <c r="P146" s="160"/>
    </row>
    <row r="147" spans="1:16" ht="51.75" customHeight="1" x14ac:dyDescent="0.45">
      <c r="A147" s="45" t="s">
        <v>97</v>
      </c>
      <c r="B147" s="45" t="s">
        <v>52</v>
      </c>
      <c r="C147" s="33" t="s">
        <v>389</v>
      </c>
      <c r="D147" s="84">
        <f>'дод 3'!E237</f>
        <v>792300</v>
      </c>
      <c r="E147" s="84">
        <f>'дод 3'!F237</f>
        <v>792300</v>
      </c>
      <c r="F147" s="84">
        <f>'дод 3'!G237</f>
        <v>0</v>
      </c>
      <c r="G147" s="84">
        <f>'дод 3'!H237</f>
        <v>0</v>
      </c>
      <c r="H147" s="84">
        <f>'дод 3'!I237</f>
        <v>0</v>
      </c>
      <c r="I147" s="84">
        <f>'дод 3'!J237</f>
        <v>0</v>
      </c>
      <c r="J147" s="84">
        <f>'дод 3'!K237</f>
        <v>0</v>
      </c>
      <c r="K147" s="84">
        <f>'дод 3'!L237</f>
        <v>0</v>
      </c>
      <c r="L147" s="84">
        <f>'дод 3'!M237</f>
        <v>0</v>
      </c>
      <c r="M147" s="84">
        <f>'дод 3'!N237</f>
        <v>0</v>
      </c>
      <c r="N147" s="84">
        <f>'дод 3'!O237</f>
        <v>0</v>
      </c>
      <c r="O147" s="84">
        <f>'дод 3'!P237</f>
        <v>792300</v>
      </c>
      <c r="P147" s="160"/>
    </row>
    <row r="148" spans="1:16" s="87" customFormat="1" ht="15.75" customHeight="1" x14ac:dyDescent="0.45">
      <c r="A148" s="86"/>
      <c r="B148" s="86"/>
      <c r="C148" s="48" t="s">
        <v>379</v>
      </c>
      <c r="D148" s="85">
        <f>'дод 3'!E238</f>
        <v>792300</v>
      </c>
      <c r="E148" s="85">
        <f>'дод 3'!F238</f>
        <v>792300</v>
      </c>
      <c r="F148" s="85">
        <f>'дод 3'!G238</f>
        <v>0</v>
      </c>
      <c r="G148" s="85">
        <f>'дод 3'!H238</f>
        <v>0</v>
      </c>
      <c r="H148" s="85">
        <f>'дод 3'!I238</f>
        <v>0</v>
      </c>
      <c r="I148" s="85">
        <f>'дод 3'!J238</f>
        <v>0</v>
      </c>
      <c r="J148" s="85">
        <f>'дод 3'!K238</f>
        <v>0</v>
      </c>
      <c r="K148" s="85">
        <f>'дод 3'!L238</f>
        <v>0</v>
      </c>
      <c r="L148" s="85">
        <f>'дод 3'!M238</f>
        <v>0</v>
      </c>
      <c r="M148" s="85">
        <f>'дод 3'!N238</f>
        <v>0</v>
      </c>
      <c r="N148" s="85">
        <f>'дод 3'!O238</f>
        <v>0</v>
      </c>
      <c r="O148" s="85">
        <f>'дод 3'!P238</f>
        <v>792300</v>
      </c>
      <c r="P148" s="160"/>
    </row>
    <row r="149" spans="1:16" ht="40.5" customHeight="1" x14ac:dyDescent="0.45">
      <c r="A149" s="45" t="s">
        <v>302</v>
      </c>
      <c r="B149" s="45" t="s">
        <v>50</v>
      </c>
      <c r="C149" s="33" t="s">
        <v>390</v>
      </c>
      <c r="D149" s="84">
        <f>'дод 3'!E239</f>
        <v>113154</v>
      </c>
      <c r="E149" s="84">
        <f>'дод 3'!F239</f>
        <v>113154</v>
      </c>
      <c r="F149" s="84">
        <f>'дод 3'!G239</f>
        <v>0</v>
      </c>
      <c r="G149" s="84">
        <f>'дод 3'!H239</f>
        <v>0</v>
      </c>
      <c r="H149" s="84">
        <f>'дод 3'!I239</f>
        <v>0</v>
      </c>
      <c r="I149" s="84">
        <f>'дод 3'!J239</f>
        <v>0</v>
      </c>
      <c r="J149" s="84">
        <f>'дод 3'!K239</f>
        <v>0</v>
      </c>
      <c r="K149" s="84">
        <f>'дод 3'!L239</f>
        <v>0</v>
      </c>
      <c r="L149" s="84">
        <f>'дод 3'!M239</f>
        <v>0</v>
      </c>
      <c r="M149" s="84">
        <f>'дод 3'!N239</f>
        <v>0</v>
      </c>
      <c r="N149" s="84">
        <f>'дод 3'!O239</f>
        <v>0</v>
      </c>
      <c r="O149" s="84">
        <f>'дод 3'!P239</f>
        <v>113154</v>
      </c>
      <c r="P149" s="160"/>
    </row>
    <row r="150" spans="1:16" s="87" customFormat="1" x14ac:dyDescent="0.45">
      <c r="A150" s="86"/>
      <c r="B150" s="86"/>
      <c r="C150" s="48" t="s">
        <v>379</v>
      </c>
      <c r="D150" s="85">
        <f>'дод 3'!E240</f>
        <v>113154</v>
      </c>
      <c r="E150" s="85">
        <f>'дод 3'!F240</f>
        <v>113154</v>
      </c>
      <c r="F150" s="85">
        <f>'дод 3'!G240</f>
        <v>0</v>
      </c>
      <c r="G150" s="85">
        <f>'дод 3'!H240</f>
        <v>0</v>
      </c>
      <c r="H150" s="85">
        <f>'дод 3'!I240</f>
        <v>0</v>
      </c>
      <c r="I150" s="85">
        <f>'дод 3'!J240</f>
        <v>0</v>
      </c>
      <c r="J150" s="85">
        <f>'дод 3'!K240</f>
        <v>0</v>
      </c>
      <c r="K150" s="85">
        <f>'дод 3'!L240</f>
        <v>0</v>
      </c>
      <c r="L150" s="85">
        <f>'дод 3'!M240</f>
        <v>0</v>
      </c>
      <c r="M150" s="85">
        <f>'дод 3'!N240</f>
        <v>0</v>
      </c>
      <c r="N150" s="85">
        <f>'дод 3'!O240</f>
        <v>0</v>
      </c>
      <c r="O150" s="85">
        <f>'дод 3'!P240</f>
        <v>113154</v>
      </c>
      <c r="P150" s="160"/>
    </row>
    <row r="151" spans="1:16" ht="53.85" customHeight="1" x14ac:dyDescent="0.45">
      <c r="A151" s="45" t="s">
        <v>98</v>
      </c>
      <c r="B151" s="45" t="s">
        <v>48</v>
      </c>
      <c r="C151" s="33" t="s">
        <v>29</v>
      </c>
      <c r="D151" s="84">
        <f>'дод 3'!E241</f>
        <v>25157800</v>
      </c>
      <c r="E151" s="84">
        <f>'дод 3'!F241</f>
        <v>25157800</v>
      </c>
      <c r="F151" s="84">
        <f>'дод 3'!G241</f>
        <v>18550100</v>
      </c>
      <c r="G151" s="84">
        <f>'дод 3'!H241</f>
        <v>1117300</v>
      </c>
      <c r="H151" s="84">
        <f>'дод 3'!I241</f>
        <v>0</v>
      </c>
      <c r="I151" s="84">
        <f>'дод 3'!J241</f>
        <v>167600</v>
      </c>
      <c r="J151" s="84">
        <f>'дод 3'!K241</f>
        <v>99000</v>
      </c>
      <c r="K151" s="84">
        <f>'дод 3'!L241</f>
        <v>68600</v>
      </c>
      <c r="L151" s="84">
        <f>'дод 3'!M241</f>
        <v>56100</v>
      </c>
      <c r="M151" s="84">
        <f>'дод 3'!N241</f>
        <v>0</v>
      </c>
      <c r="N151" s="84">
        <f>'дод 3'!O241</f>
        <v>99000</v>
      </c>
      <c r="O151" s="84">
        <f>'дод 3'!P241</f>
        <v>25325400</v>
      </c>
      <c r="P151" s="160"/>
    </row>
    <row r="152" spans="1:16" ht="56.65" customHeight="1" x14ac:dyDescent="0.45">
      <c r="A152" s="45" t="s">
        <v>318</v>
      </c>
      <c r="B152" s="45" t="s">
        <v>96</v>
      </c>
      <c r="C152" s="24" t="s">
        <v>319</v>
      </c>
      <c r="D152" s="84">
        <f>SUM('дод 3'!E276)</f>
        <v>116300</v>
      </c>
      <c r="E152" s="84">
        <f>SUM('дод 3'!F276)</f>
        <v>116300</v>
      </c>
      <c r="F152" s="84">
        <f>SUM('дод 3'!G276)</f>
        <v>0</v>
      </c>
      <c r="G152" s="84">
        <f>SUM('дод 3'!H276)</f>
        <v>0</v>
      </c>
      <c r="H152" s="84">
        <f>SUM('дод 3'!I276)</f>
        <v>0</v>
      </c>
      <c r="I152" s="84">
        <f>SUM('дод 3'!J276)</f>
        <v>0</v>
      </c>
      <c r="J152" s="84">
        <f>SUM('дод 3'!K276)</f>
        <v>0</v>
      </c>
      <c r="K152" s="84">
        <f>SUM('дод 3'!L276)</f>
        <v>0</v>
      </c>
      <c r="L152" s="84">
        <f>SUM('дод 3'!M276)</f>
        <v>0</v>
      </c>
      <c r="M152" s="84">
        <f>SUM('дод 3'!N276)</f>
        <v>0</v>
      </c>
      <c r="N152" s="84">
        <f>SUM('дод 3'!O276)</f>
        <v>0</v>
      </c>
      <c r="O152" s="84">
        <f>SUM('дод 3'!P276)</f>
        <v>116300</v>
      </c>
      <c r="P152" s="160"/>
    </row>
    <row r="153" spans="1:16" s="87" customFormat="1" ht="31.35" customHeight="1" x14ac:dyDescent="0.45">
      <c r="A153" s="45" t="s">
        <v>99</v>
      </c>
      <c r="B153" s="45" t="s">
        <v>96</v>
      </c>
      <c r="C153" s="33" t="s">
        <v>30</v>
      </c>
      <c r="D153" s="84">
        <f>'дод 3'!E277</f>
        <v>170000</v>
      </c>
      <c r="E153" s="84">
        <f>'дод 3'!F277</f>
        <v>170000</v>
      </c>
      <c r="F153" s="84">
        <f>'дод 3'!G277</f>
        <v>0</v>
      </c>
      <c r="G153" s="84">
        <f>'дод 3'!H277</f>
        <v>0</v>
      </c>
      <c r="H153" s="84">
        <f>'дод 3'!I277</f>
        <v>0</v>
      </c>
      <c r="I153" s="84">
        <f>'дод 3'!J277</f>
        <v>0</v>
      </c>
      <c r="J153" s="84">
        <f>'дод 3'!K277</f>
        <v>0</v>
      </c>
      <c r="K153" s="84">
        <f>'дод 3'!L277</f>
        <v>0</v>
      </c>
      <c r="L153" s="84">
        <f>'дод 3'!M277</f>
        <v>0</v>
      </c>
      <c r="M153" s="84">
        <f>'дод 3'!N277</f>
        <v>0</v>
      </c>
      <c r="N153" s="84">
        <f>'дод 3'!O277</f>
        <v>0</v>
      </c>
      <c r="O153" s="84">
        <f>'дод 3'!P277</f>
        <v>170000</v>
      </c>
      <c r="P153" s="160"/>
    </row>
    <row r="154" spans="1:16" s="87" customFormat="1" ht="42.4" customHeight="1" x14ac:dyDescent="0.45">
      <c r="A154" s="45" t="s">
        <v>121</v>
      </c>
      <c r="B154" s="45" t="s">
        <v>96</v>
      </c>
      <c r="C154" s="33" t="s">
        <v>745</v>
      </c>
      <c r="D154" s="84">
        <f>'дод 3'!E31</f>
        <v>4262000</v>
      </c>
      <c r="E154" s="84">
        <f>'дод 3'!F31</f>
        <v>4262000</v>
      </c>
      <c r="F154" s="84">
        <f>'дод 3'!G31</f>
        <v>3046100</v>
      </c>
      <c r="G154" s="84">
        <f>'дод 3'!H31</f>
        <v>106600</v>
      </c>
      <c r="H154" s="84">
        <f>'дод 3'!I31</f>
        <v>0</v>
      </c>
      <c r="I154" s="84">
        <f>'дод 3'!J31</f>
        <v>2100000</v>
      </c>
      <c r="J154" s="84">
        <f>'дод 3'!K31</f>
        <v>2100000</v>
      </c>
      <c r="K154" s="84">
        <f>'дод 3'!L31</f>
        <v>0</v>
      </c>
      <c r="L154" s="84">
        <f>'дод 3'!M31</f>
        <v>0</v>
      </c>
      <c r="M154" s="84">
        <f>'дод 3'!N31</f>
        <v>0</v>
      </c>
      <c r="N154" s="84">
        <f>'дод 3'!O31</f>
        <v>2100000</v>
      </c>
      <c r="O154" s="84">
        <f>'дод 3'!P31</f>
        <v>6362000</v>
      </c>
      <c r="P154" s="160"/>
    </row>
    <row r="155" spans="1:16" s="87" customFormat="1" ht="66" customHeight="1" x14ac:dyDescent="0.45">
      <c r="A155" s="86"/>
      <c r="B155" s="86"/>
      <c r="C155" s="48" t="s">
        <v>733</v>
      </c>
      <c r="D155" s="85">
        <f>'дод 3'!E32</f>
        <v>0</v>
      </c>
      <c r="E155" s="85">
        <f>'дод 3'!F32</f>
        <v>0</v>
      </c>
      <c r="F155" s="85">
        <f>'дод 3'!G32</f>
        <v>0</v>
      </c>
      <c r="G155" s="85">
        <f>'дод 3'!H32</f>
        <v>0</v>
      </c>
      <c r="H155" s="85">
        <f>'дод 3'!I32</f>
        <v>0</v>
      </c>
      <c r="I155" s="85">
        <f>'дод 3'!J32</f>
        <v>2000000</v>
      </c>
      <c r="J155" s="85">
        <f>'дод 3'!K32</f>
        <v>2000000</v>
      </c>
      <c r="K155" s="85">
        <f>'дод 3'!L32</f>
        <v>0</v>
      </c>
      <c r="L155" s="85">
        <f>'дод 3'!M32</f>
        <v>0</v>
      </c>
      <c r="M155" s="85">
        <f>'дод 3'!N32</f>
        <v>0</v>
      </c>
      <c r="N155" s="85">
        <f>'дод 3'!O32</f>
        <v>2000000</v>
      </c>
      <c r="O155" s="85">
        <f>'дод 3'!P32</f>
        <v>2000000</v>
      </c>
      <c r="P155" s="160"/>
    </row>
    <row r="156" spans="1:16" s="87" customFormat="1" ht="32.25" customHeight="1" x14ac:dyDescent="0.45">
      <c r="A156" s="45" t="s">
        <v>103</v>
      </c>
      <c r="B156" s="45" t="s">
        <v>96</v>
      </c>
      <c r="C156" s="33" t="s">
        <v>326</v>
      </c>
      <c r="D156" s="84">
        <f>'дод 3'!E33</f>
        <v>500000</v>
      </c>
      <c r="E156" s="84">
        <f>'дод 3'!F33</f>
        <v>500000</v>
      </c>
      <c r="F156" s="84">
        <f>'дод 3'!G33</f>
        <v>0</v>
      </c>
      <c r="G156" s="84">
        <f>'дод 3'!H33</f>
        <v>0</v>
      </c>
      <c r="H156" s="84">
        <f>'дод 3'!I33</f>
        <v>0</v>
      </c>
      <c r="I156" s="84">
        <f>'дод 3'!J33</f>
        <v>0</v>
      </c>
      <c r="J156" s="84">
        <f>'дод 3'!K33</f>
        <v>0</v>
      </c>
      <c r="K156" s="84">
        <f>'дод 3'!L33</f>
        <v>0</v>
      </c>
      <c r="L156" s="84">
        <f>'дод 3'!M33</f>
        <v>0</v>
      </c>
      <c r="M156" s="84">
        <f>'дод 3'!N33</f>
        <v>0</v>
      </c>
      <c r="N156" s="84">
        <f>'дод 3'!O33</f>
        <v>0</v>
      </c>
      <c r="O156" s="84">
        <f>'дод 3'!P33</f>
        <v>500000</v>
      </c>
      <c r="P156" s="160"/>
    </row>
    <row r="157" spans="1:16" s="87" customFormat="1" ht="26.25" customHeight="1" x14ac:dyDescent="0.45">
      <c r="A157" s="45">
        <v>3133</v>
      </c>
      <c r="B157" s="45">
        <v>1040</v>
      </c>
      <c r="C157" s="33" t="s">
        <v>534</v>
      </c>
      <c r="D157" s="84">
        <f>'дод 3'!E34</f>
        <v>6017000</v>
      </c>
      <c r="E157" s="84">
        <f>'дод 3'!F34</f>
        <v>6017000</v>
      </c>
      <c r="F157" s="84">
        <f>'дод 3'!G34</f>
        <v>3357200</v>
      </c>
      <c r="G157" s="84">
        <f>'дод 3'!H34</f>
        <v>1085700</v>
      </c>
      <c r="H157" s="84">
        <f>'дод 3'!I34</f>
        <v>0</v>
      </c>
      <c r="I157" s="84">
        <f>'дод 3'!J34</f>
        <v>10000</v>
      </c>
      <c r="J157" s="84">
        <f>'дод 3'!K34</f>
        <v>0</v>
      </c>
      <c r="K157" s="84">
        <f>'дод 3'!L34</f>
        <v>10000</v>
      </c>
      <c r="L157" s="84">
        <f>'дод 3'!M34</f>
        <v>0</v>
      </c>
      <c r="M157" s="84">
        <f>'дод 3'!N34</f>
        <v>3500</v>
      </c>
      <c r="N157" s="84">
        <f>'дод 3'!O34</f>
        <v>0</v>
      </c>
      <c r="O157" s="84">
        <f>'дод 3'!P34</f>
        <v>6027000</v>
      </c>
      <c r="P157" s="160">
        <v>7</v>
      </c>
    </row>
    <row r="158" spans="1:16" ht="69" customHeight="1" x14ac:dyDescent="0.45">
      <c r="A158" s="45" t="s">
        <v>104</v>
      </c>
      <c r="B158" s="45" t="s">
        <v>96</v>
      </c>
      <c r="C158" s="35" t="s">
        <v>20</v>
      </c>
      <c r="D158" s="84">
        <f>'дод 3'!E35+'дод 3'!E136+'дод 3'!E242+'дод 3'!E150</f>
        <v>1400000</v>
      </c>
      <c r="E158" s="84">
        <f>'дод 3'!F35+'дод 3'!F136+'дод 3'!F242+'дод 3'!F150</f>
        <v>1400000</v>
      </c>
      <c r="F158" s="84">
        <f>'дод 3'!G35+'дод 3'!G136+'дод 3'!G242+'дод 3'!G150</f>
        <v>0</v>
      </c>
      <c r="G158" s="84">
        <f>'дод 3'!H35+'дод 3'!H136+'дод 3'!H242+'дод 3'!H150</f>
        <v>0</v>
      </c>
      <c r="H158" s="84">
        <f>'дод 3'!I35+'дод 3'!I136+'дод 3'!I242+'дод 3'!I150</f>
        <v>0</v>
      </c>
      <c r="I158" s="84">
        <f>'дод 3'!J35+'дод 3'!J136+'дод 3'!J242+'дод 3'!J150</f>
        <v>0</v>
      </c>
      <c r="J158" s="84">
        <f>'дод 3'!K35+'дод 3'!K136+'дод 3'!K242+'дод 3'!K150</f>
        <v>0</v>
      </c>
      <c r="K158" s="84">
        <f>'дод 3'!L35+'дод 3'!L136+'дод 3'!L242+'дод 3'!L150</f>
        <v>0</v>
      </c>
      <c r="L158" s="84">
        <f>'дод 3'!M35+'дод 3'!M136+'дод 3'!M242+'дод 3'!M150</f>
        <v>0</v>
      </c>
      <c r="M158" s="84">
        <f>'дод 3'!N35+'дод 3'!N136+'дод 3'!N242+'дод 3'!N150</f>
        <v>0</v>
      </c>
      <c r="N158" s="84">
        <f>'дод 3'!O35+'дод 3'!O136+'дод 3'!O242+'дод 3'!O150</f>
        <v>0</v>
      </c>
      <c r="O158" s="84">
        <f>'дод 3'!P35+'дод 3'!P136+'дод 3'!P242+'дод 3'!P150</f>
        <v>1400000</v>
      </c>
      <c r="P158" s="160"/>
    </row>
    <row r="159" spans="1:16" ht="68.25" customHeight="1" x14ac:dyDescent="0.45">
      <c r="A159" s="45" t="s">
        <v>105</v>
      </c>
      <c r="B159" s="45">
        <v>1010</v>
      </c>
      <c r="C159" s="33" t="s">
        <v>668</v>
      </c>
      <c r="D159" s="84">
        <f>'дод 3'!E243</f>
        <v>19840100</v>
      </c>
      <c r="E159" s="84">
        <f>'дод 3'!F243</f>
        <v>19840100</v>
      </c>
      <c r="F159" s="84">
        <f>'дод 3'!G243</f>
        <v>0</v>
      </c>
      <c r="G159" s="84">
        <f>'дод 3'!H243</f>
        <v>0</v>
      </c>
      <c r="H159" s="84">
        <f>'дод 3'!I243</f>
        <v>0</v>
      </c>
      <c r="I159" s="84">
        <f>'дод 3'!J243</f>
        <v>0</v>
      </c>
      <c r="J159" s="84">
        <f>'дод 3'!K243</f>
        <v>0</v>
      </c>
      <c r="K159" s="84">
        <f>'дод 3'!L243</f>
        <v>0</v>
      </c>
      <c r="L159" s="84">
        <f>'дод 3'!M243</f>
        <v>0</v>
      </c>
      <c r="M159" s="84">
        <f>'дод 3'!N243</f>
        <v>0</v>
      </c>
      <c r="N159" s="84">
        <f>'дод 3'!O243</f>
        <v>0</v>
      </c>
      <c r="O159" s="84">
        <f>'дод 3'!P243</f>
        <v>19840100</v>
      </c>
      <c r="P159" s="160"/>
    </row>
    <row r="160" spans="1:16" s="87" customFormat="1" ht="92.25" x14ac:dyDescent="0.45">
      <c r="A160" s="86"/>
      <c r="B160" s="86"/>
      <c r="C160" s="48" t="s">
        <v>669</v>
      </c>
      <c r="D160" s="85">
        <f>'дод 3'!E244</f>
        <v>1495257</v>
      </c>
      <c r="E160" s="85">
        <f>'дод 3'!F244</f>
        <v>1495257</v>
      </c>
      <c r="F160" s="85">
        <f>'дод 3'!G244</f>
        <v>0</v>
      </c>
      <c r="G160" s="85">
        <f>'дод 3'!H244</f>
        <v>0</v>
      </c>
      <c r="H160" s="85">
        <f>'дод 3'!I244</f>
        <v>0</v>
      </c>
      <c r="I160" s="85">
        <f>'дод 3'!J244</f>
        <v>0</v>
      </c>
      <c r="J160" s="85">
        <f>'дод 3'!K244</f>
        <v>0</v>
      </c>
      <c r="K160" s="85">
        <f>'дод 3'!L244</f>
        <v>0</v>
      </c>
      <c r="L160" s="85">
        <f>'дод 3'!M244</f>
        <v>0</v>
      </c>
      <c r="M160" s="85">
        <f>'дод 3'!N244</f>
        <v>0</v>
      </c>
      <c r="N160" s="85">
        <f>'дод 3'!O244</f>
        <v>0</v>
      </c>
      <c r="O160" s="85">
        <f>'дод 3'!P244</f>
        <v>1495257</v>
      </c>
      <c r="P160" s="160"/>
    </row>
    <row r="161" spans="1:16" s="87" customFormat="1" ht="76.900000000000006" x14ac:dyDescent="0.45">
      <c r="A161" s="86"/>
      <c r="B161" s="86"/>
      <c r="C161" s="48" t="s">
        <v>619</v>
      </c>
      <c r="D161" s="85">
        <f>'дод 3'!E245</f>
        <v>9886200</v>
      </c>
      <c r="E161" s="85">
        <f>'дод 3'!F245</f>
        <v>9886200</v>
      </c>
      <c r="F161" s="85">
        <f>'дод 3'!G245</f>
        <v>0</v>
      </c>
      <c r="G161" s="85">
        <f>'дод 3'!H245</f>
        <v>0</v>
      </c>
      <c r="H161" s="85">
        <f>'дод 3'!I245</f>
        <v>0</v>
      </c>
      <c r="I161" s="85">
        <f>'дод 3'!J245</f>
        <v>0</v>
      </c>
      <c r="J161" s="85">
        <f>'дод 3'!K245</f>
        <v>0</v>
      </c>
      <c r="K161" s="85">
        <f>'дод 3'!L245</f>
        <v>0</v>
      </c>
      <c r="L161" s="85">
        <f>'дод 3'!M245</f>
        <v>0</v>
      </c>
      <c r="M161" s="85">
        <f>'дод 3'!N245</f>
        <v>0</v>
      </c>
      <c r="N161" s="85">
        <f>'дод 3'!O245</f>
        <v>0</v>
      </c>
      <c r="O161" s="85">
        <f>'дод 3'!P245</f>
        <v>9886200</v>
      </c>
      <c r="P161" s="160"/>
    </row>
    <row r="162" spans="1:16" s="87" customFormat="1" ht="63" customHeight="1" x14ac:dyDescent="0.45">
      <c r="A162" s="45" t="s">
        <v>303</v>
      </c>
      <c r="B162" s="45">
        <v>1010</v>
      </c>
      <c r="C162" s="33" t="s">
        <v>386</v>
      </c>
      <c r="D162" s="84">
        <f>'дод 3'!E246</f>
        <v>213862</v>
      </c>
      <c r="E162" s="84">
        <f>'дод 3'!F246</f>
        <v>213862</v>
      </c>
      <c r="F162" s="84">
        <f>'дод 3'!G246</f>
        <v>0</v>
      </c>
      <c r="G162" s="84">
        <f>'дод 3'!H246</f>
        <v>0</v>
      </c>
      <c r="H162" s="84">
        <f>'дод 3'!I246</f>
        <v>0</v>
      </c>
      <c r="I162" s="84">
        <f>'дод 3'!J246</f>
        <v>0</v>
      </c>
      <c r="J162" s="84">
        <f>'дод 3'!K246</f>
        <v>0</v>
      </c>
      <c r="K162" s="84">
        <f>'дод 3'!L246</f>
        <v>0</v>
      </c>
      <c r="L162" s="84">
        <f>'дод 3'!M246</f>
        <v>0</v>
      </c>
      <c r="M162" s="84">
        <f>'дод 3'!N246</f>
        <v>0</v>
      </c>
      <c r="N162" s="84">
        <f>'дод 3'!O246</f>
        <v>0</v>
      </c>
      <c r="O162" s="84">
        <f>'дод 3'!P246</f>
        <v>213862</v>
      </c>
      <c r="P162" s="160"/>
    </row>
    <row r="163" spans="1:16" s="87" customFormat="1" ht="15.75" customHeight="1" x14ac:dyDescent="0.45">
      <c r="A163" s="86"/>
      <c r="B163" s="86"/>
      <c r="C163" s="48" t="s">
        <v>379</v>
      </c>
      <c r="D163" s="85">
        <f>'дод 3'!E247</f>
        <v>213862</v>
      </c>
      <c r="E163" s="85">
        <f>'дод 3'!F247</f>
        <v>213862</v>
      </c>
      <c r="F163" s="85">
        <f>'дод 3'!G247</f>
        <v>0</v>
      </c>
      <c r="G163" s="85">
        <f>'дод 3'!H247</f>
        <v>0</v>
      </c>
      <c r="H163" s="85">
        <f>'дод 3'!I247</f>
        <v>0</v>
      </c>
      <c r="I163" s="85">
        <f>'дод 3'!J247</f>
        <v>0</v>
      </c>
      <c r="J163" s="85">
        <f>'дод 3'!K247</f>
        <v>0</v>
      </c>
      <c r="K163" s="85">
        <f>'дод 3'!L247</f>
        <v>0</v>
      </c>
      <c r="L163" s="85">
        <f>'дод 3'!M247</f>
        <v>0</v>
      </c>
      <c r="M163" s="85">
        <f>'дод 3'!N247</f>
        <v>0</v>
      </c>
      <c r="N163" s="85">
        <f>'дод 3'!O247</f>
        <v>0</v>
      </c>
      <c r="O163" s="85">
        <f>'дод 3'!P247</f>
        <v>213862</v>
      </c>
      <c r="P163" s="160"/>
    </row>
    <row r="164" spans="1:16" s="87" customFormat="1" ht="36" hidden="1" customHeight="1" x14ac:dyDescent="0.45">
      <c r="A164" s="45" t="s">
        <v>304</v>
      </c>
      <c r="B164" s="45">
        <v>1010</v>
      </c>
      <c r="C164" s="33" t="s">
        <v>387</v>
      </c>
      <c r="D164" s="84">
        <f>'дод 3'!E248</f>
        <v>0</v>
      </c>
      <c r="E164" s="84">
        <f>'дод 3'!F248</f>
        <v>0</v>
      </c>
      <c r="F164" s="84">
        <f>'дод 3'!G248</f>
        <v>0</v>
      </c>
      <c r="G164" s="84">
        <f>'дод 3'!H248</f>
        <v>0</v>
      </c>
      <c r="H164" s="84">
        <f>'дод 3'!I248</f>
        <v>0</v>
      </c>
      <c r="I164" s="84">
        <f>'дод 3'!J248</f>
        <v>0</v>
      </c>
      <c r="J164" s="84">
        <f>'дод 3'!K248</f>
        <v>0</v>
      </c>
      <c r="K164" s="84">
        <f>'дод 3'!L248</f>
        <v>0</v>
      </c>
      <c r="L164" s="84">
        <f>'дод 3'!M248</f>
        <v>0</v>
      </c>
      <c r="M164" s="84">
        <f>'дод 3'!N248</f>
        <v>0</v>
      </c>
      <c r="N164" s="84">
        <f>'дод 3'!O248</f>
        <v>0</v>
      </c>
      <c r="O164" s="84">
        <f>'дод 3'!P248</f>
        <v>0</v>
      </c>
      <c r="P164" s="160"/>
    </row>
    <row r="165" spans="1:16" s="87" customFormat="1" ht="15.75" hidden="1" customHeight="1" x14ac:dyDescent="0.45">
      <c r="A165" s="86"/>
      <c r="B165" s="86"/>
      <c r="C165" s="48" t="s">
        <v>379</v>
      </c>
      <c r="D165" s="85">
        <f>'дод 3'!E249</f>
        <v>0</v>
      </c>
      <c r="E165" s="85">
        <f>'дод 3'!F249</f>
        <v>0</v>
      </c>
      <c r="F165" s="85">
        <f>'дод 3'!G249</f>
        <v>0</v>
      </c>
      <c r="G165" s="85">
        <f>'дод 3'!H249</f>
        <v>0</v>
      </c>
      <c r="H165" s="85">
        <f>'дод 3'!I249</f>
        <v>0</v>
      </c>
      <c r="I165" s="85">
        <f>'дод 3'!J249</f>
        <v>0</v>
      </c>
      <c r="J165" s="85">
        <f>'дод 3'!K249</f>
        <v>0</v>
      </c>
      <c r="K165" s="85">
        <f>'дод 3'!L249</f>
        <v>0</v>
      </c>
      <c r="L165" s="85">
        <f>'дод 3'!M249</f>
        <v>0</v>
      </c>
      <c r="M165" s="85">
        <f>'дод 3'!N249</f>
        <v>0</v>
      </c>
      <c r="N165" s="85">
        <f>'дод 3'!O249</f>
        <v>0</v>
      </c>
      <c r="O165" s="85">
        <f>'дод 3'!P249</f>
        <v>0</v>
      </c>
      <c r="P165" s="160"/>
    </row>
    <row r="166" spans="1:16" ht="72.75" hidden="1" customHeight="1" x14ac:dyDescent="0.45">
      <c r="A166" s="45" t="s">
        <v>100</v>
      </c>
      <c r="B166" s="45" t="s">
        <v>51</v>
      </c>
      <c r="C166" s="33" t="s">
        <v>327</v>
      </c>
      <c r="D166" s="84">
        <f>'дод 3'!E250</f>
        <v>0</v>
      </c>
      <c r="E166" s="84">
        <f>'дод 3'!F250</f>
        <v>0</v>
      </c>
      <c r="F166" s="84">
        <f>'дод 3'!G250</f>
        <v>0</v>
      </c>
      <c r="G166" s="84">
        <f>'дод 3'!H250</f>
        <v>0</v>
      </c>
      <c r="H166" s="84">
        <f>'дод 3'!I250</f>
        <v>0</v>
      </c>
      <c r="I166" s="84">
        <f>'дод 3'!J250</f>
        <v>0</v>
      </c>
      <c r="J166" s="84">
        <f>'дод 3'!K250</f>
        <v>0</v>
      </c>
      <c r="K166" s="84">
        <f>'дод 3'!L250</f>
        <v>0</v>
      </c>
      <c r="L166" s="84">
        <f>'дод 3'!M250</f>
        <v>0</v>
      </c>
      <c r="M166" s="84">
        <f>'дод 3'!N250</f>
        <v>0</v>
      </c>
      <c r="N166" s="84">
        <f>'дод 3'!O250</f>
        <v>0</v>
      </c>
      <c r="O166" s="84">
        <f>'дод 3'!P250</f>
        <v>0</v>
      </c>
      <c r="P166" s="160"/>
    </row>
    <row r="167" spans="1:16" s="87" customFormat="1" ht="34.5" customHeight="1" x14ac:dyDescent="0.45">
      <c r="A167" s="45" t="s">
        <v>275</v>
      </c>
      <c r="B167" s="45" t="s">
        <v>50</v>
      </c>
      <c r="C167" s="33" t="s">
        <v>18</v>
      </c>
      <c r="D167" s="84">
        <f>'дод 3'!E251</f>
        <v>6724251</v>
      </c>
      <c r="E167" s="84">
        <f>'дод 3'!F251</f>
        <v>6724251</v>
      </c>
      <c r="F167" s="84">
        <f>'дод 3'!G251</f>
        <v>0</v>
      </c>
      <c r="G167" s="84">
        <f>'дод 3'!H251</f>
        <v>0</v>
      </c>
      <c r="H167" s="84">
        <f>'дод 3'!I251</f>
        <v>0</v>
      </c>
      <c r="I167" s="84">
        <f>'дод 3'!J251</f>
        <v>0</v>
      </c>
      <c r="J167" s="84">
        <f>'дод 3'!K251</f>
        <v>0</v>
      </c>
      <c r="K167" s="84">
        <f>'дод 3'!L251</f>
        <v>0</v>
      </c>
      <c r="L167" s="84">
        <f>'дод 3'!M251</f>
        <v>0</v>
      </c>
      <c r="M167" s="84">
        <f>'дод 3'!N251</f>
        <v>0</v>
      </c>
      <c r="N167" s="84">
        <f>'дод 3'!O251</f>
        <v>0</v>
      </c>
      <c r="O167" s="84">
        <f>'дод 3'!P251</f>
        <v>6724251</v>
      </c>
      <c r="P167" s="160"/>
    </row>
    <row r="168" spans="1:16" s="87" customFormat="1" ht="59.25" customHeight="1" x14ac:dyDescent="0.45">
      <c r="A168" s="45" t="s">
        <v>276</v>
      </c>
      <c r="B168" s="45" t="s">
        <v>50</v>
      </c>
      <c r="C168" s="24" t="s">
        <v>467</v>
      </c>
      <c r="D168" s="84">
        <f>'дод 3'!E252</f>
        <v>2036420</v>
      </c>
      <c r="E168" s="84">
        <f>'дод 3'!F252</f>
        <v>2036420</v>
      </c>
      <c r="F168" s="84">
        <f>'дод 3'!G252</f>
        <v>0</v>
      </c>
      <c r="G168" s="84">
        <f>'дод 3'!H252</f>
        <v>0</v>
      </c>
      <c r="H168" s="84">
        <f>'дод 3'!I252</f>
        <v>0</v>
      </c>
      <c r="I168" s="84">
        <f>'дод 3'!J252</f>
        <v>0</v>
      </c>
      <c r="J168" s="84">
        <f>'дод 3'!K252</f>
        <v>0</v>
      </c>
      <c r="K168" s="84">
        <f>'дод 3'!L252</f>
        <v>0</v>
      </c>
      <c r="L168" s="84">
        <f>'дод 3'!M252</f>
        <v>0</v>
      </c>
      <c r="M168" s="84">
        <f>'дод 3'!N252</f>
        <v>0</v>
      </c>
      <c r="N168" s="84">
        <f>'дод 3'!O252</f>
        <v>0</v>
      </c>
      <c r="O168" s="84">
        <f>'дод 3'!P252</f>
        <v>2036420</v>
      </c>
      <c r="P168" s="160"/>
    </row>
    <row r="169" spans="1:16" s="87" customFormat="1" ht="68.25" customHeight="1" x14ac:dyDescent="0.45">
      <c r="A169" s="23">
        <v>3193</v>
      </c>
      <c r="B169" s="23">
        <v>1030</v>
      </c>
      <c r="C169" s="24" t="s">
        <v>760</v>
      </c>
      <c r="D169" s="84">
        <f>'дод 3'!E253</f>
        <v>184288.32</v>
      </c>
      <c r="E169" s="84">
        <f>'дод 3'!F253</f>
        <v>184288.32</v>
      </c>
      <c r="F169" s="84">
        <f>'дод 3'!G253</f>
        <v>151056</v>
      </c>
      <c r="G169" s="84">
        <f>'дод 3'!H253</f>
        <v>0</v>
      </c>
      <c r="H169" s="84">
        <f>'дод 3'!I253</f>
        <v>0</v>
      </c>
      <c r="I169" s="84">
        <f>'дод 3'!J253</f>
        <v>0</v>
      </c>
      <c r="J169" s="84">
        <f>'дод 3'!K253</f>
        <v>0</v>
      </c>
      <c r="K169" s="84">
        <f>'дод 3'!L253</f>
        <v>0</v>
      </c>
      <c r="L169" s="84">
        <f>'дод 3'!M253</f>
        <v>0</v>
      </c>
      <c r="M169" s="84">
        <f>'дод 3'!N253</f>
        <v>0</v>
      </c>
      <c r="N169" s="84">
        <f>'дод 3'!O253</f>
        <v>0</v>
      </c>
      <c r="O169" s="84">
        <f>'дод 3'!P253</f>
        <v>184288.32</v>
      </c>
      <c r="P169" s="160"/>
    </row>
    <row r="170" spans="1:16" s="87" customFormat="1" ht="84.75" customHeight="1" x14ac:dyDescent="0.45">
      <c r="A170" s="28"/>
      <c r="B170" s="28"/>
      <c r="C170" s="29" t="s">
        <v>753</v>
      </c>
      <c r="D170" s="85">
        <f>'дод 3'!E254</f>
        <v>184288.32</v>
      </c>
      <c r="E170" s="85">
        <f>'дод 3'!F254</f>
        <v>184288.32</v>
      </c>
      <c r="F170" s="85">
        <f>'дод 3'!G254</f>
        <v>151056</v>
      </c>
      <c r="G170" s="85">
        <f>'дод 3'!H254</f>
        <v>0</v>
      </c>
      <c r="H170" s="85">
        <f>'дод 3'!I254</f>
        <v>0</v>
      </c>
      <c r="I170" s="85">
        <f>'дод 3'!J254</f>
        <v>0</v>
      </c>
      <c r="J170" s="85">
        <f>'дод 3'!K254</f>
        <v>0</v>
      </c>
      <c r="K170" s="85">
        <f>'дод 3'!L254</f>
        <v>0</v>
      </c>
      <c r="L170" s="85">
        <f>'дод 3'!M254</f>
        <v>0</v>
      </c>
      <c r="M170" s="85">
        <f>'дод 3'!N254</f>
        <v>0</v>
      </c>
      <c r="N170" s="85">
        <f>'дод 3'!O254</f>
        <v>0</v>
      </c>
      <c r="O170" s="85">
        <f>'дод 3'!P254</f>
        <v>184288.32</v>
      </c>
      <c r="P170" s="160"/>
    </row>
    <row r="171" spans="1:16" ht="36.75" customHeight="1" x14ac:dyDescent="0.45">
      <c r="A171" s="45" t="s">
        <v>101</v>
      </c>
      <c r="B171" s="45" t="s">
        <v>54</v>
      </c>
      <c r="C171" s="33" t="s">
        <v>328</v>
      </c>
      <c r="D171" s="84">
        <f>'дод 3'!E255</f>
        <v>107000</v>
      </c>
      <c r="E171" s="84">
        <f>'дод 3'!F255</f>
        <v>107000</v>
      </c>
      <c r="F171" s="84">
        <f>'дод 3'!G255</f>
        <v>0</v>
      </c>
      <c r="G171" s="84">
        <f>'дод 3'!H255</f>
        <v>0</v>
      </c>
      <c r="H171" s="84">
        <f>'дод 3'!I255</f>
        <v>0</v>
      </c>
      <c r="I171" s="84">
        <f>'дод 3'!J255</f>
        <v>0</v>
      </c>
      <c r="J171" s="84">
        <f>'дод 3'!K255</f>
        <v>0</v>
      </c>
      <c r="K171" s="84">
        <f>'дод 3'!L255</f>
        <v>0</v>
      </c>
      <c r="L171" s="84">
        <f>'дод 3'!M255</f>
        <v>0</v>
      </c>
      <c r="M171" s="84">
        <f>'дод 3'!N255</f>
        <v>0</v>
      </c>
      <c r="N171" s="84">
        <f>'дод 3'!O255</f>
        <v>0</v>
      </c>
      <c r="O171" s="84">
        <f>'дод 3'!P255</f>
        <v>107000</v>
      </c>
      <c r="P171" s="160"/>
    </row>
    <row r="172" spans="1:16" ht="20.25" customHeight="1" x14ac:dyDescent="0.45">
      <c r="A172" s="45" t="s">
        <v>277</v>
      </c>
      <c r="B172" s="45" t="s">
        <v>102</v>
      </c>
      <c r="C172" s="33" t="s">
        <v>36</v>
      </c>
      <c r="D172" s="84">
        <f>'дод 3'!E256+'дод 3'!E312</f>
        <v>0</v>
      </c>
      <c r="E172" s="84">
        <f>'дод 3'!F256+'дод 3'!F312</f>
        <v>0</v>
      </c>
      <c r="F172" s="84">
        <f>'дод 3'!G256+'дод 3'!G312</f>
        <v>0</v>
      </c>
      <c r="G172" s="84">
        <f>'дод 3'!H256+'дод 3'!H312</f>
        <v>0</v>
      </c>
      <c r="H172" s="84">
        <f>'дод 3'!I256+'дод 3'!I312</f>
        <v>0</v>
      </c>
      <c r="I172" s="84">
        <f>'дод 3'!J256+'дод 3'!J312</f>
        <v>0</v>
      </c>
      <c r="J172" s="84">
        <f>'дод 3'!K256+'дод 3'!K312</f>
        <v>0</v>
      </c>
      <c r="K172" s="84">
        <f>'дод 3'!L256+'дод 3'!L312</f>
        <v>0</v>
      </c>
      <c r="L172" s="84">
        <f>'дод 3'!M256+'дод 3'!M312</f>
        <v>0</v>
      </c>
      <c r="M172" s="84">
        <f>'дод 3'!N256+'дод 3'!N312</f>
        <v>0</v>
      </c>
      <c r="N172" s="84">
        <f>'дод 3'!O256+'дод 3'!O312</f>
        <v>0</v>
      </c>
      <c r="O172" s="84">
        <f>'дод 3'!P256+'дод 3'!P312</f>
        <v>0</v>
      </c>
      <c r="P172" s="160"/>
    </row>
    <row r="173" spans="1:16" ht="237.4" customHeight="1" x14ac:dyDescent="0.45">
      <c r="A173" s="23">
        <v>3221</v>
      </c>
      <c r="B173" s="22" t="s">
        <v>51</v>
      </c>
      <c r="C173" s="24" t="s">
        <v>633</v>
      </c>
      <c r="D173" s="84">
        <f>'дод 3'!E257</f>
        <v>0</v>
      </c>
      <c r="E173" s="84">
        <f>'дод 3'!F257</f>
        <v>0</v>
      </c>
      <c r="F173" s="96">
        <f>'дод 3'!G257</f>
        <v>0</v>
      </c>
      <c r="G173" s="96">
        <f>'дод 3'!H257</f>
        <v>0</v>
      </c>
      <c r="H173" s="96">
        <f>'дод 3'!I257</f>
        <v>0</v>
      </c>
      <c r="I173" s="84">
        <f>'дод 3'!J257</f>
        <v>8260461.4100000001</v>
      </c>
      <c r="J173" s="84">
        <f>'дод 3'!K257</f>
        <v>8260461.4100000001</v>
      </c>
      <c r="K173" s="84">
        <f>'дод 3'!L257</f>
        <v>0</v>
      </c>
      <c r="L173" s="84">
        <f>'дод 3'!M257</f>
        <v>0</v>
      </c>
      <c r="M173" s="84">
        <f>'дод 3'!N257</f>
        <v>0</v>
      </c>
      <c r="N173" s="84">
        <f>'дод 3'!O257</f>
        <v>8260461.4100000001</v>
      </c>
      <c r="O173" s="84">
        <f>'дод 3'!P257</f>
        <v>8260461.4100000001</v>
      </c>
      <c r="P173" s="160"/>
    </row>
    <row r="174" spans="1:16" s="87" customFormat="1" ht="260.64999999999998" customHeight="1" x14ac:dyDescent="0.45">
      <c r="A174" s="28"/>
      <c r="B174" s="27"/>
      <c r="C174" s="29" t="s">
        <v>636</v>
      </c>
      <c r="D174" s="85">
        <f>'дод 3'!E258</f>
        <v>0</v>
      </c>
      <c r="E174" s="85">
        <f>'дод 3'!F258</f>
        <v>0</v>
      </c>
      <c r="F174" s="97">
        <f>'дод 3'!G258</f>
        <v>0</v>
      </c>
      <c r="G174" s="97">
        <f>'дод 3'!H258</f>
        <v>0</v>
      </c>
      <c r="H174" s="97">
        <f>'дод 3'!I258</f>
        <v>0</v>
      </c>
      <c r="I174" s="85">
        <f>'дод 3'!J258</f>
        <v>8260461.4100000001</v>
      </c>
      <c r="J174" s="85">
        <f>'дод 3'!K258</f>
        <v>8260461.4100000001</v>
      </c>
      <c r="K174" s="85">
        <f>'дод 3'!L258</f>
        <v>0</v>
      </c>
      <c r="L174" s="85">
        <f>'дод 3'!M258</f>
        <v>0</v>
      </c>
      <c r="M174" s="85">
        <f>'дод 3'!N258</f>
        <v>0</v>
      </c>
      <c r="N174" s="85">
        <f>'дод 3'!O258</f>
        <v>8260461.4100000001</v>
      </c>
      <c r="O174" s="85">
        <f>'дод 3'!P258</f>
        <v>8260461.4100000001</v>
      </c>
      <c r="P174" s="160">
        <v>8</v>
      </c>
    </row>
    <row r="175" spans="1:16" s="87" customFormat="1" ht="230.65" x14ac:dyDescent="0.45">
      <c r="A175" s="23">
        <v>3222</v>
      </c>
      <c r="B175" s="22" t="s">
        <v>51</v>
      </c>
      <c r="C175" s="24" t="s">
        <v>634</v>
      </c>
      <c r="D175" s="84">
        <f>'дод 3'!E259</f>
        <v>0</v>
      </c>
      <c r="E175" s="84">
        <f>'дод 3'!F259</f>
        <v>0</v>
      </c>
      <c r="F175" s="84">
        <f>'дод 3'!G259</f>
        <v>0</v>
      </c>
      <c r="G175" s="84">
        <f>'дод 3'!H259</f>
        <v>0</v>
      </c>
      <c r="H175" s="84">
        <f>'дод 3'!I259</f>
        <v>0</v>
      </c>
      <c r="I175" s="84">
        <f>'дод 3'!J259</f>
        <v>20395339.16</v>
      </c>
      <c r="J175" s="84">
        <f>'дод 3'!K259</f>
        <v>20395339.16</v>
      </c>
      <c r="K175" s="84">
        <f>'дод 3'!L259</f>
        <v>0</v>
      </c>
      <c r="L175" s="84">
        <f>'дод 3'!M259</f>
        <v>0</v>
      </c>
      <c r="M175" s="84">
        <f>'дод 3'!N259</f>
        <v>0</v>
      </c>
      <c r="N175" s="84">
        <f>'дод 3'!O259</f>
        <v>20395339.16</v>
      </c>
      <c r="O175" s="84">
        <f>'дод 3'!P259</f>
        <v>20395339.16</v>
      </c>
      <c r="P175" s="160"/>
    </row>
    <row r="176" spans="1:16" s="87" customFormat="1" ht="259.5" customHeight="1" x14ac:dyDescent="0.45">
      <c r="A176" s="28"/>
      <c r="B176" s="27"/>
      <c r="C176" s="29" t="s">
        <v>638</v>
      </c>
      <c r="D176" s="85">
        <f>'дод 3'!E260</f>
        <v>0</v>
      </c>
      <c r="E176" s="85">
        <f>'дод 3'!F260</f>
        <v>0</v>
      </c>
      <c r="F176" s="85">
        <f>'дод 3'!G260</f>
        <v>0</v>
      </c>
      <c r="G176" s="85">
        <f>'дод 3'!H260</f>
        <v>0</v>
      </c>
      <c r="H176" s="85">
        <f>'дод 3'!I260</f>
        <v>0</v>
      </c>
      <c r="I176" s="85">
        <f>'дод 3'!J260</f>
        <v>20395339.16</v>
      </c>
      <c r="J176" s="85">
        <f>'дод 3'!K260</f>
        <v>20395339.16</v>
      </c>
      <c r="K176" s="85">
        <f>'дод 3'!L260</f>
        <v>0</v>
      </c>
      <c r="L176" s="85">
        <f>'дод 3'!M260</f>
        <v>0</v>
      </c>
      <c r="M176" s="85">
        <f>'дод 3'!N260</f>
        <v>0</v>
      </c>
      <c r="N176" s="85">
        <f>'дод 3'!O260</f>
        <v>20395339.16</v>
      </c>
      <c r="O176" s="85">
        <f>'дод 3'!P260</f>
        <v>20395339.16</v>
      </c>
      <c r="P176" s="160"/>
    </row>
    <row r="177" spans="1:16" s="118" customFormat="1" ht="164.25" customHeight="1" x14ac:dyDescent="0.45">
      <c r="A177" s="45">
        <v>3223</v>
      </c>
      <c r="B177" s="34" t="s">
        <v>51</v>
      </c>
      <c r="C177" s="24" t="s">
        <v>635</v>
      </c>
      <c r="D177" s="84">
        <f>'дод 3'!E261</f>
        <v>0</v>
      </c>
      <c r="E177" s="84">
        <f>'дод 3'!F261</f>
        <v>0</v>
      </c>
      <c r="F177" s="84">
        <f>'дод 3'!G261</f>
        <v>0</v>
      </c>
      <c r="G177" s="84">
        <f>'дод 3'!H261</f>
        <v>0</v>
      </c>
      <c r="H177" s="84">
        <f>'дод 3'!I261</f>
        <v>0</v>
      </c>
      <c r="I177" s="84">
        <f>'дод 3'!J261</f>
        <v>3386099.22</v>
      </c>
      <c r="J177" s="84">
        <f>'дод 3'!K261</f>
        <v>3386099.22</v>
      </c>
      <c r="K177" s="84">
        <f>'дод 3'!L261</f>
        <v>0</v>
      </c>
      <c r="L177" s="84">
        <f>'дод 3'!M261</f>
        <v>0</v>
      </c>
      <c r="M177" s="84">
        <f>'дод 3'!N261</f>
        <v>0</v>
      </c>
      <c r="N177" s="84">
        <f>'дод 3'!O261</f>
        <v>3386099.22</v>
      </c>
      <c r="O177" s="84">
        <f>'дод 3'!P261</f>
        <v>3386099.22</v>
      </c>
      <c r="P177" s="160"/>
    </row>
    <row r="178" spans="1:16" s="119" customFormat="1" ht="197.25" customHeight="1" x14ac:dyDescent="0.45">
      <c r="A178" s="86"/>
      <c r="B178" s="98"/>
      <c r="C178" s="29" t="s">
        <v>637</v>
      </c>
      <c r="D178" s="85">
        <f>'дод 3'!E262</f>
        <v>0</v>
      </c>
      <c r="E178" s="85">
        <f>'дод 3'!F262</f>
        <v>0</v>
      </c>
      <c r="F178" s="85">
        <f>'дод 3'!G262</f>
        <v>0</v>
      </c>
      <c r="G178" s="85">
        <f>'дод 3'!H262</f>
        <v>0</v>
      </c>
      <c r="H178" s="85">
        <f>'дод 3'!I262</f>
        <v>0</v>
      </c>
      <c r="I178" s="85">
        <f>'дод 3'!J262</f>
        <v>3386099.22</v>
      </c>
      <c r="J178" s="85">
        <f>'дод 3'!K262</f>
        <v>3386099.22</v>
      </c>
      <c r="K178" s="85">
        <f>'дод 3'!L262</f>
        <v>0</v>
      </c>
      <c r="L178" s="85">
        <f>'дод 3'!M262</f>
        <v>0</v>
      </c>
      <c r="M178" s="85">
        <f>'дод 3'!N262</f>
        <v>0</v>
      </c>
      <c r="N178" s="85">
        <f>'дод 3'!O262</f>
        <v>3386099.22</v>
      </c>
      <c r="O178" s="85">
        <f>'дод 3'!P262</f>
        <v>3386099.22</v>
      </c>
      <c r="P178" s="160"/>
    </row>
    <row r="179" spans="1:16" s="87" customFormat="1" ht="39.75" customHeight="1" x14ac:dyDescent="0.45">
      <c r="A179" s="45" t="s">
        <v>278</v>
      </c>
      <c r="B179" s="45" t="s">
        <v>54</v>
      </c>
      <c r="C179" s="33" t="s">
        <v>754</v>
      </c>
      <c r="D179" s="84">
        <f>'дод 3'!E263+'дод 3'!E36</f>
        <v>8693353</v>
      </c>
      <c r="E179" s="84">
        <f>'дод 3'!F263+'дод 3'!F36</f>
        <v>8693353</v>
      </c>
      <c r="F179" s="84">
        <f>'дод 3'!G263+'дод 3'!G36</f>
        <v>4935753</v>
      </c>
      <c r="G179" s="84">
        <f>'дод 3'!H263+'дод 3'!H36</f>
        <v>765300</v>
      </c>
      <c r="H179" s="84">
        <f>'дод 3'!I263+'дод 3'!I36</f>
        <v>0</v>
      </c>
      <c r="I179" s="84">
        <f>'дод 3'!J263+'дод 3'!J36</f>
        <v>0</v>
      </c>
      <c r="J179" s="84">
        <f>'дод 3'!K263+'дод 3'!K36</f>
        <v>0</v>
      </c>
      <c r="K179" s="84">
        <f>'дод 3'!L263+'дод 3'!L36</f>
        <v>0</v>
      </c>
      <c r="L179" s="84">
        <f>'дод 3'!M263+'дод 3'!M36</f>
        <v>0</v>
      </c>
      <c r="M179" s="84">
        <f>'дод 3'!N263+'дод 3'!N36</f>
        <v>0</v>
      </c>
      <c r="N179" s="84">
        <f>'дод 3'!O263+'дод 3'!O36</f>
        <v>0</v>
      </c>
      <c r="O179" s="84">
        <f>'дод 3'!P263+'дод 3'!P36</f>
        <v>8693353</v>
      </c>
      <c r="P179" s="160">
        <v>9</v>
      </c>
    </row>
    <row r="180" spans="1:16" s="87" customFormat="1" ht="31.5" customHeight="1" x14ac:dyDescent="0.45">
      <c r="A180" s="45" t="s">
        <v>279</v>
      </c>
      <c r="B180" s="45" t="s">
        <v>54</v>
      </c>
      <c r="C180" s="33" t="s">
        <v>651</v>
      </c>
      <c r="D180" s="84">
        <f>'дод 3'!E37+'дод 3'!E153+'дод 3'!E264+'дод 3'!E278</f>
        <v>283013081</v>
      </c>
      <c r="E180" s="84">
        <f>'дод 3'!F37+'дод 3'!F153+'дод 3'!F264+'дод 3'!F278</f>
        <v>283013081</v>
      </c>
      <c r="F180" s="84">
        <f>'дод 3'!G37+'дод 3'!G153+'дод 3'!G264+'дод 3'!G278</f>
        <v>0</v>
      </c>
      <c r="G180" s="84">
        <f>'дод 3'!H37+'дод 3'!H153+'дод 3'!H264+'дод 3'!H278</f>
        <v>0</v>
      </c>
      <c r="H180" s="84">
        <f>'дод 3'!I37+'дод 3'!I153+'дод 3'!I264+'дод 3'!I278</f>
        <v>0</v>
      </c>
      <c r="I180" s="84">
        <f>'дод 3'!J37+'дод 3'!J153+'дод 3'!J264+'дод 3'!J278</f>
        <v>0</v>
      </c>
      <c r="J180" s="84">
        <f>'дод 3'!K37+'дод 3'!K153+'дод 3'!K264+'дод 3'!K278</f>
        <v>0</v>
      </c>
      <c r="K180" s="84">
        <f>'дод 3'!L37+'дод 3'!L153+'дод 3'!L264+'дод 3'!L278</f>
        <v>0</v>
      </c>
      <c r="L180" s="84">
        <f>'дод 3'!M37+'дод 3'!M153+'дод 3'!M264+'дод 3'!M278</f>
        <v>0</v>
      </c>
      <c r="M180" s="84">
        <f>'дод 3'!N37+'дод 3'!N153+'дод 3'!N264+'дод 3'!N278</f>
        <v>0</v>
      </c>
      <c r="N180" s="84">
        <f>'дод 3'!O37+'дод 3'!O153+'дод 3'!O264+'дод 3'!O278</f>
        <v>0</v>
      </c>
      <c r="O180" s="84">
        <f>'дод 3'!P37+'дод 3'!P153+'дод 3'!P264+'дод 3'!P278</f>
        <v>283013081</v>
      </c>
      <c r="P180" s="160"/>
    </row>
    <row r="181" spans="1:16" s="87" customFormat="1" ht="21.4" customHeight="1" x14ac:dyDescent="0.45">
      <c r="A181" s="86"/>
      <c r="B181" s="86"/>
      <c r="C181" s="48" t="s">
        <v>379</v>
      </c>
      <c r="D181" s="85">
        <f>'дод 3'!E265</f>
        <v>8236880</v>
      </c>
      <c r="E181" s="85">
        <f>'дод 3'!F265</f>
        <v>8236880</v>
      </c>
      <c r="F181" s="85">
        <f>'дод 3'!G265</f>
        <v>0</v>
      </c>
      <c r="G181" s="85">
        <f>'дод 3'!H265</f>
        <v>0</v>
      </c>
      <c r="H181" s="85">
        <f>'дод 3'!I265</f>
        <v>0</v>
      </c>
      <c r="I181" s="85">
        <f>'дод 3'!J265</f>
        <v>0</v>
      </c>
      <c r="J181" s="85">
        <f>'дод 3'!K265</f>
        <v>0</v>
      </c>
      <c r="K181" s="85">
        <f>'дод 3'!L265</f>
        <v>0</v>
      </c>
      <c r="L181" s="85">
        <f>'дод 3'!M265</f>
        <v>0</v>
      </c>
      <c r="M181" s="85">
        <f>'дод 3'!N265</f>
        <v>0</v>
      </c>
      <c r="N181" s="85">
        <f>'дод 3'!O265</f>
        <v>0</v>
      </c>
      <c r="O181" s="85">
        <f>'дод 3'!P265</f>
        <v>8236880</v>
      </c>
      <c r="P181" s="160"/>
    </row>
    <row r="182" spans="1:16" s="87" customFormat="1" ht="81.95" customHeight="1" x14ac:dyDescent="0.45">
      <c r="A182" s="86"/>
      <c r="B182" s="86"/>
      <c r="C182" s="48" t="s">
        <v>619</v>
      </c>
      <c r="D182" s="85">
        <f>'дод 3'!E266</f>
        <v>65366800</v>
      </c>
      <c r="E182" s="85">
        <f>'дод 3'!F266</f>
        <v>65366800</v>
      </c>
      <c r="F182" s="85">
        <f>'дод 3'!G266</f>
        <v>0</v>
      </c>
      <c r="G182" s="85">
        <f>'дод 3'!H266</f>
        <v>0</v>
      </c>
      <c r="H182" s="85">
        <f>'дод 3'!I266</f>
        <v>0</v>
      </c>
      <c r="I182" s="85">
        <f>'дод 3'!J266</f>
        <v>0</v>
      </c>
      <c r="J182" s="85">
        <f>'дод 3'!K266</f>
        <v>0</v>
      </c>
      <c r="K182" s="85">
        <f>'дод 3'!L266</f>
        <v>0</v>
      </c>
      <c r="L182" s="85">
        <f>'дод 3'!M266</f>
        <v>0</v>
      </c>
      <c r="M182" s="85">
        <f>'дод 3'!N266</f>
        <v>0</v>
      </c>
      <c r="N182" s="85">
        <f>'дод 3'!O266</f>
        <v>0</v>
      </c>
      <c r="O182" s="85">
        <f>'дод 3'!P266</f>
        <v>65366800</v>
      </c>
      <c r="P182" s="160"/>
    </row>
    <row r="183" spans="1:16" s="78" customFormat="1" ht="19.5" customHeight="1" x14ac:dyDescent="0.4">
      <c r="A183" s="88" t="s">
        <v>68</v>
      </c>
      <c r="B183" s="92"/>
      <c r="C183" s="93" t="s">
        <v>720</v>
      </c>
      <c r="D183" s="82">
        <f t="shared" ref="D183:O183" si="32">D185+D186+D188+D189</f>
        <v>38076900</v>
      </c>
      <c r="E183" s="82">
        <f t="shared" si="32"/>
        <v>38076900</v>
      </c>
      <c r="F183" s="82">
        <f t="shared" si="32"/>
        <v>25870910</v>
      </c>
      <c r="G183" s="82">
        <f t="shared" si="32"/>
        <v>3404600</v>
      </c>
      <c r="H183" s="82">
        <f t="shared" si="32"/>
        <v>0</v>
      </c>
      <c r="I183" s="82">
        <f t="shared" si="32"/>
        <v>4865300</v>
      </c>
      <c r="J183" s="82">
        <f t="shared" si="32"/>
        <v>4860300</v>
      </c>
      <c r="K183" s="82">
        <f t="shared" si="32"/>
        <v>5000</v>
      </c>
      <c r="L183" s="82">
        <f t="shared" si="32"/>
        <v>0</v>
      </c>
      <c r="M183" s="82">
        <f t="shared" si="32"/>
        <v>0</v>
      </c>
      <c r="N183" s="82">
        <f t="shared" si="32"/>
        <v>4860300</v>
      </c>
      <c r="O183" s="82">
        <f t="shared" si="32"/>
        <v>42942200</v>
      </c>
      <c r="P183" s="160"/>
    </row>
    <row r="184" spans="1:16" s="78" customFormat="1" ht="75" x14ac:dyDescent="0.4">
      <c r="A184" s="88"/>
      <c r="B184" s="92"/>
      <c r="C184" s="54" t="s">
        <v>619</v>
      </c>
      <c r="D184" s="82">
        <f>D187</f>
        <v>100000</v>
      </c>
      <c r="E184" s="82">
        <f t="shared" ref="E184:O184" si="33">E187</f>
        <v>100000</v>
      </c>
      <c r="F184" s="82">
        <f t="shared" si="33"/>
        <v>0</v>
      </c>
      <c r="G184" s="82">
        <f t="shared" si="33"/>
        <v>0</v>
      </c>
      <c r="H184" s="82">
        <f t="shared" si="33"/>
        <v>0</v>
      </c>
      <c r="I184" s="82">
        <f t="shared" si="33"/>
        <v>0</v>
      </c>
      <c r="J184" s="82">
        <f t="shared" si="33"/>
        <v>0</v>
      </c>
      <c r="K184" s="82">
        <f t="shared" si="33"/>
        <v>0</v>
      </c>
      <c r="L184" s="82">
        <f t="shared" si="33"/>
        <v>0</v>
      </c>
      <c r="M184" s="82">
        <f t="shared" si="33"/>
        <v>0</v>
      </c>
      <c r="N184" s="82">
        <f t="shared" si="33"/>
        <v>0</v>
      </c>
      <c r="O184" s="82">
        <f t="shared" si="33"/>
        <v>100000</v>
      </c>
      <c r="P184" s="160"/>
    </row>
    <row r="185" spans="1:16" ht="22.5" customHeight="1" x14ac:dyDescent="0.45">
      <c r="A185" s="45" t="s">
        <v>69</v>
      </c>
      <c r="B185" s="45" t="s">
        <v>70</v>
      </c>
      <c r="C185" s="33" t="s">
        <v>15</v>
      </c>
      <c r="D185" s="84">
        <f>'дод 3'!E286</f>
        <v>25817400</v>
      </c>
      <c r="E185" s="84">
        <f>'дод 3'!F286</f>
        <v>25817400</v>
      </c>
      <c r="F185" s="84">
        <f>'дод 3'!G286</f>
        <v>18096500</v>
      </c>
      <c r="G185" s="84">
        <f>'дод 3'!H286</f>
        <v>2687200</v>
      </c>
      <c r="H185" s="84">
        <f>'дод 3'!I286</f>
        <v>0</v>
      </c>
      <c r="I185" s="84">
        <f>'дод 3'!J286</f>
        <v>4865300</v>
      </c>
      <c r="J185" s="84">
        <f>'дод 3'!K286</f>
        <v>4860300</v>
      </c>
      <c r="K185" s="84">
        <f>'дод 3'!L286</f>
        <v>5000</v>
      </c>
      <c r="L185" s="84">
        <f>'дод 3'!M286</f>
        <v>0</v>
      </c>
      <c r="M185" s="84">
        <f>'дод 3'!N286</f>
        <v>0</v>
      </c>
      <c r="N185" s="84">
        <f>'дод 3'!O286</f>
        <v>4860300</v>
      </c>
      <c r="O185" s="84">
        <f>'дод 3'!P286</f>
        <v>30682700</v>
      </c>
      <c r="P185" s="160"/>
    </row>
    <row r="186" spans="1:16" ht="33.75" customHeight="1" x14ac:dyDescent="0.45">
      <c r="A186" s="45" t="s">
        <v>306</v>
      </c>
      <c r="B186" s="45" t="s">
        <v>307</v>
      </c>
      <c r="C186" s="33" t="s">
        <v>719</v>
      </c>
      <c r="D186" s="84">
        <f>'дод 3'!E38+'дод 3'!E287</f>
        <v>5866700</v>
      </c>
      <c r="E186" s="84">
        <f>'дод 3'!F38+'дод 3'!F287</f>
        <v>5866700</v>
      </c>
      <c r="F186" s="84">
        <f>'дод 3'!G38+'дод 3'!G287</f>
        <v>3632000</v>
      </c>
      <c r="G186" s="84">
        <f>'дод 3'!H38+'дод 3'!H287</f>
        <v>363000</v>
      </c>
      <c r="H186" s="84">
        <f>'дод 3'!I38+'дод 3'!I287</f>
        <v>0</v>
      </c>
      <c r="I186" s="84">
        <f>'дод 3'!J38+'дод 3'!J287</f>
        <v>0</v>
      </c>
      <c r="J186" s="84">
        <f>'дод 3'!K38+'дод 3'!K287</f>
        <v>0</v>
      </c>
      <c r="K186" s="84">
        <f>'дод 3'!L38+'дод 3'!L287</f>
        <v>0</v>
      </c>
      <c r="L186" s="84">
        <f>'дод 3'!M38+'дод 3'!M287</f>
        <v>0</v>
      </c>
      <c r="M186" s="84">
        <f>'дод 3'!N38+'дод 3'!N287</f>
        <v>0</v>
      </c>
      <c r="N186" s="84">
        <f>'дод 3'!O38+'дод 3'!O287</f>
        <v>0</v>
      </c>
      <c r="O186" s="84">
        <f>'дод 3'!P38+'дод 3'!P287</f>
        <v>5866700</v>
      </c>
      <c r="P186" s="160"/>
    </row>
    <row r="187" spans="1:16" ht="76.900000000000006" x14ac:dyDescent="0.45">
      <c r="A187" s="45"/>
      <c r="B187" s="45"/>
      <c r="C187" s="48" t="s">
        <v>619</v>
      </c>
      <c r="D187" s="84">
        <f>'дод 3'!E288</f>
        <v>100000</v>
      </c>
      <c r="E187" s="84">
        <f>'дод 3'!F288</f>
        <v>100000</v>
      </c>
      <c r="F187" s="84">
        <f>'дод 3'!G288</f>
        <v>0</v>
      </c>
      <c r="G187" s="84">
        <f>'дод 3'!H288</f>
        <v>0</v>
      </c>
      <c r="H187" s="84">
        <f>'дод 3'!I288</f>
        <v>0</v>
      </c>
      <c r="I187" s="84">
        <f>'дод 3'!J288</f>
        <v>0</v>
      </c>
      <c r="J187" s="84">
        <f>'дод 3'!K288</f>
        <v>0</v>
      </c>
      <c r="K187" s="84">
        <f>'дод 3'!L288</f>
        <v>0</v>
      </c>
      <c r="L187" s="84">
        <f>'дод 3'!M288</f>
        <v>0</v>
      </c>
      <c r="M187" s="84">
        <f>'дод 3'!N288</f>
        <v>0</v>
      </c>
      <c r="N187" s="84">
        <f>'дод 3'!O288</f>
        <v>0</v>
      </c>
      <c r="O187" s="84">
        <f>'дод 3'!P288</f>
        <v>100000</v>
      </c>
      <c r="P187" s="160"/>
    </row>
    <row r="188" spans="1:16" s="87" customFormat="1" ht="37.5" customHeight="1" x14ac:dyDescent="0.45">
      <c r="A188" s="45" t="s">
        <v>281</v>
      </c>
      <c r="B188" s="45" t="s">
        <v>71</v>
      </c>
      <c r="C188" s="33" t="s">
        <v>329</v>
      </c>
      <c r="D188" s="84">
        <f>'дод 3'!E39+'дод 3'!E289</f>
        <v>5892800</v>
      </c>
      <c r="E188" s="84">
        <f>'дод 3'!F39+'дод 3'!F289</f>
        <v>5892800</v>
      </c>
      <c r="F188" s="84">
        <f>'дод 3'!G39+'дод 3'!G289</f>
        <v>4142410</v>
      </c>
      <c r="G188" s="84">
        <f>'дод 3'!H39+'дод 3'!H289</f>
        <v>354400</v>
      </c>
      <c r="H188" s="84">
        <f>'дод 3'!I39+'дод 3'!I289</f>
        <v>0</v>
      </c>
      <c r="I188" s="84">
        <f>'дод 3'!J39+'дод 3'!J289</f>
        <v>0</v>
      </c>
      <c r="J188" s="84">
        <f>'дод 3'!K39+'дод 3'!K289</f>
        <v>0</v>
      </c>
      <c r="K188" s="84">
        <f>'дод 3'!L39+'дод 3'!L289</f>
        <v>0</v>
      </c>
      <c r="L188" s="84">
        <f>'дод 3'!M39+'дод 3'!M289</f>
        <v>0</v>
      </c>
      <c r="M188" s="84">
        <f>'дод 3'!N39+'дод 3'!N289</f>
        <v>0</v>
      </c>
      <c r="N188" s="84">
        <f>'дод 3'!O39+'дод 3'!O289</f>
        <v>0</v>
      </c>
      <c r="O188" s="84">
        <f>'дод 3'!P39+'дод 3'!P289</f>
        <v>5892800</v>
      </c>
      <c r="P188" s="160"/>
    </row>
    <row r="189" spans="1:16" s="87" customFormat="1" ht="22.5" customHeight="1" x14ac:dyDescent="0.45">
      <c r="A189" s="45" t="s">
        <v>282</v>
      </c>
      <c r="B189" s="45" t="s">
        <v>71</v>
      </c>
      <c r="C189" s="33" t="s">
        <v>283</v>
      </c>
      <c r="D189" s="84">
        <f>'дод 3'!E40+'дод 3'!E290</f>
        <v>500000</v>
      </c>
      <c r="E189" s="84">
        <f>'дод 3'!F40+'дод 3'!F290</f>
        <v>500000</v>
      </c>
      <c r="F189" s="84">
        <f>'дод 3'!G40+'дод 3'!G290</f>
        <v>0</v>
      </c>
      <c r="G189" s="84">
        <f>'дод 3'!H40+'дод 3'!H290</f>
        <v>0</v>
      </c>
      <c r="H189" s="84">
        <f>'дод 3'!I40+'дод 3'!I290</f>
        <v>0</v>
      </c>
      <c r="I189" s="84">
        <f>'дод 3'!J40+'дод 3'!J290</f>
        <v>0</v>
      </c>
      <c r="J189" s="84">
        <f>'дод 3'!K40+'дод 3'!K290</f>
        <v>0</v>
      </c>
      <c r="K189" s="84">
        <f>'дод 3'!L40+'дод 3'!L290</f>
        <v>0</v>
      </c>
      <c r="L189" s="84">
        <f>'дод 3'!M40+'дод 3'!M290</f>
        <v>0</v>
      </c>
      <c r="M189" s="84">
        <f>'дод 3'!N40+'дод 3'!N290</f>
        <v>0</v>
      </c>
      <c r="N189" s="84">
        <f>'дод 3'!O40+'дод 3'!O290</f>
        <v>0</v>
      </c>
      <c r="O189" s="84">
        <f>'дод 3'!P40+'дод 3'!P290</f>
        <v>500000</v>
      </c>
      <c r="P189" s="160"/>
    </row>
    <row r="190" spans="1:16" s="78" customFormat="1" ht="21.75" customHeight="1" x14ac:dyDescent="0.4">
      <c r="A190" s="88" t="s">
        <v>74</v>
      </c>
      <c r="B190" s="92"/>
      <c r="C190" s="93" t="s">
        <v>737</v>
      </c>
      <c r="D190" s="82">
        <f t="shared" ref="D190:O190" si="34">D193+D194+D195+D198+D199+D200</f>
        <v>86679304</v>
      </c>
      <c r="E190" s="82">
        <f t="shared" si="34"/>
        <v>86679304</v>
      </c>
      <c r="F190" s="82">
        <f t="shared" si="34"/>
        <v>32766800</v>
      </c>
      <c r="G190" s="82">
        <f t="shared" si="34"/>
        <v>3201000</v>
      </c>
      <c r="H190" s="82">
        <f t="shared" si="34"/>
        <v>0</v>
      </c>
      <c r="I190" s="82">
        <f t="shared" si="34"/>
        <v>1140790</v>
      </c>
      <c r="J190" s="82">
        <f t="shared" si="34"/>
        <v>600350</v>
      </c>
      <c r="K190" s="82">
        <f t="shared" si="34"/>
        <v>540440</v>
      </c>
      <c r="L190" s="82">
        <f t="shared" si="34"/>
        <v>345344</v>
      </c>
      <c r="M190" s="82">
        <f t="shared" si="34"/>
        <v>98012</v>
      </c>
      <c r="N190" s="82">
        <f t="shared" si="34"/>
        <v>600350</v>
      </c>
      <c r="O190" s="82">
        <f t="shared" si="34"/>
        <v>87820094</v>
      </c>
      <c r="P190" s="160"/>
    </row>
    <row r="191" spans="1:16" s="78" customFormat="1" ht="21.75" hidden="1" customHeight="1" x14ac:dyDescent="0.4">
      <c r="A191" s="88"/>
      <c r="B191" s="92"/>
      <c r="C191" s="19" t="s">
        <v>380</v>
      </c>
      <c r="D191" s="83">
        <f>D197</f>
        <v>0</v>
      </c>
      <c r="E191" s="83">
        <f t="shared" ref="E191:O191" si="35">E197</f>
        <v>0</v>
      </c>
      <c r="F191" s="83">
        <f t="shared" si="35"/>
        <v>0</v>
      </c>
      <c r="G191" s="83">
        <f t="shared" si="35"/>
        <v>0</v>
      </c>
      <c r="H191" s="83">
        <f t="shared" si="35"/>
        <v>0</v>
      </c>
      <c r="I191" s="83">
        <f t="shared" si="35"/>
        <v>0</v>
      </c>
      <c r="J191" s="83">
        <f t="shared" si="35"/>
        <v>0</v>
      </c>
      <c r="K191" s="83">
        <f t="shared" si="35"/>
        <v>0</v>
      </c>
      <c r="L191" s="83">
        <f t="shared" si="35"/>
        <v>0</v>
      </c>
      <c r="M191" s="83">
        <f t="shared" si="35"/>
        <v>0</v>
      </c>
      <c r="N191" s="83">
        <f t="shared" si="35"/>
        <v>0</v>
      </c>
      <c r="O191" s="83">
        <f t="shared" si="35"/>
        <v>0</v>
      </c>
      <c r="P191" s="160"/>
    </row>
    <row r="192" spans="1:16" s="90" customFormat="1" ht="86.25" customHeight="1" x14ac:dyDescent="0.4">
      <c r="A192" s="89"/>
      <c r="B192" s="94"/>
      <c r="C192" s="54" t="s">
        <v>619</v>
      </c>
      <c r="D192" s="83">
        <f>D196</f>
        <v>0</v>
      </c>
      <c r="E192" s="83">
        <f t="shared" ref="E192:O192" si="36">E196</f>
        <v>0</v>
      </c>
      <c r="F192" s="83">
        <f t="shared" si="36"/>
        <v>0</v>
      </c>
      <c r="G192" s="83">
        <f t="shared" si="36"/>
        <v>0</v>
      </c>
      <c r="H192" s="83">
        <f t="shared" si="36"/>
        <v>0</v>
      </c>
      <c r="I192" s="83">
        <f t="shared" si="36"/>
        <v>20350</v>
      </c>
      <c r="J192" s="83">
        <f t="shared" si="36"/>
        <v>20350</v>
      </c>
      <c r="K192" s="83">
        <f t="shared" si="36"/>
        <v>0</v>
      </c>
      <c r="L192" s="83">
        <f t="shared" si="36"/>
        <v>0</v>
      </c>
      <c r="M192" s="83">
        <f t="shared" si="36"/>
        <v>0</v>
      </c>
      <c r="N192" s="83">
        <f t="shared" si="36"/>
        <v>20350</v>
      </c>
      <c r="O192" s="83">
        <f t="shared" si="36"/>
        <v>20350</v>
      </c>
      <c r="P192" s="160"/>
    </row>
    <row r="193" spans="1:16" s="87" customFormat="1" ht="37.5" customHeight="1" x14ac:dyDescent="0.45">
      <c r="A193" s="45" t="s">
        <v>75</v>
      </c>
      <c r="B193" s="45" t="s">
        <v>76</v>
      </c>
      <c r="C193" s="33" t="s">
        <v>21</v>
      </c>
      <c r="D193" s="84">
        <f>'дод 3'!E41</f>
        <v>1237920</v>
      </c>
      <c r="E193" s="84">
        <f>'дод 3'!F41</f>
        <v>1237920</v>
      </c>
      <c r="F193" s="84">
        <f>'дод 3'!G41</f>
        <v>0</v>
      </c>
      <c r="G193" s="84">
        <f>'дод 3'!H41</f>
        <v>0</v>
      </c>
      <c r="H193" s="84">
        <f>'дод 3'!I41</f>
        <v>0</v>
      </c>
      <c r="I193" s="84">
        <f>'дод 3'!J41</f>
        <v>0</v>
      </c>
      <c r="J193" s="84">
        <f>'дод 3'!K41</f>
        <v>0</v>
      </c>
      <c r="K193" s="84">
        <f>'дод 3'!L41</f>
        <v>0</v>
      </c>
      <c r="L193" s="84">
        <f>'дод 3'!M41</f>
        <v>0</v>
      </c>
      <c r="M193" s="84">
        <f>'дод 3'!N41</f>
        <v>0</v>
      </c>
      <c r="N193" s="84">
        <f>'дод 3'!O41</f>
        <v>0</v>
      </c>
      <c r="O193" s="84">
        <f>'дод 3'!P41</f>
        <v>1237920</v>
      </c>
      <c r="P193" s="160"/>
    </row>
    <row r="194" spans="1:16" s="87" customFormat="1" ht="34.5" customHeight="1" x14ac:dyDescent="0.45">
      <c r="A194" s="45" t="s">
        <v>77</v>
      </c>
      <c r="B194" s="45" t="s">
        <v>76</v>
      </c>
      <c r="C194" s="33" t="s">
        <v>16</v>
      </c>
      <c r="D194" s="84">
        <f>'дод 3'!E42</f>
        <v>1540000</v>
      </c>
      <c r="E194" s="84">
        <f>'дод 3'!F42</f>
        <v>1540000</v>
      </c>
      <c r="F194" s="84">
        <f>'дод 3'!G42</f>
        <v>0</v>
      </c>
      <c r="G194" s="84">
        <f>'дод 3'!H42</f>
        <v>0</v>
      </c>
      <c r="H194" s="84">
        <f>'дод 3'!I42</f>
        <v>0</v>
      </c>
      <c r="I194" s="84">
        <f>'дод 3'!J42</f>
        <v>0</v>
      </c>
      <c r="J194" s="84">
        <f>'дод 3'!K42</f>
        <v>0</v>
      </c>
      <c r="K194" s="84">
        <f>'дод 3'!L42</f>
        <v>0</v>
      </c>
      <c r="L194" s="84">
        <f>'дод 3'!M42</f>
        <v>0</v>
      </c>
      <c r="M194" s="84">
        <f>'дод 3'!N42</f>
        <v>0</v>
      </c>
      <c r="N194" s="84">
        <f>'дод 3'!O42</f>
        <v>0</v>
      </c>
      <c r="O194" s="84">
        <f>'дод 3'!P42</f>
        <v>1540000</v>
      </c>
      <c r="P194" s="160"/>
    </row>
    <row r="195" spans="1:16" s="87" customFormat="1" ht="36.75" customHeight="1" x14ac:dyDescent="0.45">
      <c r="A195" s="45" t="s">
        <v>111</v>
      </c>
      <c r="B195" s="45" t="s">
        <v>76</v>
      </c>
      <c r="C195" s="33" t="s">
        <v>736</v>
      </c>
      <c r="D195" s="84">
        <f>'дод 3'!E43+'дод 3'!E154</f>
        <v>40458070</v>
      </c>
      <c r="E195" s="84">
        <f>'дод 3'!F43+'дод 3'!F154</f>
        <v>40458070</v>
      </c>
      <c r="F195" s="84">
        <f>'дод 3'!G43+'дод 3'!G154</f>
        <v>28618800</v>
      </c>
      <c r="G195" s="84">
        <f>'дод 3'!H43+'дод 3'!H154</f>
        <v>2361600</v>
      </c>
      <c r="H195" s="84">
        <f>'дод 3'!I43+'дод 3'!I154</f>
        <v>0</v>
      </c>
      <c r="I195" s="84">
        <f>'дод 3'!J43+'дод 3'!J154</f>
        <v>150350</v>
      </c>
      <c r="J195" s="84">
        <f>'дод 3'!K43+'дод 3'!K154</f>
        <v>150350</v>
      </c>
      <c r="K195" s="84">
        <f>'дод 3'!L43+'дод 3'!L154</f>
        <v>0</v>
      </c>
      <c r="L195" s="84">
        <f>'дод 3'!M43+'дод 3'!M154</f>
        <v>0</v>
      </c>
      <c r="M195" s="84">
        <f>'дод 3'!N43+'дод 3'!N154</f>
        <v>0</v>
      </c>
      <c r="N195" s="84">
        <f>'дод 3'!O43+'дод 3'!O154</f>
        <v>150350</v>
      </c>
      <c r="O195" s="84">
        <f>'дод 3'!P43+'дод 3'!P154</f>
        <v>40608420</v>
      </c>
      <c r="P195" s="160"/>
    </row>
    <row r="196" spans="1:16" s="87" customFormat="1" ht="97.5" customHeight="1" x14ac:dyDescent="0.45">
      <c r="A196" s="45"/>
      <c r="B196" s="45"/>
      <c r="C196" s="48" t="s">
        <v>619</v>
      </c>
      <c r="D196" s="85">
        <f>'дод 3'!E44</f>
        <v>0</v>
      </c>
      <c r="E196" s="85">
        <f>'дод 3'!F44</f>
        <v>0</v>
      </c>
      <c r="F196" s="85">
        <f>'дод 3'!G44</f>
        <v>0</v>
      </c>
      <c r="G196" s="85">
        <f>'дод 3'!H44</f>
        <v>0</v>
      </c>
      <c r="H196" s="85">
        <f>'дод 3'!I44</f>
        <v>0</v>
      </c>
      <c r="I196" s="85">
        <f>'дод 3'!J44</f>
        <v>20350</v>
      </c>
      <c r="J196" s="85">
        <f>'дод 3'!K44</f>
        <v>20350</v>
      </c>
      <c r="K196" s="85">
        <f>'дод 3'!L44</f>
        <v>0</v>
      </c>
      <c r="L196" s="85">
        <f>'дод 3'!M44</f>
        <v>0</v>
      </c>
      <c r="M196" s="85">
        <f>'дод 3'!N44</f>
        <v>0</v>
      </c>
      <c r="N196" s="85">
        <f>'дод 3'!O44</f>
        <v>20350</v>
      </c>
      <c r="O196" s="85">
        <f>'дод 3'!P44</f>
        <v>20350</v>
      </c>
      <c r="P196" s="160"/>
    </row>
    <row r="197" spans="1:16" s="87" customFormat="1" ht="25.5" hidden="1" customHeight="1" x14ac:dyDescent="0.45">
      <c r="A197" s="45"/>
      <c r="B197" s="45"/>
      <c r="C197" s="29" t="s">
        <v>380</v>
      </c>
      <c r="D197" s="85">
        <f>'дод 3'!E155</f>
        <v>0</v>
      </c>
      <c r="E197" s="85">
        <f>'дод 3'!F155</f>
        <v>0</v>
      </c>
      <c r="F197" s="85">
        <f>'дод 3'!G155</f>
        <v>0</v>
      </c>
      <c r="G197" s="85">
        <f>'дод 3'!H155</f>
        <v>0</v>
      </c>
      <c r="H197" s="85">
        <f>'дод 3'!I155</f>
        <v>0</v>
      </c>
      <c r="I197" s="85">
        <f>'дод 3'!J155</f>
        <v>0</v>
      </c>
      <c r="J197" s="85">
        <f>'дод 3'!K155</f>
        <v>0</v>
      </c>
      <c r="K197" s="85">
        <f>'дод 3'!L155</f>
        <v>0</v>
      </c>
      <c r="L197" s="85">
        <f>'дод 3'!M155</f>
        <v>0</v>
      </c>
      <c r="M197" s="85">
        <f>'дод 3'!N155</f>
        <v>0</v>
      </c>
      <c r="N197" s="85">
        <f>'дод 3'!O155</f>
        <v>0</v>
      </c>
      <c r="O197" s="85">
        <f>'дод 3'!P155</f>
        <v>0</v>
      </c>
      <c r="P197" s="160"/>
    </row>
    <row r="198" spans="1:16" s="87" customFormat="1" ht="38.25" customHeight="1" x14ac:dyDescent="0.45">
      <c r="A198" s="45" t="s">
        <v>112</v>
      </c>
      <c r="B198" s="45" t="s">
        <v>76</v>
      </c>
      <c r="C198" s="33" t="s">
        <v>22</v>
      </c>
      <c r="D198" s="84">
        <f>'дод 3'!E45</f>
        <v>21067610</v>
      </c>
      <c r="E198" s="84">
        <f>'дод 3'!F45</f>
        <v>21067610</v>
      </c>
      <c r="F198" s="84">
        <f>'дод 3'!G45</f>
        <v>0</v>
      </c>
      <c r="G198" s="84">
        <f>'дод 3'!H45</f>
        <v>0</v>
      </c>
      <c r="H198" s="84">
        <f>'дод 3'!I45</f>
        <v>0</v>
      </c>
      <c r="I198" s="84">
        <f>'дод 3'!J45</f>
        <v>0</v>
      </c>
      <c r="J198" s="84">
        <f>'дод 3'!K45</f>
        <v>0</v>
      </c>
      <c r="K198" s="84">
        <f>'дод 3'!L45</f>
        <v>0</v>
      </c>
      <c r="L198" s="84">
        <f>'дод 3'!M45</f>
        <v>0</v>
      </c>
      <c r="M198" s="84">
        <f>'дод 3'!N45</f>
        <v>0</v>
      </c>
      <c r="N198" s="84">
        <f>'дод 3'!O45</f>
        <v>0</v>
      </c>
      <c r="O198" s="84">
        <f>'дод 3'!P45</f>
        <v>21067610</v>
      </c>
      <c r="P198" s="160"/>
    </row>
    <row r="199" spans="1:16" s="87" customFormat="1" ht="54" customHeight="1" x14ac:dyDescent="0.45">
      <c r="A199" s="45" t="s">
        <v>108</v>
      </c>
      <c r="B199" s="45" t="s">
        <v>76</v>
      </c>
      <c r="C199" s="33" t="s">
        <v>546</v>
      </c>
      <c r="D199" s="84">
        <f>'дод 3'!E46</f>
        <v>6952500</v>
      </c>
      <c r="E199" s="84">
        <f>'дод 3'!F46</f>
        <v>6952500</v>
      </c>
      <c r="F199" s="84">
        <f>'дод 3'!G46</f>
        <v>4148000</v>
      </c>
      <c r="G199" s="84">
        <f>'дод 3'!H46</f>
        <v>839400</v>
      </c>
      <c r="H199" s="84">
        <f>'дод 3'!I46</f>
        <v>0</v>
      </c>
      <c r="I199" s="84">
        <f>'дод 3'!J46</f>
        <v>990440</v>
      </c>
      <c r="J199" s="84">
        <f>'дод 3'!K46</f>
        <v>450000</v>
      </c>
      <c r="K199" s="84">
        <f>'дод 3'!L46</f>
        <v>540440</v>
      </c>
      <c r="L199" s="84">
        <f>'дод 3'!M46</f>
        <v>345344</v>
      </c>
      <c r="M199" s="84">
        <f>'дод 3'!N46</f>
        <v>98012</v>
      </c>
      <c r="N199" s="84">
        <f>'дод 3'!O46</f>
        <v>450000</v>
      </c>
      <c r="O199" s="84">
        <f>'дод 3'!P46</f>
        <v>7942940</v>
      </c>
      <c r="P199" s="160"/>
    </row>
    <row r="200" spans="1:16" s="87" customFormat="1" ht="46.5" customHeight="1" x14ac:dyDescent="0.45">
      <c r="A200" s="45" t="s">
        <v>110</v>
      </c>
      <c r="B200" s="45" t="s">
        <v>76</v>
      </c>
      <c r="C200" s="33" t="s">
        <v>109</v>
      </c>
      <c r="D200" s="84">
        <f>'дод 3'!E47</f>
        <v>15423204</v>
      </c>
      <c r="E200" s="84">
        <f>'дод 3'!F47</f>
        <v>15423204</v>
      </c>
      <c r="F200" s="84">
        <f>'дод 3'!G47</f>
        <v>0</v>
      </c>
      <c r="G200" s="84">
        <f>'дод 3'!H47</f>
        <v>0</v>
      </c>
      <c r="H200" s="84">
        <f>'дод 3'!I47</f>
        <v>0</v>
      </c>
      <c r="I200" s="84">
        <f>'дод 3'!J47</f>
        <v>0</v>
      </c>
      <c r="J200" s="84">
        <f>'дод 3'!K47</f>
        <v>0</v>
      </c>
      <c r="K200" s="84">
        <f>'дод 3'!L47</f>
        <v>0</v>
      </c>
      <c r="L200" s="84">
        <f>'дод 3'!M47</f>
        <v>0</v>
      </c>
      <c r="M200" s="84">
        <f>'дод 3'!N47</f>
        <v>0</v>
      </c>
      <c r="N200" s="84">
        <f>'дод 3'!O47</f>
        <v>0</v>
      </c>
      <c r="O200" s="84">
        <f>'дод 3'!P47</f>
        <v>15423204</v>
      </c>
      <c r="P200" s="160"/>
    </row>
    <row r="201" spans="1:16" s="78" customFormat="1" ht="26.25" customHeight="1" x14ac:dyDescent="0.4">
      <c r="A201" s="88" t="s">
        <v>64</v>
      </c>
      <c r="B201" s="92"/>
      <c r="C201" s="93" t="s">
        <v>722</v>
      </c>
      <c r="D201" s="82">
        <f>D204+D205+D208+D209+D210+D212+D214+D216+D217+D213+D207</f>
        <v>360312046</v>
      </c>
      <c r="E201" s="82">
        <f t="shared" ref="E201:O201" si="37">E204+E205+E208+E209+E210+E212+E214+E216+E217+E213+E207</f>
        <v>240107641.18000001</v>
      </c>
      <c r="F201" s="82">
        <f t="shared" si="37"/>
        <v>0</v>
      </c>
      <c r="G201" s="82">
        <f t="shared" si="37"/>
        <v>25417173</v>
      </c>
      <c r="H201" s="82">
        <f>H204+H205+H208+H209+H210+H212+H214+H216+H217+H213+H207</f>
        <v>120204404.82000001</v>
      </c>
      <c r="I201" s="82">
        <f t="shared" si="37"/>
        <v>6484893.4900000002</v>
      </c>
      <c r="J201" s="82">
        <f t="shared" si="37"/>
        <v>6038630</v>
      </c>
      <c r="K201" s="82">
        <f t="shared" si="37"/>
        <v>0</v>
      </c>
      <c r="L201" s="82">
        <f t="shared" si="37"/>
        <v>0</v>
      </c>
      <c r="M201" s="82">
        <f t="shared" si="37"/>
        <v>0</v>
      </c>
      <c r="N201" s="82">
        <f t="shared" si="37"/>
        <v>6484893.4900000002</v>
      </c>
      <c r="O201" s="82">
        <f t="shared" si="37"/>
        <v>366796939.49000001</v>
      </c>
      <c r="P201" s="160"/>
    </row>
    <row r="202" spans="1:16" s="78" customFormat="1" ht="75" x14ac:dyDescent="0.4">
      <c r="A202" s="88"/>
      <c r="B202" s="92"/>
      <c r="C202" s="54" t="s">
        <v>619</v>
      </c>
      <c r="D202" s="83">
        <f>D206+D211</f>
        <v>12104027</v>
      </c>
      <c r="E202" s="83">
        <f t="shared" ref="E202:O202" si="38">E206+E211</f>
        <v>0</v>
      </c>
      <c r="F202" s="83">
        <f t="shared" si="38"/>
        <v>0</v>
      </c>
      <c r="G202" s="83">
        <f t="shared" si="38"/>
        <v>0</v>
      </c>
      <c r="H202" s="83">
        <f t="shared" si="38"/>
        <v>12104027</v>
      </c>
      <c r="I202" s="83">
        <f t="shared" si="38"/>
        <v>1290870</v>
      </c>
      <c r="J202" s="83">
        <f t="shared" si="38"/>
        <v>1290870</v>
      </c>
      <c r="K202" s="83">
        <f t="shared" si="38"/>
        <v>0</v>
      </c>
      <c r="L202" s="83">
        <f t="shared" si="38"/>
        <v>0</v>
      </c>
      <c r="M202" s="83">
        <f t="shared" si="38"/>
        <v>0</v>
      </c>
      <c r="N202" s="83">
        <f t="shared" si="38"/>
        <v>1290870</v>
      </c>
      <c r="O202" s="83">
        <f t="shared" si="38"/>
        <v>13394897</v>
      </c>
      <c r="P202" s="160"/>
    </row>
    <row r="203" spans="1:16" s="90" customFormat="1" ht="113.25" hidden="1" customHeight="1" x14ac:dyDescent="0.4">
      <c r="A203" s="89"/>
      <c r="B203" s="94"/>
      <c r="C203" s="52" t="s">
        <v>530</v>
      </c>
      <c r="D203" s="83">
        <f>D215</f>
        <v>0</v>
      </c>
      <c r="E203" s="83">
        <f t="shared" ref="E203:O203" si="39">E215</f>
        <v>0</v>
      </c>
      <c r="F203" s="83">
        <f t="shared" si="39"/>
        <v>0</v>
      </c>
      <c r="G203" s="83">
        <f t="shared" si="39"/>
        <v>0</v>
      </c>
      <c r="H203" s="83">
        <f t="shared" si="39"/>
        <v>0</v>
      </c>
      <c r="I203" s="83">
        <f t="shared" si="39"/>
        <v>0</v>
      </c>
      <c r="J203" s="83">
        <f t="shared" si="39"/>
        <v>0</v>
      </c>
      <c r="K203" s="83">
        <f t="shared" si="39"/>
        <v>0</v>
      </c>
      <c r="L203" s="83">
        <f t="shared" si="39"/>
        <v>0</v>
      </c>
      <c r="M203" s="83">
        <f t="shared" si="39"/>
        <v>0</v>
      </c>
      <c r="N203" s="83">
        <f t="shared" si="39"/>
        <v>0</v>
      </c>
      <c r="O203" s="83">
        <f t="shared" si="39"/>
        <v>0</v>
      </c>
      <c r="P203" s="160"/>
    </row>
    <row r="204" spans="1:16" s="87" customFormat="1" ht="27.75" hidden="1" customHeight="1" x14ac:dyDescent="0.45">
      <c r="A204" s="45" t="s">
        <v>122</v>
      </c>
      <c r="B204" s="45" t="s">
        <v>65</v>
      </c>
      <c r="C204" s="33" t="s">
        <v>123</v>
      </c>
      <c r="D204" s="84">
        <f>'дод 3'!E313</f>
        <v>0</v>
      </c>
      <c r="E204" s="84">
        <f>'дод 3'!F313</f>
        <v>0</v>
      </c>
      <c r="F204" s="84">
        <f>'дод 3'!G313</f>
        <v>0</v>
      </c>
      <c r="G204" s="84">
        <f>'дод 3'!H313</f>
        <v>0</v>
      </c>
      <c r="H204" s="84">
        <f>'дод 3'!I313</f>
        <v>0</v>
      </c>
      <c r="I204" s="84">
        <f>'дод 3'!J313</f>
        <v>0</v>
      </c>
      <c r="J204" s="84">
        <f>'дод 3'!K313</f>
        <v>0</v>
      </c>
      <c r="K204" s="84">
        <f>'дод 3'!L313</f>
        <v>0</v>
      </c>
      <c r="L204" s="84">
        <f>'дод 3'!M313</f>
        <v>0</v>
      </c>
      <c r="M204" s="84">
        <f>'дод 3'!N313</f>
        <v>0</v>
      </c>
      <c r="N204" s="84">
        <f>'дод 3'!O313</f>
        <v>0</v>
      </c>
      <c r="O204" s="84">
        <f>'дод 3'!P313</f>
        <v>0</v>
      </c>
      <c r="P204" s="160"/>
    </row>
    <row r="205" spans="1:16" s="87" customFormat="1" ht="32.25" customHeight="1" x14ac:dyDescent="0.45">
      <c r="A205" s="45" t="s">
        <v>124</v>
      </c>
      <c r="B205" s="45" t="s">
        <v>67</v>
      </c>
      <c r="C205" s="33" t="s">
        <v>723</v>
      </c>
      <c r="D205" s="84">
        <f>'дод 3'!E314</f>
        <v>110757168</v>
      </c>
      <c r="E205" s="84">
        <f>'дод 3'!F314</f>
        <v>882000</v>
      </c>
      <c r="F205" s="84">
        <f>'дод 3'!G314</f>
        <v>0</v>
      </c>
      <c r="G205" s="84">
        <f>'дод 3'!H314</f>
        <v>0</v>
      </c>
      <c r="H205" s="84">
        <f>'дод 3'!I314</f>
        <v>109875168</v>
      </c>
      <c r="I205" s="84">
        <f>'дод 3'!J314</f>
        <v>1290870</v>
      </c>
      <c r="J205" s="84">
        <f>'дод 3'!K314</f>
        <v>1290870</v>
      </c>
      <c r="K205" s="84">
        <f>'дод 3'!L314</f>
        <v>0</v>
      </c>
      <c r="L205" s="84">
        <f>'дод 3'!M314</f>
        <v>0</v>
      </c>
      <c r="M205" s="84">
        <f>'дод 3'!N314</f>
        <v>0</v>
      </c>
      <c r="N205" s="84">
        <f>'дод 3'!O314</f>
        <v>1290870</v>
      </c>
      <c r="O205" s="84">
        <f>'дод 3'!P314</f>
        <v>112048038</v>
      </c>
      <c r="P205" s="160"/>
    </row>
    <row r="206" spans="1:16" s="87" customFormat="1" ht="76.900000000000006" x14ac:dyDescent="0.45">
      <c r="A206" s="86"/>
      <c r="B206" s="86"/>
      <c r="C206" s="48" t="s">
        <v>619</v>
      </c>
      <c r="D206" s="85">
        <f>'дод 3'!E315</f>
        <v>11562545</v>
      </c>
      <c r="E206" s="85">
        <f>'дод 3'!F315</f>
        <v>0</v>
      </c>
      <c r="F206" s="85">
        <f>'дод 3'!G315</f>
        <v>0</v>
      </c>
      <c r="G206" s="85">
        <f>'дод 3'!H315</f>
        <v>0</v>
      </c>
      <c r="H206" s="85">
        <f>'дод 3'!I315</f>
        <v>11562545</v>
      </c>
      <c r="I206" s="85">
        <f>'дод 3'!J315</f>
        <v>1290870</v>
      </c>
      <c r="J206" s="85">
        <f>'дод 3'!K315</f>
        <v>1290870</v>
      </c>
      <c r="K206" s="85">
        <f>'дод 3'!L315</f>
        <v>0</v>
      </c>
      <c r="L206" s="85">
        <f>'дод 3'!M315</f>
        <v>0</v>
      </c>
      <c r="M206" s="85">
        <f>'дод 3'!N315</f>
        <v>0</v>
      </c>
      <c r="N206" s="85">
        <f>'дод 3'!O315</f>
        <v>1290870</v>
      </c>
      <c r="O206" s="85">
        <f>'дод 3'!P315</f>
        <v>12853415</v>
      </c>
      <c r="P206" s="160">
        <v>10</v>
      </c>
    </row>
    <row r="207" spans="1:16" s="87" customFormat="1" ht="32.25" hidden="1" customHeight="1" x14ac:dyDescent="0.45">
      <c r="A207" s="45">
        <v>6014</v>
      </c>
      <c r="B207" s="45" t="s">
        <v>67</v>
      </c>
      <c r="C207" s="33" t="s">
        <v>568</v>
      </c>
      <c r="D207" s="84">
        <f>'дод 3'!E316</f>
        <v>0</v>
      </c>
      <c r="E207" s="84">
        <f>'дод 3'!F316</f>
        <v>0</v>
      </c>
      <c r="F207" s="84">
        <f>'дод 3'!G316</f>
        <v>0</v>
      </c>
      <c r="G207" s="84">
        <f>'дод 3'!H316</f>
        <v>0</v>
      </c>
      <c r="H207" s="84">
        <f>'дод 3'!I316</f>
        <v>0</v>
      </c>
      <c r="I207" s="84">
        <f>'дод 3'!J316</f>
        <v>0</v>
      </c>
      <c r="J207" s="84">
        <f>'дод 3'!K316</f>
        <v>0</v>
      </c>
      <c r="K207" s="84">
        <f>'дод 3'!L316</f>
        <v>0</v>
      </c>
      <c r="L207" s="84">
        <f>'дод 3'!M316</f>
        <v>0</v>
      </c>
      <c r="M207" s="84">
        <f>'дод 3'!N316</f>
        <v>0</v>
      </c>
      <c r="N207" s="84">
        <f>'дод 3'!O316</f>
        <v>0</v>
      </c>
      <c r="O207" s="84">
        <f>'дод 3'!P316</f>
        <v>0</v>
      </c>
      <c r="P207" s="160"/>
    </row>
    <row r="208" spans="1:16" s="87" customFormat="1" ht="32.25" customHeight="1" x14ac:dyDescent="0.45">
      <c r="A208" s="45" t="s">
        <v>251</v>
      </c>
      <c r="B208" s="45" t="s">
        <v>67</v>
      </c>
      <c r="C208" s="33" t="s">
        <v>252</v>
      </c>
      <c r="D208" s="84">
        <f>'дод 3'!E317</f>
        <v>0</v>
      </c>
      <c r="E208" s="84">
        <f>'дод 3'!F317</f>
        <v>0</v>
      </c>
      <c r="F208" s="84">
        <f>'дод 3'!G317</f>
        <v>0</v>
      </c>
      <c r="G208" s="84">
        <f>'дод 3'!H317</f>
        <v>0</v>
      </c>
      <c r="H208" s="84">
        <f>'дод 3'!I317</f>
        <v>0</v>
      </c>
      <c r="I208" s="84">
        <f>'дод 3'!J317</f>
        <v>90000</v>
      </c>
      <c r="J208" s="84">
        <f>'дод 3'!K317</f>
        <v>90000</v>
      </c>
      <c r="K208" s="84">
        <f>'дод 3'!L317</f>
        <v>0</v>
      </c>
      <c r="L208" s="84">
        <f>'дод 3'!M317</f>
        <v>0</v>
      </c>
      <c r="M208" s="84">
        <f>'дод 3'!N317</f>
        <v>0</v>
      </c>
      <c r="N208" s="84">
        <f>'дод 3'!O317</f>
        <v>90000</v>
      </c>
      <c r="O208" s="84">
        <f>'дод 3'!P317</f>
        <v>90000</v>
      </c>
      <c r="P208" s="160"/>
    </row>
    <row r="209" spans="1:16" s="87" customFormat="1" ht="33" customHeight="1" x14ac:dyDescent="0.45">
      <c r="A209" s="45" t="s">
        <v>254</v>
      </c>
      <c r="B209" s="45" t="s">
        <v>67</v>
      </c>
      <c r="C209" s="33" t="s">
        <v>330</v>
      </c>
      <c r="D209" s="84">
        <f>'дод 3'!E318</f>
        <v>400000</v>
      </c>
      <c r="E209" s="84">
        <f>'дод 3'!F318</f>
        <v>400000</v>
      </c>
      <c r="F209" s="84">
        <f>'дод 3'!G318</f>
        <v>0</v>
      </c>
      <c r="G209" s="84">
        <f>'дод 3'!H318</f>
        <v>0</v>
      </c>
      <c r="H209" s="84">
        <f>'дод 3'!I318</f>
        <v>0</v>
      </c>
      <c r="I209" s="84">
        <f>'дод 3'!J318</f>
        <v>0</v>
      </c>
      <c r="J209" s="84">
        <f>'дод 3'!K318</f>
        <v>0</v>
      </c>
      <c r="K209" s="84">
        <f>'дод 3'!L318</f>
        <v>0</v>
      </c>
      <c r="L209" s="84">
        <f>'дод 3'!M318</f>
        <v>0</v>
      </c>
      <c r="M209" s="84">
        <f>'дод 3'!N318</f>
        <v>0</v>
      </c>
      <c r="N209" s="84">
        <f>'дод 3'!O318</f>
        <v>0</v>
      </c>
      <c r="O209" s="84">
        <f>'дод 3'!P318</f>
        <v>400000</v>
      </c>
      <c r="P209" s="160"/>
    </row>
    <row r="210" spans="1:16" s="87" customFormat="1" ht="57.75" customHeight="1" x14ac:dyDescent="0.45">
      <c r="A210" s="45" t="s">
        <v>66</v>
      </c>
      <c r="B210" s="45" t="s">
        <v>67</v>
      </c>
      <c r="C210" s="33" t="s">
        <v>724</v>
      </c>
      <c r="D210" s="84">
        <f>'дод 3'!E319</f>
        <v>9099186.620000001</v>
      </c>
      <c r="E210" s="84">
        <f>'дод 3'!F319</f>
        <v>0</v>
      </c>
      <c r="F210" s="84">
        <f>'дод 3'!G319</f>
        <v>0</v>
      </c>
      <c r="G210" s="84">
        <f>'дод 3'!H319</f>
        <v>0</v>
      </c>
      <c r="H210" s="84">
        <f>'дод 3'!I319</f>
        <v>9099186.620000001</v>
      </c>
      <c r="I210" s="84">
        <f>'дод 3'!J319</f>
        <v>4295760</v>
      </c>
      <c r="J210" s="84">
        <f>'дод 3'!K319</f>
        <v>4295760</v>
      </c>
      <c r="K210" s="84">
        <f>'дод 3'!L319</f>
        <v>0</v>
      </c>
      <c r="L210" s="84">
        <f>'дод 3'!M319</f>
        <v>0</v>
      </c>
      <c r="M210" s="84">
        <f>'дод 3'!N319</f>
        <v>0</v>
      </c>
      <c r="N210" s="84">
        <f>'дод 3'!O319</f>
        <v>4295760</v>
      </c>
      <c r="O210" s="84">
        <f>'дод 3'!P319</f>
        <v>13394946.620000001</v>
      </c>
      <c r="P210" s="160"/>
    </row>
    <row r="211" spans="1:16" s="87" customFormat="1" ht="76.900000000000006" x14ac:dyDescent="0.45">
      <c r="A211" s="86"/>
      <c r="B211" s="86"/>
      <c r="C211" s="48" t="s">
        <v>619</v>
      </c>
      <c r="D211" s="85">
        <f>'дод 3'!E320</f>
        <v>541482</v>
      </c>
      <c r="E211" s="85">
        <f>'дод 3'!F320</f>
        <v>0</v>
      </c>
      <c r="F211" s="85">
        <f>'дод 3'!G320</f>
        <v>0</v>
      </c>
      <c r="G211" s="85">
        <f>'дод 3'!H320</f>
        <v>0</v>
      </c>
      <c r="H211" s="85">
        <f>'дод 3'!I320</f>
        <v>541482</v>
      </c>
      <c r="I211" s="85">
        <f>'дод 3'!J320</f>
        <v>0</v>
      </c>
      <c r="J211" s="85">
        <f>'дод 3'!K320</f>
        <v>0</v>
      </c>
      <c r="K211" s="85">
        <f>'дод 3'!L320</f>
        <v>0</v>
      </c>
      <c r="L211" s="85">
        <f>'дод 3'!M320</f>
        <v>0</v>
      </c>
      <c r="M211" s="85">
        <f>'дод 3'!N320</f>
        <v>0</v>
      </c>
      <c r="N211" s="85">
        <f>'дод 3'!O320</f>
        <v>0</v>
      </c>
      <c r="O211" s="85">
        <f>'дод 3'!P320</f>
        <v>541482</v>
      </c>
      <c r="P211" s="160"/>
    </row>
    <row r="212" spans="1:16" ht="24" customHeight="1" x14ac:dyDescent="0.45">
      <c r="A212" s="45" t="s">
        <v>125</v>
      </c>
      <c r="B212" s="45" t="s">
        <v>67</v>
      </c>
      <c r="C212" s="33" t="s">
        <v>126</v>
      </c>
      <c r="D212" s="84">
        <f>'дод 3'!E321+'дод 3'!E392</f>
        <v>234363493.19999999</v>
      </c>
      <c r="E212" s="84">
        <f>'дод 3'!F321+'дод 3'!F392</f>
        <v>234263493</v>
      </c>
      <c r="F212" s="84">
        <f>'дод 3'!G321+'дод 3'!G392</f>
        <v>0</v>
      </c>
      <c r="G212" s="84">
        <f>'дод 3'!H321+'дод 3'!H392</f>
        <v>25416663</v>
      </c>
      <c r="H212" s="84">
        <f>'дод 3'!I321+'дод 3'!I392</f>
        <v>100000.19999999995</v>
      </c>
      <c r="I212" s="84">
        <f>'дод 3'!J321+'дод 3'!J392</f>
        <v>362000</v>
      </c>
      <c r="J212" s="84">
        <f>'дод 3'!K321+'дод 3'!K392</f>
        <v>362000</v>
      </c>
      <c r="K212" s="84">
        <f>'дод 3'!L321+'дод 3'!L392</f>
        <v>0</v>
      </c>
      <c r="L212" s="84">
        <f>'дод 3'!M321+'дод 3'!M392</f>
        <v>0</v>
      </c>
      <c r="M212" s="84">
        <f>'дод 3'!N321+'дод 3'!N392</f>
        <v>0</v>
      </c>
      <c r="N212" s="84">
        <f>'дод 3'!O321+'дод 3'!O392</f>
        <v>362000</v>
      </c>
      <c r="O212" s="84">
        <f>'дод 3'!P321+'дод 3'!P392</f>
        <v>234725493.19999999</v>
      </c>
      <c r="P212" s="160"/>
    </row>
    <row r="213" spans="1:16" ht="94.5" hidden="1" customHeight="1" x14ac:dyDescent="0.45">
      <c r="A213" s="45">
        <v>6071</v>
      </c>
      <c r="B213" s="22" t="s">
        <v>299</v>
      </c>
      <c r="C213" s="42" t="s">
        <v>538</v>
      </c>
      <c r="D213" s="84">
        <f>'дод 3'!E324</f>
        <v>0</v>
      </c>
      <c r="E213" s="84">
        <f>'дод 3'!F324</f>
        <v>0</v>
      </c>
      <c r="F213" s="84">
        <f>'дод 3'!G324</f>
        <v>0</v>
      </c>
      <c r="G213" s="84">
        <f>'дод 3'!H324</f>
        <v>0</v>
      </c>
      <c r="H213" s="84">
        <f>'дод 3'!I324</f>
        <v>0</v>
      </c>
      <c r="I213" s="84">
        <f>'дод 3'!J324</f>
        <v>0</v>
      </c>
      <c r="J213" s="84">
        <f>'дод 3'!K324</f>
        <v>0</v>
      </c>
      <c r="K213" s="84">
        <f>'дод 3'!L324</f>
        <v>0</v>
      </c>
      <c r="L213" s="84">
        <f>'дод 3'!M324</f>
        <v>0</v>
      </c>
      <c r="M213" s="84">
        <f>'дод 3'!N324</f>
        <v>0</v>
      </c>
      <c r="N213" s="84">
        <f>'дод 3'!O324</f>
        <v>0</v>
      </c>
      <c r="O213" s="84">
        <f>'дод 3'!P324</f>
        <v>0</v>
      </c>
      <c r="P213" s="160"/>
    </row>
    <row r="214" spans="1:16" ht="83.25" hidden="1" customHeight="1" x14ac:dyDescent="0.45">
      <c r="A214" s="45">
        <v>6083</v>
      </c>
      <c r="B214" s="34" t="s">
        <v>65</v>
      </c>
      <c r="C214" s="42" t="s">
        <v>414</v>
      </c>
      <c r="D214" s="84">
        <f>'дод 3'!E279+'дод 3'!E322</f>
        <v>0</v>
      </c>
      <c r="E214" s="84">
        <f>'дод 3'!F279+'дод 3'!F322</f>
        <v>0</v>
      </c>
      <c r="F214" s="84">
        <f>'дод 3'!G279+'дод 3'!G322</f>
        <v>0</v>
      </c>
      <c r="G214" s="84">
        <f>'дод 3'!H279+'дод 3'!H322</f>
        <v>0</v>
      </c>
      <c r="H214" s="84">
        <f>'дод 3'!I279+'дод 3'!I322</f>
        <v>0</v>
      </c>
      <c r="I214" s="84">
        <f>'дод 3'!J279+'дод 3'!J322</f>
        <v>0</v>
      </c>
      <c r="J214" s="84">
        <f>'дод 3'!K279+'дод 3'!K322</f>
        <v>0</v>
      </c>
      <c r="K214" s="84">
        <f>'дод 3'!L279+'дод 3'!L322</f>
        <v>0</v>
      </c>
      <c r="L214" s="84">
        <f>'дод 3'!M279+'дод 3'!M322</f>
        <v>0</v>
      </c>
      <c r="M214" s="84">
        <f>'дод 3'!N279+'дод 3'!N322</f>
        <v>0</v>
      </c>
      <c r="N214" s="84">
        <f>'дод 3'!O279+'дод 3'!O322</f>
        <v>0</v>
      </c>
      <c r="O214" s="84">
        <f>'дод 3'!P279+'дод 3'!P322</f>
        <v>0</v>
      </c>
      <c r="P214" s="160"/>
    </row>
    <row r="215" spans="1:16" s="87" customFormat="1" ht="126" hidden="1" customHeight="1" x14ac:dyDescent="0.45">
      <c r="A215" s="86"/>
      <c r="B215" s="98"/>
      <c r="C215" s="53" t="s">
        <v>530</v>
      </c>
      <c r="D215" s="85">
        <f>'дод 3'!E280+'дод 3'!E323</f>
        <v>0</v>
      </c>
      <c r="E215" s="85">
        <f>'дод 3'!F280+'дод 3'!F323</f>
        <v>0</v>
      </c>
      <c r="F215" s="85">
        <f>'дод 3'!G280+'дод 3'!G323</f>
        <v>0</v>
      </c>
      <c r="G215" s="85">
        <f>'дод 3'!H280+'дод 3'!H323</f>
        <v>0</v>
      </c>
      <c r="H215" s="85">
        <f>'дод 3'!I280+'дод 3'!I323</f>
        <v>0</v>
      </c>
      <c r="I215" s="85">
        <f>'дод 3'!J280+'дод 3'!J323</f>
        <v>0</v>
      </c>
      <c r="J215" s="85">
        <f>'дод 3'!K280+'дод 3'!K323</f>
        <v>0</v>
      </c>
      <c r="K215" s="85">
        <f>'дод 3'!L280+'дод 3'!L323</f>
        <v>0</v>
      </c>
      <c r="L215" s="85">
        <f>'дод 3'!M280+'дод 3'!M323</f>
        <v>0</v>
      </c>
      <c r="M215" s="85">
        <f>'дод 3'!N280+'дод 3'!N323</f>
        <v>0</v>
      </c>
      <c r="N215" s="85">
        <f>'дод 3'!O280+'дод 3'!O323</f>
        <v>0</v>
      </c>
      <c r="O215" s="85">
        <f>'дод 3'!P280+'дод 3'!P323</f>
        <v>0</v>
      </c>
      <c r="P215" s="160"/>
    </row>
    <row r="216" spans="1:16" s="87" customFormat="1" ht="66" customHeight="1" x14ac:dyDescent="0.45">
      <c r="A216" s="45" t="s">
        <v>128</v>
      </c>
      <c r="B216" s="23" t="s">
        <v>65</v>
      </c>
      <c r="C216" s="33" t="s">
        <v>547</v>
      </c>
      <c r="D216" s="84">
        <f>'дод 3'!E396</f>
        <v>0</v>
      </c>
      <c r="E216" s="84">
        <f>'дод 3'!F396</f>
        <v>0</v>
      </c>
      <c r="F216" s="84">
        <f>'дод 3'!G396</f>
        <v>0</v>
      </c>
      <c r="G216" s="84">
        <f>'дод 3'!H396</f>
        <v>0</v>
      </c>
      <c r="H216" s="84">
        <f>'дод 3'!I396</f>
        <v>0</v>
      </c>
      <c r="I216" s="84">
        <f>'дод 3'!J396</f>
        <v>446263.49</v>
      </c>
      <c r="J216" s="84">
        <f>'дод 3'!K396</f>
        <v>0</v>
      </c>
      <c r="K216" s="84">
        <f>'дод 3'!L396</f>
        <v>0</v>
      </c>
      <c r="L216" s="84">
        <f>'дод 3'!M396</f>
        <v>0</v>
      </c>
      <c r="M216" s="84">
        <f>'дод 3'!N396</f>
        <v>0</v>
      </c>
      <c r="N216" s="84">
        <f>'дод 3'!O396</f>
        <v>446263.49</v>
      </c>
      <c r="O216" s="84">
        <f>'дод 3'!P396</f>
        <v>446263.49</v>
      </c>
      <c r="P216" s="160"/>
    </row>
    <row r="217" spans="1:16" ht="32.25" customHeight="1" x14ac:dyDescent="0.45">
      <c r="A217" s="45" t="s">
        <v>134</v>
      </c>
      <c r="B217" s="23" t="s">
        <v>299</v>
      </c>
      <c r="C217" s="33" t="s">
        <v>135</v>
      </c>
      <c r="D217" s="84">
        <f>'дод 3'!E325+'дод 3'!E419+'дод 3'!E452</f>
        <v>5692198.1799999997</v>
      </c>
      <c r="E217" s="84">
        <f>'дод 3'!F325+'дод 3'!F419+'дод 3'!F452</f>
        <v>4562148.18</v>
      </c>
      <c r="F217" s="84">
        <f>'дод 3'!G325+'дод 3'!G419+'дод 3'!G452</f>
        <v>0</v>
      </c>
      <c r="G217" s="84">
        <f>'дод 3'!H325+'дод 3'!H419+'дод 3'!H452</f>
        <v>510</v>
      </c>
      <c r="H217" s="84">
        <f>'дод 3'!I325+'дод 3'!I419+'дод 3'!I452</f>
        <v>1130050</v>
      </c>
      <c r="I217" s="84">
        <f>'дод 3'!J325+'дод 3'!J419+'дод 3'!J452</f>
        <v>0</v>
      </c>
      <c r="J217" s="84">
        <f>'дод 3'!K325+'дод 3'!K419+'дод 3'!K452</f>
        <v>0</v>
      </c>
      <c r="K217" s="84">
        <f>'дод 3'!L325+'дод 3'!L419+'дод 3'!L452</f>
        <v>0</v>
      </c>
      <c r="L217" s="84">
        <f>'дод 3'!M325+'дод 3'!M419+'дод 3'!M452</f>
        <v>0</v>
      </c>
      <c r="M217" s="84">
        <f>'дод 3'!N325+'дод 3'!N419+'дод 3'!N452</f>
        <v>0</v>
      </c>
      <c r="N217" s="84">
        <f>'дод 3'!O325+'дод 3'!O419+'дод 3'!O452</f>
        <v>0</v>
      </c>
      <c r="O217" s="84">
        <f>'дод 3'!P325+'дод 3'!P419+'дод 3'!P452</f>
        <v>5692198.1799999997</v>
      </c>
      <c r="P217" s="160"/>
    </row>
    <row r="218" spans="1:16" s="78" customFormat="1" ht="21.75" customHeight="1" x14ac:dyDescent="0.4">
      <c r="A218" s="88" t="s">
        <v>129</v>
      </c>
      <c r="B218" s="92"/>
      <c r="C218" s="93" t="s">
        <v>598</v>
      </c>
      <c r="D218" s="82">
        <f>D229+D231+D264+D277+D279+D298</f>
        <v>106299258.34999999</v>
      </c>
      <c r="E218" s="82">
        <f t="shared" ref="E218:O218" si="40">E229+E231+E264+E277+E279+E298</f>
        <v>13173469</v>
      </c>
      <c r="F218" s="82">
        <f t="shared" si="40"/>
        <v>0</v>
      </c>
      <c r="G218" s="82">
        <f t="shared" si="40"/>
        <v>0</v>
      </c>
      <c r="H218" s="82">
        <f t="shared" si="40"/>
        <v>93125789.349999994</v>
      </c>
      <c r="I218" s="82">
        <f t="shared" si="40"/>
        <v>404941153.65999997</v>
      </c>
      <c r="J218" s="82">
        <f t="shared" si="40"/>
        <v>331775939</v>
      </c>
      <c r="K218" s="82">
        <f t="shared" si="40"/>
        <v>557641</v>
      </c>
      <c r="L218" s="82">
        <f t="shared" si="40"/>
        <v>0</v>
      </c>
      <c r="M218" s="82">
        <f t="shared" si="40"/>
        <v>0</v>
      </c>
      <c r="N218" s="82">
        <f t="shared" si="40"/>
        <v>404383512.65999997</v>
      </c>
      <c r="O218" s="82">
        <f t="shared" si="40"/>
        <v>511240412.00999999</v>
      </c>
      <c r="P218" s="160"/>
    </row>
    <row r="219" spans="1:16" s="90" customFormat="1" ht="47.25" hidden="1" customHeight="1" x14ac:dyDescent="0.4">
      <c r="A219" s="89"/>
      <c r="B219" s="94"/>
      <c r="C219" s="54" t="s">
        <v>374</v>
      </c>
      <c r="D219" s="83">
        <f>D232</f>
        <v>0</v>
      </c>
      <c r="E219" s="83">
        <f t="shared" ref="E219:O219" si="41">E232</f>
        <v>0</v>
      </c>
      <c r="F219" s="83">
        <f t="shared" si="41"/>
        <v>0</v>
      </c>
      <c r="G219" s="83">
        <f t="shared" si="41"/>
        <v>0</v>
      </c>
      <c r="H219" s="83">
        <f t="shared" si="41"/>
        <v>0</v>
      </c>
      <c r="I219" s="83">
        <f t="shared" si="41"/>
        <v>0</v>
      </c>
      <c r="J219" s="83">
        <f t="shared" si="41"/>
        <v>0</v>
      </c>
      <c r="K219" s="83">
        <f t="shared" si="41"/>
        <v>0</v>
      </c>
      <c r="L219" s="83">
        <f t="shared" si="41"/>
        <v>0</v>
      </c>
      <c r="M219" s="83">
        <f t="shared" si="41"/>
        <v>0</v>
      </c>
      <c r="N219" s="83">
        <f t="shared" si="41"/>
        <v>0</v>
      </c>
      <c r="O219" s="83">
        <f t="shared" si="41"/>
        <v>0</v>
      </c>
      <c r="P219" s="160"/>
    </row>
    <row r="220" spans="1:16" s="90" customFormat="1" ht="15.75" hidden="1" customHeight="1" x14ac:dyDescent="0.4">
      <c r="A220" s="89"/>
      <c r="B220" s="94"/>
      <c r="C220" s="19" t="s">
        <v>380</v>
      </c>
      <c r="D220" s="83">
        <f>D233</f>
        <v>0</v>
      </c>
      <c r="E220" s="83">
        <f t="shared" ref="E220:O220" si="42">E233</f>
        <v>0</v>
      </c>
      <c r="F220" s="83">
        <f t="shared" si="42"/>
        <v>0</v>
      </c>
      <c r="G220" s="83">
        <f t="shared" si="42"/>
        <v>0</v>
      </c>
      <c r="H220" s="83">
        <f t="shared" si="42"/>
        <v>0</v>
      </c>
      <c r="I220" s="83">
        <f t="shared" si="42"/>
        <v>0</v>
      </c>
      <c r="J220" s="83">
        <f t="shared" si="42"/>
        <v>0</v>
      </c>
      <c r="K220" s="83">
        <f t="shared" si="42"/>
        <v>0</v>
      </c>
      <c r="L220" s="83">
        <f t="shared" si="42"/>
        <v>0</v>
      </c>
      <c r="M220" s="83">
        <f t="shared" si="42"/>
        <v>0</v>
      </c>
      <c r="N220" s="83">
        <f t="shared" si="42"/>
        <v>0</v>
      </c>
      <c r="O220" s="83">
        <f t="shared" si="42"/>
        <v>0</v>
      </c>
      <c r="P220" s="160"/>
    </row>
    <row r="221" spans="1:16" s="90" customFormat="1" ht="101.25" hidden="1" customHeight="1" x14ac:dyDescent="0.4">
      <c r="A221" s="89"/>
      <c r="B221" s="94"/>
      <c r="C221" s="19" t="str">
        <f>'дод 3'!D303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D221" s="19">
        <f>'дод 3'!E303</f>
        <v>0</v>
      </c>
      <c r="E221" s="19">
        <f>'дод 3'!F303</f>
        <v>0</v>
      </c>
      <c r="F221" s="19">
        <f>'дод 3'!G303</f>
        <v>0</v>
      </c>
      <c r="G221" s="19">
        <f>'дод 3'!H303</f>
        <v>0</v>
      </c>
      <c r="H221" s="19">
        <f>'дод 3'!I303</f>
        <v>0</v>
      </c>
      <c r="I221" s="99">
        <f>'дод 3'!J303</f>
        <v>0</v>
      </c>
      <c r="J221" s="99">
        <f>'дод 3'!K303</f>
        <v>0</v>
      </c>
      <c r="K221" s="99">
        <f>'дод 3'!L303</f>
        <v>0</v>
      </c>
      <c r="L221" s="99">
        <f>'дод 3'!M303</f>
        <v>0</v>
      </c>
      <c r="M221" s="99">
        <f>'дод 3'!N303</f>
        <v>0</v>
      </c>
      <c r="N221" s="99">
        <f>'дод 3'!O303</f>
        <v>0</v>
      </c>
      <c r="O221" s="99">
        <f>'дод 3'!P303</f>
        <v>0</v>
      </c>
      <c r="P221" s="160"/>
    </row>
    <row r="222" spans="1:16" s="90" customFormat="1" ht="56.25" hidden="1" customHeight="1" x14ac:dyDescent="0.4">
      <c r="A222" s="89"/>
      <c r="B222" s="94"/>
      <c r="C222" s="19" t="str">
        <f>C261</f>
        <v>субвенції з державного бюджету місцевим бюджетам на реалізацію проектів (об'єктів, заходів), спрямованих на ліквідацію наслідків збройної агресії</v>
      </c>
      <c r="D222" s="19">
        <f>D261</f>
        <v>0</v>
      </c>
      <c r="E222" s="18">
        <f t="shared" ref="E222:O222" si="43">E261</f>
        <v>0</v>
      </c>
      <c r="F222" s="18">
        <f t="shared" si="43"/>
        <v>0</v>
      </c>
      <c r="G222" s="18">
        <f t="shared" si="43"/>
        <v>0</v>
      </c>
      <c r="H222" s="18">
        <f t="shared" si="43"/>
        <v>0</v>
      </c>
      <c r="I222" s="18">
        <f t="shared" si="43"/>
        <v>0</v>
      </c>
      <c r="J222" s="18">
        <f t="shared" si="43"/>
        <v>0</v>
      </c>
      <c r="K222" s="18">
        <f t="shared" si="43"/>
        <v>0</v>
      </c>
      <c r="L222" s="18">
        <f t="shared" si="43"/>
        <v>0</v>
      </c>
      <c r="M222" s="18">
        <f t="shared" si="43"/>
        <v>0</v>
      </c>
      <c r="N222" s="18">
        <f t="shared" si="43"/>
        <v>0</v>
      </c>
      <c r="O222" s="18">
        <f t="shared" si="43"/>
        <v>0</v>
      </c>
      <c r="P222" s="160"/>
    </row>
    <row r="223" spans="1:16" s="90" customFormat="1" ht="92.25" customHeight="1" x14ac:dyDescent="0.4">
      <c r="A223" s="89"/>
      <c r="B223" s="94"/>
      <c r="C223" s="100" t="s">
        <v>665</v>
      </c>
      <c r="D223" s="83">
        <f>D234</f>
        <v>0</v>
      </c>
      <c r="E223" s="83">
        <f t="shared" ref="E223:O223" si="44">E234</f>
        <v>0</v>
      </c>
      <c r="F223" s="83">
        <f t="shared" si="44"/>
        <v>0</v>
      </c>
      <c r="G223" s="83">
        <f t="shared" si="44"/>
        <v>0</v>
      </c>
      <c r="H223" s="83">
        <f t="shared" si="44"/>
        <v>0</v>
      </c>
      <c r="I223" s="83">
        <f t="shared" si="44"/>
        <v>67150626.659999996</v>
      </c>
      <c r="J223" s="83">
        <f t="shared" si="44"/>
        <v>0</v>
      </c>
      <c r="K223" s="83">
        <f t="shared" si="44"/>
        <v>0</v>
      </c>
      <c r="L223" s="83">
        <f t="shared" si="44"/>
        <v>0</v>
      </c>
      <c r="M223" s="83">
        <f t="shared" si="44"/>
        <v>0</v>
      </c>
      <c r="N223" s="83">
        <f t="shared" si="44"/>
        <v>67150626.659999996</v>
      </c>
      <c r="O223" s="83">
        <f t="shared" si="44"/>
        <v>67150626.659999996</v>
      </c>
      <c r="P223" s="160"/>
    </row>
    <row r="224" spans="1:16" s="90" customFormat="1" ht="92.25" customHeight="1" x14ac:dyDescent="0.4">
      <c r="A224" s="89"/>
      <c r="B224" s="94"/>
      <c r="C224" s="54" t="s">
        <v>619</v>
      </c>
      <c r="D224" s="83">
        <f>D235+D280</f>
        <v>163600</v>
      </c>
      <c r="E224" s="83">
        <f t="shared" ref="E224:O224" si="45">E235+E280</f>
        <v>163600</v>
      </c>
      <c r="F224" s="83">
        <f t="shared" si="45"/>
        <v>0</v>
      </c>
      <c r="G224" s="83">
        <f t="shared" si="45"/>
        <v>0</v>
      </c>
      <c r="H224" s="83">
        <f t="shared" si="45"/>
        <v>0</v>
      </c>
      <c r="I224" s="83">
        <f t="shared" si="45"/>
        <v>5971900</v>
      </c>
      <c r="J224" s="83">
        <f t="shared" si="45"/>
        <v>5971900</v>
      </c>
      <c r="K224" s="83">
        <f t="shared" si="45"/>
        <v>0</v>
      </c>
      <c r="L224" s="83">
        <f t="shared" si="45"/>
        <v>0</v>
      </c>
      <c r="M224" s="83">
        <f t="shared" si="45"/>
        <v>0</v>
      </c>
      <c r="N224" s="83">
        <f t="shared" si="45"/>
        <v>5971900</v>
      </c>
      <c r="O224" s="83">
        <f t="shared" si="45"/>
        <v>6135500</v>
      </c>
      <c r="P224" s="160"/>
    </row>
    <row r="225" spans="1:16" s="90" customFormat="1" ht="33" customHeight="1" x14ac:dyDescent="0.4">
      <c r="A225" s="89"/>
      <c r="B225" s="94"/>
      <c r="C225" s="94" t="s">
        <v>379</v>
      </c>
      <c r="D225" s="83">
        <f>D236</f>
        <v>0</v>
      </c>
      <c r="E225" s="83">
        <f t="shared" ref="E225:O225" si="46">E236</f>
        <v>0</v>
      </c>
      <c r="F225" s="83">
        <f t="shared" si="46"/>
        <v>0</v>
      </c>
      <c r="G225" s="83">
        <f t="shared" si="46"/>
        <v>0</v>
      </c>
      <c r="H225" s="83">
        <f t="shared" si="46"/>
        <v>0</v>
      </c>
      <c r="I225" s="83">
        <f t="shared" si="46"/>
        <v>0</v>
      </c>
      <c r="J225" s="83">
        <f t="shared" si="46"/>
        <v>0</v>
      </c>
      <c r="K225" s="83">
        <f t="shared" si="46"/>
        <v>0</v>
      </c>
      <c r="L225" s="83">
        <f t="shared" si="46"/>
        <v>0</v>
      </c>
      <c r="M225" s="83">
        <f t="shared" si="46"/>
        <v>0</v>
      </c>
      <c r="N225" s="83">
        <f t="shared" si="46"/>
        <v>0</v>
      </c>
      <c r="O225" s="83">
        <f t="shared" si="46"/>
        <v>0</v>
      </c>
      <c r="P225" s="160"/>
    </row>
    <row r="226" spans="1:16" s="90" customFormat="1" ht="18" customHeight="1" x14ac:dyDescent="0.4">
      <c r="A226" s="89"/>
      <c r="B226" s="89"/>
      <c r="C226" s="19" t="s">
        <v>399</v>
      </c>
      <c r="D226" s="83">
        <f>D281</f>
        <v>0</v>
      </c>
      <c r="E226" s="83">
        <f t="shared" ref="E226:O226" si="47">E281</f>
        <v>0</v>
      </c>
      <c r="F226" s="83">
        <f t="shared" si="47"/>
        <v>0</v>
      </c>
      <c r="G226" s="83">
        <f t="shared" si="47"/>
        <v>0</v>
      </c>
      <c r="H226" s="83">
        <f t="shared" si="47"/>
        <v>0</v>
      </c>
      <c r="I226" s="83">
        <f t="shared" si="47"/>
        <v>61868709</v>
      </c>
      <c r="J226" s="83">
        <f t="shared" si="47"/>
        <v>61868709</v>
      </c>
      <c r="K226" s="83">
        <f t="shared" si="47"/>
        <v>0</v>
      </c>
      <c r="L226" s="83">
        <f t="shared" si="47"/>
        <v>0</v>
      </c>
      <c r="M226" s="83">
        <f t="shared" si="47"/>
        <v>0</v>
      </c>
      <c r="N226" s="83">
        <f t="shared" si="47"/>
        <v>61868709</v>
      </c>
      <c r="O226" s="83">
        <f t="shared" si="47"/>
        <v>61868709</v>
      </c>
      <c r="P226" s="160"/>
    </row>
    <row r="227" spans="1:16" s="90" customFormat="1" ht="18" customHeight="1" x14ac:dyDescent="0.4">
      <c r="A227" s="89"/>
      <c r="B227" s="89"/>
      <c r="C227" s="19" t="str">
        <f>C283</f>
        <v>грантів (дарунків)</v>
      </c>
      <c r="D227" s="83">
        <f>D283+D299</f>
        <v>0</v>
      </c>
      <c r="E227" s="83">
        <f t="shared" ref="E227:O227" si="48">E283+E299</f>
        <v>0</v>
      </c>
      <c r="F227" s="83">
        <f t="shared" si="48"/>
        <v>0</v>
      </c>
      <c r="G227" s="83">
        <f t="shared" si="48"/>
        <v>0</v>
      </c>
      <c r="H227" s="83">
        <f t="shared" si="48"/>
        <v>0</v>
      </c>
      <c r="I227" s="83">
        <f t="shared" si="48"/>
        <v>5904588</v>
      </c>
      <c r="J227" s="83">
        <f t="shared" si="48"/>
        <v>0</v>
      </c>
      <c r="K227" s="83">
        <f t="shared" si="48"/>
        <v>447641</v>
      </c>
      <c r="L227" s="83">
        <f t="shared" si="48"/>
        <v>0</v>
      </c>
      <c r="M227" s="83">
        <f t="shared" si="48"/>
        <v>0</v>
      </c>
      <c r="N227" s="83">
        <f t="shared" si="48"/>
        <v>5456947</v>
      </c>
      <c r="O227" s="83">
        <f t="shared" si="48"/>
        <v>5904588</v>
      </c>
      <c r="P227" s="160"/>
    </row>
    <row r="228" spans="1:16" s="90" customFormat="1" ht="45" x14ac:dyDescent="0.4">
      <c r="A228" s="89"/>
      <c r="B228" s="89"/>
      <c r="C228" s="19" t="str">
        <f>C282</f>
        <v xml:space="preserve">залишку коштів по запозиченню від ЄІБ «Підвищення енергоефективності в дошкільних закладах м. Суми», що склався станом на 01.01.2024 року </v>
      </c>
      <c r="D228" s="83">
        <f>D282</f>
        <v>0</v>
      </c>
      <c r="E228" s="83">
        <f t="shared" ref="E228:O228" si="49">E282</f>
        <v>0</v>
      </c>
      <c r="F228" s="83">
        <f t="shared" si="49"/>
        <v>0</v>
      </c>
      <c r="G228" s="83">
        <f t="shared" si="49"/>
        <v>0</v>
      </c>
      <c r="H228" s="83">
        <f t="shared" si="49"/>
        <v>0</v>
      </c>
      <c r="I228" s="83">
        <f t="shared" si="49"/>
        <v>42207900</v>
      </c>
      <c r="J228" s="83">
        <f t="shared" si="49"/>
        <v>42207900</v>
      </c>
      <c r="K228" s="83">
        <f t="shared" si="49"/>
        <v>0</v>
      </c>
      <c r="L228" s="83">
        <f t="shared" si="49"/>
        <v>0</v>
      </c>
      <c r="M228" s="83">
        <f t="shared" si="49"/>
        <v>0</v>
      </c>
      <c r="N228" s="83">
        <f t="shared" si="49"/>
        <v>42207900</v>
      </c>
      <c r="O228" s="83">
        <f t="shared" si="49"/>
        <v>42207900</v>
      </c>
      <c r="P228" s="160"/>
    </row>
    <row r="229" spans="1:16" s="78" customFormat="1" ht="15" x14ac:dyDescent="0.4">
      <c r="A229" s="88" t="s">
        <v>136</v>
      </c>
      <c r="B229" s="92"/>
      <c r="C229" s="93" t="s">
        <v>137</v>
      </c>
      <c r="D229" s="82">
        <f t="shared" ref="D229:O229" si="50">D230</f>
        <v>600000</v>
      </c>
      <c r="E229" s="82">
        <f t="shared" si="50"/>
        <v>600000</v>
      </c>
      <c r="F229" s="82">
        <f t="shared" si="50"/>
        <v>0</v>
      </c>
      <c r="G229" s="82">
        <f t="shared" si="50"/>
        <v>0</v>
      </c>
      <c r="H229" s="82">
        <f t="shared" si="50"/>
        <v>0</v>
      </c>
      <c r="I229" s="82">
        <f t="shared" si="50"/>
        <v>0</v>
      </c>
      <c r="J229" s="82">
        <f t="shared" si="50"/>
        <v>0</v>
      </c>
      <c r="K229" s="82">
        <f t="shared" si="50"/>
        <v>0</v>
      </c>
      <c r="L229" s="82">
        <f t="shared" si="50"/>
        <v>0</v>
      </c>
      <c r="M229" s="82">
        <f t="shared" si="50"/>
        <v>0</v>
      </c>
      <c r="N229" s="82">
        <f t="shared" si="50"/>
        <v>0</v>
      </c>
      <c r="O229" s="82">
        <f t="shared" si="50"/>
        <v>600000</v>
      </c>
      <c r="P229" s="160"/>
    </row>
    <row r="230" spans="1:16" ht="24" customHeight="1" x14ac:dyDescent="0.45">
      <c r="A230" s="45" t="s">
        <v>130</v>
      </c>
      <c r="B230" s="45" t="s">
        <v>79</v>
      </c>
      <c r="C230" s="33" t="s">
        <v>331</v>
      </c>
      <c r="D230" s="84">
        <f>'дод 3'!E434+'дод 3'!E443+'дод 3'!E453+'дод 3'!E326</f>
        <v>600000</v>
      </c>
      <c r="E230" s="84">
        <f>'дод 3'!F434+'дод 3'!F443+'дод 3'!F453+'дод 3'!F326</f>
        <v>600000</v>
      </c>
      <c r="F230" s="84">
        <f>'дод 3'!G434+'дод 3'!G443+'дод 3'!G453+'дод 3'!G326</f>
        <v>0</v>
      </c>
      <c r="G230" s="84">
        <f>'дод 3'!H434+'дод 3'!H443+'дод 3'!H453+'дод 3'!H326</f>
        <v>0</v>
      </c>
      <c r="H230" s="84">
        <f>'дод 3'!I434+'дод 3'!I443+'дод 3'!I453+'дод 3'!I326</f>
        <v>0</v>
      </c>
      <c r="I230" s="84">
        <f>'дод 3'!J434+'дод 3'!J443+'дод 3'!J453+'дод 3'!J326</f>
        <v>0</v>
      </c>
      <c r="J230" s="84">
        <f>'дод 3'!K434+'дод 3'!K443+'дод 3'!K453+'дод 3'!K326</f>
        <v>0</v>
      </c>
      <c r="K230" s="84">
        <f>'дод 3'!L434+'дод 3'!L443+'дод 3'!L453+'дод 3'!L326</f>
        <v>0</v>
      </c>
      <c r="L230" s="84">
        <f>'дод 3'!M434+'дод 3'!M443+'дод 3'!M453+'дод 3'!M326</f>
        <v>0</v>
      </c>
      <c r="M230" s="84">
        <f>'дод 3'!N434+'дод 3'!N443+'дод 3'!N453+'дод 3'!N326</f>
        <v>0</v>
      </c>
      <c r="N230" s="84">
        <f>'дод 3'!O434+'дод 3'!O443+'дод 3'!O453+'дод 3'!O326</f>
        <v>0</v>
      </c>
      <c r="O230" s="84">
        <f>'дод 3'!P434+'дод 3'!P443+'дод 3'!P453+'дод 3'!P326</f>
        <v>600000</v>
      </c>
      <c r="P230" s="160"/>
    </row>
    <row r="231" spans="1:16" s="78" customFormat="1" ht="32.25" customHeight="1" x14ac:dyDescent="0.4">
      <c r="A231" s="88" t="s">
        <v>93</v>
      </c>
      <c r="B231" s="88"/>
      <c r="C231" s="101" t="s">
        <v>664</v>
      </c>
      <c r="D231" s="82">
        <f t="shared" ref="D231:O231" si="51">D237+D239+D242+D244+D245+D246+D247+D249+D250+D251+D253+D255+D257+D260+D258+D262</f>
        <v>2045000</v>
      </c>
      <c r="E231" s="82">
        <f t="shared" si="51"/>
        <v>2045000</v>
      </c>
      <c r="F231" s="82">
        <f t="shared" si="51"/>
        <v>0</v>
      </c>
      <c r="G231" s="82">
        <f t="shared" si="51"/>
        <v>0</v>
      </c>
      <c r="H231" s="82">
        <f t="shared" si="51"/>
        <v>0</v>
      </c>
      <c r="I231" s="82">
        <f t="shared" si="51"/>
        <v>149506486.66</v>
      </c>
      <c r="J231" s="82">
        <f t="shared" si="51"/>
        <v>82355860</v>
      </c>
      <c r="K231" s="82">
        <f t="shared" si="51"/>
        <v>0</v>
      </c>
      <c r="L231" s="82">
        <f t="shared" si="51"/>
        <v>0</v>
      </c>
      <c r="M231" s="82">
        <f t="shared" si="51"/>
        <v>0</v>
      </c>
      <c r="N231" s="82">
        <f t="shared" si="51"/>
        <v>149506486.66</v>
      </c>
      <c r="O231" s="82">
        <f t="shared" si="51"/>
        <v>151551486.66</v>
      </c>
      <c r="P231" s="160"/>
    </row>
    <row r="232" spans="1:16" s="90" customFormat="1" ht="63" hidden="1" customHeight="1" x14ac:dyDescent="0.4">
      <c r="A232" s="89"/>
      <c r="B232" s="89"/>
      <c r="C232" s="54" t="s">
        <v>574</v>
      </c>
      <c r="D232" s="83">
        <f>D254</f>
        <v>0</v>
      </c>
      <c r="E232" s="83">
        <f t="shared" ref="E232:O232" si="52">E254</f>
        <v>0</v>
      </c>
      <c r="F232" s="83">
        <f t="shared" si="52"/>
        <v>0</v>
      </c>
      <c r="G232" s="83">
        <f t="shared" si="52"/>
        <v>0</v>
      </c>
      <c r="H232" s="83">
        <f t="shared" si="52"/>
        <v>0</v>
      </c>
      <c r="I232" s="83">
        <f t="shared" si="52"/>
        <v>0</v>
      </c>
      <c r="J232" s="83">
        <f t="shared" si="52"/>
        <v>0</v>
      </c>
      <c r="K232" s="83">
        <f t="shared" si="52"/>
        <v>0</v>
      </c>
      <c r="L232" s="83">
        <f t="shared" si="52"/>
        <v>0</v>
      </c>
      <c r="M232" s="83">
        <f t="shared" si="52"/>
        <v>0</v>
      </c>
      <c r="N232" s="83">
        <f t="shared" si="52"/>
        <v>0</v>
      </c>
      <c r="O232" s="83">
        <f t="shared" si="52"/>
        <v>0</v>
      </c>
      <c r="P232" s="160"/>
    </row>
    <row r="233" spans="1:16" s="90" customFormat="1" ht="15.75" hidden="1" customHeight="1" x14ac:dyDescent="0.4">
      <c r="A233" s="89"/>
      <c r="B233" s="89"/>
      <c r="C233" s="19" t="s">
        <v>380</v>
      </c>
      <c r="D233" s="83">
        <f t="shared" ref="D233:O233" si="53">D241+D256</f>
        <v>0</v>
      </c>
      <c r="E233" s="83">
        <f t="shared" si="53"/>
        <v>0</v>
      </c>
      <c r="F233" s="83">
        <f t="shared" si="53"/>
        <v>0</v>
      </c>
      <c r="G233" s="83">
        <f t="shared" si="53"/>
        <v>0</v>
      </c>
      <c r="H233" s="83">
        <f t="shared" si="53"/>
        <v>0</v>
      </c>
      <c r="I233" s="83">
        <f t="shared" si="53"/>
        <v>0</v>
      </c>
      <c r="J233" s="83">
        <f t="shared" si="53"/>
        <v>0</v>
      </c>
      <c r="K233" s="83">
        <f t="shared" si="53"/>
        <v>0</v>
      </c>
      <c r="L233" s="83">
        <f t="shared" si="53"/>
        <v>0</v>
      </c>
      <c r="M233" s="83">
        <f t="shared" si="53"/>
        <v>0</v>
      </c>
      <c r="N233" s="83">
        <f t="shared" si="53"/>
        <v>0</v>
      </c>
      <c r="O233" s="83">
        <f t="shared" si="53"/>
        <v>0</v>
      </c>
      <c r="P233" s="160"/>
    </row>
    <row r="234" spans="1:16" s="90" customFormat="1" ht="95.25" customHeight="1" x14ac:dyDescent="0.4">
      <c r="A234" s="89"/>
      <c r="B234" s="89"/>
      <c r="C234" s="100" t="s">
        <v>665</v>
      </c>
      <c r="D234" s="83">
        <f>D263</f>
        <v>0</v>
      </c>
      <c r="E234" s="83">
        <f t="shared" ref="E234:O234" si="54">E263</f>
        <v>0</v>
      </c>
      <c r="F234" s="83">
        <f t="shared" si="54"/>
        <v>0</v>
      </c>
      <c r="G234" s="83">
        <f t="shared" si="54"/>
        <v>0</v>
      </c>
      <c r="H234" s="83">
        <f t="shared" si="54"/>
        <v>0</v>
      </c>
      <c r="I234" s="83">
        <f t="shared" si="54"/>
        <v>67150626.659999996</v>
      </c>
      <c r="J234" s="83">
        <f t="shared" si="54"/>
        <v>0</v>
      </c>
      <c r="K234" s="83">
        <f t="shared" si="54"/>
        <v>0</v>
      </c>
      <c r="L234" s="83">
        <f t="shared" si="54"/>
        <v>0</v>
      </c>
      <c r="M234" s="83">
        <f t="shared" si="54"/>
        <v>0</v>
      </c>
      <c r="N234" s="83">
        <f t="shared" si="54"/>
        <v>67150626.659999996</v>
      </c>
      <c r="O234" s="83">
        <f t="shared" si="54"/>
        <v>67150626.659999996</v>
      </c>
      <c r="P234" s="160"/>
    </row>
    <row r="235" spans="1:16" s="90" customFormat="1" ht="95.25" customHeight="1" x14ac:dyDescent="0.4">
      <c r="A235" s="89"/>
      <c r="B235" s="89"/>
      <c r="C235" s="54" t="s">
        <v>619</v>
      </c>
      <c r="D235" s="83">
        <f>D248+D240+D243</f>
        <v>0</v>
      </c>
      <c r="E235" s="83">
        <f t="shared" ref="E235:O235" si="55">E248+E240+E243</f>
        <v>0</v>
      </c>
      <c r="F235" s="83">
        <f t="shared" si="55"/>
        <v>0</v>
      </c>
      <c r="G235" s="83">
        <f t="shared" si="55"/>
        <v>0</v>
      </c>
      <c r="H235" s="83">
        <f t="shared" si="55"/>
        <v>0</v>
      </c>
      <c r="I235" s="83">
        <f t="shared" si="55"/>
        <v>5600000</v>
      </c>
      <c r="J235" s="83">
        <f t="shared" si="55"/>
        <v>5600000</v>
      </c>
      <c r="K235" s="83">
        <f t="shared" si="55"/>
        <v>0</v>
      </c>
      <c r="L235" s="83">
        <f t="shared" si="55"/>
        <v>0</v>
      </c>
      <c r="M235" s="83">
        <f t="shared" si="55"/>
        <v>0</v>
      </c>
      <c r="N235" s="83">
        <f t="shared" si="55"/>
        <v>5600000</v>
      </c>
      <c r="O235" s="83">
        <f t="shared" si="55"/>
        <v>5600000</v>
      </c>
      <c r="P235" s="160"/>
    </row>
    <row r="236" spans="1:16" s="90" customFormat="1" ht="27.4" customHeight="1" x14ac:dyDescent="0.4">
      <c r="A236" s="89"/>
      <c r="B236" s="89"/>
      <c r="C236" s="94" t="s">
        <v>379</v>
      </c>
      <c r="D236" s="83">
        <f>D259</f>
        <v>0</v>
      </c>
      <c r="E236" s="83">
        <f t="shared" ref="E236:O236" si="56">E259</f>
        <v>0</v>
      </c>
      <c r="F236" s="83">
        <f t="shared" si="56"/>
        <v>0</v>
      </c>
      <c r="G236" s="83">
        <f t="shared" si="56"/>
        <v>0</v>
      </c>
      <c r="H236" s="83">
        <f t="shared" si="56"/>
        <v>0</v>
      </c>
      <c r="I236" s="83">
        <f t="shared" si="56"/>
        <v>0</v>
      </c>
      <c r="J236" s="83">
        <f t="shared" si="56"/>
        <v>0</v>
      </c>
      <c r="K236" s="83">
        <f t="shared" si="56"/>
        <v>0</v>
      </c>
      <c r="L236" s="83">
        <f t="shared" si="56"/>
        <v>0</v>
      </c>
      <c r="M236" s="83">
        <f t="shared" si="56"/>
        <v>0</v>
      </c>
      <c r="N236" s="83">
        <f t="shared" si="56"/>
        <v>0</v>
      </c>
      <c r="O236" s="83">
        <f t="shared" si="56"/>
        <v>0</v>
      </c>
      <c r="P236" s="160"/>
    </row>
    <row r="237" spans="1:16" ht="24" customHeight="1" x14ac:dyDescent="0.45">
      <c r="A237" s="45" t="s">
        <v>263</v>
      </c>
      <c r="B237" s="45" t="s">
        <v>107</v>
      </c>
      <c r="C237" s="35" t="s">
        <v>650</v>
      </c>
      <c r="D237" s="84">
        <f>'дод 3'!E397+'дод 3'!E327</f>
        <v>0</v>
      </c>
      <c r="E237" s="84">
        <f>'дод 3'!F397+'дод 3'!F327</f>
        <v>0</v>
      </c>
      <c r="F237" s="84">
        <f>'дод 3'!G397+'дод 3'!G327</f>
        <v>0</v>
      </c>
      <c r="G237" s="84">
        <f>'дод 3'!H397+'дод 3'!H327</f>
        <v>0</v>
      </c>
      <c r="H237" s="84">
        <f>'дод 3'!I397+'дод 3'!I327</f>
        <v>0</v>
      </c>
      <c r="I237" s="84">
        <f>'дод 3'!J397+'дод 3'!J327</f>
        <v>25827783</v>
      </c>
      <c r="J237" s="84">
        <f>'дод 3'!K397+'дод 3'!K327</f>
        <v>25827783</v>
      </c>
      <c r="K237" s="84">
        <f>'дод 3'!L397+'дод 3'!L327</f>
        <v>0</v>
      </c>
      <c r="L237" s="84">
        <f>'дод 3'!M397+'дод 3'!M327</f>
        <v>0</v>
      </c>
      <c r="M237" s="84">
        <f>'дод 3'!N397+'дод 3'!N327</f>
        <v>0</v>
      </c>
      <c r="N237" s="84">
        <f>'дод 3'!O397+'дод 3'!O327</f>
        <v>25827783</v>
      </c>
      <c r="O237" s="84">
        <f>'дод 3'!P397+'дод 3'!P327</f>
        <v>25827783</v>
      </c>
      <c r="P237" s="160"/>
    </row>
    <row r="238" spans="1:16" ht="98.25" hidden="1" customHeight="1" x14ac:dyDescent="0.45">
      <c r="A238" s="45"/>
      <c r="B238" s="45"/>
      <c r="C238" s="48" t="str">
        <f>'дод 3'!D328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D238" s="48">
        <f>'дод 3'!E328</f>
        <v>0</v>
      </c>
      <c r="E238" s="48">
        <f>'дод 3'!F328</f>
        <v>0</v>
      </c>
      <c r="F238" s="48">
        <f>'дод 3'!G328</f>
        <v>0</v>
      </c>
      <c r="G238" s="48">
        <f>'дод 3'!H328</f>
        <v>0</v>
      </c>
      <c r="H238" s="48">
        <f>'дод 3'!I328</f>
        <v>0</v>
      </c>
      <c r="I238" s="102">
        <f>'дод 3'!J328</f>
        <v>0</v>
      </c>
      <c r="J238" s="102">
        <f>'дод 3'!K328</f>
        <v>0</v>
      </c>
      <c r="K238" s="102">
        <f>'дод 3'!L328</f>
        <v>0</v>
      </c>
      <c r="L238" s="102">
        <f>'дод 3'!M328</f>
        <v>0</v>
      </c>
      <c r="M238" s="102">
        <f>'дод 3'!N328</f>
        <v>0</v>
      </c>
      <c r="N238" s="102">
        <f>'дод 3'!O328</f>
        <v>0</v>
      </c>
      <c r="O238" s="102">
        <f>'дод 3'!P328</f>
        <v>0</v>
      </c>
      <c r="P238" s="160"/>
    </row>
    <row r="239" spans="1:16" s="87" customFormat="1" ht="17.649999999999999" x14ac:dyDescent="0.45">
      <c r="A239" s="45" t="s">
        <v>268</v>
      </c>
      <c r="B239" s="45" t="s">
        <v>107</v>
      </c>
      <c r="C239" s="35" t="s">
        <v>726</v>
      </c>
      <c r="D239" s="84">
        <f>'дод 3'!E156+'дод 3'!E398</f>
        <v>0</v>
      </c>
      <c r="E239" s="84">
        <f>'дод 3'!F156+'дод 3'!F398</f>
        <v>0</v>
      </c>
      <c r="F239" s="84">
        <f>'дод 3'!G156+'дод 3'!G398</f>
        <v>0</v>
      </c>
      <c r="G239" s="84">
        <f>'дод 3'!H156+'дод 3'!H398</f>
        <v>0</v>
      </c>
      <c r="H239" s="84">
        <f>'дод 3'!I156+'дод 3'!I398</f>
        <v>0</v>
      </c>
      <c r="I239" s="84">
        <f>'дод 3'!J156+'дод 3'!J398</f>
        <v>10662376</v>
      </c>
      <c r="J239" s="84">
        <f>'дод 3'!K156+'дод 3'!K398</f>
        <v>10662376</v>
      </c>
      <c r="K239" s="84">
        <f>'дод 3'!L156+'дод 3'!L398</f>
        <v>0</v>
      </c>
      <c r="L239" s="84">
        <f>'дод 3'!M156+'дод 3'!M398</f>
        <v>0</v>
      </c>
      <c r="M239" s="84">
        <f>'дод 3'!N156+'дод 3'!N398</f>
        <v>0</v>
      </c>
      <c r="N239" s="84">
        <f>'дод 3'!O156+'дод 3'!O398</f>
        <v>10662376</v>
      </c>
      <c r="O239" s="84">
        <f>'дод 3'!P156+'дод 3'!P398</f>
        <v>10662376</v>
      </c>
      <c r="P239" s="160"/>
    </row>
    <row r="240" spans="1:16" s="87" customFormat="1" ht="76.900000000000006" x14ac:dyDescent="0.45">
      <c r="A240" s="45"/>
      <c r="B240" s="45"/>
      <c r="C240" s="48" t="s">
        <v>619</v>
      </c>
      <c r="D240" s="85">
        <f>'дод 3'!E399</f>
        <v>0</v>
      </c>
      <c r="E240" s="85">
        <f>'дод 3'!F399</f>
        <v>0</v>
      </c>
      <c r="F240" s="85">
        <f>'дод 3'!G399</f>
        <v>0</v>
      </c>
      <c r="G240" s="85">
        <f>'дод 3'!H399</f>
        <v>0</v>
      </c>
      <c r="H240" s="85">
        <f>'дод 3'!I399</f>
        <v>0</v>
      </c>
      <c r="I240" s="85">
        <f>'дод 3'!J399</f>
        <v>1530000</v>
      </c>
      <c r="J240" s="85">
        <f>'дод 3'!K399</f>
        <v>1530000</v>
      </c>
      <c r="K240" s="85">
        <f>'дод 3'!L399</f>
        <v>0</v>
      </c>
      <c r="L240" s="85">
        <f>'дод 3'!M399</f>
        <v>0</v>
      </c>
      <c r="M240" s="85">
        <f>'дод 3'!N399</f>
        <v>0</v>
      </c>
      <c r="N240" s="85">
        <f>'дод 3'!O399</f>
        <v>1530000</v>
      </c>
      <c r="O240" s="85">
        <f>'дод 3'!P399</f>
        <v>1530000</v>
      </c>
      <c r="P240" s="160">
        <v>11</v>
      </c>
    </row>
    <row r="241" spans="1:16" s="87" customFormat="1" ht="21.75" hidden="1" customHeight="1" x14ac:dyDescent="0.45">
      <c r="A241" s="86"/>
      <c r="B241" s="86"/>
      <c r="C241" s="29" t="s">
        <v>380</v>
      </c>
      <c r="D241" s="85">
        <f>'дод 3'!E157</f>
        <v>0</v>
      </c>
      <c r="E241" s="85">
        <f>'дод 3'!F157</f>
        <v>0</v>
      </c>
      <c r="F241" s="85">
        <f>'дод 3'!G157</f>
        <v>0</v>
      </c>
      <c r="G241" s="85">
        <f>'дод 3'!H157</f>
        <v>0</v>
      </c>
      <c r="H241" s="85">
        <f>'дод 3'!I157</f>
        <v>0</v>
      </c>
      <c r="I241" s="85">
        <f>'дод 3'!J157</f>
        <v>0</v>
      </c>
      <c r="J241" s="85">
        <f>'дод 3'!K157</f>
        <v>0</v>
      </c>
      <c r="K241" s="85">
        <f>'дод 3'!L157</f>
        <v>0</v>
      </c>
      <c r="L241" s="85">
        <f>'дод 3'!M157</f>
        <v>0</v>
      </c>
      <c r="M241" s="85">
        <f>'дод 3'!N157</f>
        <v>0</v>
      </c>
      <c r="N241" s="85">
        <f>'дод 3'!O157</f>
        <v>0</v>
      </c>
      <c r="O241" s="85">
        <f>'дод 3'!P157</f>
        <v>0</v>
      </c>
      <c r="P241" s="160"/>
    </row>
    <row r="242" spans="1:16" s="87" customFormat="1" ht="24" customHeight="1" x14ac:dyDescent="0.45">
      <c r="A242" s="45" t="s">
        <v>270</v>
      </c>
      <c r="B242" s="45" t="s">
        <v>107</v>
      </c>
      <c r="C242" s="35" t="s">
        <v>758</v>
      </c>
      <c r="D242" s="84">
        <f>'дод 3'!E400+'дод 3'!E205</f>
        <v>0</v>
      </c>
      <c r="E242" s="84">
        <f>'дод 3'!F400+'дод 3'!F205</f>
        <v>0</v>
      </c>
      <c r="F242" s="84">
        <f>'дод 3'!G400+'дод 3'!G205</f>
        <v>0</v>
      </c>
      <c r="G242" s="84">
        <f>'дод 3'!H400+'дод 3'!H205</f>
        <v>0</v>
      </c>
      <c r="H242" s="84">
        <f>'дод 3'!I400+'дод 3'!I205</f>
        <v>0</v>
      </c>
      <c r="I242" s="84">
        <f>'дод 3'!J400+'дод 3'!J205</f>
        <v>12128569</v>
      </c>
      <c r="J242" s="84">
        <f>'дод 3'!K400+'дод 3'!K205</f>
        <v>12128569</v>
      </c>
      <c r="K242" s="84">
        <f>'дод 3'!L400+'дод 3'!L205</f>
        <v>0</v>
      </c>
      <c r="L242" s="84">
        <f>'дод 3'!M400+'дод 3'!M205</f>
        <v>0</v>
      </c>
      <c r="M242" s="84">
        <f>'дод 3'!N400+'дод 3'!N205</f>
        <v>0</v>
      </c>
      <c r="N242" s="84">
        <f>'дод 3'!O400+'дод 3'!O205</f>
        <v>12128569</v>
      </c>
      <c r="O242" s="84">
        <f>'дод 3'!P400+'дод 3'!P205</f>
        <v>12128569</v>
      </c>
      <c r="P242" s="160"/>
    </row>
    <row r="243" spans="1:16" s="87" customFormat="1" ht="76.900000000000006" x14ac:dyDescent="0.45">
      <c r="A243" s="45"/>
      <c r="B243" s="45"/>
      <c r="C243" s="48" t="s">
        <v>619</v>
      </c>
      <c r="D243" s="85">
        <f>'дод 3'!E401</f>
        <v>0</v>
      </c>
      <c r="E243" s="85">
        <f>'дод 3'!F401</f>
        <v>0</v>
      </c>
      <c r="F243" s="85">
        <f>'дод 3'!G401</f>
        <v>0</v>
      </c>
      <c r="G243" s="85">
        <f>'дод 3'!H401</f>
        <v>0</v>
      </c>
      <c r="H243" s="85">
        <f>'дод 3'!I401</f>
        <v>0</v>
      </c>
      <c r="I243" s="85">
        <f>'дод 3'!J401</f>
        <v>469595</v>
      </c>
      <c r="J243" s="85">
        <f>'дод 3'!K401</f>
        <v>469595</v>
      </c>
      <c r="K243" s="85">
        <f>'дод 3'!L401</f>
        <v>0</v>
      </c>
      <c r="L243" s="85">
        <f>'дод 3'!M401</f>
        <v>0</v>
      </c>
      <c r="M243" s="85">
        <f>'дод 3'!N401</f>
        <v>0</v>
      </c>
      <c r="N243" s="85">
        <f>'дод 3'!O401</f>
        <v>469595</v>
      </c>
      <c r="O243" s="85">
        <f>'дод 3'!P401</f>
        <v>469595</v>
      </c>
      <c r="P243" s="160"/>
    </row>
    <row r="244" spans="1:16" s="87" customFormat="1" ht="22.5" hidden="1" customHeight="1" x14ac:dyDescent="0.45">
      <c r="A244" s="45">
        <v>7323</v>
      </c>
      <c r="B244" s="34" t="s">
        <v>107</v>
      </c>
      <c r="C244" s="103" t="s">
        <v>496</v>
      </c>
      <c r="D244" s="84">
        <f>'дод 3'!E267+'дод 3'!E48</f>
        <v>0</v>
      </c>
      <c r="E244" s="84">
        <f>'дод 3'!F267+'дод 3'!F48</f>
        <v>0</v>
      </c>
      <c r="F244" s="84">
        <f>'дод 3'!G267+'дод 3'!G48</f>
        <v>0</v>
      </c>
      <c r="G244" s="84">
        <f>'дод 3'!H267+'дод 3'!H48</f>
        <v>0</v>
      </c>
      <c r="H244" s="84">
        <f>'дод 3'!I267+'дод 3'!I48</f>
        <v>0</v>
      </c>
      <c r="I244" s="84">
        <f>'дод 3'!J267+'дод 3'!J48</f>
        <v>0</v>
      </c>
      <c r="J244" s="84">
        <f>'дод 3'!K267+'дод 3'!K48</f>
        <v>0</v>
      </c>
      <c r="K244" s="84">
        <f>'дод 3'!L267+'дод 3'!L48</f>
        <v>0</v>
      </c>
      <c r="L244" s="84">
        <f>'дод 3'!M267+'дод 3'!M48</f>
        <v>0</v>
      </c>
      <c r="M244" s="84">
        <f>'дод 3'!N267+'дод 3'!N48</f>
        <v>0</v>
      </c>
      <c r="N244" s="84">
        <f>'дод 3'!O267+'дод 3'!O48</f>
        <v>0</v>
      </c>
      <c r="O244" s="84">
        <f>'дод 3'!P267+'дод 3'!P48</f>
        <v>0</v>
      </c>
      <c r="P244" s="160"/>
    </row>
    <row r="245" spans="1:16" s="87" customFormat="1" ht="19.5" hidden="1" customHeight="1" x14ac:dyDescent="0.45">
      <c r="A245" s="45">
        <v>7324</v>
      </c>
      <c r="B245" s="34" t="s">
        <v>107</v>
      </c>
      <c r="C245" s="35" t="s">
        <v>497</v>
      </c>
      <c r="D245" s="84">
        <f>'дод 3'!E291+'дод 3'!E402</f>
        <v>0</v>
      </c>
      <c r="E245" s="84">
        <f>'дод 3'!F291+'дод 3'!F402</f>
        <v>0</v>
      </c>
      <c r="F245" s="84">
        <f>'дод 3'!G291+'дод 3'!G402</f>
        <v>0</v>
      </c>
      <c r="G245" s="84">
        <f>'дод 3'!H291+'дод 3'!H402</f>
        <v>0</v>
      </c>
      <c r="H245" s="84">
        <f>'дод 3'!I291+'дод 3'!I402</f>
        <v>0</v>
      </c>
      <c r="I245" s="84">
        <f>'дод 3'!J291+'дод 3'!J402</f>
        <v>0</v>
      </c>
      <c r="J245" s="84">
        <f>'дод 3'!K291+'дод 3'!K402</f>
        <v>0</v>
      </c>
      <c r="K245" s="84">
        <f>'дод 3'!L291+'дод 3'!L402</f>
        <v>0</v>
      </c>
      <c r="L245" s="84">
        <f>'дод 3'!M291+'дод 3'!M402</f>
        <v>0</v>
      </c>
      <c r="M245" s="84">
        <f>'дод 3'!N291+'дод 3'!N402</f>
        <v>0</v>
      </c>
      <c r="N245" s="84">
        <f>'дод 3'!O291+'дод 3'!O402</f>
        <v>0</v>
      </c>
      <c r="O245" s="84">
        <f>'дод 3'!P291+'дод 3'!P402</f>
        <v>0</v>
      </c>
      <c r="P245" s="160"/>
    </row>
    <row r="246" spans="1:16" s="87" customFormat="1" ht="35.25" customHeight="1" x14ac:dyDescent="0.45">
      <c r="A246" s="45">
        <v>7325</v>
      </c>
      <c r="B246" s="34" t="s">
        <v>107</v>
      </c>
      <c r="C246" s="35" t="s">
        <v>495</v>
      </c>
      <c r="D246" s="84">
        <f>'дод 3'!E403+'дод 3'!E49</f>
        <v>0</v>
      </c>
      <c r="E246" s="84">
        <f>'дод 3'!F403+'дод 3'!F49</f>
        <v>0</v>
      </c>
      <c r="F246" s="84">
        <f>'дод 3'!G403+'дод 3'!G49</f>
        <v>0</v>
      </c>
      <c r="G246" s="84">
        <f>'дод 3'!H403+'дод 3'!H49</f>
        <v>0</v>
      </c>
      <c r="H246" s="84">
        <f>'дод 3'!I403+'дод 3'!I49</f>
        <v>0</v>
      </c>
      <c r="I246" s="84">
        <f>'дод 3'!J403+'дод 3'!J49</f>
        <v>250000</v>
      </c>
      <c r="J246" s="84">
        <f>'дод 3'!K403+'дод 3'!K49</f>
        <v>250000</v>
      </c>
      <c r="K246" s="84">
        <f>'дод 3'!L403+'дод 3'!L49</f>
        <v>0</v>
      </c>
      <c r="L246" s="84">
        <f>'дод 3'!M403+'дод 3'!M49</f>
        <v>0</v>
      </c>
      <c r="M246" s="84">
        <f>'дод 3'!N403+'дод 3'!N49</f>
        <v>0</v>
      </c>
      <c r="N246" s="84">
        <f>'дод 3'!O403+'дод 3'!O49</f>
        <v>250000</v>
      </c>
      <c r="O246" s="84">
        <f>'дод 3'!P403+'дод 3'!P49</f>
        <v>250000</v>
      </c>
      <c r="P246" s="160"/>
    </row>
    <row r="247" spans="1:16" ht="21.75" customHeight="1" x14ac:dyDescent="0.45">
      <c r="A247" s="45" t="s">
        <v>265</v>
      </c>
      <c r="B247" s="45" t="s">
        <v>107</v>
      </c>
      <c r="C247" s="35" t="s">
        <v>709</v>
      </c>
      <c r="D247" s="84">
        <f>'дод 3'!E404+'дод 3'!E329+'дод 3'!E50</f>
        <v>0</v>
      </c>
      <c r="E247" s="84">
        <f>'дод 3'!F404+'дод 3'!F329+'дод 3'!F50</f>
        <v>0</v>
      </c>
      <c r="F247" s="84">
        <f>'дод 3'!G404+'дод 3'!G329+'дод 3'!G50</f>
        <v>0</v>
      </c>
      <c r="G247" s="84">
        <f>'дод 3'!H404+'дод 3'!H329+'дод 3'!H50</f>
        <v>0</v>
      </c>
      <c r="H247" s="84">
        <f>'дод 3'!I404+'дод 3'!I329+'дод 3'!I50</f>
        <v>0</v>
      </c>
      <c r="I247" s="84">
        <f>'дод 3'!J404+'дод 3'!J329+'дод 3'!J50</f>
        <v>23375364</v>
      </c>
      <c r="J247" s="84">
        <f>'дод 3'!K404+'дод 3'!K329+'дод 3'!K50</f>
        <v>23375364</v>
      </c>
      <c r="K247" s="84">
        <f>'дод 3'!L404+'дод 3'!L329+'дод 3'!L50</f>
        <v>0</v>
      </c>
      <c r="L247" s="84">
        <f>'дод 3'!M404+'дод 3'!M329+'дод 3'!M50</f>
        <v>0</v>
      </c>
      <c r="M247" s="84">
        <f>'дод 3'!N404+'дод 3'!N329+'дод 3'!N50</f>
        <v>0</v>
      </c>
      <c r="N247" s="84">
        <f>'дод 3'!O404+'дод 3'!O329+'дод 3'!O50</f>
        <v>23375364</v>
      </c>
      <c r="O247" s="84">
        <f>'дод 3'!P404+'дод 3'!P329+'дод 3'!P50</f>
        <v>23375364</v>
      </c>
      <c r="P247" s="160"/>
    </row>
    <row r="248" spans="1:16" ht="76.900000000000006" x14ac:dyDescent="0.45">
      <c r="A248" s="45"/>
      <c r="B248" s="45"/>
      <c r="C248" s="48" t="s">
        <v>619</v>
      </c>
      <c r="D248" s="84">
        <f>'дод 3'!E405</f>
        <v>0</v>
      </c>
      <c r="E248" s="84">
        <f>'дод 3'!F405</f>
        <v>0</v>
      </c>
      <c r="F248" s="84">
        <f>'дод 3'!G405</f>
        <v>0</v>
      </c>
      <c r="G248" s="84">
        <f>'дод 3'!H405</f>
        <v>0</v>
      </c>
      <c r="H248" s="84">
        <f>'дод 3'!I405</f>
        <v>0</v>
      </c>
      <c r="I248" s="84">
        <f>'дод 3'!J405</f>
        <v>3600405</v>
      </c>
      <c r="J248" s="84">
        <f>'дод 3'!K405</f>
        <v>3600405</v>
      </c>
      <c r="K248" s="84">
        <f>'дод 3'!L405</f>
        <v>0</v>
      </c>
      <c r="L248" s="84">
        <f>'дод 3'!M405</f>
        <v>0</v>
      </c>
      <c r="M248" s="84">
        <f>'дод 3'!N405</f>
        <v>0</v>
      </c>
      <c r="N248" s="84">
        <f>'дод 3'!O405</f>
        <v>3600405</v>
      </c>
      <c r="O248" s="84">
        <f>'дод 3'!P405</f>
        <v>3600405</v>
      </c>
      <c r="P248" s="160"/>
    </row>
    <row r="249" spans="1:16" ht="31.5" customHeight="1" x14ac:dyDescent="0.45">
      <c r="A249" s="45" t="s">
        <v>131</v>
      </c>
      <c r="B249" s="45" t="s">
        <v>107</v>
      </c>
      <c r="C249" s="33" t="s">
        <v>1</v>
      </c>
      <c r="D249" s="84">
        <f>'дод 3'!E330+'дод 3'!E406+'дод 3'!E420+'дод 3'!E454</f>
        <v>0</v>
      </c>
      <c r="E249" s="84">
        <f>'дод 3'!F330+'дод 3'!F406+'дод 3'!F420+'дод 3'!F454</f>
        <v>0</v>
      </c>
      <c r="F249" s="84">
        <f>'дод 3'!G330+'дод 3'!G406+'дод 3'!G420+'дод 3'!G454</f>
        <v>0</v>
      </c>
      <c r="G249" s="84">
        <f>'дод 3'!H330+'дод 3'!H406+'дод 3'!H420+'дод 3'!H454</f>
        <v>0</v>
      </c>
      <c r="H249" s="84">
        <f>'дод 3'!I330+'дод 3'!I406+'дод 3'!I420+'дод 3'!I454</f>
        <v>0</v>
      </c>
      <c r="I249" s="84">
        <f>'дод 3'!J330+'дод 3'!J406+'дод 3'!J420+'дод 3'!J454</f>
        <v>7093559</v>
      </c>
      <c r="J249" s="84">
        <f>'дод 3'!K330+'дод 3'!K406+'дод 3'!K420+'дод 3'!K454</f>
        <v>7093559</v>
      </c>
      <c r="K249" s="84">
        <f>'дод 3'!L330+'дод 3'!L406+'дод 3'!L420+'дод 3'!L454</f>
        <v>0</v>
      </c>
      <c r="L249" s="84">
        <f>'дод 3'!M330+'дод 3'!M406+'дод 3'!M420+'дод 3'!M454</f>
        <v>0</v>
      </c>
      <c r="M249" s="84">
        <f>'дод 3'!N330+'дод 3'!N406+'дод 3'!N420+'дод 3'!N454</f>
        <v>0</v>
      </c>
      <c r="N249" s="84">
        <f>'дод 3'!O330+'дод 3'!O406+'дод 3'!O420+'дод 3'!O454</f>
        <v>7093559</v>
      </c>
      <c r="O249" s="84">
        <f>'дод 3'!P330+'дод 3'!P406+'дод 3'!P420+'дод 3'!P454</f>
        <v>7093559</v>
      </c>
      <c r="P249" s="160"/>
    </row>
    <row r="250" spans="1:16" ht="35.25" hidden="1" customHeight="1" x14ac:dyDescent="0.45">
      <c r="A250" s="34" t="s">
        <v>429</v>
      </c>
      <c r="B250" s="34" t="s">
        <v>107</v>
      </c>
      <c r="C250" s="33" t="s">
        <v>430</v>
      </c>
      <c r="D250" s="84">
        <f>'дод 3'!E421</f>
        <v>0</v>
      </c>
      <c r="E250" s="84">
        <f>'дод 3'!F421</f>
        <v>0</v>
      </c>
      <c r="F250" s="84">
        <f>'дод 3'!G421</f>
        <v>0</v>
      </c>
      <c r="G250" s="84">
        <f>'дод 3'!H421</f>
        <v>0</v>
      </c>
      <c r="H250" s="84">
        <f>'дод 3'!I421</f>
        <v>0</v>
      </c>
      <c r="I250" s="84">
        <f>'дод 3'!J421</f>
        <v>0</v>
      </c>
      <c r="J250" s="84">
        <f>'дод 3'!K421</f>
        <v>0</v>
      </c>
      <c r="K250" s="84">
        <f>'дод 3'!L421</f>
        <v>0</v>
      </c>
      <c r="L250" s="84">
        <f>'дод 3'!M421</f>
        <v>0</v>
      </c>
      <c r="M250" s="84">
        <f>'дод 3'!N421</f>
        <v>0</v>
      </c>
      <c r="N250" s="84">
        <f>'дод 3'!O421</f>
        <v>0</v>
      </c>
      <c r="O250" s="84">
        <f>'дод 3'!P421</f>
        <v>0</v>
      </c>
      <c r="P250" s="160"/>
    </row>
    <row r="251" spans="1:16" ht="40.9" customHeight="1" x14ac:dyDescent="0.45">
      <c r="A251" s="45">
        <v>7361</v>
      </c>
      <c r="B251" s="45" t="s">
        <v>78</v>
      </c>
      <c r="C251" s="33" t="s">
        <v>358</v>
      </c>
      <c r="D251" s="84">
        <f>'дод 3'!E331+'дод 3'!E407+'дод 3'!E206</f>
        <v>0</v>
      </c>
      <c r="E251" s="84">
        <f>'дод 3'!F331+'дод 3'!F407+'дод 3'!F206</f>
        <v>0</v>
      </c>
      <c r="F251" s="84">
        <f>'дод 3'!G331+'дод 3'!G407+'дод 3'!G206</f>
        <v>0</v>
      </c>
      <c r="G251" s="84">
        <f>'дод 3'!H331+'дод 3'!H407+'дод 3'!H206</f>
        <v>0</v>
      </c>
      <c r="H251" s="84">
        <f>'дод 3'!I331+'дод 3'!I407+'дод 3'!I206</f>
        <v>0</v>
      </c>
      <c r="I251" s="84">
        <f>'дод 3'!J331+'дод 3'!J407+'дод 3'!J206</f>
        <v>68209</v>
      </c>
      <c r="J251" s="84">
        <f>'дод 3'!K331+'дод 3'!K407+'дод 3'!K206</f>
        <v>68209</v>
      </c>
      <c r="K251" s="84">
        <f>'дод 3'!L331+'дод 3'!L407+'дод 3'!L206</f>
        <v>0</v>
      </c>
      <c r="L251" s="84">
        <f>'дод 3'!M331+'дод 3'!M407+'дод 3'!M206</f>
        <v>0</v>
      </c>
      <c r="M251" s="84">
        <f>'дод 3'!N331+'дод 3'!N407+'дод 3'!N206</f>
        <v>0</v>
      </c>
      <c r="N251" s="84">
        <f>'дод 3'!O331+'дод 3'!O407+'дод 3'!O206</f>
        <v>68209</v>
      </c>
      <c r="O251" s="84">
        <f>'дод 3'!P331+'дод 3'!P407+'дод 3'!P206</f>
        <v>68209</v>
      </c>
      <c r="P251" s="160"/>
    </row>
    <row r="252" spans="1:16" s="87" customFormat="1" ht="46.5" hidden="1" customHeight="1" x14ac:dyDescent="0.45">
      <c r="A252" s="45">
        <v>7362</v>
      </c>
      <c r="B252" s="45" t="s">
        <v>78</v>
      </c>
      <c r="C252" s="33" t="s">
        <v>350</v>
      </c>
      <c r="D252" s="84">
        <f>'дод 3'!E332</f>
        <v>0</v>
      </c>
      <c r="E252" s="84">
        <f>'дод 3'!F332</f>
        <v>0</v>
      </c>
      <c r="F252" s="84">
        <f>'дод 3'!G332</f>
        <v>0</v>
      </c>
      <c r="G252" s="84">
        <f>'дод 3'!H332</f>
        <v>0</v>
      </c>
      <c r="H252" s="84">
        <f>'дод 3'!I332</f>
        <v>0</v>
      </c>
      <c r="I252" s="84">
        <f>'дод 3'!J332</f>
        <v>0</v>
      </c>
      <c r="J252" s="84">
        <f>'дод 3'!K332</f>
        <v>0</v>
      </c>
      <c r="K252" s="84">
        <f>'дод 3'!L332</f>
        <v>0</v>
      </c>
      <c r="L252" s="84">
        <f>'дод 3'!M332</f>
        <v>0</v>
      </c>
      <c r="M252" s="84">
        <f>'дод 3'!N332</f>
        <v>0</v>
      </c>
      <c r="N252" s="84">
        <f>'дод 3'!O332</f>
        <v>0</v>
      </c>
      <c r="O252" s="84">
        <f>'дод 3'!P332</f>
        <v>0</v>
      </c>
      <c r="P252" s="160"/>
    </row>
    <row r="253" spans="1:16" s="87" customFormat="1" ht="47.25" hidden="1" customHeight="1" x14ac:dyDescent="0.45">
      <c r="A253" s="45">
        <v>7363</v>
      </c>
      <c r="B253" s="22" t="s">
        <v>78</v>
      </c>
      <c r="C253" s="24" t="s">
        <v>552</v>
      </c>
      <c r="D253" s="84">
        <f>'дод 3'!E333+'дод 3'!E158+'дод 3'!E207+'дод 3'!E408</f>
        <v>0</v>
      </c>
      <c r="E253" s="84">
        <f>'дод 3'!F333+'дод 3'!F158+'дод 3'!F207+'дод 3'!F408</f>
        <v>0</v>
      </c>
      <c r="F253" s="84">
        <f>'дод 3'!G333+'дод 3'!G158+'дод 3'!G207+'дод 3'!G408</f>
        <v>0</v>
      </c>
      <c r="G253" s="84">
        <f>'дод 3'!H333+'дод 3'!H158+'дод 3'!H207+'дод 3'!H408</f>
        <v>0</v>
      </c>
      <c r="H253" s="84">
        <f>'дод 3'!I333+'дод 3'!I158+'дод 3'!I207+'дод 3'!I408</f>
        <v>0</v>
      </c>
      <c r="I253" s="84">
        <f>'дод 3'!J333+'дод 3'!J158+'дод 3'!J207+'дод 3'!J408</f>
        <v>0</v>
      </c>
      <c r="J253" s="84">
        <f>'дод 3'!K333+'дод 3'!K158+'дод 3'!K207+'дод 3'!K408</f>
        <v>0</v>
      </c>
      <c r="K253" s="84">
        <f>'дод 3'!L333+'дод 3'!L158+'дод 3'!L207+'дод 3'!L408</f>
        <v>0</v>
      </c>
      <c r="L253" s="84">
        <f>'дод 3'!M333+'дод 3'!M158+'дод 3'!M207+'дод 3'!M408</f>
        <v>0</v>
      </c>
      <c r="M253" s="84">
        <f>'дод 3'!N333+'дод 3'!N158+'дод 3'!N207+'дод 3'!N408</f>
        <v>0</v>
      </c>
      <c r="N253" s="84">
        <f>'дод 3'!O333+'дод 3'!O158+'дод 3'!O207+'дод 3'!O408</f>
        <v>0</v>
      </c>
      <c r="O253" s="84">
        <f>'дод 3'!P333+'дод 3'!P158+'дод 3'!P207+'дод 3'!P408</f>
        <v>0</v>
      </c>
      <c r="P253" s="160"/>
    </row>
    <row r="254" spans="1:16" s="87" customFormat="1" ht="47.25" hidden="1" customHeight="1" x14ac:dyDescent="0.45">
      <c r="A254" s="86"/>
      <c r="B254" s="27"/>
      <c r="C254" s="48" t="s">
        <v>574</v>
      </c>
      <c r="D254" s="85">
        <f>'дод 3'!E159+'дод 3'!E208+'дод 3'!E334+'дод 3'!E409</f>
        <v>0</v>
      </c>
      <c r="E254" s="85">
        <f>'дод 3'!F159+'дод 3'!F208+'дод 3'!F334+'дод 3'!F409</f>
        <v>0</v>
      </c>
      <c r="F254" s="85">
        <f>'дод 3'!G159+'дод 3'!G208+'дод 3'!G334+'дод 3'!G409</f>
        <v>0</v>
      </c>
      <c r="G254" s="85">
        <f>'дод 3'!H159+'дод 3'!H208+'дод 3'!H334+'дод 3'!H409</f>
        <v>0</v>
      </c>
      <c r="H254" s="85">
        <f>'дод 3'!I159+'дод 3'!I208+'дод 3'!I334+'дод 3'!I409</f>
        <v>0</v>
      </c>
      <c r="I254" s="85">
        <f>'дод 3'!J159+'дод 3'!J208+'дод 3'!J334+'дод 3'!J409</f>
        <v>0</v>
      </c>
      <c r="J254" s="85">
        <f>'дод 3'!K159+'дод 3'!K208+'дод 3'!K334+'дод 3'!K409</f>
        <v>0</v>
      </c>
      <c r="K254" s="85">
        <f>'дод 3'!L159+'дод 3'!L208+'дод 3'!L334+'дод 3'!L409</f>
        <v>0</v>
      </c>
      <c r="L254" s="85">
        <f>'дод 3'!M159+'дод 3'!M208+'дод 3'!M334+'дод 3'!M409</f>
        <v>0</v>
      </c>
      <c r="M254" s="85">
        <f>'дод 3'!N159+'дод 3'!N208+'дод 3'!N334+'дод 3'!N409</f>
        <v>0</v>
      </c>
      <c r="N254" s="85">
        <f>'дод 3'!O159+'дод 3'!O208+'дод 3'!O334+'дод 3'!O409</f>
        <v>0</v>
      </c>
      <c r="O254" s="85">
        <f>'дод 3'!P159+'дод 3'!P208+'дод 3'!P334+'дод 3'!P409</f>
        <v>0</v>
      </c>
      <c r="P254" s="160"/>
    </row>
    <row r="255" spans="1:16" ht="31.5" hidden="1" customHeight="1" x14ac:dyDescent="0.45">
      <c r="A255" s="45">
        <v>7368</v>
      </c>
      <c r="B255" s="45" t="s">
        <v>78</v>
      </c>
      <c r="C255" s="24" t="s">
        <v>521</v>
      </c>
      <c r="D255" s="84">
        <f>'дод 3'!E335</f>
        <v>0</v>
      </c>
      <c r="E255" s="84">
        <f>'дод 3'!F335</f>
        <v>0</v>
      </c>
      <c r="F255" s="84">
        <f>'дод 3'!G335</f>
        <v>0</v>
      </c>
      <c r="G255" s="84">
        <f>'дод 3'!H335</f>
        <v>0</v>
      </c>
      <c r="H255" s="84">
        <f>'дод 3'!I335</f>
        <v>0</v>
      </c>
      <c r="I255" s="84">
        <f>'дод 3'!J335</f>
        <v>0</v>
      </c>
      <c r="J255" s="84">
        <f>'дод 3'!K335</f>
        <v>0</v>
      </c>
      <c r="K255" s="84">
        <f>'дод 3'!L335</f>
        <v>0</v>
      </c>
      <c r="L255" s="84">
        <f>'дод 3'!M335</f>
        <v>0</v>
      </c>
      <c r="M255" s="84">
        <f>'дод 3'!N335</f>
        <v>0</v>
      </c>
      <c r="N255" s="84">
        <f>'дод 3'!O335</f>
        <v>0</v>
      </c>
      <c r="O255" s="84">
        <f>'дод 3'!P335</f>
        <v>0</v>
      </c>
      <c r="P255" s="160"/>
    </row>
    <row r="256" spans="1:16" s="87" customFormat="1" ht="15.75" hidden="1" customHeight="1" x14ac:dyDescent="0.45">
      <c r="A256" s="86"/>
      <c r="B256" s="27"/>
      <c r="C256" s="29" t="s">
        <v>379</v>
      </c>
      <c r="D256" s="85">
        <f>'дод 3'!E336</f>
        <v>0</v>
      </c>
      <c r="E256" s="85">
        <f>'дод 3'!F336</f>
        <v>0</v>
      </c>
      <c r="F256" s="85">
        <f>'дод 3'!G336</f>
        <v>0</v>
      </c>
      <c r="G256" s="85">
        <f>'дод 3'!H336</f>
        <v>0</v>
      </c>
      <c r="H256" s="85">
        <f>'дод 3'!I336</f>
        <v>0</v>
      </c>
      <c r="I256" s="85">
        <f>'дод 3'!J336</f>
        <v>0</v>
      </c>
      <c r="J256" s="85">
        <f>'дод 3'!K336</f>
        <v>0</v>
      </c>
      <c r="K256" s="85">
        <f>'дод 3'!L336</f>
        <v>0</v>
      </c>
      <c r="L256" s="85">
        <f>'дод 3'!M336</f>
        <v>0</v>
      </c>
      <c r="M256" s="85">
        <f>'дод 3'!N336</f>
        <v>0</v>
      </c>
      <c r="N256" s="85">
        <f>'дод 3'!O336</f>
        <v>0</v>
      </c>
      <c r="O256" s="85">
        <f>'дод 3'!P336</f>
        <v>0</v>
      </c>
      <c r="P256" s="160"/>
    </row>
    <row r="257" spans="1:16" s="87" customFormat="1" ht="31.5" customHeight="1" x14ac:dyDescent="0.45">
      <c r="A257" s="45">
        <v>7370</v>
      </c>
      <c r="B257" s="22" t="s">
        <v>78</v>
      </c>
      <c r="C257" s="24" t="s">
        <v>407</v>
      </c>
      <c r="D257" s="84">
        <f>'дод 3'!E410+'дод 3'!E422+'дод 3'!E455</f>
        <v>245000</v>
      </c>
      <c r="E257" s="84">
        <f>'дод 3'!F410+'дод 3'!F422+'дод 3'!F455</f>
        <v>245000</v>
      </c>
      <c r="F257" s="84">
        <f>'дод 3'!G410+'дод 3'!G422+'дод 3'!G455</f>
        <v>0</v>
      </c>
      <c r="G257" s="84">
        <f>'дод 3'!H410+'дод 3'!H422+'дод 3'!H455</f>
        <v>0</v>
      </c>
      <c r="H257" s="84">
        <f>'дод 3'!I410+'дод 3'!I422+'дод 3'!I455</f>
        <v>0</v>
      </c>
      <c r="I257" s="84">
        <f>'дод 3'!J410+'дод 3'!J422+'дод 3'!J455</f>
        <v>250000</v>
      </c>
      <c r="J257" s="84">
        <f>'дод 3'!K410+'дод 3'!K422+'дод 3'!K455</f>
        <v>250000</v>
      </c>
      <c r="K257" s="84">
        <f>'дод 3'!L410+'дод 3'!L422+'дод 3'!L455</f>
        <v>0</v>
      </c>
      <c r="L257" s="84">
        <f>'дод 3'!M410+'дод 3'!M422+'дод 3'!M455</f>
        <v>0</v>
      </c>
      <c r="M257" s="84">
        <f>'дод 3'!N410+'дод 3'!N422+'дод 3'!N455</f>
        <v>0</v>
      </c>
      <c r="N257" s="84">
        <f>'дод 3'!O410+'дод 3'!O422+'дод 3'!O455</f>
        <v>250000</v>
      </c>
      <c r="O257" s="84">
        <f>'дод 3'!P410+'дод 3'!P422+'дод 3'!P455</f>
        <v>495000</v>
      </c>
      <c r="P257" s="160"/>
    </row>
    <row r="258" spans="1:16" s="119" customFormat="1" ht="46.15" x14ac:dyDescent="0.45">
      <c r="A258" s="45">
        <v>7375</v>
      </c>
      <c r="B258" s="22" t="s">
        <v>78</v>
      </c>
      <c r="C258" s="24" t="s">
        <v>747</v>
      </c>
      <c r="D258" s="84">
        <f>'дод 3'!E342</f>
        <v>1800000</v>
      </c>
      <c r="E258" s="84">
        <f>'дод 3'!F342</f>
        <v>1800000</v>
      </c>
      <c r="F258" s="84">
        <f>'дод 3'!G342</f>
        <v>0</v>
      </c>
      <c r="G258" s="84">
        <f>'дод 3'!H342</f>
        <v>0</v>
      </c>
      <c r="H258" s="84">
        <f>'дод 3'!I342</f>
        <v>0</v>
      </c>
      <c r="I258" s="84">
        <f>'дод 3'!J342</f>
        <v>2700000</v>
      </c>
      <c r="J258" s="84">
        <f>'дод 3'!K342</f>
        <v>2700000</v>
      </c>
      <c r="K258" s="84">
        <f>'дод 3'!L342</f>
        <v>0</v>
      </c>
      <c r="L258" s="84">
        <f>'дод 3'!M342</f>
        <v>0</v>
      </c>
      <c r="M258" s="84">
        <f>'дод 3'!N342</f>
        <v>0</v>
      </c>
      <c r="N258" s="84">
        <f>'дод 3'!O342</f>
        <v>2700000</v>
      </c>
      <c r="O258" s="84">
        <f>'дод 3'!P342</f>
        <v>4500000</v>
      </c>
      <c r="P258" s="160"/>
    </row>
    <row r="259" spans="1:16" s="119" customFormat="1" ht="15.75" customHeight="1" x14ac:dyDescent="0.45">
      <c r="A259" s="45"/>
      <c r="B259" s="22"/>
      <c r="C259" s="43" t="s">
        <v>379</v>
      </c>
      <c r="D259" s="85">
        <f>'дод 3'!E343</f>
        <v>0</v>
      </c>
      <c r="E259" s="85">
        <f>'дод 3'!F343</f>
        <v>0</v>
      </c>
      <c r="F259" s="85">
        <f>'дод 3'!G343</f>
        <v>0</v>
      </c>
      <c r="G259" s="85">
        <f>'дод 3'!H343</f>
        <v>0</v>
      </c>
      <c r="H259" s="85">
        <f>'дод 3'!I343</f>
        <v>0</v>
      </c>
      <c r="I259" s="85">
        <f>'дод 3'!J343</f>
        <v>0</v>
      </c>
      <c r="J259" s="85">
        <f>'дод 3'!K343</f>
        <v>0</v>
      </c>
      <c r="K259" s="85">
        <f>'дод 3'!L343</f>
        <v>0</v>
      </c>
      <c r="L259" s="85">
        <f>'дод 3'!M343</f>
        <v>0</v>
      </c>
      <c r="M259" s="85">
        <f>'дод 3'!N343</f>
        <v>0</v>
      </c>
      <c r="N259" s="85">
        <f>'дод 3'!O343</f>
        <v>0</v>
      </c>
      <c r="O259" s="85">
        <f>'дод 3'!P343</f>
        <v>0</v>
      </c>
      <c r="P259" s="160"/>
    </row>
    <row r="260" spans="1:16" s="87" customFormat="1" ht="45.75" hidden="1" customHeight="1" x14ac:dyDescent="0.45">
      <c r="A260" s="45">
        <v>7383</v>
      </c>
      <c r="B260" s="22" t="s">
        <v>78</v>
      </c>
      <c r="C260" s="24" t="s">
        <v>622</v>
      </c>
      <c r="D260" s="84">
        <f>'дод 3'!E344</f>
        <v>0</v>
      </c>
      <c r="E260" s="84">
        <f>'дод 3'!F344</f>
        <v>0</v>
      </c>
      <c r="F260" s="84">
        <f>'дод 3'!G344</f>
        <v>0</v>
      </c>
      <c r="G260" s="84">
        <f>'дод 3'!H344</f>
        <v>0</v>
      </c>
      <c r="H260" s="84">
        <f>'дод 3'!I344</f>
        <v>0</v>
      </c>
      <c r="I260" s="84">
        <f>'дод 3'!J344</f>
        <v>0</v>
      </c>
      <c r="J260" s="84">
        <f>'дод 3'!K344</f>
        <v>0</v>
      </c>
      <c r="K260" s="84">
        <f>'дод 3'!L344</f>
        <v>0</v>
      </c>
      <c r="L260" s="84">
        <f>'дод 3'!M344</f>
        <v>0</v>
      </c>
      <c r="M260" s="84">
        <f>'дод 3'!N344</f>
        <v>0</v>
      </c>
      <c r="N260" s="84">
        <f>'дод 3'!O344</f>
        <v>0</v>
      </c>
      <c r="O260" s="84">
        <f>'дод 3'!P344</f>
        <v>0</v>
      </c>
      <c r="P260" s="160"/>
    </row>
    <row r="261" spans="1:16" s="87" customFormat="1" ht="48" hidden="1" customHeight="1" x14ac:dyDescent="0.45">
      <c r="A261" s="45"/>
      <c r="B261" s="22"/>
      <c r="C261" s="29" t="s">
        <v>623</v>
      </c>
      <c r="D261" s="85">
        <f>'дод 3'!E345</f>
        <v>0</v>
      </c>
      <c r="E261" s="85">
        <f>'дод 3'!F345</f>
        <v>0</v>
      </c>
      <c r="F261" s="85">
        <f>'дод 3'!G345</f>
        <v>0</v>
      </c>
      <c r="G261" s="85">
        <f>'дод 3'!H345</f>
        <v>0</v>
      </c>
      <c r="H261" s="85">
        <f>'дод 3'!I345</f>
        <v>0</v>
      </c>
      <c r="I261" s="85">
        <f>'дод 3'!J345</f>
        <v>0</v>
      </c>
      <c r="J261" s="85">
        <f>'дод 3'!K345</f>
        <v>0</v>
      </c>
      <c r="K261" s="85">
        <f>'дод 3'!L345</f>
        <v>0</v>
      </c>
      <c r="L261" s="85">
        <f>'дод 3'!M345</f>
        <v>0</v>
      </c>
      <c r="M261" s="85">
        <f>'дод 3'!N345</f>
        <v>0</v>
      </c>
      <c r="N261" s="85">
        <f>'дод 3'!O345</f>
        <v>0</v>
      </c>
      <c r="O261" s="85">
        <f>'дод 3'!P345</f>
        <v>0</v>
      </c>
      <c r="P261" s="160"/>
    </row>
    <row r="262" spans="1:16" s="87" customFormat="1" ht="75.400000000000006" customHeight="1" x14ac:dyDescent="0.45">
      <c r="A262" s="45">
        <v>7384</v>
      </c>
      <c r="B262" s="22" t="s">
        <v>78</v>
      </c>
      <c r="C262" s="33" t="s">
        <v>661</v>
      </c>
      <c r="D262" s="85">
        <f>'дод 3'!E349+'дод 3'!E160</f>
        <v>0</v>
      </c>
      <c r="E262" s="85">
        <f>'дод 3'!F349+'дод 3'!F160</f>
        <v>0</v>
      </c>
      <c r="F262" s="85">
        <f>'дод 3'!G349+'дод 3'!G160</f>
        <v>0</v>
      </c>
      <c r="G262" s="85">
        <f>'дод 3'!H349+'дод 3'!H160</f>
        <v>0</v>
      </c>
      <c r="H262" s="85">
        <f>'дод 3'!I349+'дод 3'!I160</f>
        <v>0</v>
      </c>
      <c r="I262" s="85">
        <f>'дод 3'!J349+'дод 3'!J160</f>
        <v>67150626.659999996</v>
      </c>
      <c r="J262" s="85">
        <f>'дод 3'!K349+'дод 3'!K160</f>
        <v>0</v>
      </c>
      <c r="K262" s="85">
        <f>'дод 3'!L349+'дод 3'!L160</f>
        <v>0</v>
      </c>
      <c r="L262" s="85">
        <f>'дод 3'!M349+'дод 3'!M160</f>
        <v>0</v>
      </c>
      <c r="M262" s="85">
        <f>'дод 3'!N349+'дод 3'!N160</f>
        <v>0</v>
      </c>
      <c r="N262" s="85">
        <f>'дод 3'!O349+'дод 3'!O160</f>
        <v>67150626.659999996</v>
      </c>
      <c r="O262" s="85">
        <f>'дод 3'!P349+'дод 3'!P160</f>
        <v>67150626.659999996</v>
      </c>
      <c r="P262" s="160"/>
    </row>
    <row r="263" spans="1:16" s="87" customFormat="1" ht="102.75" customHeight="1" x14ac:dyDescent="0.45">
      <c r="A263" s="45"/>
      <c r="B263" s="22"/>
      <c r="C263" s="44" t="s">
        <v>665</v>
      </c>
      <c r="D263" s="85">
        <f>'дод 3'!E350+'дод 3'!E161</f>
        <v>0</v>
      </c>
      <c r="E263" s="85">
        <f>'дод 3'!F350+'дод 3'!F161</f>
        <v>0</v>
      </c>
      <c r="F263" s="85">
        <f>'дод 3'!G350+'дод 3'!G161</f>
        <v>0</v>
      </c>
      <c r="G263" s="85">
        <f>'дод 3'!H350+'дод 3'!H161</f>
        <v>0</v>
      </c>
      <c r="H263" s="85">
        <f>'дод 3'!I350+'дод 3'!I161</f>
        <v>0</v>
      </c>
      <c r="I263" s="85">
        <f>'дод 3'!J350+'дод 3'!J161</f>
        <v>67150626.659999996</v>
      </c>
      <c r="J263" s="85">
        <f>'дод 3'!K350+'дод 3'!K161</f>
        <v>0</v>
      </c>
      <c r="K263" s="85">
        <f>'дод 3'!L350+'дод 3'!L161</f>
        <v>0</v>
      </c>
      <c r="L263" s="85">
        <f>'дод 3'!M350+'дод 3'!M161</f>
        <v>0</v>
      </c>
      <c r="M263" s="85">
        <f>'дод 3'!N350+'дод 3'!N161</f>
        <v>0</v>
      </c>
      <c r="N263" s="85">
        <f>'дод 3'!O350+'дод 3'!O161</f>
        <v>67150626.659999996</v>
      </c>
      <c r="O263" s="85">
        <f>'дод 3'!P350+'дод 3'!P161</f>
        <v>67150626.659999996</v>
      </c>
      <c r="P263" s="160"/>
    </row>
    <row r="264" spans="1:16" s="78" customFormat="1" ht="34.5" customHeight="1" x14ac:dyDescent="0.4">
      <c r="A264" s="88" t="s">
        <v>81</v>
      </c>
      <c r="B264" s="92"/>
      <c r="C264" s="93" t="s">
        <v>543</v>
      </c>
      <c r="D264" s="82">
        <f>D268+D269+D270+D271+D273+D275+D274</f>
        <v>91060000</v>
      </c>
      <c r="E264" s="82">
        <f t="shared" ref="E264:N264" si="57">E268+E269+E270+E271+E273+E275+E274</f>
        <v>0</v>
      </c>
      <c r="F264" s="82">
        <f t="shared" si="57"/>
        <v>0</v>
      </c>
      <c r="G264" s="82">
        <f t="shared" si="57"/>
        <v>0</v>
      </c>
      <c r="H264" s="82">
        <f t="shared" si="57"/>
        <v>91060000</v>
      </c>
      <c r="I264" s="82">
        <f>I268+I269+I270+I271+I273+I275+I274</f>
        <v>0</v>
      </c>
      <c r="J264" s="82">
        <f t="shared" si="57"/>
        <v>0</v>
      </c>
      <c r="K264" s="82">
        <f t="shared" si="57"/>
        <v>0</v>
      </c>
      <c r="L264" s="82">
        <f t="shared" si="57"/>
        <v>0</v>
      </c>
      <c r="M264" s="82">
        <f t="shared" si="57"/>
        <v>0</v>
      </c>
      <c r="N264" s="82">
        <f t="shared" si="57"/>
        <v>0</v>
      </c>
      <c r="O264" s="82">
        <f>O268+O269+O270+O271+O273+O275+O274</f>
        <v>91060000</v>
      </c>
      <c r="P264" s="160"/>
    </row>
    <row r="265" spans="1:16" s="90" customFormat="1" ht="97.5" hidden="1" customHeight="1" x14ac:dyDescent="0.4">
      <c r="A265" s="89"/>
      <c r="B265" s="94"/>
      <c r="C265" s="54" t="s">
        <v>381</v>
      </c>
      <c r="D265" s="83">
        <f t="shared" ref="D265:O265" si="58">D276</f>
        <v>0</v>
      </c>
      <c r="E265" s="83">
        <f t="shared" si="58"/>
        <v>0</v>
      </c>
      <c r="F265" s="83">
        <f t="shared" si="58"/>
        <v>0</v>
      </c>
      <c r="G265" s="83">
        <f t="shared" si="58"/>
        <v>0</v>
      </c>
      <c r="H265" s="83">
        <f t="shared" si="58"/>
        <v>0</v>
      </c>
      <c r="I265" s="83">
        <f>I276</f>
        <v>0</v>
      </c>
      <c r="J265" s="83">
        <f t="shared" si="58"/>
        <v>0</v>
      </c>
      <c r="K265" s="83">
        <f t="shared" si="58"/>
        <v>0</v>
      </c>
      <c r="L265" s="83">
        <f t="shared" si="58"/>
        <v>0</v>
      </c>
      <c r="M265" s="83">
        <f t="shared" si="58"/>
        <v>0</v>
      </c>
      <c r="N265" s="83">
        <f t="shared" si="58"/>
        <v>0</v>
      </c>
      <c r="O265" s="83">
        <f t="shared" si="58"/>
        <v>0</v>
      </c>
      <c r="P265" s="160"/>
    </row>
    <row r="266" spans="1:16" s="90" customFormat="1" ht="65.25" hidden="1" customHeight="1" x14ac:dyDescent="0.4">
      <c r="A266" s="89"/>
      <c r="B266" s="94"/>
      <c r="C266" s="54" t="s">
        <v>418</v>
      </c>
      <c r="D266" s="83" t="e">
        <f>#REF!</f>
        <v>#REF!</v>
      </c>
      <c r="E266" s="83" t="e">
        <f>#REF!</f>
        <v>#REF!</v>
      </c>
      <c r="F266" s="83" t="e">
        <f>#REF!</f>
        <v>#REF!</v>
      </c>
      <c r="G266" s="83" t="e">
        <f>#REF!</f>
        <v>#REF!</v>
      </c>
      <c r="H266" s="83" t="e">
        <f>#REF!</f>
        <v>#REF!</v>
      </c>
      <c r="I266" s="83" t="e">
        <f>#REF!</f>
        <v>#REF!</v>
      </c>
      <c r="J266" s="83" t="e">
        <f>#REF!</f>
        <v>#REF!</v>
      </c>
      <c r="K266" s="83" t="e">
        <f>#REF!</f>
        <v>#REF!</v>
      </c>
      <c r="L266" s="83" t="e">
        <f>#REF!</f>
        <v>#REF!</v>
      </c>
      <c r="M266" s="83" t="e">
        <f>#REF!</f>
        <v>#REF!</v>
      </c>
      <c r="N266" s="83" t="e">
        <f>#REF!</f>
        <v>#REF!</v>
      </c>
      <c r="O266" s="83" t="e">
        <f>#REF!</f>
        <v>#REF!</v>
      </c>
      <c r="P266" s="160"/>
    </row>
    <row r="267" spans="1:16" s="90" customFormat="1" ht="15.75" hidden="1" customHeight="1" x14ac:dyDescent="0.4">
      <c r="A267" s="89"/>
      <c r="B267" s="94"/>
      <c r="C267" s="19" t="s">
        <v>379</v>
      </c>
      <c r="D267" s="83" t="e">
        <f>#REF!</f>
        <v>#REF!</v>
      </c>
      <c r="E267" s="83" t="e">
        <f>#REF!</f>
        <v>#REF!</v>
      </c>
      <c r="F267" s="83" t="e">
        <f>#REF!</f>
        <v>#REF!</v>
      </c>
      <c r="G267" s="83" t="e">
        <f>#REF!</f>
        <v>#REF!</v>
      </c>
      <c r="H267" s="83" t="e">
        <f>#REF!</f>
        <v>#REF!</v>
      </c>
      <c r="I267" s="83" t="e">
        <f>#REF!</f>
        <v>#REF!</v>
      </c>
      <c r="J267" s="83" t="e">
        <f>#REF!</f>
        <v>#REF!</v>
      </c>
      <c r="K267" s="83" t="e">
        <f>#REF!</f>
        <v>#REF!</v>
      </c>
      <c r="L267" s="83" t="e">
        <f>#REF!</f>
        <v>#REF!</v>
      </c>
      <c r="M267" s="83" t="e">
        <f>#REF!</f>
        <v>#REF!</v>
      </c>
      <c r="N267" s="83" t="e">
        <f>#REF!</f>
        <v>#REF!</v>
      </c>
      <c r="O267" s="83" t="e">
        <f>#REF!</f>
        <v>#REF!</v>
      </c>
      <c r="P267" s="160"/>
    </row>
    <row r="268" spans="1:16" s="87" customFormat="1" ht="18.75" customHeight="1" x14ac:dyDescent="0.45">
      <c r="A268" s="45" t="s">
        <v>3</v>
      </c>
      <c r="B268" s="45" t="s">
        <v>80</v>
      </c>
      <c r="C268" s="33" t="s">
        <v>35</v>
      </c>
      <c r="D268" s="84">
        <f>'дод 3'!E51+'дод 3'!E351</f>
        <v>26100000</v>
      </c>
      <c r="E268" s="84">
        <f>'дод 3'!F51+'дод 3'!F351</f>
        <v>0</v>
      </c>
      <c r="F268" s="84">
        <f>'дод 3'!G51+'дод 3'!G351</f>
        <v>0</v>
      </c>
      <c r="G268" s="84">
        <f>'дод 3'!H51+'дод 3'!H351</f>
        <v>0</v>
      </c>
      <c r="H268" s="84">
        <f>'дод 3'!I51+'дод 3'!I351</f>
        <v>26100000</v>
      </c>
      <c r="I268" s="84">
        <f>'дод 3'!J51+'дод 3'!J351</f>
        <v>0</v>
      </c>
      <c r="J268" s="84">
        <f>'дод 3'!K51+'дод 3'!K351</f>
        <v>0</v>
      </c>
      <c r="K268" s="84">
        <f>'дод 3'!L51+'дод 3'!L351</f>
        <v>0</v>
      </c>
      <c r="L268" s="84">
        <f>'дод 3'!M51+'дод 3'!M351</f>
        <v>0</v>
      </c>
      <c r="M268" s="84">
        <f>'дод 3'!N51+'дод 3'!N351</f>
        <v>0</v>
      </c>
      <c r="N268" s="84">
        <f>'дод 3'!O51+'дод 3'!O351</f>
        <v>0</v>
      </c>
      <c r="O268" s="84">
        <f>'дод 3'!P51+'дод 3'!P351</f>
        <v>26100000</v>
      </c>
      <c r="P268" s="160"/>
    </row>
    <row r="269" spans="1:16" s="87" customFormat="1" ht="20.25" hidden="1" customHeight="1" x14ac:dyDescent="0.45">
      <c r="A269" s="45">
        <v>7413</v>
      </c>
      <c r="B269" s="45" t="s">
        <v>80</v>
      </c>
      <c r="C269" s="33" t="s">
        <v>361</v>
      </c>
      <c r="D269" s="84">
        <f>'дод 3'!E52</f>
        <v>0</v>
      </c>
      <c r="E269" s="84">
        <f>'дод 3'!F52</f>
        <v>0</v>
      </c>
      <c r="F269" s="84">
        <f>'дод 3'!G52</f>
        <v>0</v>
      </c>
      <c r="G269" s="84">
        <f>'дод 3'!H52</f>
        <v>0</v>
      </c>
      <c r="H269" s="84">
        <f>'дод 3'!I52</f>
        <v>0</v>
      </c>
      <c r="I269" s="84">
        <f>'дод 3'!J52</f>
        <v>0</v>
      </c>
      <c r="J269" s="84">
        <f>'дод 3'!K52</f>
        <v>0</v>
      </c>
      <c r="K269" s="84">
        <f>'дод 3'!L52</f>
        <v>0</v>
      </c>
      <c r="L269" s="84">
        <f>'дод 3'!M52</f>
        <v>0</v>
      </c>
      <c r="M269" s="84">
        <f>'дод 3'!N52</f>
        <v>0</v>
      </c>
      <c r="N269" s="84">
        <f>'дод 3'!O52</f>
        <v>0</v>
      </c>
      <c r="O269" s="84">
        <f>'дод 3'!P52</f>
        <v>0</v>
      </c>
      <c r="P269" s="160"/>
    </row>
    <row r="270" spans="1:16" s="87" customFormat="1" ht="36" customHeight="1" x14ac:dyDescent="0.45">
      <c r="A270" s="23">
        <v>7422</v>
      </c>
      <c r="B270" s="22" t="s">
        <v>393</v>
      </c>
      <c r="C270" s="36" t="s">
        <v>509</v>
      </c>
      <c r="D270" s="84">
        <f>'дод 3'!E53+'дод 3'!E352</f>
        <v>64960000</v>
      </c>
      <c r="E270" s="84">
        <f>'дод 3'!F53+'дод 3'!F352</f>
        <v>0</v>
      </c>
      <c r="F270" s="84">
        <f>'дод 3'!G53+'дод 3'!G352</f>
        <v>0</v>
      </c>
      <c r="G270" s="84">
        <f>'дод 3'!H53+'дод 3'!H352</f>
        <v>0</v>
      </c>
      <c r="H270" s="84">
        <f>'дод 3'!I53+'дод 3'!I352</f>
        <v>64960000</v>
      </c>
      <c r="I270" s="84">
        <f>'дод 3'!J53+'дод 3'!J352</f>
        <v>0</v>
      </c>
      <c r="J270" s="84">
        <f>'дод 3'!K53+'дод 3'!K352</f>
        <v>0</v>
      </c>
      <c r="K270" s="84">
        <f>'дод 3'!L53+'дод 3'!L352</f>
        <v>0</v>
      </c>
      <c r="L270" s="84">
        <f>'дод 3'!M53+'дод 3'!M352</f>
        <v>0</v>
      </c>
      <c r="M270" s="84">
        <f>'дод 3'!N53+'дод 3'!N352</f>
        <v>0</v>
      </c>
      <c r="N270" s="84">
        <f>'дод 3'!O53+'дод 3'!O352</f>
        <v>0</v>
      </c>
      <c r="O270" s="84">
        <f>'дод 3'!P53+'дод 3'!P352</f>
        <v>64960000</v>
      </c>
      <c r="P270" s="160"/>
    </row>
    <row r="271" spans="1:16" s="87" customFormat="1" ht="24" hidden="1" customHeight="1" x14ac:dyDescent="0.45">
      <c r="A271" s="45">
        <v>7426</v>
      </c>
      <c r="B271" s="34" t="s">
        <v>393</v>
      </c>
      <c r="C271" s="33" t="s">
        <v>362</v>
      </c>
      <c r="D271" s="84">
        <f>'дод 3'!E54</f>
        <v>0</v>
      </c>
      <c r="E271" s="84">
        <f>'дод 3'!F54</f>
        <v>0</v>
      </c>
      <c r="F271" s="84">
        <f>'дод 3'!G54</f>
        <v>0</v>
      </c>
      <c r="G271" s="84">
        <f>'дод 3'!H54</f>
        <v>0</v>
      </c>
      <c r="H271" s="84">
        <f>'дод 3'!I54</f>
        <v>0</v>
      </c>
      <c r="I271" s="84">
        <f>'дод 3'!J54</f>
        <v>0</v>
      </c>
      <c r="J271" s="84">
        <f>'дод 3'!K54</f>
        <v>0</v>
      </c>
      <c r="K271" s="84">
        <f>'дод 3'!L54</f>
        <v>0</v>
      </c>
      <c r="L271" s="84">
        <f>'дод 3'!M54</f>
        <v>0</v>
      </c>
      <c r="M271" s="84">
        <f>'дод 3'!N54</f>
        <v>0</v>
      </c>
      <c r="N271" s="84">
        <f>'дод 3'!O54</f>
        <v>0</v>
      </c>
      <c r="O271" s="84">
        <f>'дод 3'!P54</f>
        <v>0</v>
      </c>
      <c r="P271" s="160"/>
    </row>
    <row r="272" spans="1:16" s="87" customFormat="1" ht="63" hidden="1" customHeight="1" x14ac:dyDescent="0.45">
      <c r="A272" s="86"/>
      <c r="B272" s="86"/>
      <c r="C272" s="48" t="s">
        <v>418</v>
      </c>
      <c r="D272" s="85">
        <f>'дод 3'!E338</f>
        <v>0</v>
      </c>
      <c r="E272" s="85">
        <f>'дод 3'!F338</f>
        <v>0</v>
      </c>
      <c r="F272" s="85">
        <f>'дод 3'!G338</f>
        <v>0</v>
      </c>
      <c r="G272" s="85">
        <f>'дод 3'!H338</f>
        <v>0</v>
      </c>
      <c r="H272" s="85">
        <f>'дод 3'!I338</f>
        <v>0</v>
      </c>
      <c r="I272" s="85">
        <f>'дод 3'!J338</f>
        <v>0</v>
      </c>
      <c r="J272" s="85">
        <f>'дод 3'!K338</f>
        <v>0</v>
      </c>
      <c r="K272" s="85">
        <f>'дод 3'!L338</f>
        <v>0</v>
      </c>
      <c r="L272" s="85">
        <f>'дод 3'!M338</f>
        <v>0</v>
      </c>
      <c r="M272" s="85">
        <f>'дод 3'!N338</f>
        <v>0</v>
      </c>
      <c r="N272" s="85">
        <f>'дод 3'!O338</f>
        <v>0</v>
      </c>
      <c r="O272" s="85">
        <f>'дод 3'!P338</f>
        <v>0</v>
      </c>
      <c r="P272" s="160"/>
    </row>
    <row r="273" spans="1:16" s="87" customFormat="1" ht="18" hidden="1" customHeight="1" x14ac:dyDescent="0.45">
      <c r="A273" s="34" t="s">
        <v>425</v>
      </c>
      <c r="B273" s="34" t="s">
        <v>384</v>
      </c>
      <c r="C273" s="33" t="s">
        <v>431</v>
      </c>
      <c r="D273" s="84">
        <f>'дод 3'!E55</f>
        <v>0</v>
      </c>
      <c r="E273" s="84">
        <f>'дод 3'!F55</f>
        <v>0</v>
      </c>
      <c r="F273" s="84">
        <f>'дод 3'!G55</f>
        <v>0</v>
      </c>
      <c r="G273" s="84">
        <f>'дод 3'!H55</f>
        <v>0</v>
      </c>
      <c r="H273" s="84">
        <f>'дод 3'!I55</f>
        <v>0</v>
      </c>
      <c r="I273" s="84">
        <f>'дод 3'!J55</f>
        <v>0</v>
      </c>
      <c r="J273" s="84">
        <f>'дод 3'!K55</f>
        <v>0</v>
      </c>
      <c r="K273" s="84">
        <f>'дод 3'!L55</f>
        <v>0</v>
      </c>
      <c r="L273" s="84">
        <f>'дод 3'!M55</f>
        <v>0</v>
      </c>
      <c r="M273" s="84">
        <f>'дод 3'!N55</f>
        <v>0</v>
      </c>
      <c r="N273" s="84">
        <f>'дод 3'!O55</f>
        <v>0</v>
      </c>
      <c r="O273" s="84">
        <f>'дод 3'!P55</f>
        <v>0</v>
      </c>
      <c r="P273" s="160"/>
    </row>
    <row r="274" spans="1:16" s="87" customFormat="1" ht="39" hidden="1" customHeight="1" x14ac:dyDescent="0.45">
      <c r="A274" s="34" t="s">
        <v>640</v>
      </c>
      <c r="B274" s="34" t="s">
        <v>384</v>
      </c>
      <c r="C274" s="24" t="s">
        <v>641</v>
      </c>
      <c r="D274" s="84">
        <f>'дод 3'!E346</f>
        <v>0</v>
      </c>
      <c r="E274" s="84">
        <f>'дод 3'!F346</f>
        <v>0</v>
      </c>
      <c r="F274" s="84">
        <f>'дод 3'!G346</f>
        <v>0</v>
      </c>
      <c r="G274" s="84">
        <f>'дод 3'!H346</f>
        <v>0</v>
      </c>
      <c r="H274" s="84">
        <f>'дод 3'!I346</f>
        <v>0</v>
      </c>
      <c r="I274" s="84">
        <f>'дод 3'!J346</f>
        <v>0</v>
      </c>
      <c r="J274" s="84">
        <f>'дод 3'!K346</f>
        <v>0</v>
      </c>
      <c r="K274" s="84">
        <f>'дод 3'!L346</f>
        <v>0</v>
      </c>
      <c r="L274" s="84">
        <f>'дод 3'!M346</f>
        <v>0</v>
      </c>
      <c r="M274" s="84">
        <f>'дод 3'!N346</f>
        <v>0</v>
      </c>
      <c r="N274" s="84">
        <f>'дод 3'!O346</f>
        <v>0</v>
      </c>
      <c r="O274" s="84">
        <f>'дод 3'!P346</f>
        <v>0</v>
      </c>
      <c r="P274" s="160"/>
    </row>
    <row r="275" spans="1:16" s="87" customFormat="1" ht="54.75" hidden="1" customHeight="1" x14ac:dyDescent="0.45">
      <c r="A275" s="34" t="s">
        <v>492</v>
      </c>
      <c r="B275" s="34" t="s">
        <v>384</v>
      </c>
      <c r="C275" s="36" t="s">
        <v>383</v>
      </c>
      <c r="D275" s="84">
        <f>'дод 3'!E347</f>
        <v>0</v>
      </c>
      <c r="E275" s="84">
        <f>'дод 3'!F347</f>
        <v>0</v>
      </c>
      <c r="F275" s="84">
        <f>'дод 3'!G347</f>
        <v>0</v>
      </c>
      <c r="G275" s="84">
        <f>'дод 3'!H347</f>
        <v>0</v>
      </c>
      <c r="H275" s="84">
        <f>'дод 3'!I347</f>
        <v>0</v>
      </c>
      <c r="I275" s="84">
        <f>'дод 3'!J347</f>
        <v>0</v>
      </c>
      <c r="J275" s="84">
        <f>'дод 3'!K347</f>
        <v>0</v>
      </c>
      <c r="K275" s="84">
        <f>'дод 3'!L347</f>
        <v>0</v>
      </c>
      <c r="L275" s="84">
        <f>'дод 3'!M347</f>
        <v>0</v>
      </c>
      <c r="M275" s="84">
        <f>'дод 3'!N347</f>
        <v>0</v>
      </c>
      <c r="N275" s="84">
        <f>'дод 3'!O347</f>
        <v>0</v>
      </c>
      <c r="O275" s="84">
        <f>'дод 3'!P347</f>
        <v>0</v>
      </c>
      <c r="P275" s="160"/>
    </row>
    <row r="276" spans="1:16" s="87" customFormat="1" ht="104.25" hidden="1" customHeight="1" x14ac:dyDescent="0.45">
      <c r="A276" s="86"/>
      <c r="B276" s="86"/>
      <c r="C276" s="48" t="s">
        <v>381</v>
      </c>
      <c r="D276" s="85">
        <f>'дод 3'!E348</f>
        <v>0</v>
      </c>
      <c r="E276" s="85">
        <f>'дод 3'!F348</f>
        <v>0</v>
      </c>
      <c r="F276" s="85">
        <f>'дод 3'!G348</f>
        <v>0</v>
      </c>
      <c r="G276" s="85">
        <f>'дод 3'!H348</f>
        <v>0</v>
      </c>
      <c r="H276" s="85">
        <f>'дод 3'!I348</f>
        <v>0</v>
      </c>
      <c r="I276" s="85">
        <f>'дод 3'!J348</f>
        <v>0</v>
      </c>
      <c r="J276" s="85">
        <f>'дод 3'!K348</f>
        <v>0</v>
      </c>
      <c r="K276" s="85">
        <f>'дод 3'!L348</f>
        <v>0</v>
      </c>
      <c r="L276" s="85">
        <f>'дод 3'!M348</f>
        <v>0</v>
      </c>
      <c r="M276" s="85">
        <f>'дод 3'!N348</f>
        <v>0</v>
      </c>
      <c r="N276" s="85">
        <f>'дод 3'!O348</f>
        <v>0</v>
      </c>
      <c r="O276" s="85">
        <f>'дод 3'!P348</f>
        <v>0</v>
      </c>
      <c r="P276" s="160"/>
    </row>
    <row r="277" spans="1:16" s="78" customFormat="1" ht="18.75" customHeight="1" x14ac:dyDescent="0.4">
      <c r="A277" s="38" t="s">
        <v>229</v>
      </c>
      <c r="B277" s="92"/>
      <c r="C277" s="93" t="s">
        <v>230</v>
      </c>
      <c r="D277" s="82">
        <f>D278</f>
        <v>5710468</v>
      </c>
      <c r="E277" s="82">
        <f t="shared" ref="E277:O277" si="59">E278</f>
        <v>5710468</v>
      </c>
      <c r="F277" s="82">
        <f t="shared" si="59"/>
        <v>0</v>
      </c>
      <c r="G277" s="82">
        <f t="shared" si="59"/>
        <v>0</v>
      </c>
      <c r="H277" s="82">
        <f t="shared" si="59"/>
        <v>0</v>
      </c>
      <c r="I277" s="82">
        <f>I278</f>
        <v>1000000</v>
      </c>
      <c r="J277" s="82">
        <f t="shared" si="59"/>
        <v>1000000</v>
      </c>
      <c r="K277" s="82">
        <f t="shared" si="59"/>
        <v>0</v>
      </c>
      <c r="L277" s="82">
        <f t="shared" si="59"/>
        <v>0</v>
      </c>
      <c r="M277" s="82">
        <f t="shared" si="59"/>
        <v>0</v>
      </c>
      <c r="N277" s="82">
        <f t="shared" si="59"/>
        <v>1000000</v>
      </c>
      <c r="O277" s="82">
        <f t="shared" si="59"/>
        <v>6710468</v>
      </c>
      <c r="P277" s="160"/>
    </row>
    <row r="278" spans="1:16" ht="28.5" customHeight="1" x14ac:dyDescent="0.45">
      <c r="A278" s="45" t="s">
        <v>227</v>
      </c>
      <c r="B278" s="45" t="s">
        <v>228</v>
      </c>
      <c r="C278" s="42" t="s">
        <v>226</v>
      </c>
      <c r="D278" s="84">
        <f>'дод 3'!E56+'дод 3'!E341</f>
        <v>5710468</v>
      </c>
      <c r="E278" s="84">
        <f>'дод 3'!F56+'дод 3'!F341</f>
        <v>5710468</v>
      </c>
      <c r="F278" s="84">
        <f>'дод 3'!G56+'дод 3'!G341</f>
        <v>0</v>
      </c>
      <c r="G278" s="84">
        <f>'дод 3'!H56+'дод 3'!H341</f>
        <v>0</v>
      </c>
      <c r="H278" s="84">
        <f>'дод 3'!I56+'дод 3'!I341</f>
        <v>0</v>
      </c>
      <c r="I278" s="84">
        <f>'дод 3'!J56+'дод 3'!J341</f>
        <v>1000000</v>
      </c>
      <c r="J278" s="84">
        <f>'дод 3'!K56+'дод 3'!K341</f>
        <v>1000000</v>
      </c>
      <c r="K278" s="84">
        <f>'дод 3'!L56+'дод 3'!L341</f>
        <v>0</v>
      </c>
      <c r="L278" s="84">
        <f>'дод 3'!M56+'дод 3'!M341</f>
        <v>0</v>
      </c>
      <c r="M278" s="84">
        <f>'дод 3'!N56+'дод 3'!N341</f>
        <v>0</v>
      </c>
      <c r="N278" s="84">
        <f>'дод 3'!O56+'дод 3'!O341</f>
        <v>1000000</v>
      </c>
      <c r="O278" s="84">
        <f>'дод 3'!P56+'дод 3'!P341</f>
        <v>6710468</v>
      </c>
      <c r="P278" s="160"/>
    </row>
    <row r="279" spans="1:16" s="78" customFormat="1" ht="39.75" customHeight="1" x14ac:dyDescent="0.4">
      <c r="A279" s="88" t="s">
        <v>84</v>
      </c>
      <c r="B279" s="92"/>
      <c r="C279" s="93" t="s">
        <v>401</v>
      </c>
      <c r="D279" s="82">
        <f>D284+D285+D289+D290+D291+D294+D295+D296</f>
        <v>6883790.3499999996</v>
      </c>
      <c r="E279" s="82">
        <f t="shared" ref="E279:H279" si="60">E284+E285+E289+E290+E291+E294+E295+E296</f>
        <v>4818001</v>
      </c>
      <c r="F279" s="82">
        <f t="shared" si="60"/>
        <v>0</v>
      </c>
      <c r="G279" s="82">
        <f t="shared" si="60"/>
        <v>0</v>
      </c>
      <c r="H279" s="82">
        <f t="shared" si="60"/>
        <v>2065789.35</v>
      </c>
      <c r="I279" s="82">
        <f>I284+I285+I289+I290+I291+I294+I295+I296</f>
        <v>248530079</v>
      </c>
      <c r="J279" s="82">
        <f t="shared" ref="J279:O279" si="61">J284+J285+J289+J290+J291+J294+J295+J296</f>
        <v>248420079</v>
      </c>
      <c r="K279" s="82">
        <f t="shared" si="61"/>
        <v>110000</v>
      </c>
      <c r="L279" s="82">
        <f t="shared" si="61"/>
        <v>0</v>
      </c>
      <c r="M279" s="82">
        <f t="shared" si="61"/>
        <v>0</v>
      </c>
      <c r="N279" s="82">
        <f t="shared" si="61"/>
        <v>248420079</v>
      </c>
      <c r="O279" s="82">
        <f t="shared" si="61"/>
        <v>255413869.34999999</v>
      </c>
      <c r="P279" s="160"/>
    </row>
    <row r="280" spans="1:16" s="90" customFormat="1" ht="75" x14ac:dyDescent="0.4">
      <c r="A280" s="89"/>
      <c r="B280" s="94"/>
      <c r="C280" s="54" t="s">
        <v>619</v>
      </c>
      <c r="D280" s="83">
        <f>D292+D297</f>
        <v>163600</v>
      </c>
      <c r="E280" s="83">
        <f t="shared" ref="E280:O280" si="62">E292+E297</f>
        <v>163600</v>
      </c>
      <c r="F280" s="83">
        <f t="shared" si="62"/>
        <v>0</v>
      </c>
      <c r="G280" s="83">
        <f t="shared" si="62"/>
        <v>0</v>
      </c>
      <c r="H280" s="83">
        <f t="shared" si="62"/>
        <v>0</v>
      </c>
      <c r="I280" s="83">
        <f t="shared" si="62"/>
        <v>371900</v>
      </c>
      <c r="J280" s="83">
        <f t="shared" si="62"/>
        <v>371900</v>
      </c>
      <c r="K280" s="83">
        <f t="shared" si="62"/>
        <v>0</v>
      </c>
      <c r="L280" s="83">
        <f t="shared" si="62"/>
        <v>0</v>
      </c>
      <c r="M280" s="83">
        <f t="shared" si="62"/>
        <v>0</v>
      </c>
      <c r="N280" s="83">
        <f t="shared" si="62"/>
        <v>371900</v>
      </c>
      <c r="O280" s="83">
        <f t="shared" si="62"/>
        <v>535500</v>
      </c>
      <c r="P280" s="160"/>
    </row>
    <row r="281" spans="1:16" s="90" customFormat="1" ht="16.5" customHeight="1" x14ac:dyDescent="0.4">
      <c r="A281" s="89"/>
      <c r="B281" s="89"/>
      <c r="C281" s="19" t="s">
        <v>399</v>
      </c>
      <c r="D281" s="83">
        <f>D286+D293</f>
        <v>0</v>
      </c>
      <c r="E281" s="83">
        <f t="shared" ref="E281:O281" si="63">E286+E293</f>
        <v>0</v>
      </c>
      <c r="F281" s="83">
        <f t="shared" si="63"/>
        <v>0</v>
      </c>
      <c r="G281" s="83">
        <f t="shared" si="63"/>
        <v>0</v>
      </c>
      <c r="H281" s="83">
        <f t="shared" si="63"/>
        <v>0</v>
      </c>
      <c r="I281" s="83">
        <f t="shared" si="63"/>
        <v>61868709</v>
      </c>
      <c r="J281" s="83">
        <f t="shared" si="63"/>
        <v>61868709</v>
      </c>
      <c r="K281" s="83">
        <f t="shared" si="63"/>
        <v>0</v>
      </c>
      <c r="L281" s="83">
        <f t="shared" si="63"/>
        <v>0</v>
      </c>
      <c r="M281" s="83">
        <f t="shared" si="63"/>
        <v>0</v>
      </c>
      <c r="N281" s="83">
        <f t="shared" si="63"/>
        <v>61868709</v>
      </c>
      <c r="O281" s="83">
        <f t="shared" si="63"/>
        <v>61868709</v>
      </c>
      <c r="P281" s="160"/>
    </row>
    <row r="282" spans="1:16" s="90" customFormat="1" ht="45" x14ac:dyDescent="0.4">
      <c r="A282" s="89"/>
      <c r="B282" s="89"/>
      <c r="C282" s="19" t="str">
        <f>C287</f>
        <v xml:space="preserve">залишку коштів по запозиченню від ЄІБ «Підвищення енергоефективності в дошкільних закладах м. Суми», що склався станом на 01.01.2024 року </v>
      </c>
      <c r="D282" s="83">
        <f>D287</f>
        <v>0</v>
      </c>
      <c r="E282" s="83">
        <f t="shared" ref="E282:O282" si="64">E287</f>
        <v>0</v>
      </c>
      <c r="F282" s="83">
        <f t="shared" si="64"/>
        <v>0</v>
      </c>
      <c r="G282" s="83">
        <f t="shared" si="64"/>
        <v>0</v>
      </c>
      <c r="H282" s="83">
        <f t="shared" si="64"/>
        <v>0</v>
      </c>
      <c r="I282" s="83">
        <f t="shared" si="64"/>
        <v>42207900</v>
      </c>
      <c r="J282" s="83">
        <f t="shared" si="64"/>
        <v>42207900</v>
      </c>
      <c r="K282" s="83">
        <f t="shared" si="64"/>
        <v>0</v>
      </c>
      <c r="L282" s="83">
        <f t="shared" si="64"/>
        <v>0</v>
      </c>
      <c r="M282" s="83">
        <f t="shared" si="64"/>
        <v>0</v>
      </c>
      <c r="N282" s="83">
        <f t="shared" si="64"/>
        <v>42207900</v>
      </c>
      <c r="O282" s="83">
        <f t="shared" si="64"/>
        <v>42207900</v>
      </c>
      <c r="P282" s="160"/>
    </row>
    <row r="283" spans="1:16" s="90" customFormat="1" ht="15" hidden="1" customHeight="1" x14ac:dyDescent="0.4">
      <c r="A283" s="89"/>
      <c r="B283" s="89"/>
      <c r="C283" s="19" t="s">
        <v>597</v>
      </c>
      <c r="D283" s="83">
        <f>D288</f>
        <v>0</v>
      </c>
      <c r="E283" s="83">
        <f t="shared" ref="E283:O283" si="65">E288</f>
        <v>0</v>
      </c>
      <c r="F283" s="83">
        <f t="shared" si="65"/>
        <v>0</v>
      </c>
      <c r="G283" s="83">
        <f t="shared" si="65"/>
        <v>0</v>
      </c>
      <c r="H283" s="83">
        <f t="shared" si="65"/>
        <v>0</v>
      </c>
      <c r="I283" s="83">
        <f t="shared" si="65"/>
        <v>0</v>
      </c>
      <c r="J283" s="83">
        <f t="shared" si="65"/>
        <v>0</v>
      </c>
      <c r="K283" s="83">
        <f t="shared" si="65"/>
        <v>0</v>
      </c>
      <c r="L283" s="83">
        <f t="shared" si="65"/>
        <v>0</v>
      </c>
      <c r="M283" s="83">
        <f t="shared" si="65"/>
        <v>0</v>
      </c>
      <c r="N283" s="83">
        <f t="shared" si="65"/>
        <v>0</v>
      </c>
      <c r="O283" s="83">
        <f t="shared" si="65"/>
        <v>0</v>
      </c>
      <c r="P283" s="160"/>
    </row>
    <row r="284" spans="1:16" ht="34.5" customHeight="1" x14ac:dyDescent="0.45">
      <c r="A284" s="45" t="s">
        <v>4</v>
      </c>
      <c r="B284" s="45" t="s">
        <v>83</v>
      </c>
      <c r="C284" s="33" t="s">
        <v>23</v>
      </c>
      <c r="D284" s="84">
        <f>'дод 3'!E57+'дод 3'!E435+'дод 3'!E444+'дод 3'!E456+'дод 3'!E379+'дод 3'!E430</f>
        <v>520000</v>
      </c>
      <c r="E284" s="84">
        <f>'дод 3'!F57+'дод 3'!F435+'дод 3'!F444+'дод 3'!F456+'дод 3'!F379+'дод 3'!F430</f>
        <v>40000</v>
      </c>
      <c r="F284" s="84">
        <f>'дод 3'!G57+'дод 3'!G435+'дод 3'!G444+'дод 3'!G456+'дод 3'!G379+'дод 3'!G430</f>
        <v>0</v>
      </c>
      <c r="G284" s="84">
        <f>'дод 3'!H57+'дод 3'!H435+'дод 3'!H444+'дод 3'!H456+'дод 3'!H379+'дод 3'!H430</f>
        <v>0</v>
      </c>
      <c r="H284" s="84">
        <f>'дод 3'!I57+'дод 3'!I435+'дод 3'!I444+'дод 3'!I456+'дод 3'!I379+'дод 3'!I430</f>
        <v>480000</v>
      </c>
      <c r="I284" s="84">
        <f>'дод 3'!J57+'дод 3'!J435+'дод 3'!J444+'дод 3'!J456+'дод 3'!J379+'дод 3'!J430</f>
        <v>0</v>
      </c>
      <c r="J284" s="84">
        <f>'дод 3'!K57+'дод 3'!K435+'дод 3'!K444+'дод 3'!K456+'дод 3'!K379+'дод 3'!K430</f>
        <v>0</v>
      </c>
      <c r="K284" s="84">
        <f>'дод 3'!L57+'дод 3'!L435+'дод 3'!L444+'дод 3'!L456+'дод 3'!L379+'дод 3'!L430</f>
        <v>0</v>
      </c>
      <c r="L284" s="84">
        <f>'дод 3'!M57+'дод 3'!M435+'дод 3'!M444+'дод 3'!M456+'дод 3'!M379+'дод 3'!M430</f>
        <v>0</v>
      </c>
      <c r="M284" s="84">
        <f>'дод 3'!N57+'дод 3'!N435+'дод 3'!N444+'дод 3'!N456+'дод 3'!N379+'дод 3'!N430</f>
        <v>0</v>
      </c>
      <c r="N284" s="84">
        <f>'дод 3'!O57+'дод 3'!O435+'дод 3'!O444+'дод 3'!O456+'дод 3'!O379+'дод 3'!O430</f>
        <v>0</v>
      </c>
      <c r="O284" s="84">
        <f>'дод 3'!P57+'дод 3'!P435+'дод 3'!P444+'дод 3'!P456+'дод 3'!P379+'дод 3'!P430</f>
        <v>520000</v>
      </c>
      <c r="P284" s="160"/>
    </row>
    <row r="285" spans="1:16" ht="25.5" customHeight="1" x14ac:dyDescent="0.45">
      <c r="A285" s="45" t="s">
        <v>2</v>
      </c>
      <c r="B285" s="45" t="s">
        <v>82</v>
      </c>
      <c r="C285" s="33" t="s">
        <v>398</v>
      </c>
      <c r="D285" s="84">
        <f>'дод 3'!E163+'дод 3'!E213+'дод 3'!E292+'дод 3'!E353+'дод 3'!E411+'дод 3'!E465+'дод 3'!E268+'дод 3'!E58</f>
        <v>3738072.35</v>
      </c>
      <c r="E285" s="84">
        <f>'дод 3'!F163+'дод 3'!F213+'дод 3'!F292+'дод 3'!F353+'дод 3'!F411+'дод 3'!F465+'дод 3'!F268+'дод 3'!F58</f>
        <v>2152283</v>
      </c>
      <c r="F285" s="84">
        <f>'дод 3'!G163+'дод 3'!G213+'дод 3'!G292+'дод 3'!G353+'дод 3'!G411+'дод 3'!G465+'дод 3'!G268+'дод 3'!G58</f>
        <v>0</v>
      </c>
      <c r="G285" s="84">
        <f>'дод 3'!H163+'дод 3'!H213+'дод 3'!H292+'дод 3'!H353+'дод 3'!H411+'дод 3'!H465+'дод 3'!H268+'дод 3'!H58</f>
        <v>0</v>
      </c>
      <c r="H285" s="84">
        <f>'дод 3'!I163+'дод 3'!I213+'дод 3'!I292+'дод 3'!I353+'дод 3'!I411+'дод 3'!I465+'дод 3'!I268+'дод 3'!I58</f>
        <v>1585789.35</v>
      </c>
      <c r="I285" s="84">
        <f>'дод 3'!J163+'дод 3'!J213+'дод 3'!J292+'дод 3'!J353+'дод 3'!J411+'дод 3'!J465+'дод 3'!J268+'дод 3'!J58</f>
        <v>241551480</v>
      </c>
      <c r="J285" s="84">
        <f>'дод 3'!K163+'дод 3'!K213+'дод 3'!K292+'дод 3'!K353+'дод 3'!K411+'дод 3'!K465+'дод 3'!K268+'дод 3'!K58</f>
        <v>241551480</v>
      </c>
      <c r="K285" s="84">
        <f>'дод 3'!L163+'дод 3'!L213+'дод 3'!L292+'дод 3'!L353+'дод 3'!L411+'дод 3'!L465+'дод 3'!L268+'дод 3'!L58</f>
        <v>0</v>
      </c>
      <c r="L285" s="84">
        <f>'дод 3'!M163+'дод 3'!M213+'дод 3'!M292+'дод 3'!M353+'дод 3'!M411+'дод 3'!M465+'дод 3'!M268+'дод 3'!M58</f>
        <v>0</v>
      </c>
      <c r="M285" s="84">
        <f>'дод 3'!N163+'дод 3'!N213+'дод 3'!N292+'дод 3'!N353+'дод 3'!N411+'дод 3'!N465+'дод 3'!N268+'дод 3'!N58</f>
        <v>0</v>
      </c>
      <c r="N285" s="84">
        <f>'дод 3'!O163+'дод 3'!O213+'дод 3'!O292+'дод 3'!O353+'дод 3'!O411+'дод 3'!O465+'дод 3'!O268+'дод 3'!O58</f>
        <v>241551480</v>
      </c>
      <c r="O285" s="84">
        <f>'дод 3'!P163+'дод 3'!P213+'дод 3'!P292+'дод 3'!P353+'дод 3'!P411+'дод 3'!P465+'дод 3'!P268+'дод 3'!P58</f>
        <v>245289552.34999999</v>
      </c>
      <c r="P285" s="160"/>
    </row>
    <row r="286" spans="1:16" s="87" customFormat="1" ht="24.75" customHeight="1" x14ac:dyDescent="0.45">
      <c r="A286" s="86"/>
      <c r="B286" s="86"/>
      <c r="C286" s="29" t="s">
        <v>399</v>
      </c>
      <c r="D286" s="85">
        <f>'дод 3'!E214+'дод 3'!E412</f>
        <v>0</v>
      </c>
      <c r="E286" s="85">
        <f>'дод 3'!F214+'дод 3'!F412</f>
        <v>0</v>
      </c>
      <c r="F286" s="85">
        <f>'дод 3'!G214+'дод 3'!G412</f>
        <v>0</v>
      </c>
      <c r="G286" s="85">
        <f>'дод 3'!H214+'дод 3'!H412</f>
        <v>0</v>
      </c>
      <c r="H286" s="85">
        <f>'дод 3'!I214+'дод 3'!I412</f>
        <v>0</v>
      </c>
      <c r="I286" s="85">
        <f>'дод 3'!J214+'дод 3'!J412</f>
        <v>61868709</v>
      </c>
      <c r="J286" s="85">
        <f>'дод 3'!K214+'дод 3'!K412</f>
        <v>61868709</v>
      </c>
      <c r="K286" s="85">
        <f>'дод 3'!L214+'дод 3'!L412</f>
        <v>0</v>
      </c>
      <c r="L286" s="85">
        <f>'дод 3'!M214+'дод 3'!M412</f>
        <v>0</v>
      </c>
      <c r="M286" s="85">
        <f>'дод 3'!N214+'дод 3'!N412</f>
        <v>0</v>
      </c>
      <c r="N286" s="85">
        <f>'дод 3'!O214+'дод 3'!O412</f>
        <v>61868709</v>
      </c>
      <c r="O286" s="85">
        <f>'дод 3'!P214+'дод 3'!P412</f>
        <v>61868709</v>
      </c>
      <c r="P286" s="160"/>
    </row>
    <row r="287" spans="1:16" s="87" customFormat="1" ht="46.15" x14ac:dyDescent="0.45">
      <c r="A287" s="86"/>
      <c r="B287" s="86"/>
      <c r="C287" s="29" t="s">
        <v>671</v>
      </c>
      <c r="D287" s="85">
        <f>'дод 3'!E413</f>
        <v>0</v>
      </c>
      <c r="E287" s="85">
        <f>'дод 3'!F413</f>
        <v>0</v>
      </c>
      <c r="F287" s="85">
        <f>'дод 3'!G413</f>
        <v>0</v>
      </c>
      <c r="G287" s="85">
        <f>'дод 3'!H413</f>
        <v>0</v>
      </c>
      <c r="H287" s="85">
        <f>'дод 3'!I413</f>
        <v>0</v>
      </c>
      <c r="I287" s="85">
        <f>'дод 3'!J413</f>
        <v>42207900</v>
      </c>
      <c r="J287" s="85">
        <f>'дод 3'!K413</f>
        <v>42207900</v>
      </c>
      <c r="K287" s="85">
        <f>'дод 3'!L413</f>
        <v>0</v>
      </c>
      <c r="L287" s="85">
        <f>'дод 3'!M413</f>
        <v>0</v>
      </c>
      <c r="M287" s="85">
        <f>'дод 3'!N413</f>
        <v>0</v>
      </c>
      <c r="N287" s="85">
        <f>'дод 3'!O413</f>
        <v>42207900</v>
      </c>
      <c r="O287" s="85">
        <f>'дод 3'!P413</f>
        <v>42207900</v>
      </c>
      <c r="P287" s="160">
        <v>12</v>
      </c>
    </row>
    <row r="288" spans="1:16" s="87" customFormat="1" x14ac:dyDescent="0.45">
      <c r="A288" s="86"/>
      <c r="B288" s="86"/>
      <c r="C288" s="29" t="s">
        <v>597</v>
      </c>
      <c r="D288" s="85">
        <f>'дод 3'!E215</f>
        <v>0</v>
      </c>
      <c r="E288" s="85">
        <f>'дод 3'!F215</f>
        <v>0</v>
      </c>
      <c r="F288" s="85">
        <f>'дод 3'!G215</f>
        <v>0</v>
      </c>
      <c r="G288" s="85">
        <f>'дод 3'!H215</f>
        <v>0</v>
      </c>
      <c r="H288" s="85">
        <f>'дод 3'!I215</f>
        <v>0</v>
      </c>
      <c r="I288" s="85">
        <f>'дод 3'!J215</f>
        <v>0</v>
      </c>
      <c r="J288" s="85">
        <f>'дод 3'!K215</f>
        <v>0</v>
      </c>
      <c r="K288" s="85">
        <f>'дод 3'!L215</f>
        <v>0</v>
      </c>
      <c r="L288" s="85">
        <f>'дод 3'!M215</f>
        <v>0</v>
      </c>
      <c r="M288" s="85">
        <f>'дод 3'!N215</f>
        <v>0</v>
      </c>
      <c r="N288" s="85">
        <f>'дод 3'!O215</f>
        <v>0</v>
      </c>
      <c r="O288" s="85">
        <f>'дод 3'!P215</f>
        <v>0</v>
      </c>
      <c r="P288" s="160"/>
    </row>
    <row r="289" spans="1:16" ht="33.75" customHeight="1" x14ac:dyDescent="0.45">
      <c r="A289" s="45" t="s">
        <v>258</v>
      </c>
      <c r="B289" s="45" t="s">
        <v>78</v>
      </c>
      <c r="C289" s="33" t="s">
        <v>332</v>
      </c>
      <c r="D289" s="84">
        <f>'дод 3'!E436+'дод 3'!E445+'дод 3'!E457</f>
        <v>0</v>
      </c>
      <c r="E289" s="84">
        <f>'дод 3'!F436+'дод 3'!F445+'дод 3'!F457</f>
        <v>0</v>
      </c>
      <c r="F289" s="84">
        <f>'дод 3'!G436+'дод 3'!G445+'дод 3'!G457</f>
        <v>0</v>
      </c>
      <c r="G289" s="84">
        <f>'дод 3'!H436+'дод 3'!H445+'дод 3'!H457</f>
        <v>0</v>
      </c>
      <c r="H289" s="84">
        <f>'дод 3'!I436+'дод 3'!I445+'дод 3'!I457</f>
        <v>0</v>
      </c>
      <c r="I289" s="84">
        <f>'дод 3'!J436+'дод 3'!J445+'дод 3'!J457</f>
        <v>30000</v>
      </c>
      <c r="J289" s="84">
        <f>'дод 3'!K436+'дод 3'!K445+'дод 3'!K457</f>
        <v>30000</v>
      </c>
      <c r="K289" s="84">
        <f>'дод 3'!L436+'дод 3'!L445+'дод 3'!L457</f>
        <v>0</v>
      </c>
      <c r="L289" s="84">
        <f>'дод 3'!M436+'дод 3'!M445+'дод 3'!M457</f>
        <v>0</v>
      </c>
      <c r="M289" s="84">
        <f>'дод 3'!N436+'дод 3'!N445+'дод 3'!N457</f>
        <v>0</v>
      </c>
      <c r="N289" s="84">
        <f>'дод 3'!O436+'дод 3'!O445+'дод 3'!O457</f>
        <v>30000</v>
      </c>
      <c r="O289" s="84">
        <f>'дод 3'!P436+'дод 3'!P445+'дод 3'!P457</f>
        <v>30000</v>
      </c>
      <c r="P289" s="160"/>
    </row>
    <row r="290" spans="1:16" ht="47.25" customHeight="1" x14ac:dyDescent="0.45">
      <c r="A290" s="45" t="s">
        <v>260</v>
      </c>
      <c r="B290" s="45" t="s">
        <v>78</v>
      </c>
      <c r="C290" s="33" t="s">
        <v>261</v>
      </c>
      <c r="D290" s="84">
        <f>'дод 3'!E437+'дод 3'!E446+'дод 3'!E458</f>
        <v>0</v>
      </c>
      <c r="E290" s="84">
        <f>'дод 3'!F437+'дод 3'!F446+'дод 3'!F458</f>
        <v>0</v>
      </c>
      <c r="F290" s="84">
        <f>'дод 3'!G437+'дод 3'!G446+'дод 3'!G458</f>
        <v>0</v>
      </c>
      <c r="G290" s="84">
        <f>'дод 3'!H437+'дод 3'!H446+'дод 3'!H458</f>
        <v>0</v>
      </c>
      <c r="H290" s="84">
        <f>'дод 3'!I437+'дод 3'!I446+'дод 3'!I458</f>
        <v>0</v>
      </c>
      <c r="I290" s="84">
        <f>'дод 3'!J437+'дод 3'!J446+'дод 3'!J458</f>
        <v>50000</v>
      </c>
      <c r="J290" s="84">
        <f>'дод 3'!K437+'дод 3'!K446+'дод 3'!K458</f>
        <v>50000</v>
      </c>
      <c r="K290" s="84">
        <f>'дод 3'!L437+'дод 3'!L446+'дод 3'!L458</f>
        <v>0</v>
      </c>
      <c r="L290" s="84">
        <f>'дод 3'!M437+'дод 3'!M446+'дод 3'!M458</f>
        <v>0</v>
      </c>
      <c r="M290" s="84">
        <f>'дод 3'!N437+'дод 3'!N446+'дод 3'!N458</f>
        <v>0</v>
      </c>
      <c r="N290" s="84">
        <f>'дод 3'!O437+'дод 3'!O446+'дод 3'!O458</f>
        <v>50000</v>
      </c>
      <c r="O290" s="84">
        <f>'дод 3'!P437+'дод 3'!P446+'дод 3'!P458</f>
        <v>50000</v>
      </c>
      <c r="P290" s="160"/>
    </row>
    <row r="291" spans="1:16" ht="34.9" customHeight="1" x14ac:dyDescent="0.45">
      <c r="A291" s="45" t="s">
        <v>5</v>
      </c>
      <c r="B291" s="45" t="s">
        <v>78</v>
      </c>
      <c r="C291" s="33" t="s">
        <v>725</v>
      </c>
      <c r="D291" s="84">
        <f>'дод 3'!E59+'дод 3'!E354</f>
        <v>0</v>
      </c>
      <c r="E291" s="84">
        <f>'дод 3'!F59+'дод 3'!F354</f>
        <v>0</v>
      </c>
      <c r="F291" s="84">
        <f>'дод 3'!G59+'дод 3'!G354</f>
        <v>0</v>
      </c>
      <c r="G291" s="84">
        <f>'дод 3'!H59+'дод 3'!H354</f>
        <v>0</v>
      </c>
      <c r="H291" s="84">
        <f>'дод 3'!I59+'дод 3'!I354</f>
        <v>0</v>
      </c>
      <c r="I291" s="84">
        <f>'дод 3'!J59+'дод 3'!J354</f>
        <v>6788599</v>
      </c>
      <c r="J291" s="84">
        <f>'дод 3'!K59+'дод 3'!K354</f>
        <v>6788599</v>
      </c>
      <c r="K291" s="84">
        <f>'дод 3'!L59+'дод 3'!L354</f>
        <v>0</v>
      </c>
      <c r="L291" s="84">
        <f>'дод 3'!M59+'дод 3'!M354</f>
        <v>0</v>
      </c>
      <c r="M291" s="84">
        <f>'дод 3'!N59+'дод 3'!N354</f>
        <v>0</v>
      </c>
      <c r="N291" s="84">
        <f>'дод 3'!O59+'дод 3'!O354</f>
        <v>6788599</v>
      </c>
      <c r="O291" s="84">
        <f>'дод 3'!P59+'дод 3'!P354</f>
        <v>6788599</v>
      </c>
      <c r="P291" s="160"/>
    </row>
    <row r="292" spans="1:16" s="87" customFormat="1" ht="76.900000000000006" x14ac:dyDescent="0.45">
      <c r="A292" s="86"/>
      <c r="B292" s="86"/>
      <c r="C292" s="48" t="s">
        <v>619</v>
      </c>
      <c r="D292" s="85">
        <f>'дод 3'!E355</f>
        <v>0</v>
      </c>
      <c r="E292" s="85">
        <f>'дод 3'!F355</f>
        <v>0</v>
      </c>
      <c r="F292" s="85">
        <f>'дод 3'!G355</f>
        <v>0</v>
      </c>
      <c r="G292" s="85">
        <f>'дод 3'!H355</f>
        <v>0</v>
      </c>
      <c r="H292" s="85">
        <f>'дод 3'!I355</f>
        <v>0</v>
      </c>
      <c r="I292" s="85">
        <f>'дод 3'!J355</f>
        <v>371900</v>
      </c>
      <c r="J292" s="85">
        <f>'дод 3'!K355</f>
        <v>371900</v>
      </c>
      <c r="K292" s="85">
        <f>'дод 3'!L355</f>
        <v>0</v>
      </c>
      <c r="L292" s="85">
        <f>'дод 3'!M355</f>
        <v>0</v>
      </c>
      <c r="M292" s="85">
        <f>'дод 3'!N355</f>
        <v>0</v>
      </c>
      <c r="N292" s="85">
        <f>'дод 3'!O355</f>
        <v>371900</v>
      </c>
      <c r="O292" s="85">
        <f>'дод 3'!P355</f>
        <v>371900</v>
      </c>
      <c r="P292" s="160"/>
    </row>
    <row r="293" spans="1:16" ht="16.5" hidden="1" customHeight="1" x14ac:dyDescent="0.45">
      <c r="A293" s="45"/>
      <c r="B293" s="45"/>
      <c r="C293" s="29" t="s">
        <v>399</v>
      </c>
      <c r="D293" s="84">
        <f>'дод 3'!E356</f>
        <v>0</v>
      </c>
      <c r="E293" s="84">
        <f>'дод 3'!F356</f>
        <v>0</v>
      </c>
      <c r="F293" s="84">
        <f>'дод 3'!G356</f>
        <v>0</v>
      </c>
      <c r="G293" s="84">
        <f>'дод 3'!H356</f>
        <v>0</v>
      </c>
      <c r="H293" s="84">
        <f>'дод 3'!I356</f>
        <v>0</v>
      </c>
      <c r="I293" s="84">
        <f>'дод 3'!J356</f>
        <v>0</v>
      </c>
      <c r="J293" s="84">
        <f>'дод 3'!K356</f>
        <v>0</v>
      </c>
      <c r="K293" s="84">
        <f>'дод 3'!L356</f>
        <v>0</v>
      </c>
      <c r="L293" s="84">
        <f>'дод 3'!M356</f>
        <v>0</v>
      </c>
      <c r="M293" s="84">
        <f>'дод 3'!N356</f>
        <v>0</v>
      </c>
      <c r="N293" s="84">
        <f>'дод 3'!O356</f>
        <v>0</v>
      </c>
      <c r="O293" s="84">
        <f>'дод 3'!P356</f>
        <v>0</v>
      </c>
      <c r="P293" s="160"/>
    </row>
    <row r="294" spans="1:16" ht="33.75" customHeight="1" x14ac:dyDescent="0.45">
      <c r="A294" s="45" t="s">
        <v>240</v>
      </c>
      <c r="B294" s="45" t="s">
        <v>78</v>
      </c>
      <c r="C294" s="33" t="s">
        <v>241</v>
      </c>
      <c r="D294" s="84">
        <f>'дод 3'!E60</f>
        <v>441318</v>
      </c>
      <c r="E294" s="84">
        <f>'дод 3'!F60</f>
        <v>441318</v>
      </c>
      <c r="F294" s="84">
        <f>'дод 3'!G60</f>
        <v>0</v>
      </c>
      <c r="G294" s="84">
        <f>'дод 3'!H60</f>
        <v>0</v>
      </c>
      <c r="H294" s="84">
        <f>'дод 3'!I60</f>
        <v>0</v>
      </c>
      <c r="I294" s="84">
        <f>'дод 3'!J60</f>
        <v>0</v>
      </c>
      <c r="J294" s="84">
        <f>'дод 3'!K60</f>
        <v>0</v>
      </c>
      <c r="K294" s="84">
        <f>'дод 3'!L60</f>
        <v>0</v>
      </c>
      <c r="L294" s="84">
        <f>'дод 3'!M60</f>
        <v>0</v>
      </c>
      <c r="M294" s="84">
        <f>'дод 3'!N60</f>
        <v>0</v>
      </c>
      <c r="N294" s="84">
        <f>'дод 3'!O60</f>
        <v>0</v>
      </c>
      <c r="O294" s="84">
        <f>'дод 3'!P60</f>
        <v>441318</v>
      </c>
      <c r="P294" s="160"/>
    </row>
    <row r="295" spans="1:16" s="87" customFormat="1" ht="90.75" customHeight="1" x14ac:dyDescent="0.45">
      <c r="A295" s="45" t="s">
        <v>284</v>
      </c>
      <c r="B295" s="45" t="s">
        <v>78</v>
      </c>
      <c r="C295" s="33" t="s">
        <v>301</v>
      </c>
      <c r="D295" s="84">
        <f>'дод 3'!E61+'дод 3'!E357+'дод 3'!E414+'дод 3'!E423</f>
        <v>0</v>
      </c>
      <c r="E295" s="84">
        <f>'дод 3'!F61+'дод 3'!F357+'дод 3'!F414+'дод 3'!F423</f>
        <v>0</v>
      </c>
      <c r="F295" s="84">
        <f>'дод 3'!G61+'дод 3'!G357+'дод 3'!G414+'дод 3'!G423</f>
        <v>0</v>
      </c>
      <c r="G295" s="84">
        <f>'дод 3'!H61+'дод 3'!H357+'дод 3'!H414+'дод 3'!H423</f>
        <v>0</v>
      </c>
      <c r="H295" s="84">
        <f>'дод 3'!I61+'дод 3'!I357+'дод 3'!I414+'дод 3'!I423</f>
        <v>0</v>
      </c>
      <c r="I295" s="84">
        <f>'дод 3'!J61+'дод 3'!J357+'дод 3'!J414+'дод 3'!J423</f>
        <v>110000</v>
      </c>
      <c r="J295" s="84">
        <f>'дод 3'!K61+'дод 3'!K357+'дод 3'!K414+'дод 3'!K423</f>
        <v>0</v>
      </c>
      <c r="K295" s="84">
        <f>'дод 3'!L61+'дод 3'!L357+'дод 3'!L414+'дод 3'!L423</f>
        <v>110000</v>
      </c>
      <c r="L295" s="84">
        <f>'дод 3'!M61+'дод 3'!M357+'дод 3'!M414+'дод 3'!M423</f>
        <v>0</v>
      </c>
      <c r="M295" s="84">
        <f>'дод 3'!N61+'дод 3'!N357+'дод 3'!N414+'дод 3'!N423</f>
        <v>0</v>
      </c>
      <c r="N295" s="84">
        <f>'дод 3'!O61+'дод 3'!O357+'дод 3'!O414+'дод 3'!O423</f>
        <v>0</v>
      </c>
      <c r="O295" s="84">
        <f>'дод 3'!P61+'дод 3'!P357+'дод 3'!P414+'дод 3'!P423</f>
        <v>110000</v>
      </c>
      <c r="P295" s="160"/>
    </row>
    <row r="296" spans="1:16" s="87" customFormat="1" ht="23.25" customHeight="1" x14ac:dyDescent="0.45">
      <c r="A296" s="45" t="s">
        <v>231</v>
      </c>
      <c r="B296" s="45" t="s">
        <v>78</v>
      </c>
      <c r="C296" s="33" t="s">
        <v>739</v>
      </c>
      <c r="D296" s="84">
        <f>'дод 3'!E62+'дод 3'!E438+'дод 3'!E466+'дод 3'!E162+'дод 3'!E447+'дод 3'!E459+'дод 3'!E165</f>
        <v>2184400</v>
      </c>
      <c r="E296" s="84">
        <f>'дод 3'!F62+'дод 3'!F438+'дод 3'!F466+'дод 3'!F162+'дод 3'!F447+'дод 3'!F459+'дод 3'!F165</f>
        <v>2184400</v>
      </c>
      <c r="F296" s="84">
        <f>'дод 3'!G62+'дод 3'!G438+'дод 3'!G466+'дод 3'!G162+'дод 3'!G447+'дод 3'!G459+'дод 3'!G165</f>
        <v>0</v>
      </c>
      <c r="G296" s="84">
        <f>'дод 3'!H62+'дод 3'!H438+'дод 3'!H466+'дод 3'!H162+'дод 3'!H447+'дод 3'!H459+'дод 3'!H165</f>
        <v>0</v>
      </c>
      <c r="H296" s="84">
        <f>'дод 3'!I62+'дод 3'!I438+'дод 3'!I466+'дод 3'!I162+'дод 3'!I447+'дод 3'!I459+'дод 3'!I165</f>
        <v>0</v>
      </c>
      <c r="I296" s="84">
        <f>'дод 3'!J62+'дод 3'!J438+'дод 3'!J466+'дод 3'!J162+'дод 3'!J447+'дод 3'!J459+'дод 3'!J165</f>
        <v>0</v>
      </c>
      <c r="J296" s="84">
        <f>'дод 3'!K62+'дод 3'!K438+'дод 3'!K466+'дод 3'!K162+'дод 3'!K447+'дод 3'!K459+'дод 3'!K165</f>
        <v>0</v>
      </c>
      <c r="K296" s="84">
        <f>'дод 3'!L62+'дод 3'!L438+'дод 3'!L466+'дод 3'!L162+'дод 3'!L447+'дод 3'!L459+'дод 3'!L165</f>
        <v>0</v>
      </c>
      <c r="L296" s="84">
        <f>'дод 3'!M62+'дод 3'!M438+'дод 3'!M466+'дод 3'!M162+'дод 3'!M447+'дод 3'!M459+'дод 3'!M165</f>
        <v>0</v>
      </c>
      <c r="M296" s="84">
        <f>'дод 3'!N62+'дод 3'!N438+'дод 3'!N466+'дод 3'!N162+'дод 3'!N447+'дод 3'!N459+'дод 3'!N165</f>
        <v>0</v>
      </c>
      <c r="N296" s="84">
        <f>'дод 3'!O62+'дод 3'!O438+'дод 3'!O466+'дод 3'!O162+'дод 3'!O447+'дод 3'!O459+'дод 3'!O165</f>
        <v>0</v>
      </c>
      <c r="O296" s="84">
        <f>'дод 3'!P62+'дод 3'!P438+'дод 3'!P466+'дод 3'!P162+'дод 3'!P447+'дод 3'!P459+'дод 3'!P165</f>
        <v>2184400</v>
      </c>
      <c r="P296" s="160"/>
    </row>
    <row r="297" spans="1:16" s="87" customFormat="1" ht="76.900000000000006" x14ac:dyDescent="0.45">
      <c r="A297" s="45"/>
      <c r="B297" s="45"/>
      <c r="C297" s="48" t="s">
        <v>619</v>
      </c>
      <c r="D297" s="85">
        <f>'дод 3'!E448</f>
        <v>163600</v>
      </c>
      <c r="E297" s="85">
        <f>'дод 3'!F448</f>
        <v>163600</v>
      </c>
      <c r="F297" s="85">
        <f>'дод 3'!G448</f>
        <v>0</v>
      </c>
      <c r="G297" s="85">
        <f>'дод 3'!H448</f>
        <v>0</v>
      </c>
      <c r="H297" s="85">
        <f>'дод 3'!I448</f>
        <v>0</v>
      </c>
      <c r="I297" s="85">
        <f>'дод 3'!J448</f>
        <v>0</v>
      </c>
      <c r="J297" s="85">
        <f>'дод 3'!K448</f>
        <v>0</v>
      </c>
      <c r="K297" s="85">
        <f>'дод 3'!L448</f>
        <v>0</v>
      </c>
      <c r="L297" s="85">
        <f>'дод 3'!M448</f>
        <v>0</v>
      </c>
      <c r="M297" s="85">
        <f>'дод 3'!N448</f>
        <v>0</v>
      </c>
      <c r="N297" s="85">
        <f>'дод 3'!O448</f>
        <v>0</v>
      </c>
      <c r="O297" s="85">
        <f>'дод 3'!P448</f>
        <v>163600</v>
      </c>
      <c r="P297" s="160"/>
    </row>
    <row r="298" spans="1:16" s="90" customFormat="1" ht="46.5" customHeight="1" x14ac:dyDescent="0.4">
      <c r="A298" s="88">
        <v>7700</v>
      </c>
      <c r="B298" s="79" t="s">
        <v>89</v>
      </c>
      <c r="C298" s="39" t="s">
        <v>596</v>
      </c>
      <c r="D298" s="82">
        <f>'дод 3'!E63+'дод 3'!E358</f>
        <v>0</v>
      </c>
      <c r="E298" s="82">
        <f>'дод 3'!F63+'дод 3'!F358</f>
        <v>0</v>
      </c>
      <c r="F298" s="82">
        <f>'дод 3'!G63+'дод 3'!G358</f>
        <v>0</v>
      </c>
      <c r="G298" s="82">
        <f>'дод 3'!H63+'дод 3'!H358</f>
        <v>0</v>
      </c>
      <c r="H298" s="82">
        <f>'дод 3'!I63+'дод 3'!I358</f>
        <v>0</v>
      </c>
      <c r="I298" s="82">
        <f>'дод 3'!J63+'дод 3'!J358</f>
        <v>5904588</v>
      </c>
      <c r="J298" s="82">
        <f>'дод 3'!K63+'дод 3'!K358</f>
        <v>0</v>
      </c>
      <c r="K298" s="82">
        <f>'дод 3'!L63+'дод 3'!L358</f>
        <v>447641</v>
      </c>
      <c r="L298" s="82">
        <f>'дод 3'!M63+'дод 3'!M358</f>
        <v>0</v>
      </c>
      <c r="M298" s="82">
        <f>'дод 3'!N63+'дод 3'!N358</f>
        <v>0</v>
      </c>
      <c r="N298" s="82">
        <f>'дод 3'!O63+'дод 3'!O358</f>
        <v>5456947</v>
      </c>
      <c r="O298" s="82">
        <f>'дод 3'!P63+'дод 3'!P358</f>
        <v>5904588</v>
      </c>
      <c r="P298" s="160"/>
    </row>
    <row r="299" spans="1:16" s="90" customFormat="1" ht="26.25" customHeight="1" x14ac:dyDescent="0.4">
      <c r="A299" s="89"/>
      <c r="B299" s="104"/>
      <c r="C299" s="19" t="s">
        <v>597</v>
      </c>
      <c r="D299" s="83">
        <f>'дод 3'!E64+'дод 3'!E359</f>
        <v>0</v>
      </c>
      <c r="E299" s="83">
        <f>'дод 3'!F64+'дод 3'!F359</f>
        <v>0</v>
      </c>
      <c r="F299" s="83">
        <f>'дод 3'!G64+'дод 3'!G359</f>
        <v>0</v>
      </c>
      <c r="G299" s="83">
        <f>'дод 3'!H64+'дод 3'!H359</f>
        <v>0</v>
      </c>
      <c r="H299" s="83">
        <f>'дод 3'!I64+'дод 3'!I359</f>
        <v>0</v>
      </c>
      <c r="I299" s="83">
        <f>'дод 3'!J64+'дод 3'!J359</f>
        <v>5904588</v>
      </c>
      <c r="J299" s="83">
        <f>'дод 3'!K64+'дод 3'!K359</f>
        <v>0</v>
      </c>
      <c r="K299" s="83">
        <f>'дод 3'!L64+'дод 3'!L359</f>
        <v>447641</v>
      </c>
      <c r="L299" s="83">
        <f>'дод 3'!M64+'дод 3'!M359</f>
        <v>0</v>
      </c>
      <c r="M299" s="83">
        <f>'дод 3'!N64+'дод 3'!N359</f>
        <v>0</v>
      </c>
      <c r="N299" s="83">
        <f>'дод 3'!O64+'дод 3'!O359</f>
        <v>5456947</v>
      </c>
      <c r="O299" s="83">
        <f>'дод 3'!P64+'дод 3'!P359</f>
        <v>5904588</v>
      </c>
      <c r="P299" s="160"/>
    </row>
    <row r="300" spans="1:16" s="78" customFormat="1" ht="30.75" customHeight="1" x14ac:dyDescent="0.4">
      <c r="A300" s="88" t="s">
        <v>90</v>
      </c>
      <c r="B300" s="38"/>
      <c r="C300" s="93" t="s">
        <v>658</v>
      </c>
      <c r="D300" s="82">
        <f t="shared" ref="D300:O300" si="66">D304+D313+D318+D322+D324+D325</f>
        <v>53018754.859999999</v>
      </c>
      <c r="E300" s="82">
        <f t="shared" si="66"/>
        <v>52870931.879999995</v>
      </c>
      <c r="F300" s="82">
        <f t="shared" si="66"/>
        <v>3087400</v>
      </c>
      <c r="G300" s="82">
        <f t="shared" si="66"/>
        <v>7232902.5800000001</v>
      </c>
      <c r="H300" s="82">
        <f t="shared" si="66"/>
        <v>0</v>
      </c>
      <c r="I300" s="82">
        <f t="shared" si="66"/>
        <v>13009198</v>
      </c>
      <c r="J300" s="82">
        <f t="shared" si="66"/>
        <v>10774798</v>
      </c>
      <c r="K300" s="82">
        <f t="shared" si="66"/>
        <v>1642400</v>
      </c>
      <c r="L300" s="82">
        <f t="shared" si="66"/>
        <v>0</v>
      </c>
      <c r="M300" s="82">
        <f t="shared" si="66"/>
        <v>1600</v>
      </c>
      <c r="N300" s="82">
        <f t="shared" si="66"/>
        <v>11366798</v>
      </c>
      <c r="O300" s="82">
        <f t="shared" si="66"/>
        <v>66027952.859999999</v>
      </c>
      <c r="P300" s="160"/>
    </row>
    <row r="301" spans="1:16" s="90" customFormat="1" ht="54.75" customHeight="1" x14ac:dyDescent="0.4">
      <c r="A301" s="89"/>
      <c r="B301" s="40"/>
      <c r="C301" s="54" t="s">
        <v>368</v>
      </c>
      <c r="D301" s="83">
        <f>D305</f>
        <v>410600</v>
      </c>
      <c r="E301" s="83">
        <f t="shared" ref="E301:O301" si="67">E305</f>
        <v>410600</v>
      </c>
      <c r="F301" s="83">
        <f t="shared" si="67"/>
        <v>336800</v>
      </c>
      <c r="G301" s="83">
        <f t="shared" si="67"/>
        <v>0</v>
      </c>
      <c r="H301" s="83">
        <f t="shared" si="67"/>
        <v>0</v>
      </c>
      <c r="I301" s="83">
        <f t="shared" si="67"/>
        <v>0</v>
      </c>
      <c r="J301" s="83">
        <f t="shared" si="67"/>
        <v>0</v>
      </c>
      <c r="K301" s="83">
        <f t="shared" si="67"/>
        <v>0</v>
      </c>
      <c r="L301" s="83">
        <f t="shared" si="67"/>
        <v>0</v>
      </c>
      <c r="M301" s="83">
        <f t="shared" si="67"/>
        <v>0</v>
      </c>
      <c r="N301" s="83">
        <f t="shared" si="67"/>
        <v>0</v>
      </c>
      <c r="O301" s="83">
        <f t="shared" si="67"/>
        <v>410600</v>
      </c>
      <c r="P301" s="160"/>
    </row>
    <row r="302" spans="1:16" s="90" customFormat="1" ht="79.5" customHeight="1" x14ac:dyDescent="0.4">
      <c r="A302" s="89"/>
      <c r="B302" s="40"/>
      <c r="C302" s="19" t="str">
        <f>C306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D302" s="83">
        <f>D306</f>
        <v>1840869</v>
      </c>
      <c r="E302" s="83">
        <f t="shared" ref="E302:O302" si="68">E306</f>
        <v>1840869</v>
      </c>
      <c r="F302" s="83">
        <f t="shared" si="68"/>
        <v>0</v>
      </c>
      <c r="G302" s="83">
        <f t="shared" si="68"/>
        <v>0</v>
      </c>
      <c r="H302" s="83">
        <f t="shared" si="68"/>
        <v>0</v>
      </c>
      <c r="I302" s="83">
        <f t="shared" si="68"/>
        <v>1128100</v>
      </c>
      <c r="J302" s="83">
        <f t="shared" si="68"/>
        <v>1128100</v>
      </c>
      <c r="K302" s="83">
        <f t="shared" si="68"/>
        <v>0</v>
      </c>
      <c r="L302" s="83">
        <f t="shared" si="68"/>
        <v>0</v>
      </c>
      <c r="M302" s="83">
        <f t="shared" si="68"/>
        <v>0</v>
      </c>
      <c r="N302" s="83">
        <f t="shared" si="68"/>
        <v>1128100</v>
      </c>
      <c r="O302" s="83">
        <f t="shared" si="68"/>
        <v>2968969</v>
      </c>
      <c r="P302" s="160"/>
    </row>
    <row r="303" spans="1:16" s="90" customFormat="1" ht="33.950000000000003" customHeight="1" x14ac:dyDescent="0.4">
      <c r="A303" s="89"/>
      <c r="B303" s="40"/>
      <c r="C303" s="19" t="str">
        <f>C307</f>
        <v>іншої субвенції з місцевого бюджету</v>
      </c>
      <c r="D303" s="83">
        <f>D307+D314</f>
        <v>0</v>
      </c>
      <c r="E303" s="83">
        <f t="shared" ref="E303:O303" si="69">E307+E314</f>
        <v>0</v>
      </c>
      <c r="F303" s="83">
        <f t="shared" si="69"/>
        <v>0</v>
      </c>
      <c r="G303" s="83">
        <f t="shared" si="69"/>
        <v>0</v>
      </c>
      <c r="H303" s="83">
        <f t="shared" si="69"/>
        <v>0</v>
      </c>
      <c r="I303" s="83">
        <f>I307+I314</f>
        <v>1128100</v>
      </c>
      <c r="J303" s="83">
        <f t="shared" si="69"/>
        <v>1128100</v>
      </c>
      <c r="K303" s="83">
        <f t="shared" si="69"/>
        <v>0</v>
      </c>
      <c r="L303" s="83">
        <f t="shared" si="69"/>
        <v>0</v>
      </c>
      <c r="M303" s="83">
        <f t="shared" si="69"/>
        <v>0</v>
      </c>
      <c r="N303" s="83">
        <f t="shared" si="69"/>
        <v>1128100</v>
      </c>
      <c r="O303" s="83">
        <f t="shared" si="69"/>
        <v>1128100</v>
      </c>
      <c r="P303" s="160"/>
    </row>
    <row r="304" spans="1:16" s="78" customFormat="1" ht="44.25" customHeight="1" x14ac:dyDescent="0.4">
      <c r="A304" s="88" t="s">
        <v>92</v>
      </c>
      <c r="B304" s="38"/>
      <c r="C304" s="93" t="s">
        <v>608</v>
      </c>
      <c r="D304" s="82">
        <f t="shared" ref="D304:O304" si="70">D308+D311</f>
        <v>17381235</v>
      </c>
      <c r="E304" s="82">
        <f t="shared" si="70"/>
        <v>17381235</v>
      </c>
      <c r="F304" s="82">
        <f t="shared" si="70"/>
        <v>3087400</v>
      </c>
      <c r="G304" s="82">
        <f t="shared" si="70"/>
        <v>181500</v>
      </c>
      <c r="H304" s="82">
        <f t="shared" si="70"/>
        <v>0</v>
      </c>
      <c r="I304" s="82">
        <f>I308+I311</f>
        <v>9935700</v>
      </c>
      <c r="J304" s="82">
        <f t="shared" si="70"/>
        <v>9928800</v>
      </c>
      <c r="K304" s="82">
        <f t="shared" si="70"/>
        <v>6900</v>
      </c>
      <c r="L304" s="82">
        <f t="shared" si="70"/>
        <v>0</v>
      </c>
      <c r="M304" s="82">
        <f t="shared" si="70"/>
        <v>1600</v>
      </c>
      <c r="N304" s="82">
        <f t="shared" si="70"/>
        <v>9928800</v>
      </c>
      <c r="O304" s="82">
        <f t="shared" si="70"/>
        <v>27316935</v>
      </c>
      <c r="P304" s="160"/>
    </row>
    <row r="305" spans="1:16" s="90" customFormat="1" ht="50.25" customHeight="1" x14ac:dyDescent="0.4">
      <c r="A305" s="89"/>
      <c r="B305" s="40"/>
      <c r="C305" s="19" t="str">
        <f>C312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D305" s="83">
        <f>D312</f>
        <v>410600</v>
      </c>
      <c r="E305" s="83">
        <f t="shared" ref="E305:O305" si="71">E312</f>
        <v>410600</v>
      </c>
      <c r="F305" s="83">
        <f t="shared" si="71"/>
        <v>336800</v>
      </c>
      <c r="G305" s="83">
        <f t="shared" si="71"/>
        <v>0</v>
      </c>
      <c r="H305" s="83">
        <f t="shared" si="71"/>
        <v>0</v>
      </c>
      <c r="I305" s="83">
        <f t="shared" si="71"/>
        <v>0</v>
      </c>
      <c r="J305" s="83">
        <f t="shared" si="71"/>
        <v>0</v>
      </c>
      <c r="K305" s="83">
        <f t="shared" si="71"/>
        <v>0</v>
      </c>
      <c r="L305" s="83">
        <f t="shared" si="71"/>
        <v>0</v>
      </c>
      <c r="M305" s="83">
        <f t="shared" si="71"/>
        <v>0</v>
      </c>
      <c r="N305" s="83">
        <f t="shared" si="71"/>
        <v>0</v>
      </c>
      <c r="O305" s="83">
        <f t="shared" si="71"/>
        <v>410600</v>
      </c>
      <c r="P305" s="160"/>
    </row>
    <row r="306" spans="1:16" s="90" customFormat="1" ht="79.5" customHeight="1" x14ac:dyDescent="0.4">
      <c r="A306" s="89"/>
      <c r="B306" s="40"/>
      <c r="C306" s="19" t="str">
        <f>C310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D306" s="83">
        <f>D310</f>
        <v>1840869</v>
      </c>
      <c r="E306" s="83">
        <f t="shared" ref="E306:O306" si="72">E310</f>
        <v>1840869</v>
      </c>
      <c r="F306" s="83">
        <f t="shared" si="72"/>
        <v>0</v>
      </c>
      <c r="G306" s="83">
        <f t="shared" si="72"/>
        <v>0</v>
      </c>
      <c r="H306" s="83">
        <f t="shared" si="72"/>
        <v>0</v>
      </c>
      <c r="I306" s="83">
        <f t="shared" si="72"/>
        <v>1128100</v>
      </c>
      <c r="J306" s="83">
        <f t="shared" si="72"/>
        <v>1128100</v>
      </c>
      <c r="K306" s="83">
        <f t="shared" si="72"/>
        <v>0</v>
      </c>
      <c r="L306" s="83">
        <f t="shared" si="72"/>
        <v>0</v>
      </c>
      <c r="M306" s="83">
        <f t="shared" si="72"/>
        <v>0</v>
      </c>
      <c r="N306" s="83">
        <f t="shared" si="72"/>
        <v>1128100</v>
      </c>
      <c r="O306" s="83">
        <f t="shared" si="72"/>
        <v>2968969</v>
      </c>
      <c r="P306" s="160"/>
    </row>
    <row r="307" spans="1:16" s="90" customFormat="1" ht="31.15" customHeight="1" x14ac:dyDescent="0.4">
      <c r="A307" s="89"/>
      <c r="B307" s="40"/>
      <c r="C307" s="19" t="str">
        <f>C309</f>
        <v>іншої субвенції з місцевого бюджету</v>
      </c>
      <c r="D307" s="83">
        <f>D309</f>
        <v>0</v>
      </c>
      <c r="E307" s="83">
        <f t="shared" ref="E307:O307" si="73">E309</f>
        <v>0</v>
      </c>
      <c r="F307" s="83">
        <f t="shared" si="73"/>
        <v>0</v>
      </c>
      <c r="G307" s="83">
        <f t="shared" si="73"/>
        <v>0</v>
      </c>
      <c r="H307" s="83">
        <f t="shared" si="73"/>
        <v>0</v>
      </c>
      <c r="I307" s="83">
        <f t="shared" si="73"/>
        <v>1128100</v>
      </c>
      <c r="J307" s="83">
        <f t="shared" si="73"/>
        <v>1128100</v>
      </c>
      <c r="K307" s="83">
        <f t="shared" si="73"/>
        <v>0</v>
      </c>
      <c r="L307" s="83">
        <f t="shared" si="73"/>
        <v>0</v>
      </c>
      <c r="M307" s="83">
        <f t="shared" si="73"/>
        <v>0</v>
      </c>
      <c r="N307" s="83">
        <f t="shared" si="73"/>
        <v>1128100</v>
      </c>
      <c r="O307" s="83">
        <f t="shared" si="73"/>
        <v>1128100</v>
      </c>
      <c r="P307" s="160"/>
    </row>
    <row r="308" spans="1:16" s="78" customFormat="1" ht="36.75" customHeight="1" x14ac:dyDescent="0.45">
      <c r="A308" s="45" t="s">
        <v>7</v>
      </c>
      <c r="B308" s="45" t="s">
        <v>85</v>
      </c>
      <c r="C308" s="33" t="s">
        <v>706</v>
      </c>
      <c r="D308" s="84">
        <f>'дод 3'!E65+'дод 3'!E360</f>
        <v>12994535</v>
      </c>
      <c r="E308" s="84">
        <f>'дод 3'!F65+'дод 3'!F360</f>
        <v>12994535</v>
      </c>
      <c r="F308" s="84">
        <f>'дод 3'!G65+'дод 3'!G360</f>
        <v>0</v>
      </c>
      <c r="G308" s="84">
        <f>'дод 3'!H65+'дод 3'!H360</f>
        <v>72500</v>
      </c>
      <c r="H308" s="84">
        <f>'дод 3'!I65+'дод 3'!I360</f>
        <v>0</v>
      </c>
      <c r="I308" s="84">
        <f>'дод 3'!J65+'дод 3'!J360</f>
        <v>9801700</v>
      </c>
      <c r="J308" s="84">
        <f>'дод 3'!K65+'дод 3'!K360</f>
        <v>9801700</v>
      </c>
      <c r="K308" s="84">
        <f>'дод 3'!L65+'дод 3'!L360</f>
        <v>0</v>
      </c>
      <c r="L308" s="84">
        <f>'дод 3'!M65+'дод 3'!M360</f>
        <v>0</v>
      </c>
      <c r="M308" s="84">
        <f>'дод 3'!N65+'дод 3'!N360</f>
        <v>0</v>
      </c>
      <c r="N308" s="84">
        <f>'дод 3'!O65+'дод 3'!O360</f>
        <v>9801700</v>
      </c>
      <c r="O308" s="84">
        <f>'дод 3'!P65+'дод 3'!P360</f>
        <v>22796235</v>
      </c>
      <c r="P308" s="160"/>
    </row>
    <row r="309" spans="1:16" s="90" customFormat="1" ht="25.5" customHeight="1" x14ac:dyDescent="0.45">
      <c r="A309" s="86"/>
      <c r="B309" s="86"/>
      <c r="C309" s="43" t="s">
        <v>379</v>
      </c>
      <c r="D309" s="85">
        <f>'дод 3'!E361</f>
        <v>0</v>
      </c>
      <c r="E309" s="85">
        <f>'дод 3'!F361</f>
        <v>0</v>
      </c>
      <c r="F309" s="85">
        <f>'дод 3'!G361</f>
        <v>0</v>
      </c>
      <c r="G309" s="85">
        <f>'дод 3'!H361</f>
        <v>0</v>
      </c>
      <c r="H309" s="85">
        <f>'дод 3'!I361</f>
        <v>0</v>
      </c>
      <c r="I309" s="85">
        <f>'дод 3'!J361</f>
        <v>1128100</v>
      </c>
      <c r="J309" s="85">
        <f>'дод 3'!K361</f>
        <v>1128100</v>
      </c>
      <c r="K309" s="85">
        <f>'дод 3'!L361</f>
        <v>0</v>
      </c>
      <c r="L309" s="85">
        <f>'дод 3'!M361</f>
        <v>0</v>
      </c>
      <c r="M309" s="85">
        <f>'дод 3'!N361</f>
        <v>0</v>
      </c>
      <c r="N309" s="85">
        <f>'дод 3'!O361</f>
        <v>1128100</v>
      </c>
      <c r="O309" s="85">
        <f>'дод 3'!P361</f>
        <v>1128100</v>
      </c>
      <c r="P309" s="160"/>
    </row>
    <row r="310" spans="1:16" s="90" customFormat="1" ht="93.95" customHeight="1" x14ac:dyDescent="0.45">
      <c r="A310" s="86"/>
      <c r="B310" s="86"/>
      <c r="C310" s="48" t="s">
        <v>619</v>
      </c>
      <c r="D310" s="85">
        <f>'дод 3'!E66+'дод 3'!E362</f>
        <v>1840869</v>
      </c>
      <c r="E310" s="85">
        <f>'дод 3'!F66+'дод 3'!F362</f>
        <v>1840869</v>
      </c>
      <c r="F310" s="85">
        <f>'дод 3'!G66+'дод 3'!G362</f>
        <v>0</v>
      </c>
      <c r="G310" s="85">
        <f>'дод 3'!H66+'дод 3'!H362</f>
        <v>0</v>
      </c>
      <c r="H310" s="85">
        <f>'дод 3'!I66+'дод 3'!I362</f>
        <v>0</v>
      </c>
      <c r="I310" s="85">
        <f>'дод 3'!J66+'дод 3'!J362</f>
        <v>1128100</v>
      </c>
      <c r="J310" s="85">
        <f>'дод 3'!K66+'дод 3'!K362</f>
        <v>1128100</v>
      </c>
      <c r="K310" s="85">
        <f>'дод 3'!L66+'дод 3'!L362</f>
        <v>0</v>
      </c>
      <c r="L310" s="85">
        <f>'дод 3'!M66+'дод 3'!M362</f>
        <v>0</v>
      </c>
      <c r="M310" s="85">
        <f>'дод 3'!N66+'дод 3'!N362</f>
        <v>0</v>
      </c>
      <c r="N310" s="85">
        <f>'дод 3'!O66+'дод 3'!O362</f>
        <v>1128100</v>
      </c>
      <c r="O310" s="85">
        <f>'дод 3'!P66+'дод 3'!P362</f>
        <v>2968969</v>
      </c>
      <c r="P310" s="160"/>
    </row>
    <row r="311" spans="1:16" ht="21" customHeight="1" x14ac:dyDescent="0.45">
      <c r="A311" s="45" t="s">
        <v>140</v>
      </c>
      <c r="B311" s="23" t="s">
        <v>85</v>
      </c>
      <c r="C311" s="33" t="s">
        <v>659</v>
      </c>
      <c r="D311" s="84">
        <f>'дод 3'!E67</f>
        <v>4386700</v>
      </c>
      <c r="E311" s="84">
        <f>'дод 3'!F67</f>
        <v>4386700</v>
      </c>
      <c r="F311" s="84">
        <f>'дод 3'!G67</f>
        <v>3087400</v>
      </c>
      <c r="G311" s="84">
        <f>'дод 3'!H67</f>
        <v>109000</v>
      </c>
      <c r="H311" s="84">
        <f>'дод 3'!I67</f>
        <v>0</v>
      </c>
      <c r="I311" s="84">
        <f>'дод 3'!J67</f>
        <v>134000</v>
      </c>
      <c r="J311" s="84">
        <f>'дод 3'!K67</f>
        <v>127100</v>
      </c>
      <c r="K311" s="84">
        <f>'дод 3'!L67</f>
        <v>6900</v>
      </c>
      <c r="L311" s="84">
        <f>'дод 3'!M67</f>
        <v>0</v>
      </c>
      <c r="M311" s="84">
        <f>'дод 3'!N67</f>
        <v>1600</v>
      </c>
      <c r="N311" s="84">
        <f>'дод 3'!O67</f>
        <v>127100</v>
      </c>
      <c r="O311" s="84">
        <f>'дод 3'!P67</f>
        <v>4520700</v>
      </c>
      <c r="P311" s="155">
        <v>13</v>
      </c>
    </row>
    <row r="312" spans="1:16" s="87" customFormat="1" ht="47.25" customHeight="1" x14ac:dyDescent="0.45">
      <c r="A312" s="86"/>
      <c r="B312" s="28"/>
      <c r="C312" s="29" t="s">
        <v>368</v>
      </c>
      <c r="D312" s="85">
        <f>'дод 3'!E68</f>
        <v>410600</v>
      </c>
      <c r="E312" s="85">
        <f>'дод 3'!F68</f>
        <v>410600</v>
      </c>
      <c r="F312" s="85">
        <f>'дод 3'!G68</f>
        <v>336800</v>
      </c>
      <c r="G312" s="85">
        <f>'дод 3'!H68</f>
        <v>0</v>
      </c>
      <c r="H312" s="85">
        <f>'дод 3'!I68</f>
        <v>0</v>
      </c>
      <c r="I312" s="85">
        <f>'дод 3'!J68</f>
        <v>0</v>
      </c>
      <c r="J312" s="85">
        <f>'дод 3'!K68</f>
        <v>0</v>
      </c>
      <c r="K312" s="85">
        <f>'дод 3'!L68</f>
        <v>0</v>
      </c>
      <c r="L312" s="85">
        <f>'дод 3'!M68</f>
        <v>0</v>
      </c>
      <c r="M312" s="85">
        <f>'дод 3'!N68</f>
        <v>0</v>
      </c>
      <c r="N312" s="85">
        <f>'дод 3'!O68</f>
        <v>0</v>
      </c>
      <c r="O312" s="85">
        <f>'дод 3'!P68</f>
        <v>410600</v>
      </c>
      <c r="P312" s="155"/>
    </row>
    <row r="313" spans="1:16" s="78" customFormat="1" ht="23.25" customHeight="1" x14ac:dyDescent="0.4">
      <c r="A313" s="88" t="s">
        <v>242</v>
      </c>
      <c r="B313" s="88"/>
      <c r="C313" s="134" t="s">
        <v>755</v>
      </c>
      <c r="D313" s="82">
        <f>D315+D316</f>
        <v>33797627.879999995</v>
      </c>
      <c r="E313" s="82">
        <f t="shared" ref="E313:O313" si="74">E315+E316</f>
        <v>33797627.879999995</v>
      </c>
      <c r="F313" s="82">
        <f t="shared" si="74"/>
        <v>0</v>
      </c>
      <c r="G313" s="82">
        <f t="shared" si="74"/>
        <v>7051402.5800000001</v>
      </c>
      <c r="H313" s="82">
        <f t="shared" si="74"/>
        <v>0</v>
      </c>
      <c r="I313" s="82">
        <f t="shared" si="74"/>
        <v>845998</v>
      </c>
      <c r="J313" s="82">
        <f t="shared" si="74"/>
        <v>845998</v>
      </c>
      <c r="K313" s="82">
        <f t="shared" si="74"/>
        <v>0</v>
      </c>
      <c r="L313" s="82">
        <f t="shared" si="74"/>
        <v>0</v>
      </c>
      <c r="M313" s="82">
        <f t="shared" si="74"/>
        <v>0</v>
      </c>
      <c r="N313" s="82">
        <f t="shared" si="74"/>
        <v>845998</v>
      </c>
      <c r="O313" s="82">
        <f t="shared" si="74"/>
        <v>34643625.879999995</v>
      </c>
      <c r="P313" s="155"/>
    </row>
    <row r="314" spans="1:16" s="78" customFormat="1" ht="23.25" hidden="1" customHeight="1" x14ac:dyDescent="0.4">
      <c r="A314" s="88"/>
      <c r="B314" s="88"/>
      <c r="C314" s="94" t="s">
        <v>379</v>
      </c>
      <c r="D314" s="83">
        <f>D317</f>
        <v>0</v>
      </c>
      <c r="E314" s="83">
        <f t="shared" ref="E314:O314" si="75">E317</f>
        <v>0</v>
      </c>
      <c r="F314" s="83">
        <f t="shared" si="75"/>
        <v>0</v>
      </c>
      <c r="G314" s="83">
        <f t="shared" si="75"/>
        <v>0</v>
      </c>
      <c r="H314" s="83">
        <f t="shared" si="75"/>
        <v>0</v>
      </c>
      <c r="I314" s="83">
        <f t="shared" si="75"/>
        <v>0</v>
      </c>
      <c r="J314" s="83">
        <f t="shared" si="75"/>
        <v>0</v>
      </c>
      <c r="K314" s="83">
        <f t="shared" si="75"/>
        <v>0</v>
      </c>
      <c r="L314" s="83">
        <f t="shared" si="75"/>
        <v>0</v>
      </c>
      <c r="M314" s="83">
        <f t="shared" si="75"/>
        <v>0</v>
      </c>
      <c r="N314" s="83">
        <f t="shared" si="75"/>
        <v>0</v>
      </c>
      <c r="O314" s="83">
        <f t="shared" si="75"/>
        <v>0</v>
      </c>
      <c r="P314" s="155"/>
    </row>
    <row r="315" spans="1:16" ht="22.5" customHeight="1" x14ac:dyDescent="0.45">
      <c r="A315" s="45" t="s">
        <v>236</v>
      </c>
      <c r="B315" s="23" t="s">
        <v>237</v>
      </c>
      <c r="C315" s="33" t="s">
        <v>238</v>
      </c>
      <c r="D315" s="84">
        <f>'дод 3'!E69+'дод 3'!E363</f>
        <v>1158892</v>
      </c>
      <c r="E315" s="84">
        <f>'дод 3'!F69+'дод 3'!F363</f>
        <v>1158892</v>
      </c>
      <c r="F315" s="84">
        <f>'дод 3'!G69+'дод 3'!G363</f>
        <v>0</v>
      </c>
      <c r="G315" s="84">
        <f>'дод 3'!H69+'дод 3'!H363</f>
        <v>586600</v>
      </c>
      <c r="H315" s="84">
        <f>'дод 3'!I69+'дод 3'!I363</f>
        <v>0</v>
      </c>
      <c r="I315" s="84">
        <f>'дод 3'!J69+'дод 3'!J363</f>
        <v>0</v>
      </c>
      <c r="J315" s="84">
        <f>'дод 3'!K69+'дод 3'!K363</f>
        <v>0</v>
      </c>
      <c r="K315" s="84">
        <f>'дод 3'!L69+'дод 3'!L363</f>
        <v>0</v>
      </c>
      <c r="L315" s="84">
        <f>'дод 3'!M69+'дод 3'!M363</f>
        <v>0</v>
      </c>
      <c r="M315" s="84">
        <f>'дод 3'!N69+'дод 3'!N363</f>
        <v>0</v>
      </c>
      <c r="N315" s="84">
        <f>'дод 3'!O69+'дод 3'!O363</f>
        <v>0</v>
      </c>
      <c r="O315" s="84">
        <f>'дод 3'!P69+'дод 3'!P363</f>
        <v>1158892</v>
      </c>
      <c r="P315" s="155"/>
    </row>
    <row r="316" spans="1:16" ht="22.5" customHeight="1" x14ac:dyDescent="0.45">
      <c r="A316" s="45">
        <v>8240</v>
      </c>
      <c r="B316" s="23" t="s">
        <v>237</v>
      </c>
      <c r="C316" s="33" t="s">
        <v>566</v>
      </c>
      <c r="D316" s="84">
        <f>'дод 3'!E70+'дод 3'!E364+'дод 3'!E168</f>
        <v>32638735.879999999</v>
      </c>
      <c r="E316" s="84">
        <f>'дод 3'!F70+'дод 3'!F364+'дод 3'!F168</f>
        <v>32638735.879999999</v>
      </c>
      <c r="F316" s="84">
        <f>'дод 3'!G70+'дод 3'!G364+'дод 3'!G168</f>
        <v>0</v>
      </c>
      <c r="G316" s="84">
        <f>'дод 3'!H70+'дод 3'!H364+'дод 3'!H168</f>
        <v>6464802.5800000001</v>
      </c>
      <c r="H316" s="84">
        <f>'дод 3'!I70+'дод 3'!I364+'дод 3'!I168</f>
        <v>0</v>
      </c>
      <c r="I316" s="84">
        <f>'дод 3'!J70+'дод 3'!J364+'дод 3'!J168</f>
        <v>845998</v>
      </c>
      <c r="J316" s="84">
        <f>'дод 3'!K70+'дод 3'!K364+'дод 3'!K168</f>
        <v>845998</v>
      </c>
      <c r="K316" s="84">
        <f>'дод 3'!L70+'дод 3'!L364+'дод 3'!L168</f>
        <v>0</v>
      </c>
      <c r="L316" s="84">
        <f>'дод 3'!M70+'дод 3'!M364+'дод 3'!M168</f>
        <v>0</v>
      </c>
      <c r="M316" s="84">
        <f>'дод 3'!N70+'дод 3'!N364+'дод 3'!N168</f>
        <v>0</v>
      </c>
      <c r="N316" s="84">
        <f>'дод 3'!O70+'дод 3'!O364+'дод 3'!O168</f>
        <v>845998</v>
      </c>
      <c r="O316" s="84">
        <f>'дод 3'!P70+'дод 3'!P364+'дод 3'!P168</f>
        <v>33484733.879999999</v>
      </c>
      <c r="P316" s="155"/>
    </row>
    <row r="317" spans="1:16" s="118" customFormat="1" ht="22.5" hidden="1" customHeight="1" x14ac:dyDescent="0.45">
      <c r="A317" s="129"/>
      <c r="B317" s="128"/>
      <c r="C317" s="130" t="s">
        <v>379</v>
      </c>
      <c r="D317" s="131">
        <f>'дод 3'!E71</f>
        <v>0</v>
      </c>
      <c r="E317" s="131">
        <f>'дод 3'!F71</f>
        <v>0</v>
      </c>
      <c r="F317" s="131">
        <f>'дод 3'!G71</f>
        <v>0</v>
      </c>
      <c r="G317" s="131">
        <f>'дод 3'!H71</f>
        <v>0</v>
      </c>
      <c r="H317" s="131">
        <f>'дод 3'!I71</f>
        <v>0</v>
      </c>
      <c r="I317" s="131">
        <f>'дод 3'!J71</f>
        <v>0</v>
      </c>
      <c r="J317" s="131">
        <f>'дод 3'!K71</f>
        <v>0</v>
      </c>
      <c r="K317" s="131">
        <f>'дод 3'!L71</f>
        <v>0</v>
      </c>
      <c r="L317" s="131">
        <f>'дод 3'!M71</f>
        <v>0</v>
      </c>
      <c r="M317" s="131">
        <f>'дод 3'!N71</f>
        <v>0</v>
      </c>
      <c r="N317" s="131">
        <f>'дод 3'!O71</f>
        <v>0</v>
      </c>
      <c r="O317" s="131">
        <f>'дод 3'!P71</f>
        <v>0</v>
      </c>
      <c r="P317" s="155"/>
    </row>
    <row r="318" spans="1:16" s="78" customFormat="1" ht="22.5" customHeight="1" x14ac:dyDescent="0.4">
      <c r="A318" s="88" t="s">
        <v>6</v>
      </c>
      <c r="B318" s="38"/>
      <c r="C318" s="93" t="s">
        <v>8</v>
      </c>
      <c r="D318" s="82">
        <f>D321+D320+D319</f>
        <v>75000</v>
      </c>
      <c r="E318" s="82">
        <f t="shared" ref="E318:N318" si="76">E321+E320+E319</f>
        <v>75000</v>
      </c>
      <c r="F318" s="82">
        <f t="shared" si="76"/>
        <v>0</v>
      </c>
      <c r="G318" s="82">
        <f t="shared" si="76"/>
        <v>0</v>
      </c>
      <c r="H318" s="82">
        <f t="shared" si="76"/>
        <v>0</v>
      </c>
      <c r="I318" s="82">
        <f>I321+I320+I319</f>
        <v>2227500</v>
      </c>
      <c r="J318" s="82">
        <f t="shared" si="76"/>
        <v>0</v>
      </c>
      <c r="K318" s="82">
        <f t="shared" si="76"/>
        <v>1635500</v>
      </c>
      <c r="L318" s="82">
        <f t="shared" si="76"/>
        <v>0</v>
      </c>
      <c r="M318" s="82">
        <f t="shared" si="76"/>
        <v>0</v>
      </c>
      <c r="N318" s="82">
        <f t="shared" si="76"/>
        <v>592000</v>
      </c>
      <c r="O318" s="82">
        <f>O321+O320+O319</f>
        <v>2302500</v>
      </c>
      <c r="P318" s="155"/>
    </row>
    <row r="319" spans="1:16" s="78" customFormat="1" ht="22.5" hidden="1" customHeight="1" x14ac:dyDescent="0.45">
      <c r="A319" s="45">
        <v>8312</v>
      </c>
      <c r="B319" s="22" t="s">
        <v>615</v>
      </c>
      <c r="C319" s="33" t="s">
        <v>616</v>
      </c>
      <c r="D319" s="84">
        <f>'дод 3'!E365</f>
        <v>0</v>
      </c>
      <c r="E319" s="84">
        <f>'дод 3'!F365</f>
        <v>0</v>
      </c>
      <c r="F319" s="84">
        <f>'дод 3'!G365</f>
        <v>0</v>
      </c>
      <c r="G319" s="84">
        <f>'дод 3'!H365</f>
        <v>0</v>
      </c>
      <c r="H319" s="84">
        <f>'дод 3'!I365</f>
        <v>0</v>
      </c>
      <c r="I319" s="84">
        <f>'дод 3'!J365</f>
        <v>0</v>
      </c>
      <c r="J319" s="84">
        <f>'дод 3'!K365</f>
        <v>0</v>
      </c>
      <c r="K319" s="84">
        <f>'дод 3'!L365</f>
        <v>0</v>
      </c>
      <c r="L319" s="84">
        <f>'дод 3'!M365</f>
        <v>0</v>
      </c>
      <c r="M319" s="84">
        <f>'дод 3'!N365</f>
        <v>0</v>
      </c>
      <c r="N319" s="84">
        <f>'дод 3'!O365</f>
        <v>0</v>
      </c>
      <c r="O319" s="84">
        <f>'дод 3'!P365</f>
        <v>0</v>
      </c>
      <c r="P319" s="155"/>
    </row>
    <row r="320" spans="1:16" s="78" customFormat="1" ht="33.75" customHeight="1" x14ac:dyDescent="0.45">
      <c r="A320" s="45">
        <v>8330</v>
      </c>
      <c r="B320" s="34" t="s">
        <v>88</v>
      </c>
      <c r="C320" s="33" t="s">
        <v>334</v>
      </c>
      <c r="D320" s="84">
        <f>'дод 3'!E468</f>
        <v>75000</v>
      </c>
      <c r="E320" s="84">
        <f>'дод 3'!F468</f>
        <v>75000</v>
      </c>
      <c r="F320" s="84">
        <f>'дод 3'!G468</f>
        <v>0</v>
      </c>
      <c r="G320" s="84">
        <f>'дод 3'!H468</f>
        <v>0</v>
      </c>
      <c r="H320" s="84">
        <f>'дод 3'!I468</f>
        <v>0</v>
      </c>
      <c r="I320" s="84">
        <f>'дод 3'!J468</f>
        <v>0</v>
      </c>
      <c r="J320" s="84">
        <f>'дод 3'!K468</f>
        <v>0</v>
      </c>
      <c r="K320" s="84">
        <f>'дод 3'!L468</f>
        <v>0</v>
      </c>
      <c r="L320" s="84">
        <f>'дод 3'!M468</f>
        <v>0</v>
      </c>
      <c r="M320" s="84">
        <f>'дод 3'!N468</f>
        <v>0</v>
      </c>
      <c r="N320" s="84">
        <f>'дод 3'!O468</f>
        <v>0</v>
      </c>
      <c r="O320" s="84">
        <f>'дод 3'!P468</f>
        <v>75000</v>
      </c>
      <c r="P320" s="155"/>
    </row>
    <row r="321" spans="1:18" s="78" customFormat="1" ht="19.5" customHeight="1" x14ac:dyDescent="0.45">
      <c r="A321" s="45" t="s">
        <v>9</v>
      </c>
      <c r="B321" s="45" t="s">
        <v>88</v>
      </c>
      <c r="C321" s="33" t="s">
        <v>10</v>
      </c>
      <c r="D321" s="84">
        <f>'дод 3'!E72+'дод 3'!E169+'дод 3'!E366+'дод 3'!E469+'дод 3'!E293</f>
        <v>0</v>
      </c>
      <c r="E321" s="84">
        <f>'дод 3'!F72+'дод 3'!F169+'дод 3'!F366+'дод 3'!F469+'дод 3'!F293</f>
        <v>0</v>
      </c>
      <c r="F321" s="84">
        <f>'дод 3'!G72+'дод 3'!G169+'дод 3'!G366+'дод 3'!G469+'дод 3'!G293</f>
        <v>0</v>
      </c>
      <c r="G321" s="84">
        <f>'дод 3'!H72+'дод 3'!H169+'дод 3'!H366+'дод 3'!H469+'дод 3'!H293</f>
        <v>0</v>
      </c>
      <c r="H321" s="84">
        <f>'дод 3'!I72+'дод 3'!I169+'дод 3'!I366+'дод 3'!I469+'дод 3'!I293</f>
        <v>0</v>
      </c>
      <c r="I321" s="84">
        <f>'дод 3'!J72+'дод 3'!J169+'дод 3'!J366+'дод 3'!J469+'дод 3'!J293</f>
        <v>2227500</v>
      </c>
      <c r="J321" s="84">
        <f>'дод 3'!K72+'дод 3'!K169+'дод 3'!K366+'дод 3'!K469+'дод 3'!K293</f>
        <v>0</v>
      </c>
      <c r="K321" s="84">
        <f>'дод 3'!L72+'дод 3'!L169+'дод 3'!L366+'дод 3'!L469+'дод 3'!L293</f>
        <v>1635500</v>
      </c>
      <c r="L321" s="84">
        <f>'дод 3'!M72+'дод 3'!M169+'дод 3'!M366+'дод 3'!M469+'дод 3'!M293</f>
        <v>0</v>
      </c>
      <c r="M321" s="84">
        <f>'дод 3'!N72+'дод 3'!N169+'дод 3'!N366+'дод 3'!N469+'дод 3'!N293</f>
        <v>0</v>
      </c>
      <c r="N321" s="84">
        <f>'дод 3'!O72+'дод 3'!O169+'дод 3'!O366+'дод 3'!O469+'дод 3'!O293</f>
        <v>592000</v>
      </c>
      <c r="O321" s="84">
        <f>'дод 3'!P72+'дод 3'!P169+'дод 3'!P366+'дод 3'!P469+'дод 3'!P293</f>
        <v>2227500</v>
      </c>
      <c r="P321" s="155"/>
    </row>
    <row r="322" spans="1:18" s="78" customFormat="1" ht="20.25" hidden="1" customHeight="1" x14ac:dyDescent="0.4">
      <c r="A322" s="88" t="s">
        <v>127</v>
      </c>
      <c r="B322" s="38"/>
      <c r="C322" s="93" t="s">
        <v>72</v>
      </c>
      <c r="D322" s="82">
        <f t="shared" ref="D322:O322" si="77">D323</f>
        <v>0</v>
      </c>
      <c r="E322" s="82">
        <f t="shared" si="77"/>
        <v>0</v>
      </c>
      <c r="F322" s="82">
        <f t="shared" si="77"/>
        <v>0</v>
      </c>
      <c r="G322" s="82">
        <f t="shared" si="77"/>
        <v>0</v>
      </c>
      <c r="H322" s="82">
        <f t="shared" si="77"/>
        <v>0</v>
      </c>
      <c r="I322" s="82">
        <f t="shared" si="77"/>
        <v>0</v>
      </c>
      <c r="J322" s="82">
        <f t="shared" si="77"/>
        <v>0</v>
      </c>
      <c r="K322" s="82">
        <f t="shared" si="77"/>
        <v>0</v>
      </c>
      <c r="L322" s="82">
        <f t="shared" si="77"/>
        <v>0</v>
      </c>
      <c r="M322" s="82">
        <f t="shared" si="77"/>
        <v>0</v>
      </c>
      <c r="N322" s="82">
        <f t="shared" si="77"/>
        <v>0</v>
      </c>
      <c r="O322" s="82">
        <f t="shared" si="77"/>
        <v>0</v>
      </c>
      <c r="P322" s="155"/>
    </row>
    <row r="323" spans="1:18" s="78" customFormat="1" ht="21" hidden="1" customHeight="1" x14ac:dyDescent="0.45">
      <c r="A323" s="45" t="s">
        <v>246</v>
      </c>
      <c r="B323" s="23" t="s">
        <v>73</v>
      </c>
      <c r="C323" s="33" t="s">
        <v>247</v>
      </c>
      <c r="D323" s="84">
        <f>'дод 3'!E73</f>
        <v>0</v>
      </c>
      <c r="E323" s="84">
        <f>'дод 3'!F73</f>
        <v>0</v>
      </c>
      <c r="F323" s="84">
        <f>'дод 3'!G73</f>
        <v>0</v>
      </c>
      <c r="G323" s="84">
        <f>'дод 3'!H73</f>
        <v>0</v>
      </c>
      <c r="H323" s="84">
        <f>'дод 3'!I73</f>
        <v>0</v>
      </c>
      <c r="I323" s="84">
        <f>'дод 3'!J73</f>
        <v>0</v>
      </c>
      <c r="J323" s="84">
        <f>'дод 3'!K73</f>
        <v>0</v>
      </c>
      <c r="K323" s="84">
        <f>'дод 3'!L73</f>
        <v>0</v>
      </c>
      <c r="L323" s="84">
        <f>'дод 3'!M73</f>
        <v>0</v>
      </c>
      <c r="M323" s="84">
        <f>'дод 3'!N73</f>
        <v>0</v>
      </c>
      <c r="N323" s="84">
        <f>'дод 3'!O73</f>
        <v>0</v>
      </c>
      <c r="O323" s="84">
        <f>'дод 3'!P73</f>
        <v>0</v>
      </c>
      <c r="P323" s="155"/>
    </row>
    <row r="324" spans="1:18" s="78" customFormat="1" ht="21" customHeight="1" x14ac:dyDescent="0.4">
      <c r="A324" s="88" t="s">
        <v>91</v>
      </c>
      <c r="B324" s="88" t="s">
        <v>86</v>
      </c>
      <c r="C324" s="93" t="s">
        <v>11</v>
      </c>
      <c r="D324" s="82">
        <f>'дод 3'!E470</f>
        <v>1617069</v>
      </c>
      <c r="E324" s="82">
        <f>'дод 3'!F470</f>
        <v>1617069</v>
      </c>
      <c r="F324" s="82">
        <f>'дод 3'!G470</f>
        <v>0</v>
      </c>
      <c r="G324" s="82">
        <f>'дод 3'!H470</f>
        <v>0</v>
      </c>
      <c r="H324" s="82">
        <f>'дод 3'!I470</f>
        <v>0</v>
      </c>
      <c r="I324" s="82">
        <f>'дод 3'!J470</f>
        <v>0</v>
      </c>
      <c r="J324" s="82">
        <f>'дод 3'!K470</f>
        <v>0</v>
      </c>
      <c r="K324" s="82">
        <f>'дод 3'!L470</f>
        <v>0</v>
      </c>
      <c r="L324" s="82">
        <f>'дод 3'!M470</f>
        <v>0</v>
      </c>
      <c r="M324" s="82">
        <f>'дод 3'!N470</f>
        <v>0</v>
      </c>
      <c r="N324" s="82">
        <f>'дод 3'!O470</f>
        <v>0</v>
      </c>
      <c r="O324" s="82">
        <f>'дод 3'!P470</f>
        <v>1617069</v>
      </c>
      <c r="P324" s="155"/>
    </row>
    <row r="325" spans="1:18" s="78" customFormat="1" ht="21" customHeight="1" x14ac:dyDescent="0.4">
      <c r="A325" s="88">
        <v>8700</v>
      </c>
      <c r="B325" s="88"/>
      <c r="C325" s="93" t="s">
        <v>749</v>
      </c>
      <c r="D325" s="82">
        <f>D326</f>
        <v>147822.98000000053</v>
      </c>
      <c r="E325" s="82">
        <f t="shared" ref="E325:O325" si="78">E326</f>
        <v>0</v>
      </c>
      <c r="F325" s="82">
        <f t="shared" si="78"/>
        <v>0</v>
      </c>
      <c r="G325" s="82">
        <f t="shared" si="78"/>
        <v>0</v>
      </c>
      <c r="H325" s="82">
        <f t="shared" si="78"/>
        <v>0</v>
      </c>
      <c r="I325" s="82">
        <f t="shared" si="78"/>
        <v>0</v>
      </c>
      <c r="J325" s="82">
        <f t="shared" si="78"/>
        <v>0</v>
      </c>
      <c r="K325" s="82">
        <f t="shared" si="78"/>
        <v>0</v>
      </c>
      <c r="L325" s="82">
        <f t="shared" si="78"/>
        <v>0</v>
      </c>
      <c r="M325" s="82">
        <f t="shared" si="78"/>
        <v>0</v>
      </c>
      <c r="N325" s="82">
        <f t="shared" si="78"/>
        <v>0</v>
      </c>
      <c r="O325" s="82">
        <f t="shared" si="78"/>
        <v>147822.98000000053</v>
      </c>
      <c r="P325" s="155"/>
    </row>
    <row r="326" spans="1:18" ht="25.5" customHeight="1" x14ac:dyDescent="0.45">
      <c r="A326" s="45">
        <v>8710</v>
      </c>
      <c r="B326" s="45" t="s">
        <v>89</v>
      </c>
      <c r="C326" s="33" t="s">
        <v>750</v>
      </c>
      <c r="D326" s="84">
        <f>'дод 3'!E471</f>
        <v>147822.98000000053</v>
      </c>
      <c r="E326" s="84">
        <f>'дод 3'!F471</f>
        <v>0</v>
      </c>
      <c r="F326" s="84">
        <f>'дод 3'!G471</f>
        <v>0</v>
      </c>
      <c r="G326" s="84">
        <f>'дод 3'!H471</f>
        <v>0</v>
      </c>
      <c r="H326" s="84">
        <f>'дод 3'!I471</f>
        <v>0</v>
      </c>
      <c r="I326" s="84">
        <f>'дод 3'!J471</f>
        <v>0</v>
      </c>
      <c r="J326" s="84">
        <f>'дод 3'!K471</f>
        <v>0</v>
      </c>
      <c r="K326" s="84">
        <f>'дод 3'!L471</f>
        <v>0</v>
      </c>
      <c r="L326" s="84">
        <f>'дод 3'!M471</f>
        <v>0</v>
      </c>
      <c r="M326" s="84">
        <f>'дод 3'!N471</f>
        <v>0</v>
      </c>
      <c r="N326" s="84">
        <f>'дод 3'!O471</f>
        <v>0</v>
      </c>
      <c r="O326" s="84">
        <f>'дод 3'!P471</f>
        <v>147822.98000000053</v>
      </c>
      <c r="P326" s="155"/>
    </row>
    <row r="327" spans="1:18" s="78" customFormat="1" ht="24" customHeight="1" x14ac:dyDescent="0.4">
      <c r="A327" s="88" t="s">
        <v>12</v>
      </c>
      <c r="B327" s="88"/>
      <c r="C327" s="93" t="s">
        <v>751</v>
      </c>
      <c r="D327" s="82">
        <f t="shared" ref="D327:O327" si="79">D329+D331+D335+D339</f>
        <v>24133612.98</v>
      </c>
      <c r="E327" s="82">
        <f t="shared" si="79"/>
        <v>24133612.98</v>
      </c>
      <c r="F327" s="82">
        <f t="shared" si="79"/>
        <v>0</v>
      </c>
      <c r="G327" s="82">
        <f t="shared" si="79"/>
        <v>0</v>
      </c>
      <c r="H327" s="82">
        <f t="shared" si="79"/>
        <v>0</v>
      </c>
      <c r="I327" s="82">
        <f t="shared" si="79"/>
        <v>58638912.600000001</v>
      </c>
      <c r="J327" s="82">
        <f t="shared" si="79"/>
        <v>58638912.600000001</v>
      </c>
      <c r="K327" s="82">
        <f t="shared" si="79"/>
        <v>0</v>
      </c>
      <c r="L327" s="82">
        <f t="shared" si="79"/>
        <v>0</v>
      </c>
      <c r="M327" s="82">
        <f t="shared" si="79"/>
        <v>0</v>
      </c>
      <c r="N327" s="82">
        <f t="shared" si="79"/>
        <v>58638912.600000001</v>
      </c>
      <c r="O327" s="82">
        <f t="shared" si="79"/>
        <v>82772525.579999998</v>
      </c>
      <c r="P327" s="155"/>
    </row>
    <row r="328" spans="1:18" s="78" customFormat="1" ht="36.75" hidden="1" customHeight="1" x14ac:dyDescent="0.4">
      <c r="A328" s="88"/>
      <c r="B328" s="88"/>
      <c r="C328" s="19" t="s">
        <v>491</v>
      </c>
      <c r="D328" s="83">
        <f>D332</f>
        <v>0</v>
      </c>
      <c r="E328" s="83">
        <f t="shared" ref="E328:O328" si="80">E332</f>
        <v>0</v>
      </c>
      <c r="F328" s="83">
        <f t="shared" si="80"/>
        <v>0</v>
      </c>
      <c r="G328" s="83">
        <f t="shared" si="80"/>
        <v>0</v>
      </c>
      <c r="H328" s="83">
        <f t="shared" si="80"/>
        <v>0</v>
      </c>
      <c r="I328" s="83">
        <f t="shared" si="80"/>
        <v>0</v>
      </c>
      <c r="J328" s="83">
        <f t="shared" si="80"/>
        <v>0</v>
      </c>
      <c r="K328" s="83">
        <f t="shared" si="80"/>
        <v>0</v>
      </c>
      <c r="L328" s="83">
        <f t="shared" si="80"/>
        <v>0</v>
      </c>
      <c r="M328" s="83">
        <f t="shared" si="80"/>
        <v>0</v>
      </c>
      <c r="N328" s="83">
        <f t="shared" si="80"/>
        <v>0</v>
      </c>
      <c r="O328" s="83">
        <f t="shared" si="80"/>
        <v>0</v>
      </c>
      <c r="P328" s="155"/>
    </row>
    <row r="329" spans="1:18" s="78" customFormat="1" ht="21.75" hidden="1" customHeight="1" x14ac:dyDescent="0.4">
      <c r="A329" s="88" t="s">
        <v>244</v>
      </c>
      <c r="B329" s="88"/>
      <c r="C329" s="93" t="s">
        <v>285</v>
      </c>
      <c r="D329" s="82">
        <f t="shared" ref="D329:O329" si="81">D330</f>
        <v>0</v>
      </c>
      <c r="E329" s="82">
        <f t="shared" si="81"/>
        <v>0</v>
      </c>
      <c r="F329" s="82">
        <f t="shared" si="81"/>
        <v>0</v>
      </c>
      <c r="G329" s="82">
        <f t="shared" si="81"/>
        <v>0</v>
      </c>
      <c r="H329" s="82">
        <f t="shared" si="81"/>
        <v>0</v>
      </c>
      <c r="I329" s="82">
        <f t="shared" si="81"/>
        <v>0</v>
      </c>
      <c r="J329" s="82">
        <f t="shared" si="81"/>
        <v>0</v>
      </c>
      <c r="K329" s="82">
        <f t="shared" si="81"/>
        <v>0</v>
      </c>
      <c r="L329" s="82">
        <f t="shared" si="81"/>
        <v>0</v>
      </c>
      <c r="M329" s="82">
        <f t="shared" si="81"/>
        <v>0</v>
      </c>
      <c r="N329" s="82">
        <f t="shared" si="81"/>
        <v>0</v>
      </c>
      <c r="O329" s="82">
        <f t="shared" si="81"/>
        <v>0</v>
      </c>
      <c r="P329" s="155"/>
    </row>
    <row r="330" spans="1:18" s="78" customFormat="1" ht="21" hidden="1" customHeight="1" x14ac:dyDescent="0.45">
      <c r="A330" s="45" t="s">
        <v>87</v>
      </c>
      <c r="B330" s="23" t="s">
        <v>43</v>
      </c>
      <c r="C330" s="33" t="s">
        <v>106</v>
      </c>
      <c r="D330" s="84">
        <f>'дод 3'!E472</f>
        <v>0</v>
      </c>
      <c r="E330" s="84">
        <f>'дод 3'!F472</f>
        <v>0</v>
      </c>
      <c r="F330" s="84">
        <f>'дод 3'!G472</f>
        <v>0</v>
      </c>
      <c r="G330" s="84">
        <f>'дод 3'!H472</f>
        <v>0</v>
      </c>
      <c r="H330" s="84">
        <f>'дод 3'!I472</f>
        <v>0</v>
      </c>
      <c r="I330" s="84">
        <f>'дод 3'!J472</f>
        <v>0</v>
      </c>
      <c r="J330" s="84">
        <f>'дод 3'!K472</f>
        <v>0</v>
      </c>
      <c r="K330" s="84">
        <f>'дод 3'!L472</f>
        <v>0</v>
      </c>
      <c r="L330" s="84">
        <f>'дод 3'!M472</f>
        <v>0</v>
      </c>
      <c r="M330" s="84">
        <f>'дод 3'!N472</f>
        <v>0</v>
      </c>
      <c r="N330" s="84">
        <f>'дод 3'!O472</f>
        <v>0</v>
      </c>
      <c r="O330" s="84">
        <f>'дод 3'!P472</f>
        <v>0</v>
      </c>
      <c r="P330" s="155"/>
      <c r="R330" s="78" t="s">
        <v>624</v>
      </c>
    </row>
    <row r="331" spans="1:18" s="78" customFormat="1" ht="63" hidden="1" customHeight="1" x14ac:dyDescent="0.4">
      <c r="A331" s="88">
        <v>9300</v>
      </c>
      <c r="B331" s="37"/>
      <c r="C331" s="93" t="s">
        <v>488</v>
      </c>
      <c r="D331" s="82">
        <f>D333</f>
        <v>0</v>
      </c>
      <c r="E331" s="82">
        <f t="shared" ref="E331:O331" si="82">E333</f>
        <v>0</v>
      </c>
      <c r="F331" s="82">
        <f t="shared" si="82"/>
        <v>0</v>
      </c>
      <c r="G331" s="82">
        <f t="shared" si="82"/>
        <v>0</v>
      </c>
      <c r="H331" s="82">
        <f t="shared" si="82"/>
        <v>0</v>
      </c>
      <c r="I331" s="82">
        <f t="shared" si="82"/>
        <v>0</v>
      </c>
      <c r="J331" s="82">
        <f t="shared" si="82"/>
        <v>0</v>
      </c>
      <c r="K331" s="82">
        <f t="shared" si="82"/>
        <v>0</v>
      </c>
      <c r="L331" s="82">
        <f t="shared" si="82"/>
        <v>0</v>
      </c>
      <c r="M331" s="82">
        <f t="shared" si="82"/>
        <v>0</v>
      </c>
      <c r="N331" s="82">
        <f t="shared" si="82"/>
        <v>0</v>
      </c>
      <c r="O331" s="82">
        <f t="shared" si="82"/>
        <v>0</v>
      </c>
      <c r="P331" s="155"/>
    </row>
    <row r="332" spans="1:18" s="78" customFormat="1" ht="31.5" hidden="1" customHeight="1" x14ac:dyDescent="0.4">
      <c r="A332" s="88"/>
      <c r="B332" s="22"/>
      <c r="C332" s="19" t="s">
        <v>491</v>
      </c>
      <c r="D332" s="83">
        <f>D334</f>
        <v>0</v>
      </c>
      <c r="E332" s="83">
        <f t="shared" ref="E332:O332" si="83">E334</f>
        <v>0</v>
      </c>
      <c r="F332" s="83">
        <f t="shared" si="83"/>
        <v>0</v>
      </c>
      <c r="G332" s="83">
        <f t="shared" si="83"/>
        <v>0</v>
      </c>
      <c r="H332" s="83">
        <f t="shared" si="83"/>
        <v>0</v>
      </c>
      <c r="I332" s="83">
        <f t="shared" si="83"/>
        <v>0</v>
      </c>
      <c r="J332" s="83">
        <f t="shared" si="83"/>
        <v>0</v>
      </c>
      <c r="K332" s="83">
        <f t="shared" si="83"/>
        <v>0</v>
      </c>
      <c r="L332" s="83">
        <f t="shared" si="83"/>
        <v>0</v>
      </c>
      <c r="M332" s="83">
        <f t="shared" si="83"/>
        <v>0</v>
      </c>
      <c r="N332" s="83">
        <f t="shared" si="83"/>
        <v>0</v>
      </c>
      <c r="O332" s="83">
        <f t="shared" si="83"/>
        <v>0</v>
      </c>
      <c r="P332" s="155"/>
    </row>
    <row r="333" spans="1:18" s="78" customFormat="1" ht="47.25" hidden="1" customHeight="1" x14ac:dyDescent="0.45">
      <c r="A333" s="45">
        <v>9320</v>
      </c>
      <c r="B333" s="22" t="s">
        <v>43</v>
      </c>
      <c r="C333" s="35" t="s">
        <v>489</v>
      </c>
      <c r="D333" s="84">
        <f>'дод 3'!E170</f>
        <v>0</v>
      </c>
      <c r="E333" s="84">
        <f>'дод 3'!F170</f>
        <v>0</v>
      </c>
      <c r="F333" s="84">
        <f>'дод 3'!G170</f>
        <v>0</v>
      </c>
      <c r="G333" s="84">
        <f>'дод 3'!H170</f>
        <v>0</v>
      </c>
      <c r="H333" s="84">
        <f>'дод 3'!I170</f>
        <v>0</v>
      </c>
      <c r="I333" s="84">
        <f>'дод 3'!J170</f>
        <v>0</v>
      </c>
      <c r="J333" s="84">
        <f>'дод 3'!K170</f>
        <v>0</v>
      </c>
      <c r="K333" s="84">
        <f>'дод 3'!L170</f>
        <v>0</v>
      </c>
      <c r="L333" s="84">
        <f>'дод 3'!M170</f>
        <v>0</v>
      </c>
      <c r="M333" s="84">
        <f>'дод 3'!N170</f>
        <v>0</v>
      </c>
      <c r="N333" s="84">
        <f>'дод 3'!O170</f>
        <v>0</v>
      </c>
      <c r="O333" s="84">
        <f>'дод 3'!P170</f>
        <v>0</v>
      </c>
      <c r="P333" s="155"/>
    </row>
    <row r="334" spans="1:18" s="90" customFormat="1" ht="31.5" hidden="1" customHeight="1" x14ac:dyDescent="0.45">
      <c r="A334" s="86"/>
      <c r="B334" s="27"/>
      <c r="C334" s="29" t="s">
        <v>491</v>
      </c>
      <c r="D334" s="85">
        <f>'дод 3'!E171</f>
        <v>0</v>
      </c>
      <c r="E334" s="85">
        <f>'дод 3'!F171</f>
        <v>0</v>
      </c>
      <c r="F334" s="85">
        <f>'дод 3'!G171</f>
        <v>0</v>
      </c>
      <c r="G334" s="85">
        <f>'дод 3'!H171</f>
        <v>0</v>
      </c>
      <c r="H334" s="85">
        <f>'дод 3'!I171</f>
        <v>0</v>
      </c>
      <c r="I334" s="85">
        <f>'дод 3'!J171</f>
        <v>0</v>
      </c>
      <c r="J334" s="85">
        <f>'дод 3'!K171</f>
        <v>0</v>
      </c>
      <c r="K334" s="85">
        <f>'дод 3'!L171</f>
        <v>0</v>
      </c>
      <c r="L334" s="85">
        <f>'дод 3'!M171</f>
        <v>0</v>
      </c>
      <c r="M334" s="85">
        <f>'дод 3'!N171</f>
        <v>0</v>
      </c>
      <c r="N334" s="85">
        <f>'дод 3'!O171</f>
        <v>0</v>
      </c>
      <c r="O334" s="85">
        <f>'дод 3'!P171</f>
        <v>0</v>
      </c>
      <c r="P334" s="155"/>
    </row>
    <row r="335" spans="1:18" s="78" customFormat="1" ht="46.15" customHeight="1" x14ac:dyDescent="0.4">
      <c r="A335" s="88" t="s">
        <v>13</v>
      </c>
      <c r="B335" s="37"/>
      <c r="C335" s="93" t="s">
        <v>333</v>
      </c>
      <c r="D335" s="82">
        <f>D336+D337+D338</f>
        <v>6055597</v>
      </c>
      <c r="E335" s="82">
        <f t="shared" ref="E335:O335" si="84">E336+E337+E338</f>
        <v>6055597</v>
      </c>
      <c r="F335" s="82">
        <f t="shared" si="84"/>
        <v>0</v>
      </c>
      <c r="G335" s="82">
        <f t="shared" si="84"/>
        <v>0</v>
      </c>
      <c r="H335" s="82">
        <f t="shared" si="84"/>
        <v>0</v>
      </c>
      <c r="I335" s="82">
        <f t="shared" si="84"/>
        <v>15205251</v>
      </c>
      <c r="J335" s="82">
        <f t="shared" si="84"/>
        <v>15205251</v>
      </c>
      <c r="K335" s="82">
        <f t="shared" si="84"/>
        <v>0</v>
      </c>
      <c r="L335" s="82">
        <f t="shared" si="84"/>
        <v>0</v>
      </c>
      <c r="M335" s="82">
        <f t="shared" si="84"/>
        <v>0</v>
      </c>
      <c r="N335" s="82">
        <f t="shared" si="84"/>
        <v>15205251</v>
      </c>
      <c r="O335" s="82">
        <f t="shared" si="84"/>
        <v>21260848</v>
      </c>
      <c r="P335" s="155"/>
    </row>
    <row r="336" spans="1:18" s="78" customFormat="1" ht="79.5" hidden="1" customHeight="1" x14ac:dyDescent="0.45">
      <c r="A336" s="23">
        <v>9730</v>
      </c>
      <c r="B336" s="22" t="s">
        <v>43</v>
      </c>
      <c r="C336" s="24" t="s">
        <v>516</v>
      </c>
      <c r="D336" s="84">
        <f>'дод 3'!E369</f>
        <v>0</v>
      </c>
      <c r="E336" s="84">
        <f>'дод 3'!F369</f>
        <v>0</v>
      </c>
      <c r="F336" s="84">
        <f>'дод 3'!G369</f>
        <v>0</v>
      </c>
      <c r="G336" s="84">
        <f>'дод 3'!H369</f>
        <v>0</v>
      </c>
      <c r="H336" s="84">
        <f>'дод 3'!I369</f>
        <v>0</v>
      </c>
      <c r="I336" s="84">
        <f>'дод 3'!J369</f>
        <v>0</v>
      </c>
      <c r="J336" s="84">
        <f>'дод 3'!K369</f>
        <v>0</v>
      </c>
      <c r="K336" s="84">
        <f>'дод 3'!L369</f>
        <v>0</v>
      </c>
      <c r="L336" s="84">
        <f>'дод 3'!M369</f>
        <v>0</v>
      </c>
      <c r="M336" s="84">
        <f>'дод 3'!N369</f>
        <v>0</v>
      </c>
      <c r="N336" s="84">
        <f>'дод 3'!O369</f>
        <v>0</v>
      </c>
      <c r="O336" s="84">
        <f>'дод 3'!P369</f>
        <v>0</v>
      </c>
      <c r="P336" s="155"/>
    </row>
    <row r="337" spans="1:18" ht="31.5" hidden="1" customHeight="1" x14ac:dyDescent="0.45">
      <c r="A337" s="45">
        <v>9750</v>
      </c>
      <c r="B337" s="23" t="s">
        <v>43</v>
      </c>
      <c r="C337" s="24" t="s">
        <v>481</v>
      </c>
      <c r="D337" s="84">
        <f>'дод 3'!E370</f>
        <v>0</v>
      </c>
      <c r="E337" s="84">
        <f>'дод 3'!F370</f>
        <v>0</v>
      </c>
      <c r="F337" s="84">
        <f>'дод 3'!G370</f>
        <v>0</v>
      </c>
      <c r="G337" s="84">
        <f>'дод 3'!H370</f>
        <v>0</v>
      </c>
      <c r="H337" s="84">
        <f>'дод 3'!I370</f>
        <v>0</v>
      </c>
      <c r="I337" s="84">
        <f>'дод 3'!J370</f>
        <v>0</v>
      </c>
      <c r="J337" s="84">
        <f>'дод 3'!K370</f>
        <v>0</v>
      </c>
      <c r="K337" s="84">
        <f>'дод 3'!L370</f>
        <v>0</v>
      </c>
      <c r="L337" s="84">
        <f>'дод 3'!M370</f>
        <v>0</v>
      </c>
      <c r="M337" s="84">
        <f>'дод 3'!N370</f>
        <v>0</v>
      </c>
      <c r="N337" s="84">
        <f>'дод 3'!O370</f>
        <v>0</v>
      </c>
      <c r="O337" s="84">
        <f>'дод 3'!P370</f>
        <v>0</v>
      </c>
      <c r="P337" s="155"/>
    </row>
    <row r="338" spans="1:18" s="78" customFormat="1" ht="24" customHeight="1" x14ac:dyDescent="0.45">
      <c r="A338" s="45" t="s">
        <v>14</v>
      </c>
      <c r="B338" s="23" t="s">
        <v>43</v>
      </c>
      <c r="C338" s="35" t="s">
        <v>342</v>
      </c>
      <c r="D338" s="84">
        <f>'дод 3'!E172+'дод 3'!E218+'дод 3'!E271+'дод 3'!E371+'дод 3'!E74+'дод 3'!E294+'дод 3'!E473</f>
        <v>6055597</v>
      </c>
      <c r="E338" s="84">
        <f>'дод 3'!F172+'дод 3'!F218+'дод 3'!F271+'дод 3'!F371+'дод 3'!F74+'дод 3'!F294+'дод 3'!F473</f>
        <v>6055597</v>
      </c>
      <c r="F338" s="84">
        <f>'дод 3'!G172+'дод 3'!G218+'дод 3'!G271+'дод 3'!G371+'дод 3'!G74+'дод 3'!G294+'дод 3'!G473</f>
        <v>0</v>
      </c>
      <c r="G338" s="84">
        <f>'дод 3'!H172+'дод 3'!H218+'дод 3'!H271+'дод 3'!H371+'дод 3'!H74+'дод 3'!H294+'дод 3'!H473</f>
        <v>0</v>
      </c>
      <c r="H338" s="84">
        <f>'дод 3'!I172+'дод 3'!I218+'дод 3'!I271+'дод 3'!I371+'дод 3'!I74+'дод 3'!I294+'дод 3'!I473</f>
        <v>0</v>
      </c>
      <c r="I338" s="84">
        <f>'дод 3'!J172+'дод 3'!J218+'дод 3'!J271+'дод 3'!J371+'дод 3'!J74+'дод 3'!J294+'дод 3'!J473</f>
        <v>15205251</v>
      </c>
      <c r="J338" s="84">
        <f>'дод 3'!K172+'дод 3'!K218+'дод 3'!K271+'дод 3'!K371+'дод 3'!K74+'дод 3'!K294+'дод 3'!K473</f>
        <v>15205251</v>
      </c>
      <c r="K338" s="84">
        <f>'дод 3'!L172+'дод 3'!L218+'дод 3'!L271+'дод 3'!L371+'дод 3'!L74+'дод 3'!L294+'дод 3'!L473</f>
        <v>0</v>
      </c>
      <c r="L338" s="84">
        <f>'дод 3'!M172+'дод 3'!M218+'дод 3'!M271+'дод 3'!M371+'дод 3'!M74+'дод 3'!M294+'дод 3'!M473</f>
        <v>0</v>
      </c>
      <c r="M338" s="84">
        <f>'дод 3'!N172+'дод 3'!N218+'дод 3'!N271+'дод 3'!N371+'дод 3'!N74+'дод 3'!N294+'дод 3'!N473</f>
        <v>0</v>
      </c>
      <c r="N338" s="84">
        <f>'дод 3'!O172+'дод 3'!O218+'дод 3'!O271+'дод 3'!O371+'дод 3'!O74+'дод 3'!O294+'дод 3'!O473</f>
        <v>15205251</v>
      </c>
      <c r="O338" s="84">
        <f>'дод 3'!P172+'дод 3'!P218+'дод 3'!P271+'дод 3'!P371+'дод 3'!P74+'дод 3'!P294+'дод 3'!P473</f>
        <v>21260848</v>
      </c>
      <c r="P338" s="155"/>
    </row>
    <row r="339" spans="1:18" s="78" customFormat="1" ht="51" customHeight="1" x14ac:dyDescent="0.4">
      <c r="A339" s="88">
        <v>9800</v>
      </c>
      <c r="B339" s="38" t="s">
        <v>43</v>
      </c>
      <c r="C339" s="81" t="s">
        <v>353</v>
      </c>
      <c r="D339" s="82">
        <f>'дод 3'!E173+'дод 3'!E75+'дод 3'!E372</f>
        <v>18078015.98</v>
      </c>
      <c r="E339" s="82">
        <f>'дод 3'!F173+'дод 3'!F75+'дод 3'!F372</f>
        <v>18078015.98</v>
      </c>
      <c r="F339" s="82">
        <f>'дод 3'!G173+'дод 3'!G75+'дод 3'!G372</f>
        <v>0</v>
      </c>
      <c r="G339" s="82">
        <f>'дод 3'!H173+'дод 3'!H75+'дод 3'!H372</f>
        <v>0</v>
      </c>
      <c r="H339" s="82">
        <f>'дод 3'!I173+'дод 3'!I75+'дод 3'!I372</f>
        <v>0</v>
      </c>
      <c r="I339" s="82">
        <f>'дод 3'!J173+'дод 3'!J75+'дод 3'!J372</f>
        <v>43433661.600000001</v>
      </c>
      <c r="J339" s="82">
        <f>'дод 3'!K173+'дод 3'!K75+'дод 3'!K372</f>
        <v>43433661.600000001</v>
      </c>
      <c r="K339" s="82">
        <f>'дод 3'!L173+'дод 3'!L75+'дод 3'!L372</f>
        <v>0</v>
      </c>
      <c r="L339" s="82">
        <f>'дод 3'!M173+'дод 3'!M75+'дод 3'!M372</f>
        <v>0</v>
      </c>
      <c r="M339" s="82">
        <f>'дод 3'!N173+'дод 3'!N75+'дод 3'!N372</f>
        <v>0</v>
      </c>
      <c r="N339" s="82">
        <f>'дод 3'!O173+'дод 3'!O75+'дод 3'!O372</f>
        <v>43433661.600000001</v>
      </c>
      <c r="O339" s="82">
        <f>'дод 3'!P173+'дод 3'!P75+'дод 3'!P372</f>
        <v>61511677.579999998</v>
      </c>
      <c r="P339" s="155"/>
    </row>
    <row r="340" spans="1:18" s="78" customFormat="1" ht="21" customHeight="1" x14ac:dyDescent="0.4">
      <c r="A340" s="79"/>
      <c r="B340" s="79"/>
      <c r="C340" s="93" t="s">
        <v>388</v>
      </c>
      <c r="D340" s="82">
        <f t="shared" ref="D340:O340" si="85">D14+D23+D106+D130+D183+D190+D201+D218+D300+D327</f>
        <v>3097028342.6500001</v>
      </c>
      <c r="E340" s="82">
        <f t="shared" si="85"/>
        <v>2883550325.5</v>
      </c>
      <c r="F340" s="82">
        <f t="shared" si="85"/>
        <v>1394826629</v>
      </c>
      <c r="G340" s="82">
        <f t="shared" si="85"/>
        <v>198280705.58000001</v>
      </c>
      <c r="H340" s="82">
        <f t="shared" si="85"/>
        <v>213330194.17000002</v>
      </c>
      <c r="I340" s="82">
        <f t="shared" si="85"/>
        <v>1205378411.9399998</v>
      </c>
      <c r="J340" s="82">
        <f t="shared" si="85"/>
        <v>998096266.43999994</v>
      </c>
      <c r="K340" s="82">
        <f t="shared" si="85"/>
        <v>119141339</v>
      </c>
      <c r="L340" s="82">
        <f t="shared" si="85"/>
        <v>10161379</v>
      </c>
      <c r="M340" s="82">
        <f t="shared" si="85"/>
        <v>5905712</v>
      </c>
      <c r="N340" s="82">
        <f t="shared" si="85"/>
        <v>1086237072.9399998</v>
      </c>
      <c r="O340" s="82">
        <f t="shared" si="85"/>
        <v>4302406754.5900011</v>
      </c>
      <c r="P340" s="155"/>
    </row>
    <row r="341" spans="1:18" s="90" customFormat="1" ht="21" customHeight="1" x14ac:dyDescent="0.4">
      <c r="A341" s="104"/>
      <c r="B341" s="104"/>
      <c r="C341" s="19" t="s">
        <v>735</v>
      </c>
      <c r="D341" s="83">
        <f t="shared" ref="D341:O341" si="86">D24+D25+D134+D26+D135+D38+D107+D27+D29+D302+D224+D15+D108+D184+D202+D28+D136+D192</f>
        <v>664870485.88999999</v>
      </c>
      <c r="E341" s="83">
        <f t="shared" si="86"/>
        <v>652766458.88999999</v>
      </c>
      <c r="F341" s="83">
        <f t="shared" si="86"/>
        <v>455205701</v>
      </c>
      <c r="G341" s="83">
        <f t="shared" si="86"/>
        <v>0</v>
      </c>
      <c r="H341" s="83">
        <f t="shared" si="86"/>
        <v>12104027</v>
      </c>
      <c r="I341" s="83">
        <f t="shared" si="86"/>
        <v>245509567</v>
      </c>
      <c r="J341" s="83">
        <f t="shared" si="86"/>
        <v>245509567</v>
      </c>
      <c r="K341" s="83">
        <f t="shared" si="86"/>
        <v>0</v>
      </c>
      <c r="L341" s="83">
        <f t="shared" si="86"/>
        <v>0</v>
      </c>
      <c r="M341" s="83">
        <f t="shared" si="86"/>
        <v>0</v>
      </c>
      <c r="N341" s="83">
        <f t="shared" si="86"/>
        <v>245509567</v>
      </c>
      <c r="O341" s="83">
        <f t="shared" si="86"/>
        <v>910380052.88999999</v>
      </c>
      <c r="P341" s="155"/>
    </row>
    <row r="342" spans="1:18" s="90" customFormat="1" ht="75" x14ac:dyDescent="0.4">
      <c r="A342" s="104"/>
      <c r="B342" s="104"/>
      <c r="C342" s="54" t="s">
        <v>619</v>
      </c>
      <c r="D342" s="83">
        <f t="shared" ref="D342:O342" si="87">D15+D29+D108+D135+D184+D202+D224+D302-D69+D192+D134</f>
        <v>97657572</v>
      </c>
      <c r="E342" s="83">
        <f t="shared" si="87"/>
        <v>85553545</v>
      </c>
      <c r="F342" s="83">
        <f t="shared" si="87"/>
        <v>2531101</v>
      </c>
      <c r="G342" s="83">
        <f t="shared" si="87"/>
        <v>0</v>
      </c>
      <c r="H342" s="83">
        <f t="shared" si="87"/>
        <v>12104027</v>
      </c>
      <c r="I342" s="83">
        <f t="shared" si="87"/>
        <v>12711985</v>
      </c>
      <c r="J342" s="83">
        <f t="shared" si="87"/>
        <v>12711985</v>
      </c>
      <c r="K342" s="83">
        <f t="shared" si="87"/>
        <v>0</v>
      </c>
      <c r="L342" s="83">
        <f t="shared" si="87"/>
        <v>0</v>
      </c>
      <c r="M342" s="83">
        <f t="shared" si="87"/>
        <v>0</v>
      </c>
      <c r="N342" s="83">
        <f t="shared" si="87"/>
        <v>12711985</v>
      </c>
      <c r="O342" s="83">
        <f t="shared" si="87"/>
        <v>110369557</v>
      </c>
      <c r="P342" s="155"/>
    </row>
    <row r="343" spans="1:18" s="90" customFormat="1" ht="42.75" customHeight="1" x14ac:dyDescent="0.4">
      <c r="A343" s="104"/>
      <c r="B343" s="104"/>
      <c r="C343" s="19" t="s">
        <v>655</v>
      </c>
      <c r="D343" s="83">
        <f t="shared" ref="D343:O343" si="88">D30+D31+D223+D32+D34+D137+D138+D33+D178+D140</f>
        <v>8187970.5999999996</v>
      </c>
      <c r="E343" s="83">
        <f t="shared" si="88"/>
        <v>8187970.5999999996</v>
      </c>
      <c r="F343" s="83">
        <f t="shared" si="88"/>
        <v>4411615</v>
      </c>
      <c r="G343" s="83">
        <f t="shared" si="88"/>
        <v>0</v>
      </c>
      <c r="H343" s="83">
        <f t="shared" si="88"/>
        <v>0</v>
      </c>
      <c r="I343" s="83">
        <f t="shared" si="88"/>
        <v>135237612.44999999</v>
      </c>
      <c r="J343" s="83">
        <f t="shared" si="88"/>
        <v>50018655.789999999</v>
      </c>
      <c r="K343" s="83">
        <f t="shared" si="88"/>
        <v>4558902</v>
      </c>
      <c r="L343" s="83">
        <f t="shared" si="88"/>
        <v>0</v>
      </c>
      <c r="M343" s="83">
        <f t="shared" si="88"/>
        <v>0</v>
      </c>
      <c r="N343" s="83">
        <f t="shared" si="88"/>
        <v>130678710.44999999</v>
      </c>
      <c r="O343" s="83">
        <f t="shared" si="88"/>
        <v>143425583.04999998</v>
      </c>
      <c r="P343" s="155"/>
    </row>
    <row r="344" spans="1:18" s="90" customFormat="1" ht="24" customHeight="1" x14ac:dyDescent="0.4">
      <c r="A344" s="104"/>
      <c r="B344" s="104"/>
      <c r="C344" s="19" t="s">
        <v>656</v>
      </c>
      <c r="D344" s="83">
        <f t="shared" ref="D344:O344" si="89">D133+D301+D37+D303+D109+D225</f>
        <v>11797475.810000001</v>
      </c>
      <c r="E344" s="83">
        <f t="shared" si="89"/>
        <v>11797475.810000001</v>
      </c>
      <c r="F344" s="83">
        <f t="shared" si="89"/>
        <v>336800</v>
      </c>
      <c r="G344" s="83">
        <f t="shared" si="89"/>
        <v>0</v>
      </c>
      <c r="H344" s="83">
        <f t="shared" si="89"/>
        <v>0</v>
      </c>
      <c r="I344" s="83">
        <f t="shared" si="89"/>
        <v>7792296</v>
      </c>
      <c r="J344" s="83">
        <f t="shared" si="89"/>
        <v>1228100</v>
      </c>
      <c r="K344" s="83">
        <f t="shared" si="89"/>
        <v>6564196</v>
      </c>
      <c r="L344" s="83">
        <f t="shared" si="89"/>
        <v>0</v>
      </c>
      <c r="M344" s="83">
        <f t="shared" si="89"/>
        <v>0</v>
      </c>
      <c r="N344" s="83">
        <f t="shared" si="89"/>
        <v>1228100</v>
      </c>
      <c r="O344" s="83">
        <f t="shared" si="89"/>
        <v>19589771.810000002</v>
      </c>
      <c r="P344" s="155"/>
    </row>
    <row r="345" spans="1:18" s="90" customFormat="1" ht="23.25" customHeight="1" x14ac:dyDescent="0.4">
      <c r="A345" s="89"/>
      <c r="B345" s="89"/>
      <c r="C345" s="19" t="s">
        <v>399</v>
      </c>
      <c r="D345" s="83">
        <f t="shared" ref="D345:O345" si="90">D226+D228</f>
        <v>0</v>
      </c>
      <c r="E345" s="83">
        <f t="shared" si="90"/>
        <v>0</v>
      </c>
      <c r="F345" s="83">
        <f t="shared" si="90"/>
        <v>0</v>
      </c>
      <c r="G345" s="83">
        <f t="shared" si="90"/>
        <v>0</v>
      </c>
      <c r="H345" s="83">
        <f t="shared" si="90"/>
        <v>0</v>
      </c>
      <c r="I345" s="83">
        <f t="shared" si="90"/>
        <v>104076609</v>
      </c>
      <c r="J345" s="83">
        <f t="shared" si="90"/>
        <v>104076609</v>
      </c>
      <c r="K345" s="83">
        <f t="shared" si="90"/>
        <v>0</v>
      </c>
      <c r="L345" s="83">
        <f t="shared" si="90"/>
        <v>0</v>
      </c>
      <c r="M345" s="83">
        <f t="shared" si="90"/>
        <v>0</v>
      </c>
      <c r="N345" s="83">
        <f t="shared" si="90"/>
        <v>104076609</v>
      </c>
      <c r="O345" s="83">
        <f t="shared" si="90"/>
        <v>104076609</v>
      </c>
      <c r="P345" s="155"/>
      <c r="R345" s="105"/>
    </row>
    <row r="346" spans="1:18" s="90" customFormat="1" ht="23.25" customHeight="1" x14ac:dyDescent="0.4">
      <c r="A346" s="89"/>
      <c r="B346" s="89"/>
      <c r="C346" s="19" t="s">
        <v>597</v>
      </c>
      <c r="D346" s="83">
        <f t="shared" ref="D346:O346" si="91">D227</f>
        <v>0</v>
      </c>
      <c r="E346" s="83">
        <f t="shared" si="91"/>
        <v>0</v>
      </c>
      <c r="F346" s="83">
        <f t="shared" si="91"/>
        <v>0</v>
      </c>
      <c r="G346" s="83">
        <f t="shared" si="91"/>
        <v>0</v>
      </c>
      <c r="H346" s="83">
        <f t="shared" si="91"/>
        <v>0</v>
      </c>
      <c r="I346" s="83">
        <f t="shared" si="91"/>
        <v>5904588</v>
      </c>
      <c r="J346" s="83">
        <f t="shared" si="91"/>
        <v>0</v>
      </c>
      <c r="K346" s="83">
        <f t="shared" si="91"/>
        <v>447641</v>
      </c>
      <c r="L346" s="83">
        <f t="shared" si="91"/>
        <v>0</v>
      </c>
      <c r="M346" s="83">
        <f t="shared" si="91"/>
        <v>0</v>
      </c>
      <c r="N346" s="83">
        <f t="shared" si="91"/>
        <v>5456947</v>
      </c>
      <c r="O346" s="83">
        <f t="shared" si="91"/>
        <v>5904588</v>
      </c>
      <c r="P346" s="155"/>
    </row>
    <row r="347" spans="1:18" s="90" customFormat="1" ht="64.5" customHeight="1" x14ac:dyDescent="0.4">
      <c r="A347" s="106"/>
      <c r="B347" s="106"/>
      <c r="C347" s="58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55"/>
    </row>
    <row r="348" spans="1:18" s="90" customFormat="1" ht="66.75" customHeight="1" x14ac:dyDescent="0.85">
      <c r="A348" s="144" t="s">
        <v>744</v>
      </c>
      <c r="B348" s="144"/>
      <c r="C348" s="144"/>
      <c r="D348" s="144"/>
      <c r="E348" s="60"/>
      <c r="F348" s="60"/>
      <c r="G348" s="61"/>
      <c r="H348" s="61"/>
      <c r="I348" s="61"/>
      <c r="J348" s="61"/>
      <c r="K348" s="61"/>
      <c r="L348" s="141" t="s">
        <v>742</v>
      </c>
      <c r="M348" s="141"/>
      <c r="N348" s="141"/>
      <c r="O348" s="107"/>
      <c r="P348" s="155"/>
    </row>
    <row r="349" spans="1:18" x14ac:dyDescent="0.45">
      <c r="P349" s="155"/>
    </row>
    <row r="350" spans="1:18" x14ac:dyDescent="0.45">
      <c r="P350" s="155"/>
    </row>
    <row r="351" spans="1:18" x14ac:dyDescent="0.45">
      <c r="P351" s="155"/>
    </row>
    <row r="352" spans="1:18" x14ac:dyDescent="0.45">
      <c r="P352" s="155"/>
    </row>
    <row r="353" spans="16:16" x14ac:dyDescent="0.45">
      <c r="P353" s="155"/>
    </row>
    <row r="354" spans="16:16" x14ac:dyDescent="0.45">
      <c r="P354" s="155"/>
    </row>
    <row r="355" spans="16:16" x14ac:dyDescent="0.45">
      <c r="P355" s="155"/>
    </row>
    <row r="356" spans="16:16" x14ac:dyDescent="0.45">
      <c r="P356" s="155"/>
    </row>
  </sheetData>
  <mergeCells count="35">
    <mergeCell ref="Q1:Q119"/>
    <mergeCell ref="P1:P32"/>
    <mergeCell ref="P33:P68"/>
    <mergeCell ref="P69:P92"/>
    <mergeCell ref="P94:P113"/>
    <mergeCell ref="P114:P137"/>
    <mergeCell ref="J4:O4"/>
    <mergeCell ref="N12:N13"/>
    <mergeCell ref="O11:O13"/>
    <mergeCell ref="A8:O8"/>
    <mergeCell ref="A9:O9"/>
    <mergeCell ref="A7:O7"/>
    <mergeCell ref="B11:B13"/>
    <mergeCell ref="C11:C13"/>
    <mergeCell ref="A11:A13"/>
    <mergeCell ref="D12:D13"/>
    <mergeCell ref="L12:M12"/>
    <mergeCell ref="E12:E13"/>
    <mergeCell ref="K12:K13"/>
    <mergeCell ref="H12:H13"/>
    <mergeCell ref="I12:I13"/>
    <mergeCell ref="F12:G12"/>
    <mergeCell ref="D11:H11"/>
    <mergeCell ref="P311:P356"/>
    <mergeCell ref="I11:N11"/>
    <mergeCell ref="J12:J13"/>
    <mergeCell ref="A348:D348"/>
    <mergeCell ref="L348:N348"/>
    <mergeCell ref="P138:P156"/>
    <mergeCell ref="P157:P173"/>
    <mergeCell ref="P174:P178"/>
    <mergeCell ref="P179:P205"/>
    <mergeCell ref="P206:P239"/>
    <mergeCell ref="P240:P286"/>
    <mergeCell ref="P287:P310"/>
  </mergeCells>
  <phoneticPr fontId="3" type="noConversion"/>
  <printOptions horizontalCentered="1"/>
  <pageMargins left="0" right="0" top="0.62992125984251968" bottom="0.27559055118110237" header="0.43307086614173229" footer="0.23622047244094491"/>
  <pageSetup paperSize="9" scale="42" fitToHeight="100" orientation="landscape" verticalDpi="300" r:id="rId1"/>
  <headerFooter scaleWithDoc="0" alignWithMargins="0"/>
  <rowBreaks count="1" manualBreakCount="1">
    <brk id="6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дод 3</vt:lpstr>
      <vt:lpstr>дод 7</vt:lpstr>
      <vt:lpstr>'дод 3'!Заголовки_для_печати</vt:lpstr>
      <vt:lpstr>'дод 7'!Заголовки_для_печати</vt:lpstr>
      <vt:lpstr>'дод 3'!Область_печати</vt:lpstr>
      <vt:lpstr>'дод 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Щелінська Юлія Миколаївна</cp:lastModifiedBy>
  <cp:lastPrinted>2024-12-18T09:27:49Z</cp:lastPrinted>
  <dcterms:created xsi:type="dcterms:W3CDTF">2014-01-17T10:52:16Z</dcterms:created>
  <dcterms:modified xsi:type="dcterms:W3CDTF">2024-12-19T10:02:46Z</dcterms:modified>
</cp:coreProperties>
</file>