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45"/>
  </bookViews>
  <sheets>
    <sheet name="Дод.2" sheetId="1" r:id="rId1"/>
    <sheet name="Дод.3" sheetId="2" r:id="rId2"/>
  </sheets>
  <definedNames>
    <definedName name="_xlnm._FilterDatabase" localSheetId="0" hidden="1">Дод.2!$A$9:$T$323</definedName>
    <definedName name="_xlnm.Print_Titles" localSheetId="0">Дод.2!$9:$12</definedName>
    <definedName name="_xlnm.Print_Titles" localSheetId="1">Дод.3!$9:$11</definedName>
    <definedName name="_xlnm.Print_Area" localSheetId="0">Дод.2!$A$1:$N$326</definedName>
    <definedName name="_xlnm.Print_Area" localSheetId="1">Дод.3!$A$1:$G$280</definedName>
  </definedNames>
  <calcPr calcId="162913"/>
</workbook>
</file>

<file path=xl/calcChain.xml><?xml version="1.0" encoding="utf-8"?>
<calcChain xmlns="http://schemas.openxmlformats.org/spreadsheetml/2006/main">
  <c r="G13" i="2" l="1"/>
  <c r="M114" i="1"/>
  <c r="N244" i="1" l="1"/>
  <c r="M115" i="1"/>
  <c r="N286" i="1" l="1"/>
  <c r="N252" i="1"/>
  <c r="N214" i="1" l="1"/>
  <c r="N213" i="1"/>
  <c r="N246" i="1" l="1"/>
  <c r="M85" i="1" l="1"/>
  <c r="M90" i="1"/>
  <c r="N278" i="1"/>
  <c r="N271" i="1" s="1"/>
  <c r="L225" i="1" l="1"/>
  <c r="N219" i="1"/>
  <c r="N218" i="1"/>
  <c r="L219" i="1"/>
  <c r="N119" i="1"/>
  <c r="G191" i="2" l="1"/>
  <c r="G77" i="2"/>
  <c r="M176" i="1" l="1"/>
  <c r="N243" i="1"/>
  <c r="L51" i="1" l="1"/>
  <c r="N193" i="1" l="1"/>
  <c r="M55" i="1"/>
  <c r="M54" i="1"/>
  <c r="M51" i="1"/>
  <c r="M52" i="1"/>
  <c r="M45" i="1"/>
  <c r="M57" i="1"/>
  <c r="M56" i="1"/>
  <c r="M161" i="1"/>
  <c r="M168" i="1"/>
  <c r="M119" i="1" l="1"/>
  <c r="M113" i="1"/>
  <c r="M76" i="1"/>
  <c r="M65" i="1"/>
  <c r="M68" i="1"/>
  <c r="M67" i="1"/>
  <c r="M66" i="1"/>
  <c r="M64" i="1"/>
  <c r="M129" i="1"/>
  <c r="M96" i="1"/>
  <c r="M70" i="1"/>
  <c r="G142" i="2" l="1"/>
  <c r="G125" i="2" l="1"/>
  <c r="G68" i="2"/>
  <c r="G67" i="2"/>
  <c r="N112" i="1" l="1"/>
  <c r="N109" i="1" s="1"/>
  <c r="L119" i="1"/>
  <c r="N27" i="1" l="1"/>
  <c r="N24" i="1" s="1"/>
  <c r="L193" i="1"/>
  <c r="M84" i="1"/>
  <c r="M112" i="1"/>
  <c r="L112" i="1" s="1"/>
  <c r="M110" i="1"/>
  <c r="M117" i="1"/>
  <c r="G105" i="2" l="1"/>
  <c r="M27" i="1"/>
  <c r="M17" i="1" s="1"/>
  <c r="M109" i="1"/>
  <c r="L109" i="1" s="1"/>
  <c r="M83" i="1"/>
  <c r="L27" i="1" l="1"/>
  <c r="M92" i="1"/>
  <c r="N284" i="1"/>
  <c r="M88" i="1"/>
  <c r="L88" i="1" s="1"/>
  <c r="G151" i="2" l="1"/>
  <c r="G19" i="2"/>
  <c r="G254" i="2"/>
  <c r="G258" i="2" s="1"/>
  <c r="G208" i="2" l="1"/>
  <c r="G207" i="2"/>
  <c r="L113" i="1" l="1"/>
  <c r="L250" i="1" l="1"/>
  <c r="N251" i="1" l="1"/>
  <c r="N240" i="1"/>
  <c r="L240" i="1" s="1"/>
  <c r="L252" i="1"/>
  <c r="L251" i="1" l="1"/>
  <c r="N239" i="1"/>
  <c r="L285" i="1" l="1"/>
  <c r="L284" i="1"/>
  <c r="N275" i="1"/>
  <c r="L275" i="1" s="1"/>
  <c r="N274" i="1"/>
  <c r="L274" i="1" s="1"/>
  <c r="N201" i="1" l="1"/>
  <c r="L214" i="1"/>
  <c r="L213" i="1"/>
  <c r="L253" i="1"/>
  <c r="N241" i="1"/>
  <c r="N17" i="1" s="1"/>
  <c r="L17" i="1" s="1"/>
  <c r="L201" i="1" l="1"/>
  <c r="L20" i="1" s="1"/>
  <c r="N20" i="1"/>
  <c r="L241" i="1"/>
  <c r="N200" i="1"/>
  <c r="L200" i="1" l="1"/>
  <c r="N276" i="1" l="1"/>
  <c r="N186" i="1"/>
  <c r="N192" i="1"/>
  <c r="L192" i="1" s="1"/>
  <c r="N188" i="1"/>
  <c r="N185" i="1" s="1"/>
  <c r="M189" i="1"/>
  <c r="M186" i="1"/>
  <c r="N183" i="1" l="1"/>
  <c r="N280" i="1" l="1"/>
  <c r="K223" i="1" l="1"/>
  <c r="G153" i="2" l="1"/>
  <c r="F13" i="2"/>
  <c r="E13" i="2"/>
  <c r="E15" i="2"/>
  <c r="J113" i="1"/>
  <c r="J76" i="1"/>
  <c r="J121" i="1"/>
  <c r="F182" i="2" l="1"/>
  <c r="G182" i="2"/>
  <c r="G183" i="2"/>
  <c r="G184" i="2"/>
  <c r="F262" i="2" l="1"/>
  <c r="G104" i="2"/>
  <c r="G101" i="2"/>
  <c r="G103" i="2" s="1"/>
  <c r="L108" i="1"/>
  <c r="F100" i="2"/>
  <c r="E92" i="2" l="1"/>
  <c r="K246" i="1" l="1"/>
  <c r="J57" i="1"/>
  <c r="J49" i="1"/>
  <c r="M49" i="1"/>
  <c r="J48" i="1" l="1"/>
  <c r="K236" i="1"/>
  <c r="N220" i="1" l="1"/>
  <c r="N226" i="1"/>
  <c r="G242" i="2" s="1"/>
  <c r="L228" i="1"/>
  <c r="L226" i="1" s="1"/>
  <c r="J120" i="1"/>
  <c r="F109" i="2" s="1"/>
  <c r="I121" i="1"/>
  <c r="I120" i="1" s="1"/>
  <c r="K255" i="1" l="1"/>
  <c r="K254" i="1" s="1"/>
  <c r="K257" i="1"/>
  <c r="I258" i="1"/>
  <c r="I257" i="1" s="1"/>
  <c r="I227" i="1"/>
  <c r="K226" i="1"/>
  <c r="I226" i="1" l="1"/>
  <c r="L115" i="1" l="1"/>
  <c r="L110" i="1"/>
  <c r="K193" i="1"/>
  <c r="E229" i="2" l="1"/>
  <c r="E228" i="2"/>
  <c r="E227" i="2"/>
  <c r="E220" i="2"/>
  <c r="G188" i="1"/>
  <c r="F189" i="1"/>
  <c r="F188" i="1" s="1"/>
  <c r="E216" i="2" l="1"/>
  <c r="G185" i="1"/>
  <c r="G137" i="1"/>
  <c r="G136" i="2"/>
  <c r="F136" i="2"/>
  <c r="F143" i="2"/>
  <c r="I138" i="1"/>
  <c r="L138" i="1"/>
  <c r="H193" i="1"/>
  <c r="H192" i="1" s="1"/>
  <c r="G271" i="2" l="1"/>
  <c r="G275" i="2" s="1"/>
  <c r="K280" i="1" l="1"/>
  <c r="F272" i="2" s="1"/>
  <c r="F276" i="2" s="1"/>
  <c r="K286" i="1"/>
  <c r="F271" i="2" s="1"/>
  <c r="F275" i="2" s="1"/>
  <c r="K276" i="1" l="1"/>
  <c r="N273" i="1"/>
  <c r="L273" i="1" s="1"/>
  <c r="N272" i="1"/>
  <c r="L276" i="1"/>
  <c r="K271" i="1"/>
  <c r="L277" i="1"/>
  <c r="L279" i="1"/>
  <c r="L280" i="1"/>
  <c r="L281" i="1"/>
  <c r="L282" i="1"/>
  <c r="L283" i="1"/>
  <c r="L286" i="1"/>
  <c r="L278" i="1"/>
  <c r="N238" i="1"/>
  <c r="L272" i="1" l="1"/>
  <c r="N270" i="1"/>
  <c r="L270" i="1" s="1"/>
  <c r="L271" i="1"/>
  <c r="F19" i="2"/>
  <c r="E18" i="2"/>
  <c r="G15" i="2"/>
  <c r="F15" i="2"/>
  <c r="G270" i="2" l="1"/>
  <c r="E213" i="2"/>
  <c r="G154" i="2" l="1"/>
  <c r="F154" i="2"/>
  <c r="E154" i="2"/>
  <c r="G152" i="2"/>
  <c r="F152" i="2"/>
  <c r="E152" i="2"/>
  <c r="E19" i="2"/>
  <c r="F153" i="2"/>
  <c r="F151" i="2"/>
  <c r="K188" i="1" l="1"/>
  <c r="M128" i="1" l="1"/>
  <c r="L129" i="1"/>
  <c r="M33" i="1"/>
  <c r="J31" i="1"/>
  <c r="M30" i="1"/>
  <c r="M28" i="1"/>
  <c r="M34" i="1"/>
  <c r="M140" i="1"/>
  <c r="I141" i="1"/>
  <c r="J140" i="1"/>
  <c r="M132" i="1"/>
  <c r="J132" i="1"/>
  <c r="L117" i="1"/>
  <c r="J119" i="1"/>
  <c r="J112" i="1" s="1"/>
  <c r="L106" i="1"/>
  <c r="L107" i="1"/>
  <c r="M94" i="1"/>
  <c r="M97" i="1"/>
  <c r="L97" i="1" s="1"/>
  <c r="L98" i="1"/>
  <c r="L96" i="1"/>
  <c r="L95" i="1"/>
  <c r="I92" i="1"/>
  <c r="L86" i="1"/>
  <c r="L87" i="1"/>
  <c r="L90" i="1"/>
  <c r="L91" i="1"/>
  <c r="L92" i="1"/>
  <c r="J85" i="1"/>
  <c r="I87" i="1"/>
  <c r="L57" i="1"/>
  <c r="M44" i="1"/>
  <c r="L47" i="1"/>
  <c r="L94" i="1" l="1"/>
  <c r="G84" i="2"/>
  <c r="G88" i="2" s="1"/>
  <c r="I140" i="1"/>
  <c r="J137" i="1"/>
  <c r="L140" i="1"/>
  <c r="M137" i="1"/>
  <c r="L56" i="1"/>
  <c r="G35" i="2"/>
  <c r="G43" i="2" s="1"/>
  <c r="L128" i="1"/>
  <c r="G118" i="2"/>
  <c r="L44" i="1"/>
  <c r="M93" i="1"/>
  <c r="L93" i="1" l="1"/>
  <c r="K185" i="1"/>
  <c r="L314" i="1" l="1"/>
  <c r="L292" i="1" s="1"/>
  <c r="I292" i="1"/>
  <c r="F314" i="1"/>
  <c r="O314" i="1" l="1"/>
  <c r="F292" i="1"/>
  <c r="L304" i="1"/>
  <c r="L291" i="1" s="1"/>
  <c r="I291" i="1"/>
  <c r="F304" i="1"/>
  <c r="K297" i="1"/>
  <c r="K290" i="1" s="1"/>
  <c r="J296" i="1"/>
  <c r="K296" i="1"/>
  <c r="K289" i="1" s="1"/>
  <c r="K288" i="1" s="1"/>
  <c r="N296" i="1"/>
  <c r="N289" i="1" s="1"/>
  <c r="N288" i="1" s="1"/>
  <c r="G296" i="1"/>
  <c r="O304" i="1" l="1"/>
  <c r="F291" i="1"/>
  <c r="L302" i="1"/>
  <c r="F302" i="1"/>
  <c r="I302" i="1"/>
  <c r="I303" i="1"/>
  <c r="I297" i="1" s="1"/>
  <c r="I290" i="1" s="1"/>
  <c r="F299" i="1"/>
  <c r="F300" i="1"/>
  <c r="F301" i="1"/>
  <c r="F298" i="1"/>
  <c r="L299" i="1"/>
  <c r="L300" i="1"/>
  <c r="L301" i="1"/>
  <c r="L298" i="1"/>
  <c r="I299" i="1"/>
  <c r="I300" i="1"/>
  <c r="I301" i="1"/>
  <c r="I298" i="1"/>
  <c r="M293" i="1"/>
  <c r="M289" i="1" s="1"/>
  <c r="M288" i="1" s="1"/>
  <c r="J293" i="1"/>
  <c r="J289" i="1" s="1"/>
  <c r="J288" i="1" s="1"/>
  <c r="G293" i="1"/>
  <c r="G289" i="1" s="1"/>
  <c r="G288" i="1" s="1"/>
  <c r="L295" i="1"/>
  <c r="I295" i="1"/>
  <c r="F295" i="1"/>
  <c r="L294" i="1"/>
  <c r="I294" i="1"/>
  <c r="F294" i="1"/>
  <c r="I293" i="1" l="1"/>
  <c r="L293" i="1"/>
  <c r="I296" i="1"/>
  <c r="L296" i="1"/>
  <c r="F296" i="1"/>
  <c r="F293" i="1"/>
  <c r="G28" i="1"/>
  <c r="F28" i="1" s="1"/>
  <c r="L28" i="1"/>
  <c r="J62" i="1"/>
  <c r="I119" i="1"/>
  <c r="I117" i="1"/>
  <c r="H261" i="1"/>
  <c r="I289" i="1" l="1"/>
  <c r="I288" i="1" s="1"/>
  <c r="J27" i="1"/>
  <c r="J17" i="1" s="1"/>
  <c r="J35" i="1"/>
  <c r="I35" i="1" s="1"/>
  <c r="O296" i="1"/>
  <c r="L289" i="1"/>
  <c r="L288" i="1" s="1"/>
  <c r="O293" i="1"/>
  <c r="F289" i="1"/>
  <c r="F288" i="1" s="1"/>
  <c r="I112" i="1"/>
  <c r="I62" i="1" s="1"/>
  <c r="I27" i="1" s="1"/>
  <c r="I17" i="1" s="1"/>
  <c r="J56" i="1" l="1"/>
  <c r="F35" i="2" s="1"/>
  <c r="F43" i="2" s="1"/>
  <c r="I57" i="1"/>
  <c r="I56" i="1" s="1"/>
  <c r="J169" i="1"/>
  <c r="J168" i="1"/>
  <c r="J161" i="1"/>
  <c r="J160" i="1"/>
  <c r="J55" i="1"/>
  <c r="J54" i="1"/>
  <c r="J52" i="1"/>
  <c r="J51" i="1"/>
  <c r="J28" i="1" s="1"/>
  <c r="J29" i="1"/>
  <c r="I28" i="1" l="1"/>
  <c r="J159" i="1"/>
  <c r="I281" i="1"/>
  <c r="K273" i="1"/>
  <c r="I273" i="1" s="1"/>
  <c r="K224" i="1"/>
  <c r="K220" i="1"/>
  <c r="J129" i="1"/>
  <c r="J128" i="1" s="1"/>
  <c r="J103" i="1"/>
  <c r="J107" i="1"/>
  <c r="J101" i="1"/>
  <c r="K216" i="1" l="1"/>
  <c r="K215" i="1"/>
  <c r="G196" i="1"/>
  <c r="J196" i="1"/>
  <c r="M196" i="1"/>
  <c r="E245" i="2" l="1"/>
  <c r="E251" i="2" s="1"/>
  <c r="E244" i="2"/>
  <c r="E250" i="2" s="1"/>
  <c r="G233" i="2"/>
  <c r="G229" i="2"/>
  <c r="G228" i="2"/>
  <c r="G227" i="2"/>
  <c r="F229" i="2"/>
  <c r="F228" i="2"/>
  <c r="F227" i="2"/>
  <c r="G220" i="2"/>
  <c r="F220" i="2"/>
  <c r="E199" i="2"/>
  <c r="E198" i="2"/>
  <c r="E187" i="2"/>
  <c r="E151" i="2" s="1"/>
  <c r="F184" i="2"/>
  <c r="F183" i="2"/>
  <c r="E170" i="2"/>
  <c r="E169" i="2"/>
  <c r="E168" i="2"/>
  <c r="E167" i="2"/>
  <c r="E166" i="2"/>
  <c r="E165" i="2"/>
  <c r="E153" i="2" l="1"/>
  <c r="E172" i="2"/>
  <c r="E171" i="2"/>
  <c r="E173" i="2"/>
  <c r="G145" i="2" l="1"/>
  <c r="F145" i="2"/>
  <c r="F147" i="2" s="1"/>
  <c r="E145" i="2"/>
  <c r="E143" i="2"/>
  <c r="E136" i="2"/>
  <c r="E132" i="2"/>
  <c r="E134" i="2" s="1"/>
  <c r="G127" i="2"/>
  <c r="F127" i="2"/>
  <c r="F129" i="2" s="1"/>
  <c r="E127" i="2"/>
  <c r="E131" i="2" s="1"/>
  <c r="E118" i="2"/>
  <c r="F118" i="2"/>
  <c r="G114" i="2"/>
  <c r="E114" i="2"/>
  <c r="G147" i="2" l="1"/>
  <c r="G149" i="2"/>
  <c r="E149" i="2"/>
  <c r="E147" i="2"/>
  <c r="F149" i="2"/>
  <c r="G131" i="2"/>
  <c r="F131" i="2"/>
  <c r="G129" i="2"/>
  <c r="E129" i="2"/>
  <c r="E98" i="2" l="1"/>
  <c r="G82" i="2"/>
  <c r="F85" i="2"/>
  <c r="F89" i="2" s="1"/>
  <c r="G85" i="2"/>
  <c r="G89" i="2" s="1"/>
  <c r="E76" i="2"/>
  <c r="G70" i="2"/>
  <c r="F70" i="2"/>
  <c r="G55" i="2" l="1"/>
  <c r="F55" i="2"/>
  <c r="E28" i="2" l="1"/>
  <c r="N187" i="1" l="1"/>
  <c r="N19" i="1" s="1"/>
  <c r="K186" i="1"/>
  <c r="H186" i="1"/>
  <c r="H215" i="1"/>
  <c r="L187" i="1" l="1"/>
  <c r="L19" i="1"/>
  <c r="F215" i="1"/>
  <c r="E239" i="2"/>
  <c r="K203" i="1"/>
  <c r="K206" i="1"/>
  <c r="K205" i="1"/>
  <c r="I276" i="1"/>
  <c r="I279" i="1"/>
  <c r="I282" i="1"/>
  <c r="I283" i="1"/>
  <c r="I277" i="1"/>
  <c r="I286" i="1"/>
  <c r="E241" i="2" l="1"/>
  <c r="J186" i="1"/>
  <c r="G34" i="1"/>
  <c r="J34" i="1"/>
  <c r="G30" i="1"/>
  <c r="I127" i="1"/>
  <c r="I126" i="1"/>
  <c r="J125" i="1"/>
  <c r="F114" i="2" s="1"/>
  <c r="F117" i="2" s="1"/>
  <c r="N184" i="1" l="1"/>
  <c r="I125" i="1"/>
  <c r="O125" i="1" s="1"/>
  <c r="I271" i="1"/>
  <c r="K207" i="1"/>
  <c r="I280" i="1"/>
  <c r="L186" i="1"/>
  <c r="F185" i="1" l="1"/>
  <c r="K192" i="1"/>
  <c r="K183" i="1" s="1"/>
  <c r="I193" i="1"/>
  <c r="F193" i="1"/>
  <c r="K272" i="1"/>
  <c r="K270" i="1" s="1"/>
  <c r="I270" i="1" s="1"/>
  <c r="K261" i="1"/>
  <c r="K260" i="1"/>
  <c r="H260" i="1"/>
  <c r="H259" i="1" s="1"/>
  <c r="E263" i="2" s="1"/>
  <c r="E265" i="2" s="1"/>
  <c r="H254" i="1"/>
  <c r="E259" i="2" s="1"/>
  <c r="E261" i="2" s="1"/>
  <c r="N199" i="1"/>
  <c r="L238" i="1"/>
  <c r="K238" i="1"/>
  <c r="I238" i="1" s="1"/>
  <c r="N237" i="1"/>
  <c r="L237" i="1" s="1"/>
  <c r="K237" i="1"/>
  <c r="I237" i="1" s="1"/>
  <c r="N236" i="1"/>
  <c r="L236" i="1" s="1"/>
  <c r="N235" i="1"/>
  <c r="K235" i="1"/>
  <c r="H231" i="1"/>
  <c r="H199" i="1" s="1"/>
  <c r="H21" i="1" s="1"/>
  <c r="H230" i="1"/>
  <c r="L218" i="1"/>
  <c r="N217" i="1"/>
  <c r="L217" i="1" s="1"/>
  <c r="K217" i="1"/>
  <c r="I217" i="1" s="1"/>
  <c r="N216" i="1"/>
  <c r="H218" i="1"/>
  <c r="F218" i="1" s="1"/>
  <c r="H217" i="1"/>
  <c r="F217" i="1" s="1"/>
  <c r="H216" i="1"/>
  <c r="F216" i="1" s="1"/>
  <c r="L216" i="1" l="1"/>
  <c r="N215" i="1"/>
  <c r="G253" i="2"/>
  <c r="G257" i="2" s="1"/>
  <c r="N234" i="1"/>
  <c r="N196" i="1" s="1"/>
  <c r="N21" i="1"/>
  <c r="L21" i="1" s="1"/>
  <c r="L199" i="1"/>
  <c r="F233" i="2"/>
  <c r="H198" i="1"/>
  <c r="H18" i="1"/>
  <c r="E233" i="2"/>
  <c r="H187" i="1"/>
  <c r="H19" i="1" s="1"/>
  <c r="I236" i="1"/>
  <c r="F253" i="2"/>
  <c r="F257" i="2" s="1"/>
  <c r="K187" i="1"/>
  <c r="K19" i="1" s="1"/>
  <c r="F231" i="1"/>
  <c r="F199" i="1" s="1"/>
  <c r="F21" i="1" s="1"/>
  <c r="I261" i="1"/>
  <c r="F230" i="1"/>
  <c r="L239" i="1"/>
  <c r="I272" i="1"/>
  <c r="I192" i="1"/>
  <c r="F192" i="1"/>
  <c r="H229" i="1"/>
  <c r="I235" i="1"/>
  <c r="F261" i="1"/>
  <c r="L235" i="1"/>
  <c r="K259" i="1"/>
  <c r="F259" i="1"/>
  <c r="N212" i="1"/>
  <c r="L212" i="1" s="1"/>
  <c r="K212" i="1"/>
  <c r="I212" i="1" s="1"/>
  <c r="H212" i="1"/>
  <c r="F212" i="1" s="1"/>
  <c r="N210" i="1"/>
  <c r="L210" i="1" s="1"/>
  <c r="K210" i="1"/>
  <c r="I210" i="1" s="1"/>
  <c r="H210" i="1"/>
  <c r="F210" i="1" s="1"/>
  <c r="N211" i="1"/>
  <c r="L211" i="1" s="1"/>
  <c r="K211" i="1"/>
  <c r="I211" i="1" s="1"/>
  <c r="H211" i="1"/>
  <c r="F211" i="1" s="1"/>
  <c r="N209" i="1"/>
  <c r="L209" i="1" s="1"/>
  <c r="H209" i="1"/>
  <c r="F209" i="1" s="1"/>
  <c r="H205" i="1"/>
  <c r="F205" i="1" s="1"/>
  <c r="N206" i="1"/>
  <c r="L206" i="1" s="1"/>
  <c r="I206" i="1"/>
  <c r="H206" i="1"/>
  <c r="F206" i="1" s="1"/>
  <c r="N208" i="1"/>
  <c r="L208" i="1" s="1"/>
  <c r="K208" i="1"/>
  <c r="I208" i="1" s="1"/>
  <c r="N207" i="1"/>
  <c r="L207" i="1" s="1"/>
  <c r="I207" i="1"/>
  <c r="H208" i="1"/>
  <c r="F208" i="1" s="1"/>
  <c r="H207" i="1"/>
  <c r="F207" i="1" s="1"/>
  <c r="I205" i="1"/>
  <c r="N205" i="1"/>
  <c r="L205" i="1" s="1"/>
  <c r="N204" i="1"/>
  <c r="L204" i="1" s="1"/>
  <c r="K204" i="1"/>
  <c r="I204" i="1" s="1"/>
  <c r="H204" i="1"/>
  <c r="F204" i="1" s="1"/>
  <c r="N203" i="1"/>
  <c r="L203" i="1" s="1"/>
  <c r="I203" i="1"/>
  <c r="H203" i="1"/>
  <c r="F203" i="1" s="1"/>
  <c r="N202" i="1"/>
  <c r="L202" i="1" s="1"/>
  <c r="H202" i="1"/>
  <c r="F202" i="1" s="1"/>
  <c r="G149" i="1"/>
  <c r="F149" i="1" s="1"/>
  <c r="M149" i="1"/>
  <c r="J149" i="1"/>
  <c r="L149" i="1"/>
  <c r="M151" i="1"/>
  <c r="L151" i="1" s="1"/>
  <c r="J151" i="1"/>
  <c r="I151" i="1" s="1"/>
  <c r="G151" i="1"/>
  <c r="F151" i="1" s="1"/>
  <c r="M150" i="1"/>
  <c r="L150" i="1" s="1"/>
  <c r="J150" i="1"/>
  <c r="I150" i="1" s="1"/>
  <c r="G150" i="1"/>
  <c r="F150" i="1" s="1"/>
  <c r="M148" i="1"/>
  <c r="L148" i="1" s="1"/>
  <c r="J148" i="1"/>
  <c r="I148" i="1" s="1"/>
  <c r="G148" i="1"/>
  <c r="F148" i="1" s="1"/>
  <c r="M147" i="1"/>
  <c r="L147" i="1" s="1"/>
  <c r="J147" i="1"/>
  <c r="I147" i="1" s="1"/>
  <c r="G147" i="1"/>
  <c r="F147" i="1" s="1"/>
  <c r="M146" i="1"/>
  <c r="J146" i="1"/>
  <c r="I146" i="1" s="1"/>
  <c r="G146" i="1"/>
  <c r="F146" i="1" s="1"/>
  <c r="G33" i="1"/>
  <c r="L33" i="1"/>
  <c r="J33" i="1"/>
  <c r="I33" i="1" s="1"/>
  <c r="I129" i="1"/>
  <c r="M37" i="1"/>
  <c r="L37" i="1" s="1"/>
  <c r="J37" i="1"/>
  <c r="I37" i="1" s="1"/>
  <c r="M36" i="1"/>
  <c r="L36" i="1" s="1"/>
  <c r="J36" i="1"/>
  <c r="I36" i="1" s="1"/>
  <c r="G37" i="1"/>
  <c r="F37" i="1" s="1"/>
  <c r="G36" i="1"/>
  <c r="F36" i="1" s="1"/>
  <c r="F135" i="1"/>
  <c r="F133" i="1"/>
  <c r="I133" i="1"/>
  <c r="L133" i="1"/>
  <c r="L141" i="1"/>
  <c r="F141" i="1"/>
  <c r="F139" i="1"/>
  <c r="L34" i="1"/>
  <c r="I34" i="1"/>
  <c r="F34" i="1"/>
  <c r="M32" i="1"/>
  <c r="L32" i="1" s="1"/>
  <c r="J32" i="1"/>
  <c r="I32" i="1" s="1"/>
  <c r="G32" i="1"/>
  <c r="F32" i="1" s="1"/>
  <c r="M31" i="1"/>
  <c r="L31" i="1" s="1"/>
  <c r="I31" i="1"/>
  <c r="G31" i="1"/>
  <c r="F31" i="1" s="1"/>
  <c r="L30" i="1"/>
  <c r="F30" i="1"/>
  <c r="M29" i="1"/>
  <c r="I29" i="1"/>
  <c r="G29" i="1"/>
  <c r="N197" i="1" l="1"/>
  <c r="N15" i="1" s="1"/>
  <c r="L215" i="1"/>
  <c r="L197" i="1" s="1"/>
  <c r="G239" i="2"/>
  <c r="G241" i="2" s="1"/>
  <c r="N14" i="1"/>
  <c r="L234" i="1"/>
  <c r="O192" i="1"/>
  <c r="L29" i="1"/>
  <c r="Q28" i="1"/>
  <c r="F29" i="1"/>
  <c r="O28" i="1"/>
  <c r="F198" i="1"/>
  <c r="F18" i="1"/>
  <c r="I259" i="1"/>
  <c r="F263" i="2"/>
  <c r="F265" i="2" s="1"/>
  <c r="I187" i="1"/>
  <c r="I19" i="1" s="1"/>
  <c r="K184" i="1"/>
  <c r="F229" i="1"/>
  <c r="E243" i="2"/>
  <c r="F270" i="2"/>
  <c r="F187" i="1"/>
  <c r="F19" i="1" s="1"/>
  <c r="H184" i="1"/>
  <c r="H183" i="1" s="1"/>
  <c r="G252" i="2"/>
  <c r="I186" i="1"/>
  <c r="Q146" i="1"/>
  <c r="L146" i="1"/>
  <c r="O146" i="1"/>
  <c r="P146" i="1"/>
  <c r="I149" i="1"/>
  <c r="F33" i="1"/>
  <c r="K197" i="1"/>
  <c r="I255" i="1"/>
  <c r="F256" i="1"/>
  <c r="F255" i="1"/>
  <c r="F254" i="1"/>
  <c r="G63" i="1"/>
  <c r="E46" i="2" s="1"/>
  <c r="J44" i="1"/>
  <c r="G44" i="1"/>
  <c r="E27" i="2" s="1"/>
  <c r="E30" i="2" s="1"/>
  <c r="L196" i="1" l="1"/>
  <c r="G237" i="2"/>
  <c r="F27" i="2"/>
  <c r="F30" i="2" s="1"/>
  <c r="I254" i="1"/>
  <c r="F259" i="2"/>
  <c r="E29" i="2"/>
  <c r="E50" i="2"/>
  <c r="E48" i="2"/>
  <c r="I44" i="1"/>
  <c r="J86" i="1"/>
  <c r="J84" i="1" s="1"/>
  <c r="J95" i="1"/>
  <c r="I243" i="1"/>
  <c r="K251" i="1"/>
  <c r="K239" i="1" s="1"/>
  <c r="K199" i="1" s="1"/>
  <c r="K21" i="1" s="1"/>
  <c r="J83" i="1" l="1"/>
  <c r="F76" i="2" s="1"/>
  <c r="F261" i="2"/>
  <c r="J30" i="1"/>
  <c r="P28" i="1" s="1"/>
  <c r="J94" i="1"/>
  <c r="J93" i="1" s="1"/>
  <c r="K218" i="1"/>
  <c r="I218" i="1" s="1"/>
  <c r="K15" i="1"/>
  <c r="F254" i="2"/>
  <c r="F258" i="2" s="1"/>
  <c r="K209" i="1"/>
  <c r="I209" i="1" s="1"/>
  <c r="I239" i="1"/>
  <c r="I199" i="1" s="1"/>
  <c r="I21" i="1" s="1"/>
  <c r="K234" i="1"/>
  <c r="K196" i="1" s="1"/>
  <c r="K202" i="1"/>
  <c r="I202" i="1" s="1"/>
  <c r="H268" i="1"/>
  <c r="F269" i="1"/>
  <c r="I260" i="1"/>
  <c r="I264" i="1"/>
  <c r="I30" i="1" l="1"/>
  <c r="H197" i="1"/>
  <c r="H15" i="1" s="1"/>
  <c r="H196" i="1"/>
  <c r="H14" i="1" s="1"/>
  <c r="K14" i="1"/>
  <c r="E267" i="2"/>
  <c r="I234" i="1"/>
  <c r="F252" i="2"/>
  <c r="F239" i="2"/>
  <c r="F268" i="1"/>
  <c r="F196" i="1" s="1"/>
  <c r="I215" i="1"/>
  <c r="I216" i="1"/>
  <c r="I246" i="1"/>
  <c r="I251" i="1"/>
  <c r="L243" i="1"/>
  <c r="L244" i="1"/>
  <c r="L245" i="1"/>
  <c r="L246" i="1"/>
  <c r="L247" i="1"/>
  <c r="L248" i="1"/>
  <c r="L249" i="1"/>
  <c r="L242" i="1"/>
  <c r="F233" i="1"/>
  <c r="F232" i="1"/>
  <c r="L220" i="1"/>
  <c r="I221" i="1"/>
  <c r="I222" i="1"/>
  <c r="I223" i="1"/>
  <c r="I224" i="1"/>
  <c r="I220" i="1"/>
  <c r="F221" i="1"/>
  <c r="F222" i="1"/>
  <c r="F223" i="1"/>
  <c r="F224" i="1"/>
  <c r="F220" i="1"/>
  <c r="F260" i="1"/>
  <c r="F263" i="1"/>
  <c r="F264" i="1"/>
  <c r="F266" i="1"/>
  <c r="F267" i="1"/>
  <c r="F265" i="1"/>
  <c r="F262" i="1"/>
  <c r="I197" i="1" l="1"/>
  <c r="O215" i="1"/>
  <c r="F237" i="2"/>
  <c r="G236" i="2" s="1"/>
  <c r="I196" i="1"/>
  <c r="F197" i="1"/>
  <c r="O196" i="1"/>
  <c r="F241" i="2"/>
  <c r="E269" i="2"/>
  <c r="E237" i="2"/>
  <c r="E236" i="2" s="1"/>
  <c r="F191" i="1"/>
  <c r="G190" i="1"/>
  <c r="G183" i="1" s="1"/>
  <c r="L189" i="1"/>
  <c r="I189" i="1"/>
  <c r="M188" i="1"/>
  <c r="J188" i="1"/>
  <c r="M179" i="1"/>
  <c r="J179" i="1"/>
  <c r="I180" i="1"/>
  <c r="L180" i="1"/>
  <c r="G177" i="1"/>
  <c r="F178" i="1"/>
  <c r="L176" i="1"/>
  <c r="L175" i="1"/>
  <c r="I176" i="1"/>
  <c r="I175" i="1"/>
  <c r="M174" i="1"/>
  <c r="J174" i="1"/>
  <c r="G216" i="2" l="1"/>
  <c r="G214" i="2" s="1"/>
  <c r="L188" i="1"/>
  <c r="M185" i="1"/>
  <c r="M184" i="1" s="1"/>
  <c r="M183" i="1"/>
  <c r="L183" i="1" s="1"/>
  <c r="J185" i="1"/>
  <c r="J184" i="1" s="1"/>
  <c r="I184" i="1" s="1"/>
  <c r="J183" i="1"/>
  <c r="I183" i="1" s="1"/>
  <c r="F236" i="2"/>
  <c r="I188" i="1"/>
  <c r="F216" i="2"/>
  <c r="F214" i="2" s="1"/>
  <c r="I174" i="1"/>
  <c r="F190" i="2"/>
  <c r="J154" i="1"/>
  <c r="I154" i="1" s="1"/>
  <c r="F202" i="2"/>
  <c r="F207" i="2" s="1"/>
  <c r="G186" i="1"/>
  <c r="G184" i="1" s="1"/>
  <c r="F184" i="1" s="1"/>
  <c r="E230" i="2"/>
  <c r="E214" i="2" s="1"/>
  <c r="L174" i="1"/>
  <c r="G190" i="2"/>
  <c r="G193" i="2" s="1"/>
  <c r="G154" i="1"/>
  <c r="F154" i="1" s="1"/>
  <c r="E194" i="2"/>
  <c r="M154" i="1"/>
  <c r="L154" i="1" s="1"/>
  <c r="G202" i="2"/>
  <c r="L184" i="1"/>
  <c r="F183" i="1"/>
  <c r="F177" i="1"/>
  <c r="O177" i="1" s="1"/>
  <c r="L179" i="1"/>
  <c r="I179" i="1"/>
  <c r="F190" i="1"/>
  <c r="O190" i="1" s="1"/>
  <c r="F213" i="2" l="1"/>
  <c r="G213" i="2"/>
  <c r="O174" i="1"/>
  <c r="F186" i="1"/>
  <c r="L185" i="1"/>
  <c r="G192" i="2"/>
  <c r="E232" i="2"/>
  <c r="F192" i="2"/>
  <c r="I185" i="1"/>
  <c r="O184" i="1"/>
  <c r="O188" i="1"/>
  <c r="O179" i="1"/>
  <c r="O183" i="1" l="1"/>
  <c r="G171" i="1" l="1"/>
  <c r="F173" i="1"/>
  <c r="F172" i="1"/>
  <c r="F171" i="1" l="1"/>
  <c r="O171" i="1" s="1"/>
  <c r="E186" i="2"/>
  <c r="I168" i="1"/>
  <c r="I169" i="1"/>
  <c r="I170" i="1"/>
  <c r="L168" i="1"/>
  <c r="L169" i="1"/>
  <c r="L170" i="1"/>
  <c r="M167" i="1"/>
  <c r="G175" i="2" s="1"/>
  <c r="I154" i="2" s="1"/>
  <c r="J167" i="1"/>
  <c r="F164" i="1"/>
  <c r="F165" i="1"/>
  <c r="F166" i="1"/>
  <c r="G163" i="1"/>
  <c r="M159" i="1"/>
  <c r="G159" i="1"/>
  <c r="I161" i="1"/>
  <c r="I162" i="1"/>
  <c r="I160" i="1"/>
  <c r="L161" i="1"/>
  <c r="L162" i="1"/>
  <c r="L160" i="1"/>
  <c r="F156" i="1"/>
  <c r="F158" i="1"/>
  <c r="F157" i="1"/>
  <c r="G155" i="1"/>
  <c r="E157" i="2" s="1"/>
  <c r="L137" i="1"/>
  <c r="L136" i="1" s="1"/>
  <c r="I137" i="1"/>
  <c r="I136" i="1" s="1"/>
  <c r="F137" i="1"/>
  <c r="F140" i="1"/>
  <c r="O137" i="1" l="1"/>
  <c r="J153" i="1"/>
  <c r="I153" i="1" s="1"/>
  <c r="F160" i="2"/>
  <c r="F163" i="1"/>
  <c r="O163" i="1" s="1"/>
  <c r="E164" i="2"/>
  <c r="E174" i="2" s="1"/>
  <c r="I167" i="1"/>
  <c r="F175" i="2"/>
  <c r="E189" i="2"/>
  <c r="E188" i="2"/>
  <c r="F193" i="2"/>
  <c r="E159" i="2"/>
  <c r="M153" i="1"/>
  <c r="L153" i="1" s="1"/>
  <c r="G160" i="2"/>
  <c r="L167" i="1"/>
  <c r="O167" i="1" s="1"/>
  <c r="G153" i="1"/>
  <c r="F153" i="1" s="1"/>
  <c r="G152" i="1"/>
  <c r="M145" i="1"/>
  <c r="L145" i="1" s="1"/>
  <c r="J145" i="1"/>
  <c r="I145" i="1" s="1"/>
  <c r="G145" i="1"/>
  <c r="F145" i="1" s="1"/>
  <c r="J152" i="1"/>
  <c r="M152" i="1"/>
  <c r="F155" i="1"/>
  <c r="O155" i="1" s="1"/>
  <c r="I159" i="1"/>
  <c r="L159" i="1"/>
  <c r="J136" i="1"/>
  <c r="O140" i="1"/>
  <c r="M136" i="1"/>
  <c r="G136" i="1"/>
  <c r="F136" i="1" s="1"/>
  <c r="F138" i="1"/>
  <c r="O138" i="1" s="1"/>
  <c r="J131" i="1"/>
  <c r="G131" i="1"/>
  <c r="F131" i="1" s="1"/>
  <c r="F134" i="1"/>
  <c r="O134" i="1" s="1"/>
  <c r="L132" i="1"/>
  <c r="I132" i="1"/>
  <c r="M131" i="1"/>
  <c r="L131" i="1" s="1"/>
  <c r="J130" i="1"/>
  <c r="I130" i="1" s="1"/>
  <c r="F132" i="1"/>
  <c r="I152" i="2" l="1"/>
  <c r="G163" i="2"/>
  <c r="F163" i="2"/>
  <c r="F155" i="2"/>
  <c r="F185" i="2"/>
  <c r="G185" i="2"/>
  <c r="F162" i="2"/>
  <c r="G155" i="2"/>
  <c r="G162" i="2"/>
  <c r="E155" i="2"/>
  <c r="O159" i="1"/>
  <c r="M144" i="1"/>
  <c r="L144" i="1" s="1"/>
  <c r="L152" i="1"/>
  <c r="G144" i="1"/>
  <c r="F144" i="1" s="1"/>
  <c r="F152" i="1"/>
  <c r="J144" i="1"/>
  <c r="I144" i="1" s="1"/>
  <c r="I152" i="1"/>
  <c r="O132" i="1"/>
  <c r="G130" i="1"/>
  <c r="F130" i="1" s="1"/>
  <c r="M130" i="1"/>
  <c r="L130" i="1" s="1"/>
  <c r="I131" i="1"/>
  <c r="O131" i="1" s="1"/>
  <c r="I128" i="1"/>
  <c r="O128" i="1" s="1"/>
  <c r="M122" i="1"/>
  <c r="J122" i="1"/>
  <c r="I113" i="1"/>
  <c r="F117" i="1"/>
  <c r="F118" i="1"/>
  <c r="F113" i="1"/>
  <c r="F124" i="1"/>
  <c r="F123" i="1"/>
  <c r="G122" i="1"/>
  <c r="J110" i="1"/>
  <c r="J109" i="1" s="1"/>
  <c r="G111" i="1"/>
  <c r="G35" i="1" s="1"/>
  <c r="F35" i="1" s="1"/>
  <c r="G110" i="1"/>
  <c r="G109" i="1" l="1"/>
  <c r="F105" i="2"/>
  <c r="F107" i="2" s="1"/>
  <c r="I122" i="1"/>
  <c r="F110" i="2"/>
  <c r="F110" i="1"/>
  <c r="E105" i="2"/>
  <c r="E107" i="2" s="1"/>
  <c r="I110" i="1"/>
  <c r="I109" i="1" s="1"/>
  <c r="G107" i="2"/>
  <c r="F122" i="1"/>
  <c r="E110" i="2"/>
  <c r="E113" i="2" s="1"/>
  <c r="L122" i="1"/>
  <c r="G110" i="2"/>
  <c r="O144" i="1"/>
  <c r="F111" i="1"/>
  <c r="G61" i="1"/>
  <c r="J106" i="1"/>
  <c r="I106" i="1" s="1"/>
  <c r="I107" i="1"/>
  <c r="F105" i="1"/>
  <c r="G104" i="1"/>
  <c r="E94" i="2" s="1"/>
  <c r="E100" i="2" s="1"/>
  <c r="J102" i="1"/>
  <c r="G102" i="1"/>
  <c r="L103" i="1"/>
  <c r="I103" i="1"/>
  <c r="F103" i="1"/>
  <c r="E93" i="2" l="1"/>
  <c r="E99" i="2" s="1"/>
  <c r="F109" i="1"/>
  <c r="O110" i="1"/>
  <c r="L102" i="1"/>
  <c r="I102" i="1"/>
  <c r="F104" i="1"/>
  <c r="O122" i="1"/>
  <c r="G26" i="1"/>
  <c r="G16" i="1" s="1"/>
  <c r="F61" i="1"/>
  <c r="G99" i="1"/>
  <c r="F102" i="1"/>
  <c r="J100" i="1"/>
  <c r="F92" i="2" s="1"/>
  <c r="F98" i="2" s="1"/>
  <c r="L101" i="1"/>
  <c r="I101" i="1"/>
  <c r="F101" i="1"/>
  <c r="F100" i="1"/>
  <c r="M99" i="1" l="1"/>
  <c r="F99" i="1"/>
  <c r="E90" i="2"/>
  <c r="J99" i="1"/>
  <c r="F26" i="1"/>
  <c r="F16" i="1" s="1"/>
  <c r="I100" i="1"/>
  <c r="L100" i="1"/>
  <c r="G94" i="1"/>
  <c r="E84" i="2" s="1"/>
  <c r="E88" i="2" s="1"/>
  <c r="G97" i="1"/>
  <c r="I97" i="1"/>
  <c r="I98" i="1"/>
  <c r="I96" i="1"/>
  <c r="I95" i="1"/>
  <c r="F98" i="1"/>
  <c r="F95" i="1"/>
  <c r="L89" i="1"/>
  <c r="I89" i="1"/>
  <c r="I90" i="1"/>
  <c r="I91" i="1"/>
  <c r="I86" i="1"/>
  <c r="L85" i="1"/>
  <c r="I85" i="1"/>
  <c r="G79" i="1"/>
  <c r="G78" i="1"/>
  <c r="F81" i="1"/>
  <c r="F82" i="1"/>
  <c r="F80" i="1"/>
  <c r="F78" i="1"/>
  <c r="L76" i="1"/>
  <c r="I76" i="1"/>
  <c r="F76" i="1"/>
  <c r="M75" i="1"/>
  <c r="J75" i="1"/>
  <c r="G75" i="1"/>
  <c r="L74" i="1"/>
  <c r="I74" i="1"/>
  <c r="F74" i="1"/>
  <c r="M73" i="1"/>
  <c r="J73" i="1"/>
  <c r="J60" i="1" s="1"/>
  <c r="I60" i="1" s="1"/>
  <c r="G73" i="1"/>
  <c r="G60" i="1" s="1"/>
  <c r="F60" i="1" s="1"/>
  <c r="F72" i="1"/>
  <c r="G71" i="1"/>
  <c r="M69" i="1"/>
  <c r="J69" i="1"/>
  <c r="G69" i="1"/>
  <c r="E51" i="2" s="1"/>
  <c r="L70" i="1"/>
  <c r="I70" i="1"/>
  <c r="F70" i="1"/>
  <c r="L65" i="1"/>
  <c r="L66" i="1"/>
  <c r="L67" i="1"/>
  <c r="L68" i="1"/>
  <c r="L64" i="1"/>
  <c r="M63" i="1"/>
  <c r="I65" i="1"/>
  <c r="I66" i="1"/>
  <c r="I67" i="1"/>
  <c r="I68" i="1"/>
  <c r="I64" i="1"/>
  <c r="J63" i="1"/>
  <c r="F46" i="2" s="1"/>
  <c r="F65" i="1"/>
  <c r="F66" i="1"/>
  <c r="F67" i="1"/>
  <c r="F68" i="1"/>
  <c r="F64" i="1"/>
  <c r="F63" i="1"/>
  <c r="M60" i="1" l="1"/>
  <c r="L60" i="1" s="1"/>
  <c r="J59" i="1"/>
  <c r="J58" i="1" s="1"/>
  <c r="M59" i="1"/>
  <c r="G46" i="2"/>
  <c r="G50" i="2" s="1"/>
  <c r="L84" i="1"/>
  <c r="L83" i="1" s="1"/>
  <c r="G76" i="2"/>
  <c r="G77" i="1"/>
  <c r="E70" i="2"/>
  <c r="E73" i="2" s="1"/>
  <c r="F50" i="2"/>
  <c r="F48" i="2"/>
  <c r="I69" i="1"/>
  <c r="F51" i="2"/>
  <c r="F71" i="1"/>
  <c r="O71" i="1" s="1"/>
  <c r="E55" i="2"/>
  <c r="E57" i="2" s="1"/>
  <c r="F73" i="1"/>
  <c r="E58" i="2"/>
  <c r="E60" i="2" s="1"/>
  <c r="L73" i="1"/>
  <c r="G58" i="2"/>
  <c r="G60" i="2" s="1"/>
  <c r="F75" i="1"/>
  <c r="E62" i="2"/>
  <c r="L75" i="1"/>
  <c r="G62" i="2"/>
  <c r="I84" i="1"/>
  <c r="F84" i="2"/>
  <c r="F88" i="2" s="1"/>
  <c r="E54" i="2"/>
  <c r="E53" i="2"/>
  <c r="L69" i="1"/>
  <c r="G51" i="2"/>
  <c r="I73" i="1"/>
  <c r="F58" i="2"/>
  <c r="F60" i="2" s="1"/>
  <c r="I75" i="1"/>
  <c r="F62" i="2"/>
  <c r="F97" i="1"/>
  <c r="E85" i="2"/>
  <c r="E89" i="2" s="1"/>
  <c r="I99" i="1"/>
  <c r="F90" i="2"/>
  <c r="L99" i="1"/>
  <c r="O26" i="1"/>
  <c r="O84" i="1"/>
  <c r="I63" i="1"/>
  <c r="L63" i="1"/>
  <c r="F69" i="1"/>
  <c r="F94" i="1"/>
  <c r="G93" i="1"/>
  <c r="F93" i="1" s="1"/>
  <c r="I94" i="1"/>
  <c r="O100" i="1"/>
  <c r="F79" i="1"/>
  <c r="O78" i="1" s="1"/>
  <c r="F54" i="1"/>
  <c r="F55" i="1"/>
  <c r="G53" i="1"/>
  <c r="I54" i="1"/>
  <c r="I55" i="1"/>
  <c r="J53" i="1"/>
  <c r="L54" i="1"/>
  <c r="L55" i="1"/>
  <c r="M53" i="1"/>
  <c r="L52" i="1"/>
  <c r="I51" i="1"/>
  <c r="I52" i="1"/>
  <c r="F52" i="1"/>
  <c r="M50" i="1"/>
  <c r="J50" i="1"/>
  <c r="G50" i="1"/>
  <c r="M48" i="1"/>
  <c r="L48" i="1" s="1"/>
  <c r="G48" i="1"/>
  <c r="L49" i="1"/>
  <c r="I48" i="1"/>
  <c r="I49" i="1"/>
  <c r="F49" i="1"/>
  <c r="F44" i="1"/>
  <c r="O44" i="1" s="1"/>
  <c r="F46" i="1"/>
  <c r="F45" i="1"/>
  <c r="L45" i="1"/>
  <c r="L46" i="1"/>
  <c r="G27" i="2"/>
  <c r="G30" i="2" s="1"/>
  <c r="L42" i="1"/>
  <c r="L43" i="1"/>
  <c r="I42" i="1"/>
  <c r="I43" i="1"/>
  <c r="F43" i="1"/>
  <c r="F42" i="1"/>
  <c r="M41" i="1"/>
  <c r="J41" i="1"/>
  <c r="G41" i="1"/>
  <c r="M24" i="1" l="1"/>
  <c r="L24" i="1" s="1"/>
  <c r="M58" i="1"/>
  <c r="L58" i="1" s="1"/>
  <c r="G79" i="2"/>
  <c r="G80" i="2"/>
  <c r="R14" i="1"/>
  <c r="T14" i="1"/>
  <c r="G59" i="1"/>
  <c r="G58" i="1" s="1"/>
  <c r="F58" i="1" s="1"/>
  <c r="J24" i="1"/>
  <c r="J14" i="1" s="1"/>
  <c r="S14" i="1"/>
  <c r="G48" i="2"/>
  <c r="O69" i="1"/>
  <c r="G24" i="1"/>
  <c r="G14" i="1" s="1"/>
  <c r="M38" i="1"/>
  <c r="G31" i="2"/>
  <c r="M40" i="1"/>
  <c r="L40" i="1" s="1"/>
  <c r="I83" i="1"/>
  <c r="F77" i="1"/>
  <c r="F22" i="2"/>
  <c r="J38" i="1"/>
  <c r="F31" i="2"/>
  <c r="J40" i="1"/>
  <c r="I59" i="1"/>
  <c r="I58" i="1"/>
  <c r="O73" i="1"/>
  <c r="O75" i="1"/>
  <c r="E74" i="2"/>
  <c r="E22" i="2"/>
  <c r="G22" i="2"/>
  <c r="E32" i="2"/>
  <c r="E40" i="2" s="1"/>
  <c r="E31" i="2"/>
  <c r="E44" i="2" s="1"/>
  <c r="G32" i="2"/>
  <c r="G40" i="2" s="1"/>
  <c r="I50" i="1"/>
  <c r="F33" i="2"/>
  <c r="F41" i="2" s="1"/>
  <c r="L53" i="1"/>
  <c r="G34" i="2"/>
  <c r="G42" i="2" s="1"/>
  <c r="F53" i="1"/>
  <c r="E34" i="2"/>
  <c r="E42" i="2" s="1"/>
  <c r="G53" i="2"/>
  <c r="G54" i="2"/>
  <c r="F80" i="2"/>
  <c r="F79" i="2"/>
  <c r="F53" i="2"/>
  <c r="F54" i="2"/>
  <c r="G29" i="2"/>
  <c r="F32" i="2"/>
  <c r="F40" i="2" s="1"/>
  <c r="F50" i="1"/>
  <c r="E33" i="2"/>
  <c r="E41" i="2" s="1"/>
  <c r="L50" i="1"/>
  <c r="G33" i="2"/>
  <c r="G41" i="2" s="1"/>
  <c r="I53" i="1"/>
  <c r="F34" i="2"/>
  <c r="F42" i="2" s="1"/>
  <c r="E82" i="2"/>
  <c r="O99" i="1"/>
  <c r="I93" i="1"/>
  <c r="O93" i="1" s="1"/>
  <c r="F82" i="2"/>
  <c r="J39" i="1"/>
  <c r="G39" i="1"/>
  <c r="G38" i="1"/>
  <c r="M39" i="1"/>
  <c r="F48" i="1"/>
  <c r="O48" i="1" s="1"/>
  <c r="G40" i="1"/>
  <c r="F40" i="1" s="1"/>
  <c r="O63" i="1"/>
  <c r="F41" i="1"/>
  <c r="L41" i="1"/>
  <c r="I41" i="1"/>
  <c r="L59" i="1"/>
  <c r="O49" i="1"/>
  <c r="M14" i="1" l="1"/>
  <c r="I24" i="1"/>
  <c r="I14" i="1" s="1"/>
  <c r="J25" i="1"/>
  <c r="J15" i="1" s="1"/>
  <c r="M25" i="1"/>
  <c r="M15" i="1" s="1"/>
  <c r="G25" i="1"/>
  <c r="G15" i="1" s="1"/>
  <c r="G20" i="2"/>
  <c r="G16" i="2" s="1"/>
  <c r="F20" i="2"/>
  <c r="F16" i="2" s="1"/>
  <c r="G44" i="2"/>
  <c r="I40" i="1"/>
  <c r="E20" i="2"/>
  <c r="E16" i="2" s="1"/>
  <c r="F26" i="2"/>
  <c r="F24" i="2"/>
  <c r="O41" i="1"/>
  <c r="O53" i="1"/>
  <c r="F59" i="1"/>
  <c r="L14" i="1"/>
  <c r="F24" i="1"/>
  <c r="F14" i="1" s="1"/>
  <c r="O50" i="1"/>
  <c r="G24" i="2"/>
  <c r="G26" i="2"/>
  <c r="E24" i="2"/>
  <c r="O58" i="1"/>
  <c r="F44" i="2"/>
  <c r="L38" i="1"/>
  <c r="F38" i="1"/>
  <c r="I38" i="1"/>
  <c r="L39" i="1"/>
  <c r="F39" i="1"/>
  <c r="I39" i="1"/>
  <c r="P14" i="1" l="1"/>
  <c r="I16" i="2"/>
  <c r="O24" i="1"/>
  <c r="O38" i="1"/>
  <c r="F25" i="1"/>
  <c r="F15" i="1" s="1"/>
  <c r="L25" i="1"/>
  <c r="L15" i="1" s="1"/>
  <c r="I25" i="1"/>
  <c r="I15" i="1" s="1"/>
  <c r="O25" i="1" l="1"/>
</calcChain>
</file>

<file path=xl/sharedStrings.xml><?xml version="1.0" encoding="utf-8"?>
<sst xmlns="http://schemas.openxmlformats.org/spreadsheetml/2006/main" count="1526" uniqueCount="438">
  <si>
    <t>№ оперативної цілі</t>
  </si>
  <si>
    <t>Назва завдання та заходу</t>
  </si>
  <si>
    <t>КПКВК</t>
  </si>
  <si>
    <t>Виконавець ГРБК</t>
  </si>
  <si>
    <t>Джерела фінансування</t>
  </si>
  <si>
    <t>Обсяги фінансування програми,тис.грн.</t>
  </si>
  <si>
    <t>2022 рік (план)</t>
  </si>
  <si>
    <t>2023 рік (план)</t>
  </si>
  <si>
    <t>2024 рік (план)</t>
  </si>
  <si>
    <t>Усього</t>
  </si>
  <si>
    <t>заг.фонд</t>
  </si>
  <si>
    <t>спец.фонд.</t>
  </si>
  <si>
    <t>Всього на виконання програми, у т.ч.</t>
  </si>
  <si>
    <t>Бюджет ТГ</t>
  </si>
  <si>
    <t>Додаток 2</t>
  </si>
  <si>
    <t>Перелік завдань і заходів цільової програми</t>
  </si>
  <si>
    <t>Додаток 3</t>
  </si>
  <si>
    <t>Результативні показники/індикатори програми</t>
  </si>
  <si>
    <t>Назва індикатора,завдання, заходу , відповідального виконавця, головного розпорядника бюджетних коштів,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</si>
  <si>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</si>
  <si>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</si>
  <si>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</si>
  <si>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Планові значення показників за роками виконання</t>
  </si>
  <si>
    <t>2022 рік</t>
  </si>
  <si>
    <t>2023 рік</t>
  </si>
  <si>
    <t>2024 рік</t>
  </si>
  <si>
    <t>Продукту</t>
  </si>
  <si>
    <t xml:space="preserve">Якості </t>
  </si>
  <si>
    <t>Витрат</t>
  </si>
  <si>
    <t>Ефективності</t>
  </si>
  <si>
    <t>Комплексна Програма Сумської міської територіальної громади "Охорона здоров'я" на 2022-2024 роки" (зі змінами)</t>
  </si>
  <si>
    <t>Розвиток первинної медико-санітарної допомоги</t>
  </si>
  <si>
    <t>1.1.2. Сприяння забезпеченню проведення туберкулінодіагностики (закупівля туберкуліну)</t>
  </si>
  <si>
    <t>1.1.1. Покриття вартості комунальних послуг та енергоносіїв</t>
  </si>
  <si>
    <t>1.1.3.  Сприяння забезпеченню лікувальним харчуванням  дітей хворих на   рідкісні (орфанні) захворювання</t>
  </si>
  <si>
    <t>1.1.5. Сприяння забезпеченню спеціальним харчуванням дітей народжених від ВІЛ-  інфікованих матерів</t>
  </si>
  <si>
    <t>Завдання 1.1., усього</t>
  </si>
  <si>
    <t>Завдання 1.2., усього</t>
  </si>
  <si>
    <t>Розвиток вторинної (спеціалізованої)/третинної (високоспеціалізованої) медичної допомоги</t>
  </si>
  <si>
    <t>1.2.1. Покриття вартості комунальних послуг та енергоносіїв</t>
  </si>
  <si>
    <t>1.2.2. Сприяння забезпеченню надання антирабічної допомоги</t>
  </si>
  <si>
    <t>1.2.3. Сприяння забезпеченню  первинного підвищення кваліфікації випускників вищих медичних закладів (інтернатура 3 рік навчання)</t>
  </si>
  <si>
    <t>1.2.4. Проведення обов'язкових  профілактичних оглядів  з видачею  особистих медичних книжок працівникам бюджетної сфери</t>
  </si>
  <si>
    <t>1.2.5. Забезпечення функціонування відділення медико-соціальної допомоги дітям та молоді "Клініка, дружня до молоді" та утримання лікарів логопедів</t>
  </si>
  <si>
    <t xml:space="preserve">Забезпечення надання акушерсько - гінекологічної допомоги </t>
  </si>
  <si>
    <t>Завдання 1.3., усього</t>
  </si>
  <si>
    <t>1.3.1. Покриття вартості комунальних послуг та енергоносіїв</t>
  </si>
  <si>
    <t>1.3.2. Сприяння забезпеченню  первинного підвищення кваліфікації випускників вищих медичних закладів (інтернатура 3 рік навчання)</t>
  </si>
  <si>
    <t>Завдання 1.4., усього</t>
  </si>
  <si>
    <t xml:space="preserve">Збереження стоматологічного здоров'я населення </t>
  </si>
  <si>
    <t>Завдання 2.1., усього</t>
  </si>
  <si>
    <t>Виконання соціальних гарантій пільгових категорій громадян</t>
  </si>
  <si>
    <t>Завдання3.1., усього</t>
  </si>
  <si>
    <t>Інші заклади</t>
  </si>
  <si>
    <t>Зміцнення та оновлення матеріально-технічної бази закладів охорони здоров'я</t>
  </si>
  <si>
    <t xml:space="preserve">4.1.1. Придбання обладнання          </t>
  </si>
  <si>
    <t>Управління охорони здоров'я СМР</t>
  </si>
  <si>
    <t>0712111</t>
  </si>
  <si>
    <t>КНП "Центр первинної медико-санітарної допомоги №1" СМР</t>
  </si>
  <si>
    <t>КНП "Центр первинної медико-санітарної допомоги №2" СМР</t>
  </si>
  <si>
    <t>0712152</t>
  </si>
  <si>
    <t>1.1.4. Сприяння забезпеченню продуктами харчування дітей віком від 0-2 років з малозабезпечених сімей</t>
  </si>
  <si>
    <t>0712010</t>
  </si>
  <si>
    <t>КНП "Центральна міська клінічна лікарня" СМР</t>
  </si>
  <si>
    <t>КНП "Клінічна ліарня №4" СМР</t>
  </si>
  <si>
    <t>КНП "Клінічна ліарня №5" СМР</t>
  </si>
  <si>
    <t>КНП "Дитяча клінічна лікарня Св.Зінаїди"СМР</t>
  </si>
  <si>
    <t>КНП "Клінічна лікарня Св.Пантлеймона" СМР</t>
  </si>
  <si>
    <t>Інша субвенція з бюджету Миколаївської селищної ТГ</t>
  </si>
  <si>
    <t>0712030</t>
  </si>
  <si>
    <t xml:space="preserve">1.4.1. Сприяння наданню амбулаторної стоматологічної допомоги  дорослому населенню пільгових категорій  </t>
  </si>
  <si>
    <t>0712100</t>
  </si>
  <si>
    <t xml:space="preserve">2.1.2. Сприяння забезпеченню  безоплатного та пільгового відпуску лікарських засобів під час амбулаторного лікування окремих груп населення та за певними категоріями захворювань </t>
  </si>
  <si>
    <t>2.1.1. Сприяння забезпеченню  пільгової категорії  населення лікарськими засобами за безкоштовними рецептами</t>
  </si>
  <si>
    <t>2.1.3. Забезпечення осіб з інвалідністю, дітей з інвалідністю технічними та іншими засобами для догляду у домашніх умовах</t>
  </si>
  <si>
    <t>2.1.4. Сприяння забезпеченню осіб з інвалідністю, дітей з інвалідністю медичними засобами та іншими засобами для використання в амбулаторних умовах</t>
  </si>
  <si>
    <t>КНП "Клінічна стоматологічна поліклініка" СМР</t>
  </si>
  <si>
    <t>2.1.6. Сприяння забезпеченню надання громадянам послуг з проведення зубопротезування на пільгових умовах</t>
  </si>
  <si>
    <t>2.1.7. Сприяння забезпеченню слуховими апаратами та мовними процесорами дорослого населення з інвалідністю</t>
  </si>
  <si>
    <t>2.1.8. Сприяння забезпеченню слуховими апаратами, мовними процесорами та іншими технічними виробами підлягаючих дорослих осіб</t>
  </si>
  <si>
    <t>0712151</t>
  </si>
  <si>
    <t>Управління охорони здоров'я Сумської міської ради</t>
  </si>
  <si>
    <t>КНП СОР "Сумський обласний центр екстренної медичної допомоги та медицини катастроф"</t>
  </si>
  <si>
    <t>КНП "Клінічна лікарня Святого Пантлеймона" СМР</t>
  </si>
  <si>
    <t>0712070</t>
  </si>
  <si>
    <t>КНП "Дитяча клінічна лікарня Святої Зінаїди" СМР</t>
  </si>
  <si>
    <t>КНП "Клінічна лікарня № 4" СМР</t>
  </si>
  <si>
    <t>КНП "Клінічна лікарня № 5" СМР</t>
  </si>
  <si>
    <t>КНП "Клінічний пологовий будинок Пресвятої Діви Марії" СМР</t>
  </si>
  <si>
    <t xml:space="preserve">КНП "Клінічна стоматологічна поліклініка" СМР </t>
  </si>
  <si>
    <t>1517322</t>
  </si>
  <si>
    <t>Управління капітального будівництва та дорожнього господарства Сумської міської ради</t>
  </si>
  <si>
    <t>Управління капітального будівництва та дорожнього господарства  СМР</t>
  </si>
  <si>
    <t>Управління капітального будівництва та дорожнього господарства СМР</t>
  </si>
  <si>
    <t>0717361</t>
  </si>
  <si>
    <t>"Субвеція з місцевого бюджету на закупівлю опорними закладами охорони здоров'я послуг щодо проектування та встановлення кисневих станцій за рахунок залишку коштів відповідної субвенції з державного бюджет, що утворився на початок бюджетного періоду"</t>
  </si>
  <si>
    <t>КНП "Центр первинної медико-санітарної допомоги № 1" СМР</t>
  </si>
  <si>
    <t>Усього по підпрограмі 1</t>
  </si>
  <si>
    <t>Усього по підпрограмі 2</t>
  </si>
  <si>
    <t xml:space="preserve">Усього по підпрограмі 4 </t>
  </si>
  <si>
    <t>Разом по заходу 4.1.1.</t>
  </si>
  <si>
    <t>Разом по заходу 4.1.3.</t>
  </si>
  <si>
    <t>Інші надходження (спеціальний фонд)</t>
  </si>
  <si>
    <t xml:space="preserve">Усього по підпрограмі 3 </t>
  </si>
  <si>
    <t>Програма 1 Покращення надання медичної допомоги населенню</t>
  </si>
  <si>
    <t>обсяг видатків</t>
  </si>
  <si>
    <t>од.</t>
  </si>
  <si>
    <t>грн.</t>
  </si>
  <si>
    <t>кількість установ</t>
  </si>
  <si>
    <t>середні витрати на 1 заклад</t>
  </si>
  <si>
    <t>рівень забезпечення</t>
  </si>
  <si>
    <t>%</t>
  </si>
  <si>
    <t>динаміка обсягу витрат на забезпечення покриття вартості комінальних послуг та енергоносіїв порівняно допопереднього року</t>
  </si>
  <si>
    <t>1.1.1. Покриття вартості комунальних послуг та енергоносіїв, КПКВК 0712111</t>
  </si>
  <si>
    <t>Всього на виконання підпрограми 1</t>
  </si>
  <si>
    <t>1.1.2. Сприяння забезпеченню проведення туберкулінодіагностики (закупівля туберкуліну), КПКВК 0712152</t>
  </si>
  <si>
    <t xml:space="preserve"> 1.2.1. Покриття вартості комунальних послуг та енергоносіїв, КПКВК 0712010</t>
  </si>
  <si>
    <t>1.2.2. Сприяння забезпеченню надання антирабічної допомоги, КПКВК 0712010</t>
  </si>
  <si>
    <t>1.2.3. Сприяння забезпеченню  первинного підвищення кваліфікації випускників вищих медичних закладів (інтернатура 3 рік навчання), КПКВК 0712010</t>
  </si>
  <si>
    <t>1.2.4. Проведення обов'язкових  профілактичних оглядів  з видачею  особистих медичних книжок працівникам бюджетної сфери, КПКВК 0712152</t>
  </si>
  <si>
    <t>1.2.5. Забезпеченню функціонування відділення медико-соціальної допомоги дітям та молоді "Клініка, дружня до молоді" та утримання лікарів логопедів, КПКВК 0712010</t>
  </si>
  <si>
    <t>1.3.1. Покриття вартості комунальних послуг та енергоносіїв, КПКВК 0712030</t>
  </si>
  <si>
    <t xml:space="preserve">1.4.1.Сприяння наданню амбулаторної стоматологічної допомоги  дорослому населенню пільгових категорій , КПКВК 0712100          </t>
  </si>
  <si>
    <t>ПІДПРОГРАМА 2. Забезпечення соціальних стандартів у сфері охорони здоров'я</t>
  </si>
  <si>
    <t xml:space="preserve">2.1.1.Сприяння забезпеченню пільгової категорії населення лікарськими засобами за безкоштовними рецептами  , КПКВК 0712152 </t>
  </si>
  <si>
    <t>2.1.2.Сприяння забезпеченню  безоплатного та пільгового відпуску лікарських засобів під час амбулаторного лікування окремих груп населення та за певними категоріями захворювань, КПКВК 0712152</t>
  </si>
  <si>
    <t>2.1.3. Забезпечення осіб з інвалідністю, дітей з інвалідністю технічними та іншими засобами для догляду у домашніх умовах , КПКВК 0712152</t>
  </si>
  <si>
    <t>2.1.4. Забезпечення осіб з інвалідністю, дітей з інвалідністю медичними засобами та іншими засобами для використання в амбулаторних умовах, КПКВК 0712152</t>
  </si>
  <si>
    <t>2.1.5. Сприяння забезпеченню надання громадянам  послуг по зубопротезуванню на пільгових умовах, КПКВК 0712152</t>
  </si>
  <si>
    <t>2.1.6. Сприяння забезпеченню надання громадянам  послуг з проведення зубопротезування на пільгових умовах,КПКВК 0712152</t>
  </si>
  <si>
    <t>2.1.7. Сприяння забезпеченню слуховими апаратами та мовними процесорами дорослого населення з інвалідністю, КПКВК 0712010</t>
  </si>
  <si>
    <t>2.1.8. Сприяння забезпеченню слуховими апаратами, мовними процесорами та іншими технічними виробами підлягаючих дорослих осіб,КПКВК 0712010</t>
  </si>
  <si>
    <t>кількість дітей, яким планується  провести туберкулінодіагностику</t>
  </si>
  <si>
    <t>осіб</t>
  </si>
  <si>
    <t>витрати на одного пацієнта</t>
  </si>
  <si>
    <t>динамика обсягу витрат на проведення туберкулінодіагностики (придбання туберкуліну) порівняно до попереднього року</t>
  </si>
  <si>
    <t>лікувальне харчування для  дітей  з рідкісними (орфанними) захворюваннями</t>
  </si>
  <si>
    <t>продукти  харчування дітей віком від 0-2 років  з малозабезпечених сімей</t>
  </si>
  <si>
    <t>продукти дитячого харчування дітям, народженим від ВІЛ-інфікованих матерів</t>
  </si>
  <si>
    <t>кількість дітей  з рідкісними (орфанними) захворюваннями</t>
  </si>
  <si>
    <t>кількість дітей   віком від 0-2 років з малозабезпечених  сімей</t>
  </si>
  <si>
    <t>кількість дітей, народжених від ВІЛ-інфікованих матерів</t>
  </si>
  <si>
    <t>середні витрати  на одну дитину з орфанними захворюваннями,</t>
  </si>
  <si>
    <t>середні витрати  на одну дитину від 0-2 років з малозабезпечених  сімей</t>
  </si>
  <si>
    <t>середні витрати на одну дитину народжену від ВІЛ - інфікованої матері</t>
  </si>
  <si>
    <t>динамика обсягу витрат на забезпечення  лікувальним харчуванням  дітей хворих на орфанні  рідкісні захворювання,   продуктами харчування дітей віком від 0-2 років з малозабезпечених сімей та дітей народжених від ВІЛ -  інфікованих матерів порівняно до попереднього року</t>
  </si>
  <si>
    <t xml:space="preserve"> середні витрати на 1 заклад</t>
  </si>
  <si>
    <t>рівень забезпечення видатками</t>
  </si>
  <si>
    <t>динамика обсягу витрат на забезпечення покриття вартості комунальних послуг та енергоносіїв порівняно до попереднього року</t>
  </si>
  <si>
    <t>кількість осіб, яким проводиться щеплення ( по медичним висновкам)</t>
  </si>
  <si>
    <t>середні витрати на одну особу</t>
  </si>
  <si>
    <t>динаміка забезпечення надання антирабічної допомоги порівняно до попереднього року</t>
  </si>
  <si>
    <t>кількість штатних одиниць лікарів-інтернів</t>
  </si>
  <si>
    <t>витрати на утримання 1 посади лікаря - інтерна</t>
  </si>
  <si>
    <t>грн</t>
  </si>
  <si>
    <t>кількість працівників бюджетної сфери,  яким проводяться обов'язкові  профілактичні огляди  з видачею  особистих медичних книжок</t>
  </si>
  <si>
    <t>середня вартість проведеного медичного огляду однієї особи</t>
  </si>
  <si>
    <t>рівень охоплення</t>
  </si>
  <si>
    <t xml:space="preserve"> од.</t>
  </si>
  <si>
    <t>кількість штатних одиниць</t>
  </si>
  <si>
    <t>в т.ч. лікарі</t>
  </si>
  <si>
    <t>кількість лікарських відвідувань</t>
  </si>
  <si>
    <t>кількість  проведених бесід, семінарів, лекцій</t>
  </si>
  <si>
    <t>кількість лікарських відвідувань на одну штатну посаду лікаря</t>
  </si>
  <si>
    <t>кількість проведених лекцій, бесід, семінарів на 1 лікаря</t>
  </si>
  <si>
    <t>зниження незапланованої вагітності у неповнолітніх</t>
  </si>
  <si>
    <t>кількість медичних працівників, що входять до складу комісії</t>
  </si>
  <si>
    <t>середні витрати на 1 обстеження</t>
  </si>
  <si>
    <t>середні витрати на одного медичного працівника</t>
  </si>
  <si>
    <t>рівень охоплення  медичними оглядами</t>
  </si>
  <si>
    <t>кількість кандидатів на військову службу</t>
  </si>
  <si>
    <t>рівень охоплення медичними оглядами</t>
  </si>
  <si>
    <t>в т.ч.:</t>
  </si>
  <si>
    <t>витрати на закупівлю ендопротезів колінних і кульшових суглобів</t>
  </si>
  <si>
    <t>витрати на закупівлю ендопротезів судин</t>
  </si>
  <si>
    <t>кількість пацієнтів, яким проводиться ендопротезування колінних і кульшових суглобів</t>
  </si>
  <si>
    <t>кількість пацієнтів, яким проводиться ендопротезування судин</t>
  </si>
  <si>
    <t>середні витрати на одного пацієнта при  ендопротезвунні  колінних і кульшових суглобів</t>
  </si>
  <si>
    <t>середні витрати на одного пацієнта при ендопротезвунні  судин</t>
  </si>
  <si>
    <t>придбання  медичного  препарату  "Октагам" для дітей, хворих  на вроджений імунодифіцит</t>
  </si>
  <si>
    <t>придбання медичних препаратів "Хуміра" , "Актембра","Методжект" для дітей хворих на ревматоїдний артрит</t>
  </si>
  <si>
    <t>придбання медичного препарату "Диспорт" для дітей хворих на церебральний параліч</t>
  </si>
  <si>
    <t>кількість дітей, які отримають медичний препарат "Диспорт"</t>
  </si>
  <si>
    <t>кількість дітей хворих на ювенальний ревматоїдний артрит , які отримають дороговартісні препарати</t>
  </si>
  <si>
    <t>кількість дітей, які отримають медичний препарат "Октагам"</t>
  </si>
  <si>
    <t>Середні витрати на одну дитину хвору на ювенальний ревматоїдний артрит</t>
  </si>
  <si>
    <t>Середні витрати на одну дитину хвору на вроджений імунодифіцит</t>
  </si>
  <si>
    <t>Середні витрати на одну дитину хвору на церебральний параліч</t>
  </si>
  <si>
    <t>кількість осіб, яким планується встановлення ортопедичних металоконструкцій</t>
  </si>
  <si>
    <t>середні видатки на одну особу</t>
  </si>
  <si>
    <t>кількість штатних посад,од.</t>
  </si>
  <si>
    <t>у т.ч.</t>
  </si>
  <si>
    <t>лікарів</t>
  </si>
  <si>
    <t>жінки</t>
  </si>
  <si>
    <t>чоловіки</t>
  </si>
  <si>
    <t>кількість пролікованих хворих</t>
  </si>
  <si>
    <t>кількість лікарських відвідувань на одну лікарську посаду</t>
  </si>
  <si>
    <t xml:space="preserve">грн. </t>
  </si>
  <si>
    <t>1.3.2. Сприяння забезпеченню  первинного підвищення кваліфікації випускників вищих медичних закладів (інтернатура 3 рік навчання), КПКВК 0712030</t>
  </si>
  <si>
    <t xml:space="preserve">грн </t>
  </si>
  <si>
    <t>середня вартість 1 лікарського відвідування (враховані видатки на комунальні послуги та енергоносії)</t>
  </si>
  <si>
    <t>кількість відвідувань на одну штатну посаду лікаря</t>
  </si>
  <si>
    <t>кількість пролікованих пацієнтів на одного лікаря</t>
  </si>
  <si>
    <t>кількість пролікованих пацієнтів</t>
  </si>
  <si>
    <t xml:space="preserve"> середні витрати на 1 заклад </t>
  </si>
  <si>
    <t>динамика обсягу витрат на забезпечення покриття вартості комунальних послуг та енергоносіїв порвняно до попереднього року</t>
  </si>
  <si>
    <t>Всього на виконання підпрограми 2</t>
  </si>
  <si>
    <t>кількість осіб пільгової категорії  населення, які отримають ліки на пільгових умовах</t>
  </si>
  <si>
    <t>динамика обсягу витрат на забезпечення пільгової категорії населення лікарськими засобами за безкоштовними рецептами порвняно до попереднього року</t>
  </si>
  <si>
    <t>придбання підгузків</t>
  </si>
  <si>
    <t>придбання калоприймачів, катетерів, уропрезервативи</t>
  </si>
  <si>
    <t>придбання прокладок урологічних</t>
  </si>
  <si>
    <t>кількість осіб, які отримають калоприймачі, катетери,уропрезервативи</t>
  </si>
  <si>
    <t>кількість осіб, які  отримають прокладок урологічних</t>
  </si>
  <si>
    <t>кількість осіб, які отримають підгузки</t>
  </si>
  <si>
    <t>витрати на одну особу, які отримали підгузки</t>
  </si>
  <si>
    <t>витрати на одну особу, які отримали калоприймачи, катетери, уропрезервативи</t>
  </si>
  <si>
    <t>витрати на одну особу, які отримали прокладки урологічної</t>
  </si>
  <si>
    <t>динамика обсягу витрат на забезпечення пільгової категорії населення  технічними та іншими засобами порівняно до попереднього року</t>
  </si>
  <si>
    <t>кількість осіб, які отримають послуги з зубного протезування</t>
  </si>
  <si>
    <t>середня вартість зубопротезування на одного пацієнта</t>
  </si>
  <si>
    <t>динамика обсягу витрат на забезпечення надання громадянам послуг по зубопротезуванню на пільгових умовах порвняно до попереднього року</t>
  </si>
  <si>
    <t>кількість осіб, яким встановлені/будуть встановлені до кінця року слухові апарати</t>
  </si>
  <si>
    <t>кількість осіб, яким встановлені/будуть встановлені до кінця року мовні процесори</t>
  </si>
  <si>
    <t>середні видатки на одну особу,щодо встановлення слухового апарату</t>
  </si>
  <si>
    <t>середні видатки на одну особу,щодо встановлення мовного процесора</t>
  </si>
  <si>
    <t>кількість  установ</t>
  </si>
  <si>
    <t>питома вага використаних коштів до затверджених по слуховим апаратам</t>
  </si>
  <si>
    <t>питома вага використаних коштів до затверджених по мовним процесорам</t>
  </si>
  <si>
    <t>Всього на виконання підпрограми 3</t>
  </si>
  <si>
    <t>ПІДПРОГРАМА3. Інші заходи та заклади у сфері охорони здоров'я</t>
  </si>
  <si>
    <t>кількість установ:</t>
  </si>
  <si>
    <t>обсяг витрат</t>
  </si>
  <si>
    <t>централізована бухгалтерія</t>
  </si>
  <si>
    <t>інформаційно-аналітичний центр медичної статистик</t>
  </si>
  <si>
    <t>кількість аналітичних довідок, письмових роз`яснень, іншої інформації наданих інформаційно-аналітичного центру медичної статистики</t>
  </si>
  <si>
    <t>кількість рахунків на одного працівника централізованої бухгалтерії</t>
  </si>
  <si>
    <t>кількість звітних форм на одного працівника централізованої бухгалтерії</t>
  </si>
  <si>
    <t>кількість аналітичних довідок, письмових роз`яснень, іншої інформації працівників інформаційно-аналітичного центру медичної статистики</t>
  </si>
  <si>
    <t>кількість рахунків</t>
  </si>
  <si>
    <t>кількість звітних форм та інформацій працівників бухгалтерії</t>
  </si>
  <si>
    <t>кількість медичних закладів, які обслуговує централізована бухгалтерія</t>
  </si>
  <si>
    <t xml:space="preserve"> інформаційно-аналітичного центру</t>
  </si>
  <si>
    <t xml:space="preserve"> централізованої бухгалтерії</t>
  </si>
  <si>
    <t>кількість штатних одиниць:</t>
  </si>
  <si>
    <t>кількість обладнання</t>
  </si>
  <si>
    <t xml:space="preserve">середні видатки на придбання одиниці обладнання </t>
  </si>
  <si>
    <t>обсяг надходжень в натуральній формі</t>
  </si>
  <si>
    <t>Всього на виконання підпрограми 4</t>
  </si>
  <si>
    <t>ПІДПРОГРАМА 4. Приведення закладів охорони здоров'я у відповідність до сучасних потреб (зазначити назву та мету програми)</t>
  </si>
  <si>
    <t>4.1.1. Придбання обладнання, КПКВК 0712010, КПКВК 0712152, КПКВК 0712070</t>
  </si>
  <si>
    <t>обсяг видатків на придбання довгострокового обладнаня</t>
  </si>
  <si>
    <t>кількість  обладнання</t>
  </si>
  <si>
    <t>капітальний ремонт приміщень</t>
  </si>
  <si>
    <t xml:space="preserve">благоустрій території </t>
  </si>
  <si>
    <t>обсяг видатків на проведення капітальних ремонтів, за напрямами:</t>
  </si>
  <si>
    <t>середня вартість об'єкту, за напрямами :</t>
  </si>
  <si>
    <t>Обсяг видатків:</t>
  </si>
  <si>
    <t>обсяг видатків на реконструкцію</t>
  </si>
  <si>
    <t>обсяг видатків на проведення капітальних ремонтів</t>
  </si>
  <si>
    <t>кількість установ,для яких передбачено кошти на проведення капітальних ремонтів</t>
  </si>
  <si>
    <t>середній обсяг витрат на реконструкцію 1 об'єкта</t>
  </si>
  <si>
    <t>середній обсяг витрат на проведення капітального ремонту в розрахунку на 1 установу</t>
  </si>
  <si>
    <t>кількість об'єктів,які планується реконструювати</t>
  </si>
  <si>
    <t>середня вартість інвестиційного проєкту</t>
  </si>
  <si>
    <t>кількість інвестиційних проєктів</t>
  </si>
  <si>
    <t>обсяг видатків на участь у інвестиційних проєктах, що реалізуються за рахунок коштів ДФРР</t>
  </si>
  <si>
    <t>обсяг видатків направлених на закупівлю послуг щодо встановлення кисневих станцій</t>
  </si>
  <si>
    <t>кількість кисневих станцій для встановлення</t>
  </si>
  <si>
    <t>питома вага використаних коштів щодо затверджених видатків</t>
  </si>
  <si>
    <t>середні витрати для закупівлі послуг на встановлення кисневих станцій</t>
  </si>
  <si>
    <t>середні витрати для проведення ремонтів об'єктів тимчасових укриттів</t>
  </si>
  <si>
    <t>обсяг витрат для проведення капітальних ремонтів тимчасових укриттів</t>
  </si>
  <si>
    <t>обсяг видатків для проведення капітальних ремонтів захисних споруд</t>
  </si>
  <si>
    <t>обсяг видатків:</t>
  </si>
  <si>
    <t>обсяг видатків для реконструкції захисних споруд</t>
  </si>
  <si>
    <t>кількість установ де планується проведення капітальних ремонтів захисних споруд</t>
  </si>
  <si>
    <t>середні витрати для проведення ремонтів захисних споруд</t>
  </si>
  <si>
    <t>Всього на виконання програми (без коштів на виконання інших цільових програм)</t>
  </si>
  <si>
    <t>Всього</t>
  </si>
  <si>
    <t>1.</t>
  </si>
  <si>
    <t>2.</t>
  </si>
  <si>
    <t>3.</t>
  </si>
  <si>
    <t>4.</t>
  </si>
  <si>
    <t>Підпрограма 1 Покращення надання медичної допомоги населенню</t>
  </si>
  <si>
    <t>мета: Реалізація державної політики в галузі охорони здоров'я на території СМТГ</t>
  </si>
  <si>
    <t>Підпрограма4 Приведення закладів охорони здоров'я у відповідність до сучасних потреб</t>
  </si>
  <si>
    <t>Підпрограма3 Інші заходи та заклади у сфері охорони здоров'я</t>
  </si>
  <si>
    <t xml:space="preserve">Підпрограма 2 Забезпечення соціальних стандартів у сфері охорони здоров'я </t>
  </si>
  <si>
    <t>Завдання 1.1. Розвиток первинної медико-санітарної допомоги</t>
  </si>
  <si>
    <t>Завдання 2.1. Виконання соціальних гарантій пільгових категорій громадян</t>
  </si>
  <si>
    <t>Завдання 4.1. Зміцнення та оновлення матеріально-технічної бази закладів охорони здоров'я</t>
  </si>
  <si>
    <t>1.1.6.Сприяння забезпеченню спеціальним харчуванням дітей з хворобою Крона</t>
  </si>
  <si>
    <t>кількість дітей з хворобою Крона</t>
  </si>
  <si>
    <t>забезпеченню спеціальним харчуванням дітей з хворобою Крона</t>
  </si>
  <si>
    <t>середні витрати на одну дитину з хворобою Крона</t>
  </si>
  <si>
    <t>Інша субвенція з місцевих бюджетів</t>
  </si>
  <si>
    <t>Програма Сумської міської територіальної громади «Соціальна підтримка Захисників і Захисниць України та членів їх сімей» на 2022-2024 роки</t>
  </si>
  <si>
    <t>Програма підвищення енергоефективності в бюджетній сфері Сумської міської територіальної громади на 2022-2024 роки</t>
  </si>
  <si>
    <t>КНП "Клінічна лікарня № 4"СМР</t>
  </si>
  <si>
    <t>КНП "Клінічна лікарня № 5"СМР</t>
  </si>
  <si>
    <t>Інші джерела коштів (Грант GIZ)</t>
  </si>
  <si>
    <t>Медичне обслуговування населення за програмою медичних гарантій</t>
  </si>
  <si>
    <t>КНП "Центр первинної медико-санітарної допомоги № 2" СМР</t>
  </si>
  <si>
    <t>НСЗУ</t>
  </si>
  <si>
    <t>Надання медичної допомоги на платній основі</t>
  </si>
  <si>
    <t>Власні надходження КНП</t>
  </si>
  <si>
    <t>Всього на виконання в т.ч.:</t>
  </si>
  <si>
    <r>
      <t>КНП "Центр первинної медико-санітарної допомоги № 1" СМР</t>
    </r>
    <r>
      <rPr>
        <i/>
        <sz val="12"/>
        <rFont val="Times New Roman"/>
        <family val="1"/>
        <charset val="204"/>
      </rPr>
      <t xml:space="preserve"> </t>
    </r>
  </si>
  <si>
    <t>Мета програми: Збереження та зміцнення здоров’я мешканців Сумської міської ТГ, підвищення ефективності заходів, спрямованих на профілактику захворювань, зниження рівнів захворюваності, інвалідності і смертності населення, підвищення якості життя, поліпшення рівня надання медичної допомоги, забезпечення захисту прав громадян на охорону здоров’я</t>
  </si>
  <si>
    <t>Разом по заходу 1.2.7.</t>
  </si>
  <si>
    <t>КНП "Клінічна лікарня Святого Пантелеймона" СМР</t>
  </si>
  <si>
    <t>КНП "Клінічна лікарня №4"СМР</t>
  </si>
  <si>
    <t xml:space="preserve">Крім цього інші джерела фінансування </t>
  </si>
  <si>
    <t>до наказу Сумської міської військової</t>
  </si>
  <si>
    <t xml:space="preserve">                  адміністрації</t>
  </si>
  <si>
    <t xml:space="preserve">                  від                           №           - СМР</t>
  </si>
  <si>
    <t>Сумської міської ради</t>
  </si>
  <si>
    <t xml:space="preserve"> Завдання 1.2. Розвиток вторинної (спеціалізованої)/третинної (високоспеціалізованої) медичної допомоги</t>
  </si>
  <si>
    <t>Завдання 1.3. Забезпечення надання акушерсько - гінекологічної допомоги</t>
  </si>
  <si>
    <t>Завдання 1.4. Збереження стоматологічного здоров'я населення</t>
  </si>
  <si>
    <t>Завдання 3.1. Інші заклади</t>
  </si>
  <si>
    <t>Якості</t>
  </si>
  <si>
    <t>динаміка обсягу витрат в порівнянні до попереднього року,%</t>
  </si>
  <si>
    <t>кількість осіб пільгової категорії  населення</t>
  </si>
  <si>
    <t>кількість осіб з інвалідністю які отримують послуги та мед засоби</t>
  </si>
  <si>
    <t>динаміка обсягу витрат в порівнянні до попереднього року</t>
  </si>
  <si>
    <t>кількість хворих пролікованих в стаціонарах</t>
  </si>
  <si>
    <t>рівень росту пролікованих хворих до попереднього року</t>
  </si>
  <si>
    <t>кількість відвідувань до поліклінічних відділень</t>
  </si>
  <si>
    <t>динаміка відвідувань до попереднього року</t>
  </si>
  <si>
    <t>0712011</t>
  </si>
  <si>
    <t>кількість установ де планується виготовлення ПКД</t>
  </si>
  <si>
    <t>середні витрати для виготовлення ПКД</t>
  </si>
  <si>
    <t>2.1.5. Сприяння забезпеченю надання громадянам послуг по зубопротезуванню на пільгових умовах</t>
  </si>
  <si>
    <t>1.4.2. Покриття вартості комунальних послуг та енергоносіїв, КПКВК 0712100</t>
  </si>
  <si>
    <t>1.4.2. Покриття вартості комунальних послуг та енергоносіїв</t>
  </si>
  <si>
    <t xml:space="preserve">3.1.1. Забезпечення діяльності централізованої бухгалтерії /відділу централізованого бухгалтерського обліку та економічного планування, інформаційно-аналітичного центру медичної статистики / віддлу інформаційно-аналітичного забезпечення та комунікацій управління охорони здоров'я СМР                   </t>
  </si>
  <si>
    <t>3.1.2. Придбання обладнання</t>
  </si>
  <si>
    <t>3.1.3. Сприяння розвитку закладів охорони здоров'я за рахунок надходжень благодійної допомоги</t>
  </si>
  <si>
    <t>адміністрації</t>
  </si>
  <si>
    <t>адміністрацї</t>
  </si>
  <si>
    <t>4.1.2. Погашення кредиторської заборгованості</t>
  </si>
  <si>
    <t>4.1.3. Проведення капітальних ремонтів</t>
  </si>
  <si>
    <t>4.1.4. Проведення капітальних ремонтів/реконструкція</t>
  </si>
  <si>
    <t>4.1.5. Участь у інвестиційних проєктах, що реалізуються за рахунок коштів державного фонду регіонального розвитку</t>
  </si>
  <si>
    <t>4.1.6. Погашення кредиторської заборгованості</t>
  </si>
  <si>
    <t>4.1.7. Закупівля послуг щодо проектування та встановлення кисневих станцій.</t>
  </si>
  <si>
    <t>4.1.8. Проведення капітальних ремонтів об'єктів тимчасових укриттів</t>
  </si>
  <si>
    <t>4.1.9. Облаштування захисних споруд</t>
  </si>
  <si>
    <t>68,1 насос</t>
  </si>
  <si>
    <t>обсяг видатків для сприяння наданню вторинної допомоги</t>
  </si>
  <si>
    <t>огбсяг видатків</t>
  </si>
  <si>
    <t xml:space="preserve">обсяг видатків </t>
  </si>
  <si>
    <t>обсяг аитрат на придбання дітям дороговартісних медичних препаратів</t>
  </si>
  <si>
    <t>кількість дітей, які отримають дороговартісні медичні препарати</t>
  </si>
  <si>
    <t>середні витрати на одну дитину на рік, яка торимає дороговартісні медичні препарати</t>
  </si>
  <si>
    <t>динаміка обсягу витрат на забезпечення покриття вартості дороговартісних медичних препаратів до попереднього року</t>
  </si>
  <si>
    <t xml:space="preserve">3.1.2. Придбання обладнання, КПКВК 0712152  </t>
  </si>
  <si>
    <t xml:space="preserve">3.1.3. Сприяння розвитку закладів охорони здоров'я за рахунок надходжень благодійної допомоги, КПКВК 0712152  </t>
  </si>
  <si>
    <t>4.1.3. Проведення капітальних ремонтів, КПКВК 0712010, КПКВК 0712152</t>
  </si>
  <si>
    <t>4.1.5. Участь у інвестиційних проєктах, що реалізуються за рахунок коштів державного фонду регіонального розвитку, КПКВК 0717361</t>
  </si>
  <si>
    <t>4.1.7. Закупівля послуг щодо проектування та встановлення кисневих станцій, КПКВК 0712010</t>
  </si>
  <si>
    <t>4.1.8. Проведення капітальних ремонтів об'єктів тимчасових укриттів, КПКВК 0712010</t>
  </si>
  <si>
    <t>4.1.9. Облаштування захисних споруд, КПКВК 0712010,КПКВК 0712010,КПКВК 1517322</t>
  </si>
  <si>
    <t xml:space="preserve">1.2.6. Сприяння організації призову громадян на військову службу. </t>
  </si>
  <si>
    <t>1.2.7. Медичне забезпечення  приписки до призовної дільниці, призову громадян на військову службу та організації проведення медичного огляду військовозобов'язаних</t>
  </si>
  <si>
    <t>1.2.8. Проведення ендопротезування в т.ч.:</t>
  </si>
  <si>
    <t>1.2.8.1 Ендопротезування великих суглобів</t>
  </si>
  <si>
    <t>1.2.8.2. Ендопротезування судин</t>
  </si>
  <si>
    <t>1.2.9. Сприяння забезпеченню дороговартісними лікарськими засобами</t>
  </si>
  <si>
    <t xml:space="preserve">1.2.9.1. Препарат "Диспорт" для дітей хворих на церебральний параліч </t>
  </si>
  <si>
    <t>1.2.9.2. Препарат "Октагам" для дітей, хворих на вроджений імунодефіцит</t>
  </si>
  <si>
    <t>1.2.9.3. Препарат "Хуміра","Актембра","Методжект" для дітей хворих на рквматоїдний артрит</t>
  </si>
  <si>
    <t>1.2.9.4. Дороговартісні препарати для дітей хворих на ювенільний ревматоїдний артрит</t>
  </si>
  <si>
    <t>1.2.10. Сприяння забезпеченню дитячого населення доровартісними медичними препаратами.</t>
  </si>
  <si>
    <t>1.2.11. Сприяння наданню вторинної допомоги</t>
  </si>
  <si>
    <t>1.2.12. Видатки установи за придбане обладнання та отримані послуги у 2022 році, але не проведені УДКС</t>
  </si>
  <si>
    <t>1.2.13. Забезпечення ортопедичними металоконструкціями для лікування військовослужбовців ЗСУ</t>
  </si>
  <si>
    <t>1.2.14. Придбання металоконструкцій  для забезпечення лікування  військовослужбовців  ЗСУ (металоконструкції для остеосинтезу  та для пластики  зв'язкового апарату)</t>
  </si>
  <si>
    <t>1.2.6.Сприяння організації призову громадян на військову службу. КПКВК 0712010, КПКВК 0712152</t>
  </si>
  <si>
    <t>1.2.7. Медичне забезпечення  приписки до призовної дільниці, призову громадян на військову службу та організації проведення медичного огляду військовозобов'язаних. КПКВК 0712152,КПКВК 0712010</t>
  </si>
  <si>
    <t>1.2.8. Проведення ендопротезування, КПКВК 0712010</t>
  </si>
  <si>
    <t>1.2.9. Сприяння забезпеченню дороговартісними лікарськими засобами (1.2.9.1. Препарат "Диспорт" для дітей хворих на церебральний параліч; 1.2.9.3.  Препарат "Октагам" для дітей хворих  на вроджений імунодифіцит. 1.2.9.5. Препарат "Хуміра" , "Актембра","Методжект" для дітей хворих на ревматоїдний артрит),КПКВК 0712010</t>
  </si>
  <si>
    <t>1.2.11. Сприяння наданню вторинної допомоги, КПКВК 0712010</t>
  </si>
  <si>
    <t>1.2.13. Забезпечення ортопедичними металоконструкціями для лікування військовослужбовців ЗСУ. КПКВК 0712010</t>
  </si>
  <si>
    <t>1.2.14. Придбання металоконструкцій  для забезпечення лікування  військовослужбовців  ЗСУ (металоконструкції для остеосинтезу  та для пластики  зв'язкового апарату). КПКВК 0712010</t>
  </si>
  <si>
    <t>кількість об'єктів капітального ремонту, за напрямами:</t>
  </si>
  <si>
    <t>КНП "Клінічна лікарня №5"СМР</t>
  </si>
  <si>
    <t>0719770</t>
  </si>
  <si>
    <t xml:space="preserve">КУ СОР "Сумський геріатричний пансіонат для ВВ та праці" </t>
  </si>
  <si>
    <t>Інша субвенція з місцевого бюджету</t>
  </si>
  <si>
    <t>0712161</t>
  </si>
  <si>
    <t>0712162</t>
  </si>
  <si>
    <t>ДБ</t>
  </si>
  <si>
    <t>1517330</t>
  </si>
  <si>
    <t>Разом по заходу 1.2.6.</t>
  </si>
  <si>
    <t>Разом по заходу 1.2.11.</t>
  </si>
  <si>
    <t>Разом по заходу 4.1.4.</t>
  </si>
  <si>
    <t>Разом по заходу 4.1.9.</t>
  </si>
  <si>
    <t>Разом по заходу 4.1.7.</t>
  </si>
  <si>
    <t>4.1.4. Проведення капітальних ремонтів/реконструкція, КПКВК 0712010, КПКВК 0712151, КПКВК 0712030, КПКВК 0712100,КПКВК 1517322,КПКВК 1517330</t>
  </si>
  <si>
    <t>1.1.3.; 1.1.4.; 1.1.5; 1.1.6 Сприяння забезпеченню лікувальним харчуванням  дітей хворих на рідкісні (орфанні) захворювання;   Сприяння забезпеченню продуктами харчування дітей віком від    0-2 років з малозабезпечених сімей ;Сприяння забезпеченню продуктами харчування дітей народжених від ВІЛ-  інфікованих матерів. Сприяння забезпеченню спеціальним харчуванням дітей з хворобою Крона, КПКВК 0712152</t>
  </si>
  <si>
    <t>1.2.10. Сприяння забезпеченню дитячого населення доровартісними медичними препаратами, КПКВК 0712010</t>
  </si>
  <si>
    <t xml:space="preserve">3.1.1.  Забезпечення діяльності централізованої бухгалтерії /відділу централізованого бухгалтерського обліку та економічного планування, інформаційно-аналітичного центру медичної статистики / віддлу інформаційно-аналітичного забезпечення та комунікацій управління охорони здоров'я СМР, КПКВК 0712151                         </t>
  </si>
  <si>
    <t>витрати на придбання слухових апаратів для дорослого населення</t>
  </si>
  <si>
    <t>витрати на придбання мовних процесорів для дорослого населення</t>
  </si>
  <si>
    <t>кількість осіб, яким планується/встановлено до кінця року слухові апарати</t>
  </si>
  <si>
    <t>кількість осіб, яким планується/встановлено до кінця року мовні процесори</t>
  </si>
  <si>
    <t>грн/осіб</t>
  </si>
  <si>
    <t>динаміка обсягу витрат на забезпечення слуховими апаратами дорослого населення до попереднього року</t>
  </si>
  <si>
    <t>динаміка обсягу витрат на забезпечення мовними процесорами дорослого населення до попереднього року</t>
  </si>
  <si>
    <t>655 захист кисн</t>
  </si>
  <si>
    <t>1310рекон.залізобет.конструкцій дизел електростанц</t>
  </si>
  <si>
    <t>Неврологічне відділення Клінічна лікарня №4</t>
  </si>
  <si>
    <t>Реконструкція неврологічного відділення КУ "СМКЛ №4" по вул. Металургів,38"</t>
  </si>
  <si>
    <t>Капітальний ремонт ІІ поверху поліклінічного відділення КНП "ЦМКЛ" СМР  за адресою м.Суми, вул.Сумської артбригади,13</t>
  </si>
  <si>
    <t xml:space="preserve">"Реконструкція будівлі господарчого корпусу (Т-1) КНп "Клінічна лікарня №5"СМР, за адресою м.Суми, вул.Марко Вовчок,2" </t>
  </si>
  <si>
    <t>зп500</t>
  </si>
  <si>
    <t>захист кис.станції200</t>
  </si>
  <si>
    <t>захист кис.станції 295</t>
  </si>
  <si>
    <t>захист кис.станції 100</t>
  </si>
  <si>
    <t>(-410,0 )перерозподіл</t>
  </si>
  <si>
    <t>(-2692,5 )перерозподіл</t>
  </si>
  <si>
    <t>68 тис.насос, 95,8 акомулят.батареї,60+30інтернет,410з/п прац-в які провод.реабіл., 2692,5перерозподіл з 2хпов.буд.стац.</t>
  </si>
  <si>
    <t xml:space="preserve">роботи блочно-мод.котельня 3500,0; </t>
  </si>
  <si>
    <t>захист кис.станції 450</t>
  </si>
  <si>
    <t>100нижньосировадська,300 бездрицька</t>
  </si>
  <si>
    <t>кількість оглянутих військовозобов'язаних</t>
  </si>
  <si>
    <t>середні витрати на обстеження одного військовозобов'язаного</t>
  </si>
  <si>
    <t>1.2.15. Забезпечення безпребійного функціонування інфекційного боксованого  відділення №3 КНП "Дитяча клінічна лікарня Святої Зінаїди" СМР</t>
  </si>
  <si>
    <t>1.2.15.  Забезпечення безпребійного функціонування інфекційного боксованого  відділення №3 КНП "Дитяча клінічна лікарня Святої Зінаїди" СМР, КПКВК 0712010</t>
  </si>
  <si>
    <t>552 всіх</t>
  </si>
  <si>
    <t>Начальник  управління охорони здоров'я</t>
  </si>
  <si>
    <t>Олена ЧУМАЧЕНКО</t>
  </si>
  <si>
    <t>ремонт ліфта</t>
  </si>
  <si>
    <t>захист станції 200</t>
  </si>
  <si>
    <t>від 27.12.2024 № 413-СМР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</si>
</sst>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>
      <alignment horizontal="left"/>
    </xf>
  </cellStyleXfs>
  <cellXfs count="271">
    <xf numFmtId="0" fontId="0" fillId="0" borderId="0" xfId="0"/>
    <xf numFmtId="3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3" fontId="3" fillId="2" borderId="1" xfId="2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Alignment="1">
      <alignment vertical="top"/>
    </xf>
    <xf numFmtId="3" fontId="3" fillId="2" borderId="1" xfId="0" applyNumberFormat="1" applyFont="1" applyFill="1" applyBorder="1" applyAlignment="1">
      <alignment vertical="top" wrapText="1"/>
    </xf>
    <xf numFmtId="0" fontId="7" fillId="2" borderId="0" xfId="0" applyFont="1" applyFill="1"/>
    <xf numFmtId="0" fontId="2" fillId="2" borderId="0" xfId="0" applyFont="1" applyFill="1"/>
    <xf numFmtId="0" fontId="2" fillId="2" borderId="0" xfId="0" applyFont="1" applyFill="1" applyAlignment="1"/>
    <xf numFmtId="0" fontId="6" fillId="2" borderId="0" xfId="0" applyFont="1" applyFill="1" applyAlignment="1"/>
    <xf numFmtId="0" fontId="15" fillId="2" borderId="0" xfId="0" applyFont="1" applyFill="1" applyBorder="1" applyAlignment="1"/>
    <xf numFmtId="0" fontId="2" fillId="2" borderId="1" xfId="0" applyFont="1" applyFill="1" applyBorder="1"/>
    <xf numFmtId="3" fontId="2" fillId="2" borderId="0" xfId="0" applyNumberFormat="1" applyFont="1" applyFill="1"/>
    <xf numFmtId="3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" fontId="2" fillId="2" borderId="0" xfId="0" applyNumberFormat="1" applyFont="1" applyFill="1"/>
    <xf numFmtId="0" fontId="2" fillId="2" borderId="0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/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7" fillId="2" borderId="0" xfId="0" applyFont="1" applyFill="1" applyAlignment="1"/>
    <xf numFmtId="164" fontId="2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left"/>
    </xf>
    <xf numFmtId="1" fontId="6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6" fillId="2" borderId="6" xfId="0" applyFont="1" applyFill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/>
    <xf numFmtId="0" fontId="6" fillId="2" borderId="5" xfId="0" applyFont="1" applyFill="1" applyBorder="1" applyAlignment="1"/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49" fontId="4" fillId="2" borderId="12" xfId="0" applyNumberFormat="1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right" vertical="top" wrapText="1"/>
    </xf>
    <xf numFmtId="164" fontId="8" fillId="2" borderId="4" xfId="0" applyNumberFormat="1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right" vertical="top" wrapText="1"/>
    </xf>
    <xf numFmtId="164" fontId="8" fillId="2" borderId="1" xfId="0" applyNumberFormat="1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0" xfId="0" applyFont="1" applyFill="1"/>
    <xf numFmtId="0" fontId="0" fillId="2" borderId="0" xfId="0" applyFill="1"/>
    <xf numFmtId="0" fontId="10" fillId="2" borderId="1" xfId="0" applyFont="1" applyFill="1" applyBorder="1"/>
    <xf numFmtId="0" fontId="12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/>
    <xf numFmtId="164" fontId="0" fillId="2" borderId="0" xfId="0" applyNumberFormat="1" applyFill="1"/>
    <xf numFmtId="164" fontId="10" fillId="2" borderId="1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/>
    <xf numFmtId="164" fontId="10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164" fontId="0" fillId="2" borderId="0" xfId="0" applyNumberFormat="1" applyFont="1" applyFill="1"/>
    <xf numFmtId="164" fontId="0" fillId="2" borderId="0" xfId="0" applyNumberFormat="1" applyFill="1" applyAlignment="1">
      <alignment vertical="top" wrapText="1"/>
    </xf>
    <xf numFmtId="0" fontId="8" fillId="2" borderId="1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 vertical="top" wrapText="1"/>
    </xf>
    <xf numFmtId="164" fontId="8" fillId="2" borderId="2" xfId="0" applyNumberFormat="1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8" fillId="2" borderId="4" xfId="0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vertical="top"/>
    </xf>
    <xf numFmtId="49" fontId="8" fillId="2" borderId="1" xfId="0" applyNumberFormat="1" applyFont="1" applyFill="1" applyBorder="1"/>
    <xf numFmtId="0" fontId="0" fillId="2" borderId="0" xfId="0" applyFill="1" applyAlignment="1">
      <alignment vertical="center"/>
    </xf>
    <xf numFmtId="0" fontId="10" fillId="2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right" vertical="top"/>
    </xf>
    <xf numFmtId="164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0" fontId="10" fillId="2" borderId="1" xfId="0" applyFont="1" applyFill="1" applyBorder="1" applyAlignment="1">
      <alignment horizontal="left"/>
    </xf>
    <xf numFmtId="0" fontId="8" fillId="2" borderId="1" xfId="0" applyFont="1" applyFill="1" applyBorder="1"/>
    <xf numFmtId="164" fontId="8" fillId="2" borderId="1" xfId="0" applyNumberFormat="1" applyFont="1" applyFill="1" applyBorder="1"/>
    <xf numFmtId="0" fontId="10" fillId="2" borderId="4" xfId="0" applyFont="1" applyFill="1" applyBorder="1" applyAlignment="1">
      <alignment horizontal="right" vertical="top" wrapText="1"/>
    </xf>
    <xf numFmtId="164" fontId="10" fillId="2" borderId="4" xfId="0" applyNumberFormat="1" applyFont="1" applyFill="1" applyBorder="1" applyAlignment="1">
      <alignment horizontal="right" vertical="top" wrapText="1"/>
    </xf>
    <xf numFmtId="164" fontId="10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righ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8" fillId="2" borderId="7" xfId="0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center" vertical="top"/>
    </xf>
    <xf numFmtId="164" fontId="10" fillId="2" borderId="1" xfId="0" applyNumberFormat="1" applyFont="1" applyFill="1" applyBorder="1" applyAlignment="1">
      <alignment horizontal="center" vertical="top"/>
    </xf>
    <xf numFmtId="164" fontId="8" fillId="2" borderId="1" xfId="0" applyNumberFormat="1" applyFont="1" applyFill="1" applyBorder="1" applyAlignment="1">
      <alignment horizontal="center" vertical="top"/>
    </xf>
    <xf numFmtId="0" fontId="0" fillId="2" borderId="3" xfId="0" applyFill="1" applyBorder="1"/>
    <xf numFmtId="0" fontId="0" fillId="2" borderId="0" xfId="0" applyFill="1" applyBorder="1"/>
    <xf numFmtId="164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18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49" fontId="13" fillId="2" borderId="5" xfId="0" applyNumberFormat="1" applyFont="1" applyFill="1" applyBorder="1" applyAlignment="1">
      <alignment horizontal="left" vertical="top" wrapText="1"/>
    </xf>
    <xf numFmtId="49" fontId="13" fillId="2" borderId="6" xfId="0" applyNumberFormat="1" applyFont="1" applyFill="1" applyBorder="1" applyAlignment="1">
      <alignment horizontal="left" vertical="top" wrapText="1"/>
    </xf>
    <xf numFmtId="49" fontId="13" fillId="2" borderId="7" xfId="0" applyNumberFormat="1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10" fillId="2" borderId="14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horizontal="center" vertical="top"/>
    </xf>
    <xf numFmtId="0" fontId="10" fillId="2" borderId="12" xfId="0" applyFont="1" applyFill="1" applyBorder="1" applyAlignment="1">
      <alignment horizontal="center" vertical="top"/>
    </xf>
    <xf numFmtId="49" fontId="10" fillId="2" borderId="5" xfId="0" applyNumberFormat="1" applyFont="1" applyFill="1" applyBorder="1" applyAlignment="1">
      <alignment horizontal="left" vertical="top" wrapText="1"/>
    </xf>
    <xf numFmtId="49" fontId="10" fillId="2" borderId="6" xfId="0" applyNumberFormat="1" applyFont="1" applyFill="1" applyBorder="1" applyAlignment="1">
      <alignment horizontal="left" vertical="top" wrapText="1"/>
    </xf>
    <xf numFmtId="49" fontId="10" fillId="2" borderId="7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4" xfId="2"/>
    <cellStyle name="Обычный_Запит ПЦМ 2012 свод4 по уо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7"/>
  <sheetViews>
    <sheetView tabSelected="1" view="pageBreakPreview" zoomScale="80" zoomScaleNormal="80" zoomScaleSheetLayoutView="80" workbookViewId="0">
      <pane ySplit="12" topLeftCell="A19" activePane="bottomLeft" state="frozen"/>
      <selection pane="bottomLeft" activeCell="B215" sqref="B215:B219"/>
    </sheetView>
  </sheetViews>
  <sheetFormatPr defaultColWidth="9.140625" defaultRowHeight="15" outlineLevelRow="4" x14ac:dyDescent="0.25"/>
  <cols>
    <col min="1" max="1" width="5.42578125" style="72" customWidth="1"/>
    <col min="2" max="2" width="34.28515625" style="72" customWidth="1"/>
    <col min="3" max="3" width="10" style="72" bestFit="1" customWidth="1"/>
    <col min="4" max="4" width="13.85546875" style="72" customWidth="1"/>
    <col min="5" max="5" width="18.140625" style="72" customWidth="1"/>
    <col min="6" max="6" width="12.42578125" style="72" bestFit="1" customWidth="1"/>
    <col min="7" max="7" width="10.5703125" style="72" bestFit="1" customWidth="1"/>
    <col min="8" max="8" width="10.7109375" style="72" customWidth="1"/>
    <col min="9" max="9" width="11.85546875" style="72" customWidth="1"/>
    <col min="10" max="10" width="10.85546875" style="72" bestFit="1" customWidth="1"/>
    <col min="11" max="11" width="12.140625" style="72" customWidth="1"/>
    <col min="12" max="12" width="11.5703125" style="72" customWidth="1"/>
    <col min="13" max="13" width="12.42578125" style="72" customWidth="1"/>
    <col min="14" max="14" width="11.140625" style="72" customWidth="1"/>
    <col min="15" max="15" width="14.28515625" style="72" hidden="1" customWidth="1"/>
    <col min="16" max="16" width="12.28515625" style="72" hidden="1" customWidth="1"/>
    <col min="17" max="17" width="0" style="72" hidden="1" customWidth="1"/>
    <col min="18" max="18" width="12.85546875" style="72" hidden="1" customWidth="1"/>
    <col min="19" max="19" width="11.7109375" style="72" hidden="1" customWidth="1"/>
    <col min="20" max="20" width="10.140625" style="72" hidden="1" customWidth="1"/>
    <col min="21" max="21" width="10.85546875" style="72" customWidth="1"/>
    <col min="22" max="16384" width="9.140625" style="72"/>
  </cols>
  <sheetData>
    <row r="1" spans="1:29" ht="24" customHeigh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229" t="s">
        <v>14</v>
      </c>
      <c r="L1" s="229"/>
      <c r="M1" s="229"/>
      <c r="N1" s="229"/>
    </row>
    <row r="2" spans="1:29" ht="24.75" customHeight="1" x14ac:dyDescent="0.3">
      <c r="A2" s="71"/>
      <c r="B2" s="71"/>
      <c r="C2" s="71"/>
      <c r="D2" s="71"/>
      <c r="E2" s="71"/>
      <c r="F2" s="71"/>
      <c r="G2" s="71"/>
      <c r="H2" s="71"/>
      <c r="I2" s="71"/>
      <c r="J2" s="36"/>
      <c r="K2" s="236" t="s">
        <v>314</v>
      </c>
      <c r="L2" s="236"/>
      <c r="M2" s="236"/>
      <c r="N2" s="236"/>
    </row>
    <row r="3" spans="1:29" ht="29.25" customHeight="1" x14ac:dyDescent="0.3">
      <c r="A3" s="71"/>
      <c r="B3" s="71"/>
      <c r="C3" s="71"/>
      <c r="D3" s="71"/>
      <c r="E3" s="71"/>
      <c r="F3" s="71"/>
      <c r="G3" s="71"/>
      <c r="H3" s="71"/>
      <c r="I3" s="71"/>
      <c r="J3" s="36" t="s">
        <v>315</v>
      </c>
      <c r="K3" s="236" t="s">
        <v>341</v>
      </c>
      <c r="L3" s="236"/>
      <c r="M3" s="236"/>
      <c r="N3" s="236"/>
    </row>
    <row r="4" spans="1:29" ht="21.75" customHeight="1" x14ac:dyDescent="0.3">
      <c r="A4" s="71"/>
      <c r="B4" s="71"/>
      <c r="C4" s="71"/>
      <c r="D4" s="71"/>
      <c r="E4" s="71"/>
      <c r="F4" s="71"/>
      <c r="G4" s="71"/>
      <c r="H4" s="71"/>
      <c r="I4" s="71"/>
      <c r="J4" s="36" t="s">
        <v>316</v>
      </c>
      <c r="K4" s="236" t="s">
        <v>437</v>
      </c>
      <c r="L4" s="236"/>
      <c r="M4" s="236"/>
      <c r="N4" s="236"/>
    </row>
    <row r="5" spans="1:29" ht="29.25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29" ht="19.5" customHeight="1" x14ac:dyDescent="0.3">
      <c r="A6" s="71"/>
      <c r="B6" s="13"/>
      <c r="C6" s="13"/>
      <c r="D6" s="234" t="s">
        <v>15</v>
      </c>
      <c r="E6" s="234"/>
      <c r="F6" s="234"/>
      <c r="G6" s="234"/>
      <c r="H6" s="234"/>
      <c r="I6" s="234"/>
      <c r="J6" s="234"/>
      <c r="K6" s="13"/>
      <c r="L6" s="13"/>
      <c r="M6" s="13"/>
      <c r="N6" s="13"/>
    </row>
    <row r="7" spans="1:29" ht="21.75" customHeight="1" x14ac:dyDescent="0.3">
      <c r="A7" s="71"/>
      <c r="B7" s="161" t="s">
        <v>30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3"/>
    </row>
    <row r="8" spans="1:29" ht="18.7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29" ht="25.5" customHeight="1" x14ac:dyDescent="0.25">
      <c r="A9" s="172" t="s">
        <v>0</v>
      </c>
      <c r="B9" s="166" t="s">
        <v>1</v>
      </c>
      <c r="C9" s="169" t="s">
        <v>2</v>
      </c>
      <c r="D9" s="166" t="s">
        <v>3</v>
      </c>
      <c r="E9" s="166" t="s">
        <v>4</v>
      </c>
      <c r="F9" s="175" t="s">
        <v>5</v>
      </c>
      <c r="G9" s="175"/>
      <c r="H9" s="175"/>
      <c r="I9" s="175"/>
      <c r="J9" s="175"/>
      <c r="K9" s="175"/>
      <c r="L9" s="175"/>
      <c r="M9" s="175"/>
      <c r="N9" s="175"/>
    </row>
    <row r="10" spans="1:29" ht="22.5" customHeight="1" x14ac:dyDescent="0.25">
      <c r="A10" s="173"/>
      <c r="B10" s="167"/>
      <c r="C10" s="170"/>
      <c r="D10" s="167"/>
      <c r="E10" s="167"/>
      <c r="F10" s="151" t="s">
        <v>6</v>
      </c>
      <c r="G10" s="151"/>
      <c r="H10" s="151"/>
      <c r="I10" s="151" t="s">
        <v>7</v>
      </c>
      <c r="J10" s="151"/>
      <c r="K10" s="151"/>
      <c r="L10" s="151" t="s">
        <v>8</v>
      </c>
      <c r="M10" s="151"/>
      <c r="N10" s="151"/>
    </row>
    <row r="11" spans="1:29" ht="18.75" customHeight="1" x14ac:dyDescent="0.25">
      <c r="A11" s="174"/>
      <c r="B11" s="168"/>
      <c r="C11" s="171"/>
      <c r="D11" s="168"/>
      <c r="E11" s="168"/>
      <c r="F11" s="73" t="s">
        <v>9</v>
      </c>
      <c r="G11" s="73" t="s">
        <v>10</v>
      </c>
      <c r="H11" s="73" t="s">
        <v>11</v>
      </c>
      <c r="I11" s="73" t="s">
        <v>9</v>
      </c>
      <c r="J11" s="73" t="s">
        <v>10</v>
      </c>
      <c r="K11" s="73" t="s">
        <v>11</v>
      </c>
      <c r="L11" s="73" t="s">
        <v>9</v>
      </c>
      <c r="M11" s="73" t="s">
        <v>10</v>
      </c>
      <c r="N11" s="73" t="s">
        <v>11</v>
      </c>
    </row>
    <row r="12" spans="1:29" ht="15.75" x14ac:dyDescent="0.25">
      <c r="A12" s="74">
        <v>1</v>
      </c>
      <c r="B12" s="74">
        <v>2</v>
      </c>
      <c r="C12" s="74">
        <v>3</v>
      </c>
      <c r="D12" s="74">
        <v>4</v>
      </c>
      <c r="E12" s="74">
        <v>5</v>
      </c>
      <c r="F12" s="74">
        <v>6</v>
      </c>
      <c r="G12" s="74">
        <v>7</v>
      </c>
      <c r="H12" s="74">
        <v>8</v>
      </c>
      <c r="I12" s="74">
        <v>9</v>
      </c>
      <c r="J12" s="74">
        <v>10</v>
      </c>
      <c r="K12" s="74">
        <v>11</v>
      </c>
      <c r="L12" s="74">
        <v>12</v>
      </c>
      <c r="M12" s="74">
        <v>13</v>
      </c>
      <c r="N12" s="74">
        <v>14</v>
      </c>
    </row>
    <row r="13" spans="1:29" ht="51" customHeight="1" x14ac:dyDescent="0.25">
      <c r="A13" s="164" t="s">
        <v>309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</row>
    <row r="14" spans="1:29" ht="29.25" customHeight="1" x14ac:dyDescent="0.25">
      <c r="A14" s="164" t="s">
        <v>12</v>
      </c>
      <c r="B14" s="164"/>
      <c r="C14" s="164"/>
      <c r="D14" s="162" t="s">
        <v>279</v>
      </c>
      <c r="E14" s="163"/>
      <c r="F14" s="75">
        <f t="shared" ref="F14:N14" si="0">F24+F144+F183+F196</f>
        <v>225046.12</v>
      </c>
      <c r="G14" s="75">
        <f t="shared" si="0"/>
        <v>100957.1</v>
      </c>
      <c r="H14" s="75">
        <f t="shared" si="0"/>
        <v>124089.01999999999</v>
      </c>
      <c r="I14" s="75">
        <f t="shared" si="0"/>
        <v>375309.72500000003</v>
      </c>
      <c r="J14" s="75">
        <f t="shared" si="0"/>
        <v>116512.3</v>
      </c>
      <c r="K14" s="75">
        <f t="shared" si="0"/>
        <v>258797.42500000002</v>
      </c>
      <c r="L14" s="75">
        <f t="shared" si="0"/>
        <v>255859.52499999999</v>
      </c>
      <c r="M14" s="75">
        <f t="shared" si="0"/>
        <v>127982.2</v>
      </c>
      <c r="N14" s="75">
        <f t="shared" si="0"/>
        <v>127877.325</v>
      </c>
      <c r="P14" s="76">
        <f>F14+I14+L14</f>
        <v>856215.37</v>
      </c>
      <c r="Q14" s="76"/>
      <c r="R14" s="76">
        <f>G41+G44+G48+G50+G53+G56+G63+G69+G71+G73+G75+G78+G79+G93+G99+G109+G122+G132+G134+G138+G140+G155+G159+G163+G167+G171+G174+G177+G179+G188+G190+G16</f>
        <v>101452.10000000002</v>
      </c>
      <c r="S14" s="76">
        <f>J41+J44+J48+J50+J53+J56+J63+J69+J71+J73+J75+J83+J93+J99+J109+J122+J125+J128+J132+J134+J138+J140+J155+J159+J163+J167+J171+J174+J177+J179+J188+J190+J17+J120</f>
        <v>116765</v>
      </c>
      <c r="T14" s="76">
        <f>M41+M44+M48+M50+M53+M56+M63+M69+M73+M71+M75+M78+M79+M83+M93+M99+M109+M122+M125+M128+M132+M134+M138+M140+M155+M159+M163+M167+M171+M174+M177+M179+M188+M190+M108</f>
        <v>127982.2</v>
      </c>
      <c r="U14" s="76"/>
      <c r="V14" s="76"/>
      <c r="W14" s="76"/>
      <c r="X14" s="76"/>
      <c r="Y14" s="76"/>
      <c r="Z14" s="76"/>
      <c r="AA14" s="76"/>
      <c r="AB14" s="76"/>
      <c r="AC14" s="76"/>
    </row>
    <row r="15" spans="1:29" ht="19.5" customHeight="1" x14ac:dyDescent="0.25">
      <c r="A15" s="164"/>
      <c r="B15" s="164"/>
      <c r="C15" s="164"/>
      <c r="D15" s="134" t="s">
        <v>56</v>
      </c>
      <c r="E15" s="60" t="s">
        <v>13</v>
      </c>
      <c r="F15" s="75">
        <f>F25+F145+F185+F186+F197</f>
        <v>201177.3</v>
      </c>
      <c r="G15" s="75">
        <f>G25+G145+G185+G186</f>
        <v>100462.09999999999</v>
      </c>
      <c r="H15" s="75">
        <f>H25+H145+H185+H186+H197</f>
        <v>100715.2</v>
      </c>
      <c r="I15" s="75">
        <f>I25+I145+I185+I186+I197</f>
        <v>362923.92499999999</v>
      </c>
      <c r="J15" s="75">
        <f>J25+J145+J185+J186</f>
        <v>116259.59999999999</v>
      </c>
      <c r="K15" s="75">
        <f>K25+K145+K185+K186+K197</f>
        <v>246664.32500000001</v>
      </c>
      <c r="L15" s="75">
        <f>L25+L145+L185+L186+L197</f>
        <v>206686.22499999998</v>
      </c>
      <c r="M15" s="75">
        <f>M25+M145+M185+M186</f>
        <v>127682.19999999998</v>
      </c>
      <c r="N15" s="75">
        <f>N25+N145+N185+N186+N197</f>
        <v>79004.024999999994</v>
      </c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</row>
    <row r="16" spans="1:29" ht="65.25" customHeight="1" x14ac:dyDescent="0.25">
      <c r="A16" s="164"/>
      <c r="B16" s="164"/>
      <c r="C16" s="164"/>
      <c r="D16" s="142"/>
      <c r="E16" s="60" t="s">
        <v>68</v>
      </c>
      <c r="F16" s="77">
        <f>F26</f>
        <v>495</v>
      </c>
      <c r="G16" s="77">
        <f>G26</f>
        <v>495</v>
      </c>
      <c r="H16" s="77"/>
      <c r="I16" s="78"/>
      <c r="J16" s="78"/>
      <c r="K16" s="78"/>
      <c r="L16" s="79"/>
      <c r="M16" s="79"/>
      <c r="N16" s="79"/>
    </row>
    <row r="17" spans="1:17" ht="61.5" customHeight="1" x14ac:dyDescent="0.25">
      <c r="A17" s="164"/>
      <c r="B17" s="164"/>
      <c r="C17" s="164"/>
      <c r="D17" s="142"/>
      <c r="E17" s="60" t="s">
        <v>296</v>
      </c>
      <c r="F17" s="77"/>
      <c r="G17" s="77"/>
      <c r="H17" s="77"/>
      <c r="I17" s="78">
        <f>I27</f>
        <v>252.7</v>
      </c>
      <c r="J17" s="78">
        <f>J27</f>
        <v>252.7</v>
      </c>
      <c r="K17" s="78"/>
      <c r="L17" s="80">
        <f>N17+M17</f>
        <v>352.4</v>
      </c>
      <c r="M17" s="81">
        <f>M27</f>
        <v>300</v>
      </c>
      <c r="N17" s="80">
        <f>N241+N27</f>
        <v>52.4</v>
      </c>
    </row>
    <row r="18" spans="1:17" ht="181.5" customHeight="1" x14ac:dyDescent="0.25">
      <c r="A18" s="164"/>
      <c r="B18" s="164"/>
      <c r="C18" s="164"/>
      <c r="D18" s="142"/>
      <c r="E18" s="82" t="s">
        <v>95</v>
      </c>
      <c r="F18" s="77">
        <f>F261</f>
        <v>1836.72</v>
      </c>
      <c r="G18" s="78"/>
      <c r="H18" s="77">
        <f>H261</f>
        <v>1836.72</v>
      </c>
      <c r="I18" s="78"/>
      <c r="J18" s="78"/>
      <c r="K18" s="78"/>
      <c r="L18" s="79"/>
      <c r="M18" s="79"/>
      <c r="N18" s="79"/>
    </row>
    <row r="19" spans="1:17" ht="70.5" customHeight="1" x14ac:dyDescent="0.25">
      <c r="A19" s="164"/>
      <c r="B19" s="164"/>
      <c r="C19" s="164"/>
      <c r="D19" s="142"/>
      <c r="E19" s="60" t="s">
        <v>102</v>
      </c>
      <c r="F19" s="77">
        <f t="shared" ref="F19" si="1">F187</f>
        <v>16537.099999999999</v>
      </c>
      <c r="G19" s="77"/>
      <c r="H19" s="77">
        <f>H187</f>
        <v>16537.099999999999</v>
      </c>
      <c r="I19" s="77">
        <f t="shared" ref="I19:K19" si="2">I187</f>
        <v>3061.1000000000004</v>
      </c>
      <c r="J19" s="77"/>
      <c r="K19" s="77">
        <f t="shared" si="2"/>
        <v>3061.1000000000004</v>
      </c>
      <c r="L19" s="77">
        <f>N19</f>
        <v>1185.3</v>
      </c>
      <c r="M19" s="75"/>
      <c r="N19" s="77">
        <f>N187</f>
        <v>1185.3</v>
      </c>
    </row>
    <row r="20" spans="1:17" ht="33" customHeight="1" x14ac:dyDescent="0.25">
      <c r="A20" s="164"/>
      <c r="B20" s="164"/>
      <c r="C20" s="164"/>
      <c r="D20" s="135"/>
      <c r="E20" s="60" t="s">
        <v>394</v>
      </c>
      <c r="F20" s="77"/>
      <c r="G20" s="77"/>
      <c r="H20" s="77"/>
      <c r="I20" s="77"/>
      <c r="J20" s="77"/>
      <c r="K20" s="77"/>
      <c r="L20" s="77">
        <f>L201</f>
        <v>31936.6</v>
      </c>
      <c r="M20" s="75"/>
      <c r="N20" s="77">
        <f>N201</f>
        <v>31936.6</v>
      </c>
    </row>
    <row r="21" spans="1:17" ht="116.25" customHeight="1" x14ac:dyDescent="0.25">
      <c r="A21" s="164"/>
      <c r="B21" s="164"/>
      <c r="C21" s="164"/>
      <c r="D21" s="70" t="s">
        <v>93</v>
      </c>
      <c r="E21" s="60" t="s">
        <v>13</v>
      </c>
      <c r="F21" s="77">
        <f t="shared" ref="F21" si="3">F199</f>
        <v>5000</v>
      </c>
      <c r="G21" s="77"/>
      <c r="H21" s="77">
        <f>H199</f>
        <v>5000</v>
      </c>
      <c r="I21" s="77">
        <f t="shared" ref="I21:K21" si="4">I199</f>
        <v>9072</v>
      </c>
      <c r="J21" s="77"/>
      <c r="K21" s="77">
        <f t="shared" si="4"/>
        <v>9072</v>
      </c>
      <c r="L21" s="80">
        <f>N21</f>
        <v>15699</v>
      </c>
      <c r="M21" s="75"/>
      <c r="N21" s="80">
        <f>N199</f>
        <v>15699</v>
      </c>
    </row>
    <row r="22" spans="1:17" ht="21.75" customHeight="1" x14ac:dyDescent="0.25">
      <c r="A22" s="165" t="s">
        <v>284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7"/>
    </row>
    <row r="23" spans="1:17" ht="24.75" customHeight="1" x14ac:dyDescent="0.25">
      <c r="A23" s="136" t="s">
        <v>285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7"/>
    </row>
    <row r="24" spans="1:17" ht="15.75" x14ac:dyDescent="0.25">
      <c r="A24" s="138" t="s">
        <v>280</v>
      </c>
      <c r="B24" s="148" t="s">
        <v>97</v>
      </c>
      <c r="C24" s="149"/>
      <c r="D24" s="149"/>
      <c r="E24" s="150"/>
      <c r="F24" s="80">
        <f>G24</f>
        <v>80227.900000000009</v>
      </c>
      <c r="G24" s="80">
        <f>G41+G44+G48+G50+G53+G63+G69+G71+G73+G75+G78+G79+G84+G85+G93+G99+G110+G122+G128+G132+G134+G138+G140+G111</f>
        <v>80227.900000000009</v>
      </c>
      <c r="H24" s="81"/>
      <c r="I24" s="80">
        <f>J24</f>
        <v>92503.3</v>
      </c>
      <c r="J24" s="80">
        <f>J41+J44+J48+J50+J53+J63+J69+J71+J73+J75+J78+J79+J84+J85+J93+J99+J110+J122+J128+J132+J134+J138+J140+J111+J125+J56+J112+J120</f>
        <v>92503.3</v>
      </c>
      <c r="K24" s="81"/>
      <c r="L24" s="80">
        <f>M24+N24</f>
        <v>102866.7</v>
      </c>
      <c r="M24" s="80">
        <f>M41+M44+M48+M50+M53+M63+M69+M71+M73+M75+M78+M79+M84+M85+M93+M99+M110+M122+M128+M132+M134+M138+M140+M111+M125+M56+M108+M112</f>
        <v>102866.7</v>
      </c>
      <c r="N24" s="81">
        <f>N27</f>
        <v>0</v>
      </c>
      <c r="O24" s="83">
        <f>F24+I24+L24</f>
        <v>275597.90000000002</v>
      </c>
    </row>
    <row r="25" spans="1:17" ht="36" customHeight="1" x14ac:dyDescent="0.25">
      <c r="A25" s="138"/>
      <c r="B25" s="237"/>
      <c r="C25" s="238"/>
      <c r="D25" s="134" t="s">
        <v>56</v>
      </c>
      <c r="E25" s="60" t="s">
        <v>13</v>
      </c>
      <c r="F25" s="58">
        <f>G25</f>
        <v>79732.899999999994</v>
      </c>
      <c r="G25" s="58">
        <f>G39+G40+G59+G131+G137+G60</f>
        <v>79732.899999999994</v>
      </c>
      <c r="H25" s="51"/>
      <c r="I25" s="51">
        <f>J25</f>
        <v>92250.599999999991</v>
      </c>
      <c r="J25" s="58">
        <f>J39+J40+J59+J131+J137+J60</f>
        <v>92250.599999999991</v>
      </c>
      <c r="K25" s="51"/>
      <c r="L25" s="51">
        <f>M25</f>
        <v>102566.69999999998</v>
      </c>
      <c r="M25" s="58">
        <f>M39+M40+M59+M131+M137+M60</f>
        <v>102566.69999999998</v>
      </c>
      <c r="N25" s="51"/>
      <c r="O25" s="84">
        <f>F25+I25+L25</f>
        <v>274550.19999999995</v>
      </c>
      <c r="P25" s="76"/>
    </row>
    <row r="26" spans="1:17" ht="70.5" customHeight="1" x14ac:dyDescent="0.25">
      <c r="A26" s="138"/>
      <c r="B26" s="239"/>
      <c r="C26" s="240"/>
      <c r="D26" s="142"/>
      <c r="E26" s="60" t="s">
        <v>68</v>
      </c>
      <c r="F26" s="58">
        <f>G26</f>
        <v>495</v>
      </c>
      <c r="G26" s="58">
        <f>G61</f>
        <v>495</v>
      </c>
      <c r="H26" s="51"/>
      <c r="I26" s="51"/>
      <c r="J26" s="51"/>
      <c r="K26" s="51"/>
      <c r="L26" s="51"/>
      <c r="M26" s="51"/>
      <c r="N26" s="51"/>
      <c r="O26" s="84">
        <f>F26+I26+L26</f>
        <v>495</v>
      </c>
    </row>
    <row r="27" spans="1:17" ht="51.75" customHeight="1" x14ac:dyDescent="0.25">
      <c r="A27" s="138"/>
      <c r="B27" s="241"/>
      <c r="C27" s="242"/>
      <c r="D27" s="135"/>
      <c r="E27" s="60" t="s">
        <v>296</v>
      </c>
      <c r="F27" s="58"/>
      <c r="G27" s="58"/>
      <c r="H27" s="51"/>
      <c r="I27" s="51">
        <f>I62</f>
        <v>252.7</v>
      </c>
      <c r="J27" s="51">
        <f>J62</f>
        <v>252.7</v>
      </c>
      <c r="K27" s="51"/>
      <c r="L27" s="51">
        <f>M27+N27</f>
        <v>300</v>
      </c>
      <c r="M27" s="51">
        <f>M112</f>
        <v>300</v>
      </c>
      <c r="N27" s="51">
        <f>N112</f>
        <v>0</v>
      </c>
      <c r="O27" s="84"/>
    </row>
    <row r="28" spans="1:17" ht="31.5" hidden="1" outlineLevel="1" x14ac:dyDescent="0.25">
      <c r="A28" s="138"/>
      <c r="B28" s="65" t="s">
        <v>58</v>
      </c>
      <c r="C28" s="73"/>
      <c r="D28" s="139" t="s">
        <v>56</v>
      </c>
      <c r="E28" s="85" t="s">
        <v>13</v>
      </c>
      <c r="F28" s="58">
        <f>G28</f>
        <v>2834.8</v>
      </c>
      <c r="G28" s="58">
        <f>G42+G45+G51+G54</f>
        <v>2834.8</v>
      </c>
      <c r="H28" s="51"/>
      <c r="I28" s="51">
        <f>J28</f>
        <v>2804.7999999999997</v>
      </c>
      <c r="J28" s="51">
        <f>J42+J45+J51+J54</f>
        <v>2804.7999999999997</v>
      </c>
      <c r="K28" s="51"/>
      <c r="L28" s="51">
        <f>M28</f>
        <v>3352.2</v>
      </c>
      <c r="M28" s="58">
        <f>M42+M45+M51+M54</f>
        <v>3352.2</v>
      </c>
      <c r="N28" s="51"/>
      <c r="O28" s="76" t="e">
        <f>G28+G29+G30+G31+G32+G33+G34+G36+G37</f>
        <v>#REF!</v>
      </c>
      <c r="P28" s="76" t="e">
        <f>J28+J29+J30+J31+J32+J33+J34+J36+J37</f>
        <v>#REF!</v>
      </c>
      <c r="Q28" s="76" t="e">
        <f>M28+M29+M30+M31+M32+M33+M34+M36+M37</f>
        <v>#REF!</v>
      </c>
    </row>
    <row r="29" spans="1:17" ht="31.5" hidden="1" outlineLevel="1" x14ac:dyDescent="0.25">
      <c r="A29" s="138"/>
      <c r="B29" s="65" t="s">
        <v>59</v>
      </c>
      <c r="C29" s="73"/>
      <c r="D29" s="140"/>
      <c r="E29" s="85" t="s">
        <v>13</v>
      </c>
      <c r="F29" s="58">
        <f t="shared" ref="F29:F30" si="5">G29</f>
        <v>3968.5</v>
      </c>
      <c r="G29" s="58">
        <f>G43+G46+G49+G52+G55</f>
        <v>3968.5</v>
      </c>
      <c r="H29" s="51"/>
      <c r="I29" s="51">
        <f t="shared" ref="I29:I30" si="6">J29</f>
        <v>2392.6999999999998</v>
      </c>
      <c r="J29" s="58">
        <f>J43+J46+J49+J52+J55+J57</f>
        <v>2392.6999999999998</v>
      </c>
      <c r="K29" s="51"/>
      <c r="L29" s="51">
        <f t="shared" ref="L29:L30" si="7">M29</f>
        <v>3151.5</v>
      </c>
      <c r="M29" s="51">
        <f>M43+M46+M49+M52+M55</f>
        <v>3151.5</v>
      </c>
      <c r="N29" s="51"/>
    </row>
    <row r="30" spans="1:17" ht="31.5" hidden="1" outlineLevel="1" x14ac:dyDescent="0.25">
      <c r="A30" s="138"/>
      <c r="B30" s="51" t="s">
        <v>63</v>
      </c>
      <c r="C30" s="73"/>
      <c r="D30" s="140"/>
      <c r="E30" s="85" t="s">
        <v>13</v>
      </c>
      <c r="F30" s="58">
        <f t="shared" si="5"/>
        <v>9703.7000000000007</v>
      </c>
      <c r="G30" s="58">
        <f>G64+G70+G80+G89+G90+G95+G123+G126</f>
        <v>9703.7000000000007</v>
      </c>
      <c r="H30" s="51"/>
      <c r="I30" s="51">
        <f t="shared" si="6"/>
        <v>13564.800000000001</v>
      </c>
      <c r="J30" s="58">
        <f>J64+J70+J80+J89+J90+J95+J123+J126</f>
        <v>13564.800000000001</v>
      </c>
      <c r="K30" s="51"/>
      <c r="L30" s="51">
        <f t="shared" si="7"/>
        <v>15990.5</v>
      </c>
      <c r="M30" s="58">
        <f>M64+M70+M80+M89+M90+M95+M123+M126</f>
        <v>15990.5</v>
      </c>
      <c r="N30" s="51"/>
    </row>
    <row r="31" spans="1:17" ht="15.75" hidden="1" outlineLevel="1" x14ac:dyDescent="0.25">
      <c r="A31" s="138"/>
      <c r="B31" s="51" t="s">
        <v>64</v>
      </c>
      <c r="C31" s="73"/>
      <c r="D31" s="140"/>
      <c r="E31" s="85" t="s">
        <v>13</v>
      </c>
      <c r="F31" s="58">
        <f>G31</f>
        <v>15862.1</v>
      </c>
      <c r="G31" s="58">
        <f>G65+G74+G81</f>
        <v>15862.1</v>
      </c>
      <c r="H31" s="51"/>
      <c r="I31" s="51">
        <f>J31</f>
        <v>11613.3</v>
      </c>
      <c r="J31" s="58">
        <f>J65+J74+J81+J87</f>
        <v>11613.3</v>
      </c>
      <c r="K31" s="51"/>
      <c r="L31" s="51">
        <f>M31</f>
        <v>10523.3</v>
      </c>
      <c r="M31" s="51">
        <f>M65+M74+M81</f>
        <v>10523.3</v>
      </c>
      <c r="N31" s="51"/>
    </row>
    <row r="32" spans="1:17" ht="15.75" hidden="1" outlineLevel="1" x14ac:dyDescent="0.25">
      <c r="A32" s="138"/>
      <c r="B32" s="51" t="s">
        <v>65</v>
      </c>
      <c r="C32" s="73"/>
      <c r="D32" s="140"/>
      <c r="E32" s="85" t="s">
        <v>13</v>
      </c>
      <c r="F32" s="58">
        <f>G32</f>
        <v>12355</v>
      </c>
      <c r="G32" s="58">
        <f>G66+G72+G98</f>
        <v>12355</v>
      </c>
      <c r="H32" s="51"/>
      <c r="I32" s="51">
        <f>J32</f>
        <v>13398.8</v>
      </c>
      <c r="J32" s="51">
        <f>J66+J72+J98</f>
        <v>13398.8</v>
      </c>
      <c r="K32" s="51"/>
      <c r="L32" s="51">
        <f>M32</f>
        <v>15694.6</v>
      </c>
      <c r="M32" s="51">
        <f>M66+M72+M98</f>
        <v>15694.6</v>
      </c>
      <c r="N32" s="51"/>
    </row>
    <row r="33" spans="1:15" ht="23.25" hidden="1" customHeight="1" outlineLevel="1" x14ac:dyDescent="0.25">
      <c r="A33" s="138"/>
      <c r="B33" s="51" t="s">
        <v>66</v>
      </c>
      <c r="C33" s="73"/>
      <c r="D33" s="140"/>
      <c r="E33" s="85" t="s">
        <v>13</v>
      </c>
      <c r="F33" s="58">
        <f t="shared" ref="F33:F37" si="8">G33</f>
        <v>12581.599999999999</v>
      </c>
      <c r="G33" s="58">
        <f>G67+G76+G101+G103+G105+G107+G113+G129</f>
        <v>12581.599999999999</v>
      </c>
      <c r="H33" s="51"/>
      <c r="I33" s="51">
        <f t="shared" ref="I33:I37" si="9">J33</f>
        <v>24277.02</v>
      </c>
      <c r="J33" s="58">
        <f>J67+J76+J101+J103+J105+J107+J113+J129</f>
        <v>24277.02</v>
      </c>
      <c r="K33" s="51"/>
      <c r="L33" s="51">
        <f t="shared" ref="L33:L37" si="10">M33</f>
        <v>23277.5</v>
      </c>
      <c r="M33" s="51">
        <f>M67+M76+M101+M103+M105+M107+M113+M129+M92</f>
        <v>23277.5</v>
      </c>
      <c r="N33" s="51"/>
    </row>
    <row r="34" spans="1:15" ht="31.5" hidden="1" outlineLevel="1" x14ac:dyDescent="0.25">
      <c r="A34" s="138"/>
      <c r="B34" s="51" t="s">
        <v>67</v>
      </c>
      <c r="C34" s="73"/>
      <c r="D34" s="140"/>
      <c r="E34" s="85" t="s">
        <v>13</v>
      </c>
      <c r="F34" s="58">
        <f t="shared" si="8"/>
        <v>5407.9</v>
      </c>
      <c r="G34" s="58">
        <f>G68+G82+G91+G96+G117+G118+G124+G127</f>
        <v>5407.9</v>
      </c>
      <c r="H34" s="51"/>
      <c r="I34" s="58">
        <f t="shared" si="9"/>
        <v>7115.3</v>
      </c>
      <c r="J34" s="58">
        <f>J68+J82+J91+J96+J117+J118+J124+J127</f>
        <v>7115.3</v>
      </c>
      <c r="K34" s="51"/>
      <c r="L34" s="51">
        <f t="shared" si="10"/>
        <v>8582.2999999999993</v>
      </c>
      <c r="M34" s="51">
        <f>M68+M82+M91+M96+M117+M118+M124+M127+M47</f>
        <v>8582.2999999999993</v>
      </c>
      <c r="N34" s="51"/>
    </row>
    <row r="35" spans="1:15" ht="57" hidden="1" customHeight="1" outlineLevel="1" x14ac:dyDescent="0.25">
      <c r="A35" s="138"/>
      <c r="B35" s="51" t="s">
        <v>67</v>
      </c>
      <c r="C35" s="73"/>
      <c r="D35" s="140"/>
      <c r="E35" s="85" t="s">
        <v>68</v>
      </c>
      <c r="F35" s="58">
        <f>G35</f>
        <v>495</v>
      </c>
      <c r="G35" s="58">
        <f>G111</f>
        <v>495</v>
      </c>
      <c r="H35" s="51"/>
      <c r="I35" s="58">
        <f>J35</f>
        <v>252.7</v>
      </c>
      <c r="J35" s="58">
        <f>J62</f>
        <v>252.7</v>
      </c>
      <c r="K35" s="51"/>
      <c r="L35" s="51"/>
      <c r="M35" s="51"/>
      <c r="N35" s="51"/>
    </row>
    <row r="36" spans="1:15" ht="47.25" hidden="1" outlineLevel="1" x14ac:dyDescent="0.25">
      <c r="A36" s="138"/>
      <c r="B36" s="51" t="s">
        <v>88</v>
      </c>
      <c r="C36" s="73"/>
      <c r="D36" s="140"/>
      <c r="E36" s="85" t="s">
        <v>13</v>
      </c>
      <c r="F36" s="58">
        <f t="shared" si="8"/>
        <v>5125.6000000000004</v>
      </c>
      <c r="G36" s="58">
        <f>G133+G135</f>
        <v>5125.6000000000004</v>
      </c>
      <c r="H36" s="51"/>
      <c r="I36" s="58">
        <f t="shared" si="9"/>
        <v>4304</v>
      </c>
      <c r="J36" s="58">
        <f>J133+J135</f>
        <v>4304</v>
      </c>
      <c r="K36" s="51"/>
      <c r="L36" s="51">
        <f t="shared" si="10"/>
        <v>6012.4</v>
      </c>
      <c r="M36" s="51">
        <f>M133+M135</f>
        <v>6012.4</v>
      </c>
      <c r="N36" s="51"/>
    </row>
    <row r="37" spans="1:15" ht="31.5" hidden="1" outlineLevel="1" x14ac:dyDescent="0.25">
      <c r="A37" s="138"/>
      <c r="B37" s="51" t="s">
        <v>76</v>
      </c>
      <c r="C37" s="73"/>
      <c r="D37" s="141"/>
      <c r="E37" s="85" t="s">
        <v>13</v>
      </c>
      <c r="F37" s="58" t="e">
        <f t="shared" si="8"/>
        <v>#REF!</v>
      </c>
      <c r="G37" s="58" t="e">
        <f>G139+#REF!+G141</f>
        <v>#REF!</v>
      </c>
      <c r="H37" s="51"/>
      <c r="I37" s="51" t="e">
        <f t="shared" si="9"/>
        <v>#REF!</v>
      </c>
      <c r="J37" s="58" t="e">
        <f>J139+#REF!+J141</f>
        <v>#REF!</v>
      </c>
      <c r="K37" s="51"/>
      <c r="L37" s="51" t="e">
        <f t="shared" si="10"/>
        <v>#REF!</v>
      </c>
      <c r="M37" s="51" t="e">
        <f>M139+#REF!+M141</f>
        <v>#REF!</v>
      </c>
      <c r="N37" s="51"/>
    </row>
    <row r="38" spans="1:15" ht="15.75" collapsed="1" x14ac:dyDescent="0.25">
      <c r="A38" s="138"/>
      <c r="B38" s="176" t="s">
        <v>36</v>
      </c>
      <c r="C38" s="177"/>
      <c r="D38" s="177"/>
      <c r="E38" s="178"/>
      <c r="F38" s="80">
        <f>G38</f>
        <v>6803.3000000000011</v>
      </c>
      <c r="G38" s="80">
        <f>G41+G44+G48+G50+G53</f>
        <v>6803.3000000000011</v>
      </c>
      <c r="H38" s="80"/>
      <c r="I38" s="80">
        <f>J38</f>
        <v>5197.5</v>
      </c>
      <c r="J38" s="80">
        <f>J41+J44+J48+J50+J53+J56</f>
        <v>5197.5</v>
      </c>
      <c r="K38" s="80"/>
      <c r="L38" s="80">
        <f>M38</f>
        <v>7124.2</v>
      </c>
      <c r="M38" s="80">
        <f>M41+M44+M48+M50+M53+M56</f>
        <v>7124.2</v>
      </c>
      <c r="N38" s="80"/>
      <c r="O38" s="76">
        <f>F38+I38+L38</f>
        <v>19125</v>
      </c>
    </row>
    <row r="39" spans="1:15" ht="51.75" customHeight="1" x14ac:dyDescent="0.25">
      <c r="A39" s="138"/>
      <c r="B39" s="179" t="s">
        <v>31</v>
      </c>
      <c r="C39" s="86" t="s">
        <v>57</v>
      </c>
      <c r="D39" s="60" t="s">
        <v>56</v>
      </c>
      <c r="E39" s="62" t="s">
        <v>13</v>
      </c>
      <c r="F39" s="87">
        <f t="shared" ref="F39:F50" si="11">G39</f>
        <v>5307.1</v>
      </c>
      <c r="G39" s="87">
        <f>G41</f>
        <v>5307.1</v>
      </c>
      <c r="H39" s="65"/>
      <c r="I39" s="65">
        <f>J39</f>
        <v>4555</v>
      </c>
      <c r="J39" s="65">
        <f>J41</f>
        <v>4555</v>
      </c>
      <c r="K39" s="65"/>
      <c r="L39" s="65">
        <f>M39</f>
        <v>5716.1</v>
      </c>
      <c r="M39" s="65">
        <f>M41</f>
        <v>5716.1</v>
      </c>
      <c r="N39" s="65"/>
    </row>
    <row r="40" spans="1:15" ht="51.75" customHeight="1" x14ac:dyDescent="0.25">
      <c r="A40" s="138"/>
      <c r="B40" s="180"/>
      <c r="C40" s="59" t="s">
        <v>60</v>
      </c>
      <c r="D40" s="60" t="s">
        <v>56</v>
      </c>
      <c r="E40" s="62" t="s">
        <v>13</v>
      </c>
      <c r="F40" s="87">
        <f>G40</f>
        <v>1496.1999999999998</v>
      </c>
      <c r="G40" s="87">
        <f>G44+G48+G50+G53</f>
        <v>1496.1999999999998</v>
      </c>
      <c r="H40" s="65"/>
      <c r="I40" s="87">
        <f>J40</f>
        <v>642.5</v>
      </c>
      <c r="J40" s="87">
        <f>J44+J48+J50+J53+J56</f>
        <v>642.5</v>
      </c>
      <c r="K40" s="65"/>
      <c r="L40" s="65">
        <f>M40</f>
        <v>1408.1</v>
      </c>
      <c r="M40" s="87">
        <f>M44+M48+M50+M53+M56</f>
        <v>1408.1</v>
      </c>
      <c r="N40" s="65"/>
    </row>
    <row r="41" spans="1:15" ht="50.25" customHeight="1" x14ac:dyDescent="0.25">
      <c r="A41" s="138"/>
      <c r="B41" s="65" t="s">
        <v>33</v>
      </c>
      <c r="C41" s="86" t="s">
        <v>57</v>
      </c>
      <c r="D41" s="60" t="s">
        <v>56</v>
      </c>
      <c r="E41" s="60" t="s">
        <v>13</v>
      </c>
      <c r="F41" s="51">
        <f t="shared" si="11"/>
        <v>5307.1</v>
      </c>
      <c r="G41" s="51">
        <f>G42+G43</f>
        <v>5307.1</v>
      </c>
      <c r="H41" s="51"/>
      <c r="I41" s="58">
        <f>J41</f>
        <v>4555</v>
      </c>
      <c r="J41" s="58">
        <f>J42+J43</f>
        <v>4555</v>
      </c>
      <c r="K41" s="51"/>
      <c r="L41" s="51">
        <f>M41</f>
        <v>5716.1</v>
      </c>
      <c r="M41" s="51">
        <f>M42+M43</f>
        <v>5716.1</v>
      </c>
      <c r="N41" s="51"/>
      <c r="O41" s="76">
        <f>F41+I41+L41</f>
        <v>15578.2</v>
      </c>
    </row>
    <row r="42" spans="1:15" ht="41.25" hidden="1" customHeight="1" outlineLevel="1" x14ac:dyDescent="0.25">
      <c r="A42" s="138"/>
      <c r="B42" s="65" t="s">
        <v>58</v>
      </c>
      <c r="C42" s="86" t="s">
        <v>57</v>
      </c>
      <c r="D42" s="134" t="s">
        <v>56</v>
      </c>
      <c r="E42" s="134" t="s">
        <v>13</v>
      </c>
      <c r="F42" s="51">
        <f t="shared" si="11"/>
        <v>2756.4</v>
      </c>
      <c r="G42" s="51">
        <v>2756.4</v>
      </c>
      <c r="H42" s="51"/>
      <c r="I42" s="58">
        <f t="shared" ref="I42:I44" si="12">J42</f>
        <v>2642.2</v>
      </c>
      <c r="J42" s="58">
        <v>2642.2</v>
      </c>
      <c r="K42" s="51"/>
      <c r="L42" s="51">
        <f t="shared" ref="L42:L43" si="13">M42</f>
        <v>3105</v>
      </c>
      <c r="M42" s="51">
        <v>3105</v>
      </c>
      <c r="N42" s="51"/>
    </row>
    <row r="43" spans="1:15" ht="33" hidden="1" customHeight="1" outlineLevel="1" x14ac:dyDescent="0.25">
      <c r="A43" s="138"/>
      <c r="B43" s="65" t="s">
        <v>59</v>
      </c>
      <c r="C43" s="86" t="s">
        <v>57</v>
      </c>
      <c r="D43" s="135"/>
      <c r="E43" s="135"/>
      <c r="F43" s="51">
        <f t="shared" si="11"/>
        <v>2550.6999999999998</v>
      </c>
      <c r="G43" s="51">
        <v>2550.6999999999998</v>
      </c>
      <c r="H43" s="51"/>
      <c r="I43" s="58">
        <f t="shared" si="12"/>
        <v>1912.8</v>
      </c>
      <c r="J43" s="58">
        <v>1912.8</v>
      </c>
      <c r="K43" s="51"/>
      <c r="L43" s="51">
        <f t="shared" si="13"/>
        <v>2611.1</v>
      </c>
      <c r="M43" s="51">
        <v>2611.1</v>
      </c>
      <c r="N43" s="51"/>
    </row>
    <row r="44" spans="1:15" ht="72.75" customHeight="1" collapsed="1" x14ac:dyDescent="0.25">
      <c r="A44" s="138"/>
      <c r="B44" s="51" t="s">
        <v>32</v>
      </c>
      <c r="C44" s="59" t="s">
        <v>60</v>
      </c>
      <c r="D44" s="60" t="s">
        <v>56</v>
      </c>
      <c r="E44" s="60" t="s">
        <v>13</v>
      </c>
      <c r="F44" s="51">
        <f t="shared" si="11"/>
        <v>535.6</v>
      </c>
      <c r="G44" s="51">
        <f>G45+G46</f>
        <v>535.6</v>
      </c>
      <c r="H44" s="51"/>
      <c r="I44" s="51">
        <f t="shared" si="12"/>
        <v>76.2</v>
      </c>
      <c r="J44" s="51">
        <f>J45+J46</f>
        <v>76.2</v>
      </c>
      <c r="K44" s="51"/>
      <c r="L44" s="58">
        <f>M44</f>
        <v>205.9</v>
      </c>
      <c r="M44" s="58">
        <f>M45+M46+M47</f>
        <v>205.9</v>
      </c>
      <c r="N44" s="51"/>
      <c r="O44" s="76">
        <f>F44+I44+L44</f>
        <v>817.7</v>
      </c>
    </row>
    <row r="45" spans="1:15" ht="34.5" hidden="1" customHeight="1" outlineLevel="2" x14ac:dyDescent="0.25">
      <c r="A45" s="138"/>
      <c r="B45" s="65" t="s">
        <v>58</v>
      </c>
      <c r="C45" s="59" t="s">
        <v>60</v>
      </c>
      <c r="D45" s="134" t="s">
        <v>56</v>
      </c>
      <c r="E45" s="134" t="s">
        <v>13</v>
      </c>
      <c r="F45" s="51">
        <f t="shared" si="11"/>
        <v>65.8</v>
      </c>
      <c r="G45" s="51">
        <v>65.8</v>
      </c>
      <c r="H45" s="51"/>
      <c r="I45" s="51"/>
      <c r="J45" s="51"/>
      <c r="K45" s="51"/>
      <c r="L45" s="58">
        <f t="shared" ref="L45:L47" si="14">M45</f>
        <v>29.7</v>
      </c>
      <c r="M45" s="51">
        <f>31.4-1.7</f>
        <v>29.7</v>
      </c>
      <c r="N45" s="51"/>
    </row>
    <row r="46" spans="1:15" ht="40.5" hidden="1" customHeight="1" outlineLevel="2" x14ac:dyDescent="0.25">
      <c r="A46" s="138"/>
      <c r="B46" s="65" t="s">
        <v>59</v>
      </c>
      <c r="C46" s="59" t="s">
        <v>60</v>
      </c>
      <c r="D46" s="142"/>
      <c r="E46" s="142"/>
      <c r="F46" s="51">
        <f t="shared" si="11"/>
        <v>469.8</v>
      </c>
      <c r="G46" s="51">
        <v>469.8</v>
      </c>
      <c r="H46" s="51"/>
      <c r="I46" s="51"/>
      <c r="J46" s="51">
        <v>76.2</v>
      </c>
      <c r="K46" s="51"/>
      <c r="L46" s="58">
        <f t="shared" si="14"/>
        <v>174.9</v>
      </c>
      <c r="M46" s="51">
        <v>174.9</v>
      </c>
      <c r="N46" s="51"/>
    </row>
    <row r="47" spans="1:15" ht="32.25" hidden="1" customHeight="1" outlineLevel="2" x14ac:dyDescent="0.25">
      <c r="A47" s="138"/>
      <c r="B47" s="65" t="s">
        <v>311</v>
      </c>
      <c r="C47" s="59" t="s">
        <v>60</v>
      </c>
      <c r="D47" s="135"/>
      <c r="E47" s="135"/>
      <c r="F47" s="51"/>
      <c r="G47" s="51"/>
      <c r="H47" s="51"/>
      <c r="I47" s="51"/>
      <c r="J47" s="51"/>
      <c r="K47" s="51"/>
      <c r="L47" s="58">
        <f t="shared" si="14"/>
        <v>1.3</v>
      </c>
      <c r="M47" s="51">
        <v>1.3</v>
      </c>
      <c r="N47" s="51"/>
    </row>
    <row r="48" spans="1:15" ht="63.75" customHeight="1" collapsed="1" x14ac:dyDescent="0.25">
      <c r="A48" s="138"/>
      <c r="B48" s="51" t="s">
        <v>34</v>
      </c>
      <c r="C48" s="59" t="s">
        <v>60</v>
      </c>
      <c r="D48" s="60" t="s">
        <v>56</v>
      </c>
      <c r="E48" s="60" t="s">
        <v>13</v>
      </c>
      <c r="F48" s="58">
        <f t="shared" si="11"/>
        <v>700</v>
      </c>
      <c r="G48" s="58">
        <f>G49</f>
        <v>700</v>
      </c>
      <c r="H48" s="58"/>
      <c r="I48" s="58">
        <f>J48</f>
        <v>339.7</v>
      </c>
      <c r="J48" s="58">
        <f>J49</f>
        <v>339.7</v>
      </c>
      <c r="K48" s="58"/>
      <c r="L48" s="58">
        <f>M48</f>
        <v>365.5</v>
      </c>
      <c r="M48" s="58">
        <f>M49</f>
        <v>365.5</v>
      </c>
      <c r="N48" s="58"/>
      <c r="O48" s="72">
        <f t="shared" ref="O48:O50" si="15">F48+I48+L48</f>
        <v>1405.2</v>
      </c>
    </row>
    <row r="49" spans="1:15" ht="36.75" hidden="1" customHeight="1" outlineLevel="1" x14ac:dyDescent="0.25">
      <c r="A49" s="138"/>
      <c r="B49" s="65" t="s">
        <v>59</v>
      </c>
      <c r="C49" s="59" t="s">
        <v>60</v>
      </c>
      <c r="D49" s="60" t="s">
        <v>56</v>
      </c>
      <c r="E49" s="60" t="s">
        <v>13</v>
      </c>
      <c r="F49" s="58">
        <f t="shared" si="11"/>
        <v>700</v>
      </c>
      <c r="G49" s="58">
        <v>700</v>
      </c>
      <c r="H49" s="58"/>
      <c r="I49" s="58">
        <f>J49</f>
        <v>339.7</v>
      </c>
      <c r="J49" s="58">
        <f>700-360.3</f>
        <v>339.7</v>
      </c>
      <c r="K49" s="58"/>
      <c r="L49" s="58">
        <f>M49</f>
        <v>365.5</v>
      </c>
      <c r="M49" s="58">
        <f>700-334.5</f>
        <v>365.5</v>
      </c>
      <c r="N49" s="58"/>
      <c r="O49" s="72">
        <f t="shared" si="15"/>
        <v>1405.2</v>
      </c>
    </row>
    <row r="50" spans="1:15" ht="67.5" customHeight="1" collapsed="1" x14ac:dyDescent="0.25">
      <c r="A50" s="138"/>
      <c r="B50" s="65" t="s">
        <v>61</v>
      </c>
      <c r="C50" s="59" t="s">
        <v>60</v>
      </c>
      <c r="D50" s="60" t="s">
        <v>56</v>
      </c>
      <c r="E50" s="60" t="s">
        <v>13</v>
      </c>
      <c r="F50" s="58">
        <f t="shared" si="11"/>
        <v>218.1</v>
      </c>
      <c r="G50" s="58">
        <f>G51+G52</f>
        <v>218.1</v>
      </c>
      <c r="H50" s="58"/>
      <c r="I50" s="58">
        <f>J50</f>
        <v>139.5</v>
      </c>
      <c r="J50" s="58">
        <f>J51+J52</f>
        <v>139.5</v>
      </c>
      <c r="K50" s="58"/>
      <c r="L50" s="58">
        <f>M50</f>
        <v>167.7</v>
      </c>
      <c r="M50" s="58">
        <f>M51+M52</f>
        <v>167.7</v>
      </c>
      <c r="N50" s="58"/>
      <c r="O50" s="72">
        <f t="shared" si="15"/>
        <v>525.29999999999995</v>
      </c>
    </row>
    <row r="51" spans="1:15" ht="33" hidden="1" customHeight="1" outlineLevel="2" x14ac:dyDescent="0.25">
      <c r="A51" s="138"/>
      <c r="B51" s="65" t="s">
        <v>58</v>
      </c>
      <c r="C51" s="59" t="s">
        <v>60</v>
      </c>
      <c r="D51" s="134" t="s">
        <v>56</v>
      </c>
      <c r="E51" s="134" t="s">
        <v>13</v>
      </c>
      <c r="F51" s="58"/>
      <c r="G51" s="58"/>
      <c r="H51" s="58"/>
      <c r="I51" s="58">
        <f t="shared" ref="I51:I52" si="16">J51</f>
        <v>139.5</v>
      </c>
      <c r="J51" s="58">
        <f>150-10.5</f>
        <v>139.5</v>
      </c>
      <c r="K51" s="58"/>
      <c r="L51" s="58">
        <f>M51</f>
        <v>167.7</v>
      </c>
      <c r="M51" s="58">
        <f>205-37.3</f>
        <v>167.7</v>
      </c>
      <c r="N51" s="58"/>
    </row>
    <row r="52" spans="1:15" ht="33" hidden="1" customHeight="1" outlineLevel="2" x14ac:dyDescent="0.25">
      <c r="A52" s="138"/>
      <c r="B52" s="65" t="s">
        <v>59</v>
      </c>
      <c r="C52" s="59" t="s">
        <v>60</v>
      </c>
      <c r="D52" s="135"/>
      <c r="E52" s="135"/>
      <c r="F52" s="58">
        <f t="shared" ref="F52" si="17">G52</f>
        <v>218.1</v>
      </c>
      <c r="G52" s="58">
        <v>218.1</v>
      </c>
      <c r="H52" s="58"/>
      <c r="I52" s="58">
        <f t="shared" si="16"/>
        <v>0</v>
      </c>
      <c r="J52" s="58">
        <f>150-64-86</f>
        <v>0</v>
      </c>
      <c r="K52" s="58"/>
      <c r="L52" s="58">
        <f t="shared" ref="L52" si="18">M52</f>
        <v>0</v>
      </c>
      <c r="M52" s="58">
        <f>95-95</f>
        <v>0</v>
      </c>
      <c r="N52" s="58"/>
    </row>
    <row r="53" spans="1:15" ht="71.25" customHeight="1" collapsed="1" x14ac:dyDescent="0.25">
      <c r="A53" s="138"/>
      <c r="B53" s="51" t="s">
        <v>35</v>
      </c>
      <c r="C53" s="59" t="s">
        <v>60</v>
      </c>
      <c r="D53" s="60" t="s">
        <v>56</v>
      </c>
      <c r="E53" s="60" t="s">
        <v>13</v>
      </c>
      <c r="F53" s="51">
        <f>G53</f>
        <v>42.5</v>
      </c>
      <c r="G53" s="51">
        <f>G54+G55</f>
        <v>42.5</v>
      </c>
      <c r="H53" s="51"/>
      <c r="I53" s="51">
        <f>J53</f>
        <v>23.1</v>
      </c>
      <c r="J53" s="51">
        <f>J54+J55</f>
        <v>23.1</v>
      </c>
      <c r="K53" s="51"/>
      <c r="L53" s="51">
        <f>M53</f>
        <v>49.8</v>
      </c>
      <c r="M53" s="51">
        <f>M54+M55</f>
        <v>49.8</v>
      </c>
      <c r="N53" s="51"/>
      <c r="O53" s="72">
        <f>F53+I53+L53</f>
        <v>115.39999999999999</v>
      </c>
    </row>
    <row r="54" spans="1:15" ht="33.75" hidden="1" customHeight="1" outlineLevel="3" x14ac:dyDescent="0.25">
      <c r="A54" s="138"/>
      <c r="B54" s="65" t="s">
        <v>58</v>
      </c>
      <c r="C54" s="59" t="s">
        <v>60</v>
      </c>
      <c r="D54" s="134" t="s">
        <v>56</v>
      </c>
      <c r="E54" s="134" t="s">
        <v>13</v>
      </c>
      <c r="F54" s="51">
        <f t="shared" ref="F54:F55" si="19">G54</f>
        <v>12.6</v>
      </c>
      <c r="G54" s="51">
        <v>12.6</v>
      </c>
      <c r="H54" s="51"/>
      <c r="I54" s="51">
        <f t="shared" ref="I54:I55" si="20">J54</f>
        <v>23.1</v>
      </c>
      <c r="J54" s="51">
        <f>12.6+10.5</f>
        <v>23.1</v>
      </c>
      <c r="K54" s="51"/>
      <c r="L54" s="51">
        <f t="shared" ref="L54:L55" si="21">M54</f>
        <v>49.8</v>
      </c>
      <c r="M54" s="51">
        <f>12.5+37.3</f>
        <v>49.8</v>
      </c>
      <c r="N54" s="51"/>
    </row>
    <row r="55" spans="1:15" ht="31.5" hidden="1" outlineLevel="3" x14ac:dyDescent="0.25">
      <c r="A55" s="138"/>
      <c r="B55" s="65" t="s">
        <v>59</v>
      </c>
      <c r="C55" s="59" t="s">
        <v>60</v>
      </c>
      <c r="D55" s="135"/>
      <c r="E55" s="135"/>
      <c r="F55" s="51">
        <f t="shared" si="19"/>
        <v>29.9</v>
      </c>
      <c r="G55" s="51">
        <v>29.9</v>
      </c>
      <c r="H55" s="51"/>
      <c r="I55" s="51">
        <f t="shared" si="20"/>
        <v>0</v>
      </c>
      <c r="J55" s="51">
        <f>29.9-29.9</f>
        <v>0</v>
      </c>
      <c r="K55" s="51"/>
      <c r="L55" s="51">
        <f t="shared" si="21"/>
        <v>0</v>
      </c>
      <c r="M55" s="51">
        <f>30-30</f>
        <v>0</v>
      </c>
      <c r="N55" s="51"/>
    </row>
    <row r="56" spans="1:15" ht="68.25" customHeight="1" collapsed="1" x14ac:dyDescent="0.25">
      <c r="A56" s="138"/>
      <c r="B56" s="51" t="s">
        <v>292</v>
      </c>
      <c r="C56" s="59" t="s">
        <v>60</v>
      </c>
      <c r="D56" s="60" t="s">
        <v>56</v>
      </c>
      <c r="E56" s="60" t="s">
        <v>13</v>
      </c>
      <c r="F56" s="51"/>
      <c r="G56" s="51"/>
      <c r="H56" s="51"/>
      <c r="I56" s="58">
        <f>I57</f>
        <v>64</v>
      </c>
      <c r="J56" s="58">
        <f>J57</f>
        <v>64</v>
      </c>
      <c r="K56" s="51"/>
      <c r="L56" s="51">
        <f>M56</f>
        <v>619.20000000000005</v>
      </c>
      <c r="M56" s="51">
        <f>M57</f>
        <v>619.20000000000005</v>
      </c>
      <c r="N56" s="51"/>
    </row>
    <row r="57" spans="1:15" ht="36" hidden="1" customHeight="1" outlineLevel="2" x14ac:dyDescent="0.25">
      <c r="A57" s="138"/>
      <c r="B57" s="65" t="s">
        <v>59</v>
      </c>
      <c r="C57" s="59" t="s">
        <v>60</v>
      </c>
      <c r="D57" s="60" t="s">
        <v>56</v>
      </c>
      <c r="E57" s="60" t="s">
        <v>13</v>
      </c>
      <c r="F57" s="51"/>
      <c r="G57" s="51"/>
      <c r="H57" s="51"/>
      <c r="I57" s="58">
        <f t="shared" ref="I57:I64" si="22">J57</f>
        <v>64</v>
      </c>
      <c r="J57" s="58">
        <f>64</f>
        <v>64</v>
      </c>
      <c r="K57" s="51"/>
      <c r="L57" s="51">
        <f>M57</f>
        <v>619.20000000000005</v>
      </c>
      <c r="M57" s="51">
        <f>250+334.5+45.2-10.5</f>
        <v>619.20000000000005</v>
      </c>
      <c r="N57" s="51"/>
    </row>
    <row r="58" spans="1:15" ht="15.75" collapsed="1" x14ac:dyDescent="0.25">
      <c r="A58" s="138"/>
      <c r="B58" s="176" t="s">
        <v>37</v>
      </c>
      <c r="C58" s="177"/>
      <c r="D58" s="177"/>
      <c r="E58" s="178"/>
      <c r="F58" s="80">
        <f>G58</f>
        <v>55910.299999999996</v>
      </c>
      <c r="G58" s="80">
        <f>G59+G61+G60</f>
        <v>55910.299999999996</v>
      </c>
      <c r="H58" s="81"/>
      <c r="I58" s="80">
        <f>J58</f>
        <v>70245.399999999994</v>
      </c>
      <c r="J58" s="80">
        <f>J59+J61+J62+J60</f>
        <v>70245.399999999994</v>
      </c>
      <c r="K58" s="81"/>
      <c r="L58" s="80">
        <f>M58</f>
        <v>76969.7</v>
      </c>
      <c r="M58" s="80">
        <f>M59+M61+M62+M60</f>
        <v>76969.7</v>
      </c>
      <c r="N58" s="81"/>
      <c r="O58" s="76">
        <f>F58+I58+L58</f>
        <v>203125.39999999997</v>
      </c>
    </row>
    <row r="59" spans="1:15" ht="27.75" customHeight="1" x14ac:dyDescent="0.25">
      <c r="A59" s="138"/>
      <c r="B59" s="179" t="s">
        <v>38</v>
      </c>
      <c r="C59" s="59" t="s">
        <v>62</v>
      </c>
      <c r="D59" s="134" t="s">
        <v>56</v>
      </c>
      <c r="E59" s="60" t="s">
        <v>13</v>
      </c>
      <c r="F59" s="58">
        <f>G59</f>
        <v>53191.299999999996</v>
      </c>
      <c r="G59" s="58">
        <f>G63+G69+G71+G75+G79+G85+G93+G99+G110+G122+G128</f>
        <v>53191.299999999996</v>
      </c>
      <c r="H59" s="51"/>
      <c r="I59" s="58">
        <f t="shared" si="22"/>
        <v>67768.7</v>
      </c>
      <c r="J59" s="58">
        <f>J63+J69+J71+J75+J79+J85+J93+J99+J110+J122+J128+J108+J120+J125</f>
        <v>67768.7</v>
      </c>
      <c r="K59" s="51"/>
      <c r="L59" s="51">
        <f>M59</f>
        <v>74519.7</v>
      </c>
      <c r="M59" s="58">
        <f>M63+M69+M71+M75+M79+M85+M93+M99+M110+M122+M128+M108</f>
        <v>74519.7</v>
      </c>
      <c r="N59" s="51"/>
    </row>
    <row r="60" spans="1:15" ht="27.75" customHeight="1" x14ac:dyDescent="0.25">
      <c r="A60" s="138"/>
      <c r="B60" s="228"/>
      <c r="C60" s="59" t="s">
        <v>60</v>
      </c>
      <c r="D60" s="142"/>
      <c r="E60" s="60" t="s">
        <v>13</v>
      </c>
      <c r="F60" s="58">
        <f>G60</f>
        <v>2224</v>
      </c>
      <c r="G60" s="58">
        <f>G73+G78+G84</f>
        <v>2224</v>
      </c>
      <c r="H60" s="51"/>
      <c r="I60" s="58">
        <f>J60</f>
        <v>2224</v>
      </c>
      <c r="J60" s="58">
        <f>J73+J78+J84</f>
        <v>2224</v>
      </c>
      <c r="K60" s="51"/>
      <c r="L60" s="58">
        <f>M60</f>
        <v>2450</v>
      </c>
      <c r="M60" s="58">
        <f>M73+M78+M84</f>
        <v>2450</v>
      </c>
      <c r="N60" s="51"/>
    </row>
    <row r="61" spans="1:15" ht="72.75" customHeight="1" x14ac:dyDescent="0.25">
      <c r="A61" s="138"/>
      <c r="B61" s="228"/>
      <c r="C61" s="59" t="s">
        <v>62</v>
      </c>
      <c r="D61" s="142"/>
      <c r="E61" s="60" t="s">
        <v>68</v>
      </c>
      <c r="F61" s="58">
        <f>G61</f>
        <v>495</v>
      </c>
      <c r="G61" s="58">
        <f>G111</f>
        <v>495</v>
      </c>
      <c r="H61" s="51"/>
      <c r="I61" s="51"/>
      <c r="J61" s="51"/>
      <c r="K61" s="51"/>
      <c r="L61" s="51"/>
      <c r="M61" s="51"/>
      <c r="N61" s="51"/>
    </row>
    <row r="62" spans="1:15" ht="54.75" customHeight="1" x14ac:dyDescent="0.25">
      <c r="A62" s="138"/>
      <c r="B62" s="180"/>
      <c r="C62" s="59" t="s">
        <v>62</v>
      </c>
      <c r="D62" s="135"/>
      <c r="E62" s="60" t="s">
        <v>296</v>
      </c>
      <c r="F62" s="58"/>
      <c r="G62" s="58"/>
      <c r="H62" s="51"/>
      <c r="I62" s="51">
        <f>I112</f>
        <v>252.7</v>
      </c>
      <c r="J62" s="51">
        <f>J112</f>
        <v>252.7</v>
      </c>
      <c r="K62" s="51"/>
      <c r="L62" s="51"/>
      <c r="M62" s="51"/>
      <c r="N62" s="51"/>
    </row>
    <row r="63" spans="1:15" ht="69" customHeight="1" x14ac:dyDescent="0.25">
      <c r="A63" s="138"/>
      <c r="B63" s="51" t="s">
        <v>39</v>
      </c>
      <c r="C63" s="59" t="s">
        <v>62</v>
      </c>
      <c r="D63" s="88" t="s">
        <v>56</v>
      </c>
      <c r="E63" s="60" t="s">
        <v>13</v>
      </c>
      <c r="F63" s="58">
        <f>G63</f>
        <v>42367.7</v>
      </c>
      <c r="G63" s="58">
        <f>G64+G65+G66+G67+G68</f>
        <v>42367.7</v>
      </c>
      <c r="H63" s="51"/>
      <c r="I63" s="51">
        <f t="shared" si="22"/>
        <v>43179.6</v>
      </c>
      <c r="J63" s="51">
        <f>J64+J65+J66+J67+J68</f>
        <v>43179.6</v>
      </c>
      <c r="K63" s="51"/>
      <c r="L63" s="51">
        <f>M63</f>
        <v>52134.7</v>
      </c>
      <c r="M63" s="51">
        <f>M64+M65+M66+M67+M68</f>
        <v>52134.7</v>
      </c>
      <c r="N63" s="51"/>
      <c r="O63" s="84">
        <f>F63+I63+L63</f>
        <v>137682</v>
      </c>
    </row>
    <row r="64" spans="1:15" ht="25.5" hidden="1" customHeight="1" outlineLevel="3" x14ac:dyDescent="0.25">
      <c r="A64" s="138"/>
      <c r="B64" s="51" t="s">
        <v>63</v>
      </c>
      <c r="C64" s="59" t="s">
        <v>62</v>
      </c>
      <c r="D64" s="134" t="s">
        <v>56</v>
      </c>
      <c r="E64" s="134" t="s">
        <v>13</v>
      </c>
      <c r="F64" s="58">
        <f>G64</f>
        <v>7485</v>
      </c>
      <c r="G64" s="58">
        <v>7485</v>
      </c>
      <c r="H64" s="51"/>
      <c r="I64" s="51">
        <f t="shared" si="22"/>
        <v>8047.6</v>
      </c>
      <c r="J64" s="51">
        <v>8047.6</v>
      </c>
      <c r="K64" s="51"/>
      <c r="L64" s="51">
        <f>M64</f>
        <v>10925.5</v>
      </c>
      <c r="M64" s="51">
        <f>10813.5+112</f>
        <v>10925.5</v>
      </c>
      <c r="N64" s="51"/>
      <c r="O64" s="84"/>
    </row>
    <row r="65" spans="1:15" ht="22.5" hidden="1" customHeight="1" outlineLevel="3" x14ac:dyDescent="0.25">
      <c r="A65" s="138"/>
      <c r="B65" s="51" t="s">
        <v>64</v>
      </c>
      <c r="C65" s="59" t="s">
        <v>62</v>
      </c>
      <c r="D65" s="142"/>
      <c r="E65" s="142"/>
      <c r="F65" s="58">
        <f t="shared" ref="F65:F70" si="23">G65</f>
        <v>9899.7000000000007</v>
      </c>
      <c r="G65" s="58">
        <v>9899.7000000000007</v>
      </c>
      <c r="H65" s="51"/>
      <c r="I65" s="51">
        <f t="shared" ref="I65:I70" si="24">J65</f>
        <v>8534.9</v>
      </c>
      <c r="J65" s="51">
        <v>8534.9</v>
      </c>
      <c r="K65" s="51"/>
      <c r="L65" s="51">
        <f t="shared" ref="L65:L70" si="25">M65</f>
        <v>8323.2999999999993</v>
      </c>
      <c r="M65" s="51">
        <f>9736.5-1413.2</f>
        <v>8323.2999999999993</v>
      </c>
      <c r="N65" s="51"/>
      <c r="O65" s="84"/>
    </row>
    <row r="66" spans="1:15" ht="16.5" hidden="1" customHeight="1" outlineLevel="3" x14ac:dyDescent="0.25">
      <c r="A66" s="138"/>
      <c r="B66" s="51" t="s">
        <v>65</v>
      </c>
      <c r="C66" s="59" t="s">
        <v>62</v>
      </c>
      <c r="D66" s="142"/>
      <c r="E66" s="142"/>
      <c r="F66" s="58">
        <f t="shared" si="23"/>
        <v>11953.3</v>
      </c>
      <c r="G66" s="58">
        <v>11953.3</v>
      </c>
      <c r="H66" s="51"/>
      <c r="I66" s="51">
        <f t="shared" si="24"/>
        <v>13198.8</v>
      </c>
      <c r="J66" s="51">
        <v>13198.8</v>
      </c>
      <c r="K66" s="51"/>
      <c r="L66" s="51">
        <f t="shared" si="25"/>
        <v>15494.6</v>
      </c>
      <c r="M66" s="51">
        <f>14476.2+1018.4</f>
        <v>15494.6</v>
      </c>
      <c r="N66" s="51"/>
      <c r="O66" s="84"/>
    </row>
    <row r="67" spans="1:15" ht="31.5" hidden="1" customHeight="1" outlineLevel="3" x14ac:dyDescent="0.25">
      <c r="A67" s="138"/>
      <c r="B67" s="51" t="s">
        <v>66</v>
      </c>
      <c r="C67" s="59" t="s">
        <v>62</v>
      </c>
      <c r="D67" s="142"/>
      <c r="E67" s="142"/>
      <c r="F67" s="58">
        <f t="shared" si="23"/>
        <v>8736</v>
      </c>
      <c r="G67" s="58">
        <v>8736</v>
      </c>
      <c r="H67" s="51"/>
      <c r="I67" s="51">
        <f t="shared" si="24"/>
        <v>8245.2999999999993</v>
      </c>
      <c r="J67" s="51">
        <v>8245.2999999999993</v>
      </c>
      <c r="K67" s="51"/>
      <c r="L67" s="51">
        <f t="shared" si="25"/>
        <v>10153.299999999999</v>
      </c>
      <c r="M67" s="51">
        <f>10036.8+116.5</f>
        <v>10153.299999999999</v>
      </c>
      <c r="N67" s="51"/>
      <c r="O67" s="84"/>
    </row>
    <row r="68" spans="1:15" ht="27" hidden="1" customHeight="1" outlineLevel="3" x14ac:dyDescent="0.25">
      <c r="A68" s="138"/>
      <c r="B68" s="51" t="s">
        <v>67</v>
      </c>
      <c r="C68" s="59" t="s">
        <v>62</v>
      </c>
      <c r="D68" s="135"/>
      <c r="E68" s="135"/>
      <c r="F68" s="58">
        <f t="shared" si="23"/>
        <v>4293.7</v>
      </c>
      <c r="G68" s="58">
        <v>4293.7</v>
      </c>
      <c r="H68" s="51"/>
      <c r="I68" s="51">
        <f t="shared" si="24"/>
        <v>5153</v>
      </c>
      <c r="J68" s="51">
        <v>5153</v>
      </c>
      <c r="K68" s="51"/>
      <c r="L68" s="51">
        <f t="shared" si="25"/>
        <v>7238</v>
      </c>
      <c r="M68" s="51">
        <f>6471.7+766.3</f>
        <v>7238</v>
      </c>
      <c r="N68" s="51"/>
      <c r="O68" s="84"/>
    </row>
    <row r="69" spans="1:15" ht="72" customHeight="1" collapsed="1" x14ac:dyDescent="0.25">
      <c r="A69" s="138"/>
      <c r="B69" s="51" t="s">
        <v>40</v>
      </c>
      <c r="C69" s="59" t="s">
        <v>62</v>
      </c>
      <c r="D69" s="88" t="s">
        <v>56</v>
      </c>
      <c r="E69" s="60" t="s">
        <v>13</v>
      </c>
      <c r="F69" s="51">
        <f t="shared" si="23"/>
        <v>318.7</v>
      </c>
      <c r="G69" s="51">
        <f>G70</f>
        <v>318.7</v>
      </c>
      <c r="H69" s="51"/>
      <c r="I69" s="51">
        <f t="shared" si="24"/>
        <v>318.7</v>
      </c>
      <c r="J69" s="51">
        <f>J70</f>
        <v>318.7</v>
      </c>
      <c r="K69" s="51"/>
      <c r="L69" s="51">
        <f t="shared" si="25"/>
        <v>363.1</v>
      </c>
      <c r="M69" s="51">
        <f>M70</f>
        <v>363.1</v>
      </c>
      <c r="N69" s="51"/>
      <c r="O69" s="84">
        <f t="shared" ref="O69" si="26">F69+I69+L69</f>
        <v>1000.5</v>
      </c>
    </row>
    <row r="70" spans="1:15" ht="30.75" hidden="1" customHeight="1" outlineLevel="1" x14ac:dyDescent="0.25">
      <c r="A70" s="138"/>
      <c r="B70" s="51" t="s">
        <v>63</v>
      </c>
      <c r="C70" s="59" t="s">
        <v>62</v>
      </c>
      <c r="D70" s="60" t="s">
        <v>56</v>
      </c>
      <c r="E70" s="89" t="s">
        <v>13</v>
      </c>
      <c r="F70" s="51">
        <f t="shared" si="23"/>
        <v>318.7</v>
      </c>
      <c r="G70" s="51">
        <v>318.7</v>
      </c>
      <c r="H70" s="51"/>
      <c r="I70" s="51">
        <f t="shared" si="24"/>
        <v>318.7</v>
      </c>
      <c r="J70" s="51">
        <v>318.7</v>
      </c>
      <c r="K70" s="51"/>
      <c r="L70" s="51">
        <f t="shared" si="25"/>
        <v>363.1</v>
      </c>
      <c r="M70" s="51">
        <f>350+13.1</f>
        <v>363.1</v>
      </c>
      <c r="N70" s="51"/>
      <c r="O70" s="84"/>
    </row>
    <row r="71" spans="1:15" ht="82.5" customHeight="1" collapsed="1" x14ac:dyDescent="0.25">
      <c r="A71" s="138"/>
      <c r="B71" s="51" t="s">
        <v>41</v>
      </c>
      <c r="C71" s="59" t="s">
        <v>62</v>
      </c>
      <c r="D71" s="88" t="s">
        <v>56</v>
      </c>
      <c r="E71" s="60" t="s">
        <v>13</v>
      </c>
      <c r="F71" s="51">
        <f t="shared" ref="F71:F78" si="27">G71</f>
        <v>201.7</v>
      </c>
      <c r="G71" s="51">
        <f>G72</f>
        <v>201.7</v>
      </c>
      <c r="H71" s="51"/>
      <c r="I71" s="51"/>
      <c r="J71" s="51"/>
      <c r="K71" s="51"/>
      <c r="L71" s="51"/>
      <c r="M71" s="51"/>
      <c r="N71" s="51"/>
      <c r="O71" s="84">
        <f t="shared" ref="O71:O75" si="28">F71+I71+L71</f>
        <v>201.7</v>
      </c>
    </row>
    <row r="72" spans="1:15" ht="35.25" hidden="1" customHeight="1" outlineLevel="1" x14ac:dyDescent="0.25">
      <c r="A72" s="138"/>
      <c r="B72" s="51" t="s">
        <v>65</v>
      </c>
      <c r="C72" s="59" t="s">
        <v>62</v>
      </c>
      <c r="D72" s="60" t="s">
        <v>56</v>
      </c>
      <c r="E72" s="89" t="s">
        <v>13</v>
      </c>
      <c r="F72" s="51">
        <f t="shared" si="27"/>
        <v>201.7</v>
      </c>
      <c r="G72" s="51">
        <v>201.7</v>
      </c>
      <c r="H72" s="51"/>
      <c r="I72" s="51"/>
      <c r="J72" s="51"/>
      <c r="K72" s="51"/>
      <c r="L72" s="51"/>
      <c r="M72" s="51"/>
      <c r="N72" s="51"/>
      <c r="O72" s="84"/>
    </row>
    <row r="73" spans="1:15" ht="86.25" customHeight="1" collapsed="1" x14ac:dyDescent="0.25">
      <c r="A73" s="138"/>
      <c r="B73" s="51" t="s">
        <v>42</v>
      </c>
      <c r="C73" s="59" t="s">
        <v>60</v>
      </c>
      <c r="D73" s="88" t="s">
        <v>56</v>
      </c>
      <c r="E73" s="60" t="s">
        <v>13</v>
      </c>
      <c r="F73" s="58">
        <f t="shared" si="27"/>
        <v>2124</v>
      </c>
      <c r="G73" s="58">
        <f>G74</f>
        <v>2124</v>
      </c>
      <c r="H73" s="51"/>
      <c r="I73" s="58">
        <f>J73</f>
        <v>2124</v>
      </c>
      <c r="J73" s="58">
        <f>J74</f>
        <v>2124</v>
      </c>
      <c r="K73" s="51"/>
      <c r="L73" s="58">
        <f>M73</f>
        <v>2200</v>
      </c>
      <c r="M73" s="58">
        <f>M74</f>
        <v>2200</v>
      </c>
      <c r="N73" s="51"/>
      <c r="O73" s="76">
        <f t="shared" si="28"/>
        <v>6448</v>
      </c>
    </row>
    <row r="74" spans="1:15" ht="35.25" hidden="1" customHeight="1" outlineLevel="4" x14ac:dyDescent="0.25">
      <c r="A74" s="138"/>
      <c r="B74" s="51" t="s">
        <v>64</v>
      </c>
      <c r="C74" s="59" t="s">
        <v>60</v>
      </c>
      <c r="D74" s="60" t="s">
        <v>56</v>
      </c>
      <c r="E74" s="89" t="s">
        <v>13</v>
      </c>
      <c r="F74" s="58">
        <f t="shared" si="27"/>
        <v>2124</v>
      </c>
      <c r="G74" s="58">
        <v>2124</v>
      </c>
      <c r="H74" s="58"/>
      <c r="I74" s="58">
        <f>J74</f>
        <v>2124</v>
      </c>
      <c r="J74" s="58">
        <v>2124</v>
      </c>
      <c r="K74" s="58"/>
      <c r="L74" s="58">
        <f>M74</f>
        <v>2200</v>
      </c>
      <c r="M74" s="58">
        <v>2200</v>
      </c>
      <c r="N74" s="58"/>
      <c r="O74" s="76"/>
    </row>
    <row r="75" spans="1:15" ht="107.25" customHeight="1" collapsed="1" x14ac:dyDescent="0.25">
      <c r="A75" s="138"/>
      <c r="B75" s="51" t="s">
        <v>43</v>
      </c>
      <c r="C75" s="59" t="s">
        <v>62</v>
      </c>
      <c r="D75" s="88" t="s">
        <v>56</v>
      </c>
      <c r="E75" s="60" t="s">
        <v>13</v>
      </c>
      <c r="F75" s="51">
        <f t="shared" si="27"/>
        <v>2188.9</v>
      </c>
      <c r="G75" s="51">
        <f>G76</f>
        <v>2188.9</v>
      </c>
      <c r="H75" s="51"/>
      <c r="I75" s="51">
        <f>J75</f>
        <v>2390.5</v>
      </c>
      <c r="J75" s="51">
        <f>J76</f>
        <v>2390.5</v>
      </c>
      <c r="K75" s="51"/>
      <c r="L75" s="51">
        <f>M75</f>
        <v>2571</v>
      </c>
      <c r="M75" s="51">
        <f>M76</f>
        <v>2571</v>
      </c>
      <c r="N75" s="51"/>
      <c r="O75" s="84">
        <f t="shared" si="28"/>
        <v>7150.4</v>
      </c>
    </row>
    <row r="76" spans="1:15" ht="31.5" hidden="1" customHeight="1" outlineLevel="2" x14ac:dyDescent="0.25">
      <c r="A76" s="138"/>
      <c r="B76" s="51" t="s">
        <v>66</v>
      </c>
      <c r="C76" s="59" t="s">
        <v>62</v>
      </c>
      <c r="D76" s="60" t="s">
        <v>56</v>
      </c>
      <c r="E76" s="60" t="s">
        <v>13</v>
      </c>
      <c r="F76" s="51">
        <f t="shared" si="27"/>
        <v>2188.9</v>
      </c>
      <c r="G76" s="51">
        <v>2188.9</v>
      </c>
      <c r="H76" s="51"/>
      <c r="I76" s="51">
        <f>J76</f>
        <v>2390.5</v>
      </c>
      <c r="J76" s="51">
        <f>2488.9-98.4</f>
        <v>2390.5</v>
      </c>
      <c r="K76" s="51"/>
      <c r="L76" s="51">
        <f>M76</f>
        <v>2571</v>
      </c>
      <c r="M76" s="51">
        <f>2419.6+151.4</f>
        <v>2571</v>
      </c>
      <c r="N76" s="51"/>
      <c r="O76" s="84"/>
    </row>
    <row r="77" spans="1:15" ht="21" customHeight="1" collapsed="1" x14ac:dyDescent="0.25">
      <c r="A77" s="138"/>
      <c r="B77" s="145" t="s">
        <v>365</v>
      </c>
      <c r="C77" s="243" t="s">
        <v>396</v>
      </c>
      <c r="D77" s="244"/>
      <c r="E77" s="245"/>
      <c r="F77" s="80">
        <f>F78+F79</f>
        <v>4107.6000000000004</v>
      </c>
      <c r="G77" s="80">
        <f>G78+G79</f>
        <v>4107.6000000000004</v>
      </c>
      <c r="H77" s="51"/>
      <c r="I77" s="51"/>
      <c r="J77" s="51"/>
      <c r="K77" s="51"/>
      <c r="L77" s="51"/>
      <c r="M77" s="51"/>
      <c r="N77" s="51"/>
      <c r="O77" s="84"/>
    </row>
    <row r="78" spans="1:15" ht="31.5" customHeight="1" x14ac:dyDescent="0.25">
      <c r="A78" s="138"/>
      <c r="B78" s="146"/>
      <c r="C78" s="59" t="s">
        <v>60</v>
      </c>
      <c r="D78" s="143" t="s">
        <v>56</v>
      </c>
      <c r="E78" s="134" t="s">
        <v>13</v>
      </c>
      <c r="F78" s="58">
        <f t="shared" si="27"/>
        <v>100</v>
      </c>
      <c r="G78" s="58">
        <f>G80</f>
        <v>100</v>
      </c>
      <c r="H78" s="51"/>
      <c r="I78" s="51"/>
      <c r="J78" s="51"/>
      <c r="K78" s="51"/>
      <c r="L78" s="51"/>
      <c r="M78" s="51"/>
      <c r="N78" s="51"/>
      <c r="O78" s="76">
        <f>F78+F79</f>
        <v>4107.6000000000004</v>
      </c>
    </row>
    <row r="79" spans="1:15" ht="44.25" customHeight="1" x14ac:dyDescent="0.25">
      <c r="A79" s="138"/>
      <c r="B79" s="147"/>
      <c r="C79" s="59" t="s">
        <v>62</v>
      </c>
      <c r="D79" s="144"/>
      <c r="E79" s="135"/>
      <c r="F79" s="58">
        <f>F81+F82</f>
        <v>4007.6</v>
      </c>
      <c r="G79" s="58">
        <f>G81+G82</f>
        <v>4007.6</v>
      </c>
      <c r="H79" s="51"/>
      <c r="I79" s="51"/>
      <c r="J79" s="51"/>
      <c r="K79" s="51"/>
      <c r="L79" s="51"/>
      <c r="M79" s="51"/>
      <c r="N79" s="51"/>
    </row>
    <row r="80" spans="1:15" ht="16.5" hidden="1" customHeight="1" outlineLevel="1" x14ac:dyDescent="0.25">
      <c r="A80" s="138"/>
      <c r="B80" s="51" t="s">
        <v>63</v>
      </c>
      <c r="C80" s="59" t="s">
        <v>60</v>
      </c>
      <c r="D80" s="134" t="s">
        <v>56</v>
      </c>
      <c r="E80" s="203" t="s">
        <v>13</v>
      </c>
      <c r="F80" s="58">
        <f>G80</f>
        <v>100</v>
      </c>
      <c r="G80" s="58">
        <v>100</v>
      </c>
      <c r="H80" s="51"/>
      <c r="I80" s="51"/>
      <c r="J80" s="51"/>
      <c r="K80" s="51"/>
      <c r="L80" s="51"/>
      <c r="M80" s="51"/>
      <c r="N80" s="51"/>
    </row>
    <row r="81" spans="1:15" ht="18.75" hidden="1" customHeight="1" outlineLevel="1" x14ac:dyDescent="0.25">
      <c r="A81" s="138"/>
      <c r="B81" s="51" t="s">
        <v>64</v>
      </c>
      <c r="C81" s="59" t="s">
        <v>62</v>
      </c>
      <c r="D81" s="142"/>
      <c r="E81" s="230"/>
      <c r="F81" s="58">
        <f t="shared" ref="F81:F82" si="29">G81</f>
        <v>3838.4</v>
      </c>
      <c r="G81" s="58">
        <v>3838.4</v>
      </c>
      <c r="H81" s="51"/>
      <c r="I81" s="51"/>
      <c r="J81" s="51"/>
      <c r="K81" s="51"/>
      <c r="L81" s="51"/>
      <c r="M81" s="51"/>
      <c r="N81" s="51"/>
    </row>
    <row r="82" spans="1:15" ht="18" hidden="1" customHeight="1" outlineLevel="1" x14ac:dyDescent="0.25">
      <c r="A82" s="138"/>
      <c r="B82" s="51" t="s">
        <v>67</v>
      </c>
      <c r="C82" s="59" t="s">
        <v>62</v>
      </c>
      <c r="D82" s="135"/>
      <c r="E82" s="204"/>
      <c r="F82" s="58">
        <f t="shared" si="29"/>
        <v>169.2</v>
      </c>
      <c r="G82" s="58">
        <v>169.2</v>
      </c>
      <c r="H82" s="51"/>
      <c r="I82" s="51"/>
      <c r="J82" s="51"/>
      <c r="K82" s="51"/>
      <c r="L82" s="51"/>
      <c r="M82" s="51"/>
      <c r="N82" s="51"/>
    </row>
    <row r="83" spans="1:15" ht="18" customHeight="1" collapsed="1" x14ac:dyDescent="0.25">
      <c r="A83" s="138"/>
      <c r="B83" s="145" t="s">
        <v>366</v>
      </c>
      <c r="C83" s="243" t="s">
        <v>310</v>
      </c>
      <c r="D83" s="244"/>
      <c r="E83" s="245"/>
      <c r="F83" s="58"/>
      <c r="G83" s="58"/>
      <c r="H83" s="51"/>
      <c r="I83" s="80">
        <f>I84+I85</f>
        <v>4305.2</v>
      </c>
      <c r="J83" s="80">
        <f>J84+J85</f>
        <v>4305.2</v>
      </c>
      <c r="K83" s="80"/>
      <c r="L83" s="80">
        <f t="shared" ref="L83" si="30">L84+L85</f>
        <v>5284.2</v>
      </c>
      <c r="M83" s="80">
        <f>M84+M85</f>
        <v>5284.2</v>
      </c>
      <c r="N83" s="80"/>
    </row>
    <row r="84" spans="1:15" ht="39" customHeight="1" x14ac:dyDescent="0.25">
      <c r="A84" s="138"/>
      <c r="B84" s="146"/>
      <c r="C84" s="59" t="s">
        <v>60</v>
      </c>
      <c r="D84" s="143" t="s">
        <v>56</v>
      </c>
      <c r="E84" s="134" t="s">
        <v>13</v>
      </c>
      <c r="F84" s="58"/>
      <c r="G84" s="58"/>
      <c r="H84" s="51"/>
      <c r="I84" s="58">
        <f>J84</f>
        <v>100</v>
      </c>
      <c r="J84" s="58">
        <f>J86+J89</f>
        <v>100</v>
      </c>
      <c r="K84" s="51"/>
      <c r="L84" s="58">
        <f>M84</f>
        <v>250</v>
      </c>
      <c r="M84" s="58">
        <f>M89</f>
        <v>250</v>
      </c>
      <c r="N84" s="51"/>
      <c r="O84" s="76">
        <f>I84+I85</f>
        <v>4305.2</v>
      </c>
    </row>
    <row r="85" spans="1:15" ht="66.75" customHeight="1" x14ac:dyDescent="0.25">
      <c r="A85" s="138"/>
      <c r="B85" s="147"/>
      <c r="C85" s="59" t="s">
        <v>62</v>
      </c>
      <c r="D85" s="144"/>
      <c r="E85" s="135"/>
      <c r="F85" s="58"/>
      <c r="G85" s="58"/>
      <c r="H85" s="51"/>
      <c r="I85" s="58">
        <f>J85</f>
        <v>4205.2</v>
      </c>
      <c r="J85" s="58">
        <f>J90+J91+J87</f>
        <v>4205.2</v>
      </c>
      <c r="K85" s="51"/>
      <c r="L85" s="90">
        <f>M85</f>
        <v>5034.2</v>
      </c>
      <c r="M85" s="58">
        <f>M90+M91+M87+M92+M88</f>
        <v>5034.2</v>
      </c>
      <c r="N85" s="51"/>
    </row>
    <row r="86" spans="1:15" ht="34.5" hidden="1" customHeight="1" outlineLevel="1" x14ac:dyDescent="0.25">
      <c r="A86" s="138"/>
      <c r="B86" s="51" t="s">
        <v>56</v>
      </c>
      <c r="C86" s="59" t="s">
        <v>60</v>
      </c>
      <c r="D86" s="134" t="s">
        <v>56</v>
      </c>
      <c r="E86" s="203" t="s">
        <v>13</v>
      </c>
      <c r="F86" s="58"/>
      <c r="G86" s="58"/>
      <c r="H86" s="51"/>
      <c r="I86" s="58">
        <f>J86</f>
        <v>0</v>
      </c>
      <c r="J86" s="58">
        <f>1000-100-900</f>
        <v>0</v>
      </c>
      <c r="K86" s="51"/>
      <c r="L86" s="58">
        <f t="shared" ref="L86:L87" si="31">M86</f>
        <v>0</v>
      </c>
      <c r="M86" s="51">
        <v>0</v>
      </c>
      <c r="N86" s="51"/>
    </row>
    <row r="87" spans="1:15" ht="31.5" hidden="1" customHeight="1" outlineLevel="1" x14ac:dyDescent="0.25">
      <c r="A87" s="138"/>
      <c r="B87" s="51" t="s">
        <v>312</v>
      </c>
      <c r="C87" s="59" t="s">
        <v>62</v>
      </c>
      <c r="D87" s="142"/>
      <c r="E87" s="230"/>
      <c r="F87" s="58"/>
      <c r="G87" s="58"/>
      <c r="H87" s="51"/>
      <c r="I87" s="58">
        <f>J87</f>
        <v>954.4</v>
      </c>
      <c r="J87" s="58">
        <v>954.4</v>
      </c>
      <c r="K87" s="51"/>
      <c r="L87" s="58">
        <f t="shared" si="31"/>
        <v>0</v>
      </c>
      <c r="M87" s="51">
        <v>0</v>
      </c>
      <c r="N87" s="51"/>
    </row>
    <row r="88" spans="1:15" ht="31.5" hidden="1" customHeight="1" outlineLevel="1" x14ac:dyDescent="0.25">
      <c r="A88" s="138"/>
      <c r="B88" s="51" t="s">
        <v>388</v>
      </c>
      <c r="C88" s="59" t="s">
        <v>62</v>
      </c>
      <c r="D88" s="142"/>
      <c r="E88" s="230"/>
      <c r="F88" s="58"/>
      <c r="G88" s="58"/>
      <c r="H88" s="51"/>
      <c r="I88" s="58"/>
      <c r="J88" s="58"/>
      <c r="K88" s="51"/>
      <c r="L88" s="58">
        <f>M88</f>
        <v>1564.1</v>
      </c>
      <c r="M88" s="51">
        <f>1064.1+500</f>
        <v>1564.1</v>
      </c>
      <c r="N88" s="51"/>
      <c r="O88" s="91" t="s">
        <v>418</v>
      </c>
    </row>
    <row r="89" spans="1:15" ht="29.25" hidden="1" customHeight="1" outlineLevel="1" x14ac:dyDescent="0.25">
      <c r="A89" s="138"/>
      <c r="B89" s="51" t="s">
        <v>63</v>
      </c>
      <c r="C89" s="59" t="s">
        <v>60</v>
      </c>
      <c r="D89" s="142"/>
      <c r="E89" s="230"/>
      <c r="F89" s="58"/>
      <c r="G89" s="58"/>
      <c r="H89" s="51"/>
      <c r="I89" s="58">
        <f t="shared" ref="I89:I92" si="32">J89</f>
        <v>100</v>
      </c>
      <c r="J89" s="58">
        <v>100</v>
      </c>
      <c r="K89" s="51"/>
      <c r="L89" s="58">
        <f>M89</f>
        <v>250</v>
      </c>
      <c r="M89" s="58">
        <v>250</v>
      </c>
      <c r="N89" s="51"/>
    </row>
    <row r="90" spans="1:15" ht="33" hidden="1" customHeight="1" outlineLevel="1" x14ac:dyDescent="0.25">
      <c r="A90" s="138"/>
      <c r="B90" s="51" t="s">
        <v>63</v>
      </c>
      <c r="C90" s="59" t="s">
        <v>62</v>
      </c>
      <c r="D90" s="142"/>
      <c r="E90" s="230"/>
      <c r="F90" s="58"/>
      <c r="G90" s="58"/>
      <c r="H90" s="51"/>
      <c r="I90" s="58">
        <f t="shared" si="32"/>
        <v>3198.5</v>
      </c>
      <c r="J90" s="58">
        <v>3198.5</v>
      </c>
      <c r="K90" s="51"/>
      <c r="L90" s="58">
        <f t="shared" ref="L90:L92" si="33">M90</f>
        <v>3451.9</v>
      </c>
      <c r="M90" s="51">
        <f>2368.9+585.8+503.3-6.1</f>
        <v>3451.9</v>
      </c>
      <c r="N90" s="51"/>
    </row>
    <row r="91" spans="1:15" ht="31.5" hidden="1" customHeight="1" outlineLevel="1" x14ac:dyDescent="0.25">
      <c r="A91" s="138"/>
      <c r="B91" s="51" t="s">
        <v>67</v>
      </c>
      <c r="C91" s="59" t="s">
        <v>62</v>
      </c>
      <c r="D91" s="135"/>
      <c r="E91" s="204"/>
      <c r="F91" s="58"/>
      <c r="G91" s="58"/>
      <c r="H91" s="51"/>
      <c r="I91" s="58">
        <f t="shared" si="32"/>
        <v>52.3</v>
      </c>
      <c r="J91" s="58">
        <v>52.3</v>
      </c>
      <c r="K91" s="51"/>
      <c r="L91" s="58">
        <f t="shared" si="33"/>
        <v>0</v>
      </c>
      <c r="M91" s="51">
        <v>0</v>
      </c>
      <c r="N91" s="51"/>
    </row>
    <row r="92" spans="1:15" ht="31.5" hidden="1" customHeight="1" outlineLevel="1" x14ac:dyDescent="0.25">
      <c r="A92" s="138"/>
      <c r="B92" s="51" t="s">
        <v>85</v>
      </c>
      <c r="C92" s="59" t="s">
        <v>62</v>
      </c>
      <c r="D92" s="64"/>
      <c r="E92" s="92"/>
      <c r="F92" s="58"/>
      <c r="G92" s="58"/>
      <c r="H92" s="51"/>
      <c r="I92" s="58">
        <f t="shared" si="32"/>
        <v>0</v>
      </c>
      <c r="J92" s="58">
        <v>0</v>
      </c>
      <c r="K92" s="51"/>
      <c r="L92" s="58">
        <f t="shared" si="33"/>
        <v>18.199999999999989</v>
      </c>
      <c r="M92" s="51">
        <f>428.2-410</f>
        <v>18.199999999999989</v>
      </c>
      <c r="N92" s="51"/>
      <c r="O92" s="72" t="s">
        <v>422</v>
      </c>
    </row>
    <row r="93" spans="1:15" ht="49.5" customHeight="1" collapsed="1" x14ac:dyDescent="0.25">
      <c r="A93" s="138"/>
      <c r="B93" s="51" t="s">
        <v>367</v>
      </c>
      <c r="C93" s="59" t="s">
        <v>62</v>
      </c>
      <c r="D93" s="88" t="s">
        <v>56</v>
      </c>
      <c r="E93" s="60" t="s">
        <v>13</v>
      </c>
      <c r="F93" s="80">
        <f>G93</f>
        <v>1200</v>
      </c>
      <c r="G93" s="80">
        <f>G94+G97</f>
        <v>1200</v>
      </c>
      <c r="H93" s="81"/>
      <c r="I93" s="80">
        <f t="shared" ref="I93:I98" si="34">J93</f>
        <v>2300</v>
      </c>
      <c r="J93" s="58">
        <f>J94+J97</f>
        <v>2300</v>
      </c>
      <c r="K93" s="51"/>
      <c r="L93" s="51">
        <f t="shared" ref="L93:L103" si="35">M93</f>
        <v>2193</v>
      </c>
      <c r="M93" s="51">
        <f>M94+M97</f>
        <v>2193</v>
      </c>
      <c r="N93" s="51"/>
      <c r="O93" s="76">
        <f>F93+I93+L93</f>
        <v>5693</v>
      </c>
    </row>
    <row r="94" spans="1:15" ht="63" x14ac:dyDescent="0.25">
      <c r="A94" s="138"/>
      <c r="B94" s="51" t="s">
        <v>368</v>
      </c>
      <c r="C94" s="59" t="s">
        <v>62</v>
      </c>
      <c r="D94" s="60" t="s">
        <v>56</v>
      </c>
      <c r="E94" s="60" t="s">
        <v>13</v>
      </c>
      <c r="F94" s="58">
        <f>G94</f>
        <v>1000</v>
      </c>
      <c r="G94" s="58">
        <f>G95+G96</f>
        <v>1000</v>
      </c>
      <c r="H94" s="51"/>
      <c r="I94" s="58">
        <f t="shared" si="34"/>
        <v>2100</v>
      </c>
      <c r="J94" s="58">
        <f>J95+J96</f>
        <v>2100</v>
      </c>
      <c r="K94" s="51"/>
      <c r="L94" s="51">
        <f t="shared" si="35"/>
        <v>1993</v>
      </c>
      <c r="M94" s="51">
        <f>M95+M96</f>
        <v>1993</v>
      </c>
      <c r="N94" s="51"/>
    </row>
    <row r="95" spans="1:15" ht="33" hidden="1" customHeight="1" outlineLevel="3" x14ac:dyDescent="0.25">
      <c r="A95" s="138"/>
      <c r="B95" s="51" t="s">
        <v>63</v>
      </c>
      <c r="C95" s="59" t="s">
        <v>62</v>
      </c>
      <c r="D95" s="134" t="s">
        <v>56</v>
      </c>
      <c r="E95" s="134" t="s">
        <v>13</v>
      </c>
      <c r="F95" s="58">
        <f>G95</f>
        <v>1000</v>
      </c>
      <c r="G95" s="58">
        <v>1000</v>
      </c>
      <c r="H95" s="58"/>
      <c r="I95" s="58">
        <f t="shared" si="34"/>
        <v>1100</v>
      </c>
      <c r="J95" s="58">
        <f>1000+100</f>
        <v>1100</v>
      </c>
      <c r="K95" s="51"/>
      <c r="L95" s="51">
        <f t="shared" si="35"/>
        <v>1000</v>
      </c>
      <c r="M95" s="51">
        <v>1000</v>
      </c>
      <c r="N95" s="51"/>
    </row>
    <row r="96" spans="1:15" ht="33.75" hidden="1" customHeight="1" outlineLevel="3" x14ac:dyDescent="0.25">
      <c r="A96" s="138"/>
      <c r="B96" s="51" t="s">
        <v>67</v>
      </c>
      <c r="C96" s="59" t="s">
        <v>62</v>
      </c>
      <c r="D96" s="135"/>
      <c r="E96" s="135"/>
      <c r="F96" s="51"/>
      <c r="G96" s="58"/>
      <c r="H96" s="58"/>
      <c r="I96" s="58">
        <f t="shared" si="34"/>
        <v>1000</v>
      </c>
      <c r="J96" s="58">
        <v>1000</v>
      </c>
      <c r="K96" s="51"/>
      <c r="L96" s="51">
        <f t="shared" si="35"/>
        <v>993</v>
      </c>
      <c r="M96" s="51">
        <f>1000-7</f>
        <v>993</v>
      </c>
      <c r="N96" s="51"/>
    </row>
    <row r="97" spans="1:15" ht="63" collapsed="1" x14ac:dyDescent="0.25">
      <c r="A97" s="138"/>
      <c r="B97" s="51" t="s">
        <v>369</v>
      </c>
      <c r="C97" s="59" t="s">
        <v>62</v>
      </c>
      <c r="D97" s="60" t="s">
        <v>56</v>
      </c>
      <c r="E97" s="60" t="s">
        <v>13</v>
      </c>
      <c r="F97" s="58">
        <f t="shared" ref="F97:F105" si="36">G97</f>
        <v>200</v>
      </c>
      <c r="G97" s="58">
        <f>G98</f>
        <v>200</v>
      </c>
      <c r="H97" s="58"/>
      <c r="I97" s="58">
        <f t="shared" si="34"/>
        <v>200</v>
      </c>
      <c r="J97" s="58">
        <v>200</v>
      </c>
      <c r="K97" s="51"/>
      <c r="L97" s="51">
        <f t="shared" si="35"/>
        <v>200</v>
      </c>
      <c r="M97" s="51">
        <f>M98</f>
        <v>200</v>
      </c>
      <c r="N97" s="51"/>
    </row>
    <row r="98" spans="1:15" ht="33.75" hidden="1" customHeight="1" outlineLevel="1" x14ac:dyDescent="0.25">
      <c r="A98" s="138"/>
      <c r="B98" s="51" t="s">
        <v>65</v>
      </c>
      <c r="C98" s="59" t="s">
        <v>62</v>
      </c>
      <c r="D98" s="60" t="s">
        <v>56</v>
      </c>
      <c r="E98" s="60" t="s">
        <v>13</v>
      </c>
      <c r="F98" s="58">
        <f t="shared" si="36"/>
        <v>200</v>
      </c>
      <c r="G98" s="58">
        <v>200</v>
      </c>
      <c r="H98" s="58"/>
      <c r="I98" s="58">
        <f t="shared" si="34"/>
        <v>200</v>
      </c>
      <c r="J98" s="58">
        <v>200</v>
      </c>
      <c r="K98" s="51"/>
      <c r="L98" s="51">
        <f t="shared" si="35"/>
        <v>200</v>
      </c>
      <c r="M98" s="51">
        <v>200</v>
      </c>
      <c r="N98" s="51"/>
    </row>
    <row r="99" spans="1:15" ht="63" collapsed="1" x14ac:dyDescent="0.25">
      <c r="A99" s="138"/>
      <c r="B99" s="51" t="s">
        <v>370</v>
      </c>
      <c r="C99" s="59" t="s">
        <v>62</v>
      </c>
      <c r="D99" s="60" t="s">
        <v>56</v>
      </c>
      <c r="E99" s="60" t="s">
        <v>13</v>
      </c>
      <c r="F99" s="81">
        <f t="shared" si="36"/>
        <v>653.29999999999995</v>
      </c>
      <c r="G99" s="81">
        <f>G100+G102+G104+G106</f>
        <v>653.29999999999995</v>
      </c>
      <c r="H99" s="81"/>
      <c r="I99" s="80">
        <f>J99</f>
        <v>584.49999999999989</v>
      </c>
      <c r="J99" s="80">
        <f>J100+J102+J104+J106</f>
        <v>584.49999999999989</v>
      </c>
      <c r="K99" s="81"/>
      <c r="L99" s="80">
        <f t="shared" si="35"/>
        <v>0</v>
      </c>
      <c r="M99" s="80">
        <f>M100+M102+M104+M106</f>
        <v>0</v>
      </c>
      <c r="N99" s="81"/>
      <c r="O99" s="76">
        <f>F99+I99+L99</f>
        <v>1237.7999999999997</v>
      </c>
    </row>
    <row r="100" spans="1:15" ht="63" x14ac:dyDescent="0.25">
      <c r="A100" s="138"/>
      <c r="B100" s="51" t="s">
        <v>371</v>
      </c>
      <c r="C100" s="93" t="s">
        <v>62</v>
      </c>
      <c r="D100" s="60" t="s">
        <v>56</v>
      </c>
      <c r="E100" s="60" t="s">
        <v>13</v>
      </c>
      <c r="F100" s="51">
        <f t="shared" si="36"/>
        <v>93.6</v>
      </c>
      <c r="G100" s="51">
        <v>93.6</v>
      </c>
      <c r="H100" s="51"/>
      <c r="I100" s="58">
        <f>J100</f>
        <v>108.8</v>
      </c>
      <c r="J100" s="58">
        <f>J101</f>
        <v>108.8</v>
      </c>
      <c r="K100" s="51"/>
      <c r="L100" s="51">
        <f t="shared" si="35"/>
        <v>0</v>
      </c>
      <c r="M100" s="51"/>
      <c r="N100" s="51"/>
      <c r="O100" s="76">
        <f>F100+I100+L100</f>
        <v>202.39999999999998</v>
      </c>
    </row>
    <row r="101" spans="1:15" ht="35.25" hidden="1" customHeight="1" outlineLevel="1" x14ac:dyDescent="0.25">
      <c r="A101" s="138"/>
      <c r="B101" s="51" t="s">
        <v>66</v>
      </c>
      <c r="C101" s="94" t="s">
        <v>62</v>
      </c>
      <c r="D101" s="60" t="s">
        <v>56</v>
      </c>
      <c r="E101" s="60" t="s">
        <v>13</v>
      </c>
      <c r="F101" s="51">
        <f t="shared" si="36"/>
        <v>93.6</v>
      </c>
      <c r="G101" s="51">
        <v>93.6</v>
      </c>
      <c r="H101" s="51"/>
      <c r="I101" s="58">
        <f>J101</f>
        <v>108.8</v>
      </c>
      <c r="J101" s="58">
        <f>110-1.2</f>
        <v>108.8</v>
      </c>
      <c r="K101" s="51"/>
      <c r="L101" s="51">
        <f t="shared" si="35"/>
        <v>110</v>
      </c>
      <c r="M101" s="51">
        <v>110</v>
      </c>
      <c r="N101" s="51"/>
    </row>
    <row r="102" spans="1:15" ht="63" collapsed="1" x14ac:dyDescent="0.25">
      <c r="A102" s="138"/>
      <c r="B102" s="51" t="s">
        <v>372</v>
      </c>
      <c r="C102" s="59" t="s">
        <v>62</v>
      </c>
      <c r="D102" s="60" t="s">
        <v>56</v>
      </c>
      <c r="E102" s="60" t="s">
        <v>13</v>
      </c>
      <c r="F102" s="51">
        <f t="shared" si="36"/>
        <v>106.8</v>
      </c>
      <c r="G102" s="51">
        <f>G103</f>
        <v>106.8</v>
      </c>
      <c r="H102" s="51"/>
      <c r="I102" s="51">
        <f>J102</f>
        <v>0</v>
      </c>
      <c r="J102" s="51">
        <f>J103</f>
        <v>0</v>
      </c>
      <c r="K102" s="51"/>
      <c r="L102" s="51">
        <f t="shared" si="35"/>
        <v>0</v>
      </c>
      <c r="M102" s="51"/>
      <c r="N102" s="51"/>
    </row>
    <row r="103" spans="1:15" ht="39.75" hidden="1" customHeight="1" outlineLevel="1" x14ac:dyDescent="0.25">
      <c r="A103" s="138"/>
      <c r="B103" s="51" t="s">
        <v>66</v>
      </c>
      <c r="C103" s="59" t="s">
        <v>62</v>
      </c>
      <c r="D103" s="60" t="s">
        <v>56</v>
      </c>
      <c r="E103" s="60" t="s">
        <v>13</v>
      </c>
      <c r="F103" s="51">
        <f t="shared" si="36"/>
        <v>106.8</v>
      </c>
      <c r="G103" s="51">
        <v>106.8</v>
      </c>
      <c r="H103" s="51"/>
      <c r="I103" s="51">
        <f>J103</f>
        <v>0</v>
      </c>
      <c r="J103" s="51">
        <f>527.2-527.2</f>
        <v>0</v>
      </c>
      <c r="K103" s="51"/>
      <c r="L103" s="51">
        <f t="shared" si="35"/>
        <v>527.20000000000005</v>
      </c>
      <c r="M103" s="51">
        <v>527.20000000000005</v>
      </c>
      <c r="N103" s="51"/>
    </row>
    <row r="104" spans="1:15" ht="74.25" customHeight="1" collapsed="1" x14ac:dyDescent="0.25">
      <c r="A104" s="138"/>
      <c r="B104" s="51" t="s">
        <v>373</v>
      </c>
      <c r="C104" s="59" t="s">
        <v>62</v>
      </c>
      <c r="D104" s="60" t="s">
        <v>56</v>
      </c>
      <c r="E104" s="60" t="s">
        <v>13</v>
      </c>
      <c r="F104" s="51">
        <f t="shared" si="36"/>
        <v>452.9</v>
      </c>
      <c r="G104" s="51">
        <f>G105</f>
        <v>452.9</v>
      </c>
      <c r="H104" s="51"/>
      <c r="I104" s="51"/>
      <c r="J104" s="51"/>
      <c r="K104" s="51"/>
      <c r="L104" s="51"/>
      <c r="M104" s="51"/>
      <c r="N104" s="51"/>
    </row>
    <row r="105" spans="1:15" ht="33.75" hidden="1" customHeight="1" outlineLevel="1" x14ac:dyDescent="0.25">
      <c r="A105" s="138"/>
      <c r="B105" s="51" t="s">
        <v>66</v>
      </c>
      <c r="C105" s="59" t="s">
        <v>62</v>
      </c>
      <c r="D105" s="60" t="s">
        <v>56</v>
      </c>
      <c r="E105" s="60" t="s">
        <v>13</v>
      </c>
      <c r="F105" s="51">
        <f t="shared" si="36"/>
        <v>452.9</v>
      </c>
      <c r="G105" s="51">
        <v>452.9</v>
      </c>
      <c r="H105" s="51"/>
      <c r="I105" s="51"/>
      <c r="J105" s="51"/>
      <c r="K105" s="51"/>
      <c r="L105" s="51"/>
      <c r="M105" s="51"/>
      <c r="N105" s="51"/>
    </row>
    <row r="106" spans="1:15" ht="63" collapsed="1" x14ac:dyDescent="0.25">
      <c r="A106" s="138"/>
      <c r="B106" s="51" t="s">
        <v>374</v>
      </c>
      <c r="C106" s="59" t="s">
        <v>62</v>
      </c>
      <c r="D106" s="60" t="s">
        <v>56</v>
      </c>
      <c r="E106" s="60" t="s">
        <v>13</v>
      </c>
      <c r="F106" s="51"/>
      <c r="G106" s="51"/>
      <c r="H106" s="51"/>
      <c r="I106" s="51">
        <f>J106</f>
        <v>475.69999999999993</v>
      </c>
      <c r="J106" s="51">
        <f>J107</f>
        <v>475.69999999999993</v>
      </c>
      <c r="K106" s="51"/>
      <c r="L106" s="51">
        <f>M106</f>
        <v>0</v>
      </c>
      <c r="M106" s="51"/>
      <c r="N106" s="51"/>
    </row>
    <row r="107" spans="1:15" ht="74.25" hidden="1" customHeight="1" outlineLevel="1" x14ac:dyDescent="0.25">
      <c r="A107" s="138"/>
      <c r="B107" s="51" t="s">
        <v>66</v>
      </c>
      <c r="C107" s="59" t="s">
        <v>62</v>
      </c>
      <c r="D107" s="60" t="s">
        <v>56</v>
      </c>
      <c r="E107" s="60" t="s">
        <v>13</v>
      </c>
      <c r="F107" s="51"/>
      <c r="G107" s="51"/>
      <c r="H107" s="51"/>
      <c r="I107" s="51">
        <f>J107</f>
        <v>475.69999999999993</v>
      </c>
      <c r="J107" s="51">
        <f>955.8-480.1</f>
        <v>475.69999999999993</v>
      </c>
      <c r="K107" s="51"/>
      <c r="L107" s="51">
        <f>M107</f>
        <v>955.8</v>
      </c>
      <c r="M107" s="51">
        <v>955.8</v>
      </c>
      <c r="N107" s="51"/>
    </row>
    <row r="108" spans="1:15" ht="63.75" customHeight="1" collapsed="1" x14ac:dyDescent="0.25">
      <c r="A108" s="138"/>
      <c r="B108" s="65" t="s">
        <v>375</v>
      </c>
      <c r="C108" s="59" t="s">
        <v>62</v>
      </c>
      <c r="D108" s="60" t="s">
        <v>56</v>
      </c>
      <c r="E108" s="60" t="s">
        <v>13</v>
      </c>
      <c r="F108" s="51"/>
      <c r="G108" s="51"/>
      <c r="H108" s="51"/>
      <c r="I108" s="51"/>
      <c r="J108" s="51"/>
      <c r="K108" s="51"/>
      <c r="L108" s="58">
        <f>M108</f>
        <v>1593</v>
      </c>
      <c r="M108" s="58">
        <v>1593</v>
      </c>
      <c r="N108" s="51"/>
    </row>
    <row r="109" spans="1:15" ht="33.75" customHeight="1" x14ac:dyDescent="0.25">
      <c r="A109" s="138"/>
      <c r="B109" s="145" t="s">
        <v>376</v>
      </c>
      <c r="C109" s="243" t="s">
        <v>397</v>
      </c>
      <c r="D109" s="244"/>
      <c r="E109" s="245"/>
      <c r="F109" s="80">
        <f>F110+F111+F112</f>
        <v>1748.4</v>
      </c>
      <c r="G109" s="80">
        <f>G110+G111+G112</f>
        <v>1748.4</v>
      </c>
      <c r="H109" s="80"/>
      <c r="I109" s="80">
        <f t="shared" ref="I109" si="37">I110+I111+I112</f>
        <v>5273.92</v>
      </c>
      <c r="J109" s="80">
        <f>J110+J111+J112</f>
        <v>5273.92</v>
      </c>
      <c r="K109" s="80"/>
      <c r="L109" s="80">
        <f>M109+N109</f>
        <v>5379</v>
      </c>
      <c r="M109" s="80">
        <f>M110+M111+M112</f>
        <v>5379</v>
      </c>
      <c r="N109" s="80">
        <f>N110+N111+N112</f>
        <v>0</v>
      </c>
    </row>
    <row r="110" spans="1:15" ht="63" x14ac:dyDescent="0.25">
      <c r="A110" s="138"/>
      <c r="B110" s="146"/>
      <c r="C110" s="59" t="s">
        <v>62</v>
      </c>
      <c r="D110" s="88" t="s">
        <v>56</v>
      </c>
      <c r="E110" s="60" t="s">
        <v>13</v>
      </c>
      <c r="F110" s="58">
        <f>G110</f>
        <v>1253.4000000000001</v>
      </c>
      <c r="G110" s="58">
        <f>G113+G117</f>
        <v>1253.4000000000001</v>
      </c>
      <c r="H110" s="51"/>
      <c r="I110" s="51">
        <f>J110</f>
        <v>5021.22</v>
      </c>
      <c r="J110" s="51">
        <f>J113+J117</f>
        <v>5021.22</v>
      </c>
      <c r="K110" s="51"/>
      <c r="L110" s="51">
        <f>M110</f>
        <v>5079</v>
      </c>
      <c r="M110" s="51">
        <f>M113+M117+M115+M114+M116</f>
        <v>5079</v>
      </c>
      <c r="N110" s="51"/>
      <c r="O110" s="76">
        <f>F110+I110+L110+F111</f>
        <v>11848.62</v>
      </c>
    </row>
    <row r="111" spans="1:15" ht="78" customHeight="1" x14ac:dyDescent="0.25">
      <c r="A111" s="138"/>
      <c r="B111" s="146"/>
      <c r="C111" s="59" t="s">
        <v>62</v>
      </c>
      <c r="D111" s="88" t="s">
        <v>56</v>
      </c>
      <c r="E111" s="60" t="s">
        <v>68</v>
      </c>
      <c r="F111" s="58">
        <f>G111</f>
        <v>495</v>
      </c>
      <c r="G111" s="58">
        <f>G118</f>
        <v>495</v>
      </c>
      <c r="H111" s="51"/>
      <c r="I111" s="51"/>
      <c r="J111" s="51"/>
      <c r="K111" s="51"/>
      <c r="L111" s="51"/>
      <c r="M111" s="51"/>
      <c r="N111" s="51"/>
    </row>
    <row r="112" spans="1:15" ht="78" customHeight="1" x14ac:dyDescent="0.25">
      <c r="A112" s="138"/>
      <c r="B112" s="147"/>
      <c r="C112" s="59" t="s">
        <v>62</v>
      </c>
      <c r="D112" s="88" t="s">
        <v>56</v>
      </c>
      <c r="E112" s="60" t="s">
        <v>296</v>
      </c>
      <c r="F112" s="58"/>
      <c r="G112" s="58"/>
      <c r="H112" s="51"/>
      <c r="I112" s="51">
        <f>J112</f>
        <v>252.7</v>
      </c>
      <c r="J112" s="51">
        <f>J119</f>
        <v>252.7</v>
      </c>
      <c r="K112" s="51"/>
      <c r="L112" s="51">
        <f>M112+N112</f>
        <v>300</v>
      </c>
      <c r="M112" s="51">
        <f>M119</f>
        <v>300</v>
      </c>
      <c r="N112" s="51">
        <f>N119</f>
        <v>0</v>
      </c>
    </row>
    <row r="113" spans="1:15" ht="36" hidden="1" customHeight="1" outlineLevel="1" x14ac:dyDescent="0.25">
      <c r="A113" s="138"/>
      <c r="B113" s="51" t="s">
        <v>66</v>
      </c>
      <c r="C113" s="59" t="s">
        <v>62</v>
      </c>
      <c r="D113" s="134" t="s">
        <v>56</v>
      </c>
      <c r="E113" s="134" t="s">
        <v>13</v>
      </c>
      <c r="F113" s="58">
        <f>G113</f>
        <v>1003.4</v>
      </c>
      <c r="G113" s="58">
        <v>1003.4</v>
      </c>
      <c r="H113" s="51"/>
      <c r="I113" s="51">
        <f>J113</f>
        <v>4311.22</v>
      </c>
      <c r="J113" s="51">
        <f>3853.4+481.3-14.98-8.5</f>
        <v>4311.22</v>
      </c>
      <c r="K113" s="51"/>
      <c r="L113" s="51">
        <f>M113</f>
        <v>3390.3</v>
      </c>
      <c r="M113" s="51">
        <f>68+95.8+60+30+410+2692.5+34</f>
        <v>3390.3</v>
      </c>
      <c r="N113" s="51"/>
      <c r="O113" s="95" t="s">
        <v>424</v>
      </c>
    </row>
    <row r="114" spans="1:15" ht="36" hidden="1" customHeight="1" outlineLevel="1" x14ac:dyDescent="0.25">
      <c r="A114" s="138"/>
      <c r="B114" s="51" t="s">
        <v>63</v>
      </c>
      <c r="C114" s="59" t="s">
        <v>62</v>
      </c>
      <c r="D114" s="142"/>
      <c r="E114" s="142"/>
      <c r="F114" s="58"/>
      <c r="G114" s="58"/>
      <c r="H114" s="51"/>
      <c r="I114" s="51"/>
      <c r="J114" s="51"/>
      <c r="K114" s="51"/>
      <c r="L114" s="51"/>
      <c r="M114" s="51">
        <f>450</f>
        <v>450</v>
      </c>
      <c r="N114" s="51"/>
      <c r="O114" s="95" t="s">
        <v>426</v>
      </c>
    </row>
    <row r="115" spans="1:15" ht="28.5" hidden="1" customHeight="1" outlineLevel="1" x14ac:dyDescent="0.25">
      <c r="A115" s="138"/>
      <c r="B115" s="51" t="s">
        <v>312</v>
      </c>
      <c r="C115" s="59" t="s">
        <v>62</v>
      </c>
      <c r="D115" s="142"/>
      <c r="E115" s="142"/>
      <c r="F115" s="58"/>
      <c r="G115" s="58"/>
      <c r="H115" s="51"/>
      <c r="I115" s="51"/>
      <c r="J115" s="51"/>
      <c r="K115" s="51"/>
      <c r="L115" s="51">
        <f>M115</f>
        <v>593.70000000000005</v>
      </c>
      <c r="M115" s="51">
        <f>166.1+227.6+200</f>
        <v>593.70000000000005</v>
      </c>
      <c r="N115" s="51"/>
      <c r="O115" s="95" t="s">
        <v>436</v>
      </c>
    </row>
    <row r="116" spans="1:15" ht="28.5" hidden="1" customHeight="1" outlineLevel="1" x14ac:dyDescent="0.25">
      <c r="A116" s="138"/>
      <c r="B116" s="51" t="s">
        <v>388</v>
      </c>
      <c r="C116" s="59" t="s">
        <v>62</v>
      </c>
      <c r="D116" s="142"/>
      <c r="E116" s="142"/>
      <c r="F116" s="58"/>
      <c r="G116" s="58"/>
      <c r="H116" s="51"/>
      <c r="I116" s="51"/>
      <c r="J116" s="51"/>
      <c r="K116" s="51"/>
      <c r="L116" s="51"/>
      <c r="M116" s="51">
        <v>295</v>
      </c>
      <c r="N116" s="51"/>
      <c r="O116" s="95" t="s">
        <v>420</v>
      </c>
    </row>
    <row r="117" spans="1:15" ht="31.5" hidden="1" customHeight="1" outlineLevel="1" x14ac:dyDescent="0.25">
      <c r="A117" s="138"/>
      <c r="B117" s="51" t="s">
        <v>67</v>
      </c>
      <c r="C117" s="59" t="s">
        <v>62</v>
      </c>
      <c r="D117" s="142"/>
      <c r="E117" s="142"/>
      <c r="F117" s="58">
        <f t="shared" ref="F117:F118" si="38">G117</f>
        <v>250</v>
      </c>
      <c r="G117" s="58">
        <v>250</v>
      </c>
      <c r="H117" s="51"/>
      <c r="I117" s="51">
        <f>J117</f>
        <v>710</v>
      </c>
      <c r="J117" s="51">
        <v>710</v>
      </c>
      <c r="K117" s="51"/>
      <c r="L117" s="51">
        <f>M117</f>
        <v>350</v>
      </c>
      <c r="M117" s="51">
        <f>250+100</f>
        <v>350</v>
      </c>
      <c r="N117" s="51"/>
      <c r="O117" s="95" t="s">
        <v>421</v>
      </c>
    </row>
    <row r="118" spans="1:15" ht="40.5" hidden="1" customHeight="1" outlineLevel="1" x14ac:dyDescent="0.25">
      <c r="A118" s="138"/>
      <c r="B118" s="51" t="s">
        <v>67</v>
      </c>
      <c r="C118" s="59" t="s">
        <v>62</v>
      </c>
      <c r="D118" s="142"/>
      <c r="E118" s="135"/>
      <c r="F118" s="58">
        <f t="shared" si="38"/>
        <v>495</v>
      </c>
      <c r="G118" s="58">
        <v>495</v>
      </c>
      <c r="H118" s="51"/>
      <c r="I118" s="51"/>
      <c r="J118" s="51"/>
      <c r="K118" s="51"/>
      <c r="L118" s="51"/>
      <c r="M118" s="51"/>
      <c r="N118" s="51"/>
      <c r="O118" s="95"/>
    </row>
    <row r="119" spans="1:15" ht="46.5" hidden="1" customHeight="1" outlineLevel="1" x14ac:dyDescent="0.25">
      <c r="A119" s="138"/>
      <c r="B119" s="51" t="s">
        <v>67</v>
      </c>
      <c r="C119" s="59" t="s">
        <v>62</v>
      </c>
      <c r="D119" s="135"/>
      <c r="E119" s="60" t="s">
        <v>296</v>
      </c>
      <c r="F119" s="58"/>
      <c r="G119" s="58"/>
      <c r="H119" s="51"/>
      <c r="I119" s="51">
        <f>J119</f>
        <v>252.7</v>
      </c>
      <c r="J119" s="51">
        <f>34.6+200+11.2+6.9</f>
        <v>252.7</v>
      </c>
      <c r="K119" s="51"/>
      <c r="L119" s="51">
        <f>M119+N119</f>
        <v>300</v>
      </c>
      <c r="M119" s="51">
        <f>300</f>
        <v>300</v>
      </c>
      <c r="N119" s="51">
        <f>100-100</f>
        <v>0</v>
      </c>
      <c r="O119" s="95" t="s">
        <v>427</v>
      </c>
    </row>
    <row r="120" spans="1:15" ht="64.5" customHeight="1" collapsed="1" x14ac:dyDescent="0.25">
      <c r="A120" s="138"/>
      <c r="B120" s="65" t="s">
        <v>377</v>
      </c>
      <c r="C120" s="59" t="s">
        <v>62</v>
      </c>
      <c r="D120" s="60" t="s">
        <v>56</v>
      </c>
      <c r="E120" s="60" t="s">
        <v>13</v>
      </c>
      <c r="F120" s="58"/>
      <c r="G120" s="58"/>
      <c r="H120" s="51"/>
      <c r="I120" s="58">
        <f>I121</f>
        <v>23.48</v>
      </c>
      <c r="J120" s="58">
        <f>J121</f>
        <v>23.48</v>
      </c>
      <c r="K120" s="51"/>
      <c r="L120" s="51"/>
      <c r="M120" s="51"/>
      <c r="N120" s="51"/>
    </row>
    <row r="121" spans="1:15" ht="46.5" hidden="1" customHeight="1" outlineLevel="1" x14ac:dyDescent="0.25">
      <c r="A121" s="138"/>
      <c r="B121" s="51" t="s">
        <v>66</v>
      </c>
      <c r="C121" s="59" t="s">
        <v>62</v>
      </c>
      <c r="D121" s="60" t="s">
        <v>56</v>
      </c>
      <c r="E121" s="60" t="s">
        <v>13</v>
      </c>
      <c r="F121" s="58"/>
      <c r="G121" s="58"/>
      <c r="H121" s="51"/>
      <c r="I121" s="58">
        <f>J121</f>
        <v>23.48</v>
      </c>
      <c r="J121" s="58">
        <f>14.98+8.5</f>
        <v>23.48</v>
      </c>
      <c r="K121" s="51"/>
      <c r="L121" s="51"/>
      <c r="M121" s="51"/>
      <c r="N121" s="51"/>
    </row>
    <row r="122" spans="1:15" ht="86.25" customHeight="1" collapsed="1" x14ac:dyDescent="0.25">
      <c r="A122" s="138"/>
      <c r="B122" s="51" t="s">
        <v>378</v>
      </c>
      <c r="C122" s="59" t="s">
        <v>62</v>
      </c>
      <c r="D122" s="88" t="s">
        <v>56</v>
      </c>
      <c r="E122" s="60" t="s">
        <v>13</v>
      </c>
      <c r="F122" s="58">
        <f>G122</f>
        <v>1000</v>
      </c>
      <c r="G122" s="58">
        <f>G123+G124</f>
        <v>1000</v>
      </c>
      <c r="H122" s="51"/>
      <c r="I122" s="51">
        <f>J122</f>
        <v>0</v>
      </c>
      <c r="J122" s="51">
        <f>J123+J124</f>
        <v>0</v>
      </c>
      <c r="K122" s="51"/>
      <c r="L122" s="51">
        <f>M122</f>
        <v>0</v>
      </c>
      <c r="M122" s="51">
        <f>M123+M124</f>
        <v>0</v>
      </c>
      <c r="N122" s="51"/>
      <c r="O122" s="76">
        <f>F122+L122</f>
        <v>1000</v>
      </c>
    </row>
    <row r="123" spans="1:15" ht="25.5" hidden="1" customHeight="1" outlineLevel="1" x14ac:dyDescent="0.25">
      <c r="A123" s="138"/>
      <c r="B123" s="51" t="s">
        <v>63</v>
      </c>
      <c r="C123" s="59" t="s">
        <v>62</v>
      </c>
      <c r="D123" s="134" t="s">
        <v>56</v>
      </c>
      <c r="E123" s="134" t="s">
        <v>13</v>
      </c>
      <c r="F123" s="58">
        <f>G123</f>
        <v>800</v>
      </c>
      <c r="G123" s="58">
        <v>800</v>
      </c>
      <c r="H123" s="51"/>
      <c r="I123" s="51"/>
      <c r="J123" s="51"/>
      <c r="K123" s="51"/>
      <c r="L123" s="51"/>
      <c r="M123" s="51"/>
      <c r="N123" s="51"/>
    </row>
    <row r="124" spans="1:15" ht="27" hidden="1" customHeight="1" outlineLevel="1" x14ac:dyDescent="0.25">
      <c r="A124" s="138"/>
      <c r="B124" s="51" t="s">
        <v>67</v>
      </c>
      <c r="C124" s="59" t="s">
        <v>62</v>
      </c>
      <c r="D124" s="135"/>
      <c r="E124" s="135"/>
      <c r="F124" s="58">
        <f>G124</f>
        <v>200</v>
      </c>
      <c r="G124" s="58">
        <v>200</v>
      </c>
      <c r="H124" s="51"/>
      <c r="I124" s="51"/>
      <c r="J124" s="51"/>
      <c r="K124" s="51"/>
      <c r="L124" s="51"/>
      <c r="M124" s="51"/>
      <c r="N124" s="51"/>
    </row>
    <row r="125" spans="1:15" ht="122.25" customHeight="1" collapsed="1" x14ac:dyDescent="0.25">
      <c r="A125" s="138"/>
      <c r="B125" s="51" t="s">
        <v>379</v>
      </c>
      <c r="C125" s="59" t="s">
        <v>62</v>
      </c>
      <c r="D125" s="88" t="s">
        <v>56</v>
      </c>
      <c r="E125" s="60" t="s">
        <v>13</v>
      </c>
      <c r="F125" s="58"/>
      <c r="G125" s="58"/>
      <c r="H125" s="51"/>
      <c r="I125" s="58">
        <f>J125</f>
        <v>1000</v>
      </c>
      <c r="J125" s="58">
        <f>J126+J127</f>
        <v>1000</v>
      </c>
      <c r="K125" s="51"/>
      <c r="L125" s="51"/>
      <c r="M125" s="51"/>
      <c r="N125" s="51"/>
      <c r="O125" s="76">
        <f>I125</f>
        <v>1000</v>
      </c>
    </row>
    <row r="126" spans="1:15" ht="27" hidden="1" customHeight="1" outlineLevel="1" x14ac:dyDescent="0.25">
      <c r="A126" s="138"/>
      <c r="B126" s="51" t="s">
        <v>63</v>
      </c>
      <c r="C126" s="59" t="s">
        <v>62</v>
      </c>
      <c r="D126" s="134" t="s">
        <v>56</v>
      </c>
      <c r="E126" s="134" t="s">
        <v>13</v>
      </c>
      <c r="F126" s="58"/>
      <c r="G126" s="58"/>
      <c r="H126" s="51"/>
      <c r="I126" s="58">
        <f>J126</f>
        <v>800</v>
      </c>
      <c r="J126" s="58">
        <v>800</v>
      </c>
      <c r="K126" s="51"/>
      <c r="L126" s="51"/>
      <c r="M126" s="51"/>
      <c r="N126" s="51"/>
    </row>
    <row r="127" spans="1:15" ht="27" hidden="1" customHeight="1" outlineLevel="1" x14ac:dyDescent="0.25">
      <c r="A127" s="138"/>
      <c r="B127" s="51" t="s">
        <v>67</v>
      </c>
      <c r="C127" s="59" t="s">
        <v>62</v>
      </c>
      <c r="D127" s="135"/>
      <c r="E127" s="135"/>
      <c r="F127" s="58"/>
      <c r="G127" s="58"/>
      <c r="H127" s="51"/>
      <c r="I127" s="58">
        <f>J127</f>
        <v>200</v>
      </c>
      <c r="J127" s="58">
        <v>200</v>
      </c>
      <c r="K127" s="51"/>
      <c r="L127" s="51"/>
      <c r="M127" s="51"/>
      <c r="N127" s="51"/>
    </row>
    <row r="128" spans="1:15" ht="84.75" customHeight="1" collapsed="1" x14ac:dyDescent="0.25">
      <c r="A128" s="138"/>
      <c r="B128" s="51" t="s">
        <v>430</v>
      </c>
      <c r="C128" s="59" t="s">
        <v>62</v>
      </c>
      <c r="D128" s="88" t="s">
        <v>56</v>
      </c>
      <c r="E128" s="60" t="s">
        <v>13</v>
      </c>
      <c r="F128" s="51"/>
      <c r="G128" s="51"/>
      <c r="H128" s="51"/>
      <c r="I128" s="51">
        <f t="shared" ref="I128:I133" si="39">J128</f>
        <v>8745.5</v>
      </c>
      <c r="J128" s="51">
        <f>J129</f>
        <v>8745.5</v>
      </c>
      <c r="K128" s="51"/>
      <c r="L128" s="51">
        <f t="shared" ref="L128:L133" si="40">M128</f>
        <v>5551.7</v>
      </c>
      <c r="M128" s="51">
        <f>M129</f>
        <v>5551.7</v>
      </c>
      <c r="N128" s="51"/>
      <c r="O128" s="72">
        <f>F128+I128+L128</f>
        <v>14297.2</v>
      </c>
    </row>
    <row r="129" spans="1:15" ht="34.5" hidden="1" customHeight="1" outlineLevel="1" x14ac:dyDescent="0.25">
      <c r="A129" s="138"/>
      <c r="B129" s="51" t="s">
        <v>66</v>
      </c>
      <c r="C129" s="59" t="s">
        <v>62</v>
      </c>
      <c r="D129" s="88" t="s">
        <v>56</v>
      </c>
      <c r="E129" s="60" t="s">
        <v>13</v>
      </c>
      <c r="F129" s="51"/>
      <c r="G129" s="51"/>
      <c r="H129" s="51"/>
      <c r="I129" s="51">
        <f t="shared" si="39"/>
        <v>8745.5</v>
      </c>
      <c r="J129" s="51">
        <f>8119.9+527.2+98.4</f>
        <v>8745.5</v>
      </c>
      <c r="K129" s="51"/>
      <c r="L129" s="51">
        <f t="shared" si="40"/>
        <v>5551.7</v>
      </c>
      <c r="M129" s="51">
        <f>4826.7+725</f>
        <v>5551.7</v>
      </c>
      <c r="N129" s="51"/>
    </row>
    <row r="130" spans="1:15" ht="15.75" collapsed="1" x14ac:dyDescent="0.25">
      <c r="A130" s="138"/>
      <c r="B130" s="231" t="s">
        <v>45</v>
      </c>
      <c r="C130" s="232"/>
      <c r="D130" s="232"/>
      <c r="E130" s="233"/>
      <c r="F130" s="81">
        <f t="shared" ref="F130:F138" si="41">G130</f>
        <v>5125.6000000000004</v>
      </c>
      <c r="G130" s="81">
        <f>G131</f>
        <v>5125.6000000000004</v>
      </c>
      <c r="H130" s="81"/>
      <c r="I130" s="80">
        <f t="shared" si="39"/>
        <v>4304</v>
      </c>
      <c r="J130" s="80">
        <f>J131</f>
        <v>4304</v>
      </c>
      <c r="K130" s="81"/>
      <c r="L130" s="81">
        <f t="shared" si="40"/>
        <v>6012.4</v>
      </c>
      <c r="M130" s="81">
        <f>M131</f>
        <v>6012.4</v>
      </c>
      <c r="N130" s="81"/>
    </row>
    <row r="131" spans="1:15" ht="63" x14ac:dyDescent="0.25">
      <c r="A131" s="138"/>
      <c r="B131" s="96" t="s">
        <v>44</v>
      </c>
      <c r="C131" s="59" t="s">
        <v>69</v>
      </c>
      <c r="D131" s="88" t="s">
        <v>56</v>
      </c>
      <c r="E131" s="60" t="s">
        <v>13</v>
      </c>
      <c r="F131" s="51">
        <f t="shared" si="41"/>
        <v>5125.6000000000004</v>
      </c>
      <c r="G131" s="51">
        <f>G132+G134</f>
        <v>5125.6000000000004</v>
      </c>
      <c r="H131" s="51"/>
      <c r="I131" s="58">
        <f t="shared" si="39"/>
        <v>4304</v>
      </c>
      <c r="J131" s="58">
        <f>J132+J134</f>
        <v>4304</v>
      </c>
      <c r="K131" s="51"/>
      <c r="L131" s="51">
        <f t="shared" si="40"/>
        <v>6012.4</v>
      </c>
      <c r="M131" s="51">
        <f>M132+M134</f>
        <v>6012.4</v>
      </c>
      <c r="N131" s="51"/>
      <c r="O131" s="76">
        <f>F131+I131+L131</f>
        <v>15442</v>
      </c>
    </row>
    <row r="132" spans="1:15" ht="63" x14ac:dyDescent="0.25">
      <c r="A132" s="138"/>
      <c r="B132" s="51" t="s">
        <v>46</v>
      </c>
      <c r="C132" s="59" t="s">
        <v>69</v>
      </c>
      <c r="D132" s="60" t="s">
        <v>56</v>
      </c>
      <c r="E132" s="60" t="s">
        <v>13</v>
      </c>
      <c r="F132" s="51">
        <f t="shared" si="41"/>
        <v>5058.3</v>
      </c>
      <c r="G132" s="51">
        <v>5058.3</v>
      </c>
      <c r="H132" s="51"/>
      <c r="I132" s="58">
        <f t="shared" si="39"/>
        <v>4304</v>
      </c>
      <c r="J132" s="58">
        <f>J133</f>
        <v>4304</v>
      </c>
      <c r="K132" s="51"/>
      <c r="L132" s="51">
        <f t="shared" si="40"/>
        <v>6012.4</v>
      </c>
      <c r="M132" s="51">
        <f>M133</f>
        <v>6012.4</v>
      </c>
      <c r="N132" s="51"/>
      <c r="O132" s="72">
        <f>F132+I132+L132</f>
        <v>15374.699999999999</v>
      </c>
    </row>
    <row r="133" spans="1:15" ht="38.25" hidden="1" customHeight="1" outlineLevel="2" x14ac:dyDescent="0.25">
      <c r="A133" s="138"/>
      <c r="B133" s="51" t="s">
        <v>88</v>
      </c>
      <c r="C133" s="59" t="s">
        <v>69</v>
      </c>
      <c r="D133" s="60" t="s">
        <v>56</v>
      </c>
      <c r="E133" s="60" t="s">
        <v>13</v>
      </c>
      <c r="F133" s="51">
        <f>G133</f>
        <v>5058.3</v>
      </c>
      <c r="G133" s="51">
        <v>5058.3</v>
      </c>
      <c r="H133" s="51"/>
      <c r="I133" s="58">
        <f t="shared" si="39"/>
        <v>4304</v>
      </c>
      <c r="J133" s="58">
        <v>4304</v>
      </c>
      <c r="K133" s="51"/>
      <c r="L133" s="51">
        <f t="shared" si="40"/>
        <v>6012.4</v>
      </c>
      <c r="M133" s="51">
        <v>6012.4</v>
      </c>
      <c r="N133" s="51"/>
    </row>
    <row r="134" spans="1:15" ht="84" customHeight="1" collapsed="1" x14ac:dyDescent="0.25">
      <c r="A134" s="138"/>
      <c r="B134" s="51" t="s">
        <v>47</v>
      </c>
      <c r="C134" s="59" t="s">
        <v>69</v>
      </c>
      <c r="D134" s="60" t="s">
        <v>56</v>
      </c>
      <c r="E134" s="60" t="s">
        <v>13</v>
      </c>
      <c r="F134" s="51">
        <f t="shared" si="41"/>
        <v>67.3</v>
      </c>
      <c r="G134" s="51">
        <v>67.3</v>
      </c>
      <c r="H134" s="51"/>
      <c r="I134" s="58"/>
      <c r="J134" s="58"/>
      <c r="K134" s="51"/>
      <c r="L134" s="51"/>
      <c r="M134" s="51"/>
      <c r="N134" s="51"/>
      <c r="O134" s="76">
        <f>F134+I134+L134</f>
        <v>67.3</v>
      </c>
    </row>
    <row r="135" spans="1:15" ht="33" hidden="1" customHeight="1" outlineLevel="1" x14ac:dyDescent="0.25">
      <c r="A135" s="138"/>
      <c r="B135" s="51" t="s">
        <v>88</v>
      </c>
      <c r="C135" s="59" t="s">
        <v>69</v>
      </c>
      <c r="D135" s="60" t="s">
        <v>56</v>
      </c>
      <c r="E135" s="60" t="s">
        <v>13</v>
      </c>
      <c r="F135" s="51">
        <f>G135</f>
        <v>67.3</v>
      </c>
      <c r="G135" s="51">
        <v>67.3</v>
      </c>
      <c r="H135" s="51"/>
      <c r="I135" s="58"/>
      <c r="J135" s="58"/>
      <c r="K135" s="51"/>
      <c r="L135" s="51"/>
      <c r="M135" s="51"/>
      <c r="N135" s="51"/>
      <c r="O135" s="76"/>
    </row>
    <row r="136" spans="1:15" ht="24.75" customHeight="1" collapsed="1" x14ac:dyDescent="0.25">
      <c r="A136" s="138"/>
      <c r="B136" s="231" t="s">
        <v>48</v>
      </c>
      <c r="C136" s="232"/>
      <c r="D136" s="233"/>
      <c r="E136" s="73"/>
      <c r="F136" s="81">
        <f t="shared" si="41"/>
        <v>12388.7</v>
      </c>
      <c r="G136" s="81">
        <f>G137</f>
        <v>12388.7</v>
      </c>
      <c r="H136" s="81"/>
      <c r="I136" s="81">
        <f>I137</f>
        <v>12756.4</v>
      </c>
      <c r="J136" s="81">
        <f>J137</f>
        <v>12756.4</v>
      </c>
      <c r="K136" s="81"/>
      <c r="L136" s="81">
        <f>L137</f>
        <v>12460.4</v>
      </c>
      <c r="M136" s="81">
        <f>M137</f>
        <v>12460.4</v>
      </c>
      <c r="N136" s="51"/>
    </row>
    <row r="137" spans="1:15" ht="63.75" customHeight="1" x14ac:dyDescent="0.25">
      <c r="A137" s="138"/>
      <c r="B137" s="97" t="s">
        <v>49</v>
      </c>
      <c r="C137" s="59" t="s">
        <v>71</v>
      </c>
      <c r="D137" s="85" t="s">
        <v>56</v>
      </c>
      <c r="E137" s="60" t="s">
        <v>13</v>
      </c>
      <c r="F137" s="51">
        <f t="shared" si="41"/>
        <v>12388.7</v>
      </c>
      <c r="G137" s="51">
        <f>G138+G140</f>
        <v>12388.7</v>
      </c>
      <c r="H137" s="51"/>
      <c r="I137" s="51">
        <f>J137</f>
        <v>12756.4</v>
      </c>
      <c r="J137" s="51">
        <f>J138+J140</f>
        <v>12756.4</v>
      </c>
      <c r="K137" s="51"/>
      <c r="L137" s="51">
        <f>M137</f>
        <v>12460.4</v>
      </c>
      <c r="M137" s="51">
        <f>M138+M140</f>
        <v>12460.4</v>
      </c>
      <c r="N137" s="51"/>
      <c r="O137" s="76">
        <f>F137+I137+L137</f>
        <v>37605.5</v>
      </c>
    </row>
    <row r="138" spans="1:15" ht="67.5" customHeight="1" x14ac:dyDescent="0.25">
      <c r="A138" s="138"/>
      <c r="B138" s="51" t="s">
        <v>70</v>
      </c>
      <c r="C138" s="59" t="s">
        <v>71</v>
      </c>
      <c r="D138" s="60" t="s">
        <v>56</v>
      </c>
      <c r="E138" s="89" t="s">
        <v>13</v>
      </c>
      <c r="F138" s="51">
        <f t="shared" si="41"/>
        <v>11493.1</v>
      </c>
      <c r="G138" s="51">
        <v>11493.1</v>
      </c>
      <c r="H138" s="51"/>
      <c r="I138" s="51">
        <f>J138</f>
        <v>11836.1</v>
      </c>
      <c r="J138" s="51">
        <v>11836.1</v>
      </c>
      <c r="K138" s="51"/>
      <c r="L138" s="51">
        <f>M138</f>
        <v>11277.1</v>
      </c>
      <c r="M138" s="51">
        <v>11277.1</v>
      </c>
      <c r="N138" s="51"/>
      <c r="O138" s="72">
        <f>F138+I138+L138</f>
        <v>34606.300000000003</v>
      </c>
    </row>
    <row r="139" spans="1:15" ht="33" hidden="1" customHeight="1" outlineLevel="1" x14ac:dyDescent="0.25">
      <c r="A139" s="138"/>
      <c r="B139" s="51" t="s">
        <v>76</v>
      </c>
      <c r="C139" s="59" t="s">
        <v>71</v>
      </c>
      <c r="D139" s="60" t="s">
        <v>56</v>
      </c>
      <c r="E139" s="89" t="s">
        <v>13</v>
      </c>
      <c r="F139" s="51">
        <f>G139</f>
        <v>11493.1</v>
      </c>
      <c r="G139" s="51">
        <v>11493.1</v>
      </c>
      <c r="H139" s="51"/>
      <c r="I139" s="51"/>
      <c r="J139" s="51"/>
      <c r="K139" s="51"/>
      <c r="L139" s="51"/>
      <c r="M139" s="51"/>
      <c r="N139" s="51"/>
    </row>
    <row r="140" spans="1:15" ht="63" collapsed="1" x14ac:dyDescent="0.25">
      <c r="A140" s="138"/>
      <c r="B140" s="51" t="s">
        <v>336</v>
      </c>
      <c r="C140" s="59" t="s">
        <v>71</v>
      </c>
      <c r="D140" s="60" t="s">
        <v>56</v>
      </c>
      <c r="E140" s="89" t="s">
        <v>13</v>
      </c>
      <c r="F140" s="51">
        <f>G140</f>
        <v>895.6</v>
      </c>
      <c r="G140" s="51">
        <v>895.6</v>
      </c>
      <c r="H140" s="51"/>
      <c r="I140" s="51">
        <f>J140</f>
        <v>920.3</v>
      </c>
      <c r="J140" s="51">
        <f>J141</f>
        <v>920.3</v>
      </c>
      <c r="K140" s="51"/>
      <c r="L140" s="51">
        <f>M140</f>
        <v>1183.3</v>
      </c>
      <c r="M140" s="51">
        <f>M141</f>
        <v>1183.3</v>
      </c>
      <c r="N140" s="51"/>
      <c r="O140" s="72">
        <f t="shared" ref="O140" si="42">F140+I140+L140</f>
        <v>2999.2</v>
      </c>
    </row>
    <row r="141" spans="1:15" ht="38.25" hidden="1" customHeight="1" outlineLevel="1" x14ac:dyDescent="0.25">
      <c r="A141" s="138"/>
      <c r="B141" s="51" t="s">
        <v>76</v>
      </c>
      <c r="C141" s="59" t="s">
        <v>71</v>
      </c>
      <c r="D141" s="60" t="s">
        <v>56</v>
      </c>
      <c r="E141" s="98" t="s">
        <v>13</v>
      </c>
      <c r="F141" s="51">
        <f>G141</f>
        <v>895.6</v>
      </c>
      <c r="G141" s="51">
        <v>895.6</v>
      </c>
      <c r="H141" s="51"/>
      <c r="I141" s="51">
        <f>J141</f>
        <v>920.3</v>
      </c>
      <c r="J141" s="51">
        <v>920.3</v>
      </c>
      <c r="K141" s="51"/>
      <c r="L141" s="51">
        <f>M141</f>
        <v>1183.3</v>
      </c>
      <c r="M141" s="51">
        <v>1183.3</v>
      </c>
      <c r="N141" s="51"/>
    </row>
    <row r="142" spans="1:15" ht="15.75" collapsed="1" x14ac:dyDescent="0.25">
      <c r="A142" s="151" t="s">
        <v>288</v>
      </c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</row>
    <row r="143" spans="1:15" ht="15.75" x14ac:dyDescent="0.25">
      <c r="A143" s="136" t="s">
        <v>285</v>
      </c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7"/>
    </row>
    <row r="144" spans="1:15" ht="15.75" x14ac:dyDescent="0.25">
      <c r="A144" s="138" t="s">
        <v>281</v>
      </c>
      <c r="B144" s="176" t="s">
        <v>98</v>
      </c>
      <c r="C144" s="177"/>
      <c r="D144" s="177"/>
      <c r="E144" s="178"/>
      <c r="F144" s="99">
        <f>G144</f>
        <v>17774.899999999998</v>
      </c>
      <c r="G144" s="99">
        <f>G152</f>
        <v>17774.899999999998</v>
      </c>
      <c r="H144" s="100"/>
      <c r="I144" s="99">
        <f>J144</f>
        <v>20196</v>
      </c>
      <c r="J144" s="99">
        <f>J152</f>
        <v>20196</v>
      </c>
      <c r="K144" s="100"/>
      <c r="L144" s="99">
        <f>M144</f>
        <v>21002.5</v>
      </c>
      <c r="M144" s="99">
        <f>M152</f>
        <v>21002.5</v>
      </c>
      <c r="N144" s="100"/>
      <c r="O144" s="76">
        <f>F144+I144+L144</f>
        <v>58973.399999999994</v>
      </c>
    </row>
    <row r="145" spans="1:17" ht="68.25" customHeight="1" x14ac:dyDescent="0.25">
      <c r="A145" s="138"/>
      <c r="B145" s="165"/>
      <c r="C145" s="137"/>
      <c r="D145" s="60" t="s">
        <v>56</v>
      </c>
      <c r="E145" s="60" t="s">
        <v>13</v>
      </c>
      <c r="F145" s="101">
        <f>G145</f>
        <v>17774.899999999998</v>
      </c>
      <c r="G145" s="101">
        <f>G155+G159+G163+G167+G171+G174+G177+G179</f>
        <v>17774.899999999998</v>
      </c>
      <c r="H145" s="102"/>
      <c r="I145" s="101">
        <f>J145</f>
        <v>20196</v>
      </c>
      <c r="J145" s="101">
        <f>J155+J159+J163+J167+J171+J174+J177+J179</f>
        <v>20196</v>
      </c>
      <c r="K145" s="102"/>
      <c r="L145" s="101">
        <f>M145</f>
        <v>21002.5</v>
      </c>
      <c r="M145" s="101">
        <f>M155+M159+M163+M167+M171+M174+M177+M179</f>
        <v>21002.5</v>
      </c>
      <c r="N145" s="102"/>
      <c r="O145" s="76"/>
      <c r="P145" s="76"/>
    </row>
    <row r="146" spans="1:17" ht="36" hidden="1" customHeight="1" outlineLevel="1" x14ac:dyDescent="0.25">
      <c r="A146" s="138"/>
      <c r="B146" s="65" t="s">
        <v>58</v>
      </c>
      <c r="C146" s="103"/>
      <c r="D146" s="134" t="s">
        <v>56</v>
      </c>
      <c r="E146" s="203" t="s">
        <v>13</v>
      </c>
      <c r="F146" s="101">
        <f>G146</f>
        <v>7327.2</v>
      </c>
      <c r="G146" s="101">
        <f>G156+G160+G164+G168</f>
        <v>7327.2</v>
      </c>
      <c r="H146" s="102"/>
      <c r="I146" s="101">
        <f>J146</f>
        <v>8239.4</v>
      </c>
      <c r="J146" s="101">
        <f>J156+J160+J164+J168</f>
        <v>8239.4</v>
      </c>
      <c r="K146" s="102"/>
      <c r="L146" s="101">
        <f>M146</f>
        <v>7915.4</v>
      </c>
      <c r="M146" s="101">
        <f>M156+M160+M164+M168</f>
        <v>7915.4</v>
      </c>
      <c r="N146" s="102"/>
      <c r="O146" s="76">
        <f>G146+G147+G148+G149+G150+G151</f>
        <v>17774.900000000001</v>
      </c>
      <c r="P146" s="76">
        <f>J146+J147+J148+J149+J150+J151</f>
        <v>20196</v>
      </c>
      <c r="Q146" s="76">
        <f>M146+M147+M148+M149+M150+M151</f>
        <v>21002.499999999996</v>
      </c>
    </row>
    <row r="147" spans="1:17" ht="31.5" hidden="1" outlineLevel="1" x14ac:dyDescent="0.25">
      <c r="A147" s="138"/>
      <c r="B147" s="65" t="s">
        <v>59</v>
      </c>
      <c r="C147" s="103"/>
      <c r="D147" s="142"/>
      <c r="E147" s="230"/>
      <c r="F147" s="101">
        <f t="shared" ref="F147:F151" si="43">G147</f>
        <v>7901.2999999999993</v>
      </c>
      <c r="G147" s="101">
        <f>G157+G161+G165+G169</f>
        <v>7901.2999999999993</v>
      </c>
      <c r="H147" s="102"/>
      <c r="I147" s="101">
        <f t="shared" ref="I147:I151" si="44">J147</f>
        <v>9286</v>
      </c>
      <c r="J147" s="101">
        <f>J157+J161+J165+J169</f>
        <v>9286</v>
      </c>
      <c r="K147" s="102"/>
      <c r="L147" s="101">
        <f t="shared" ref="L147:L151" si="45">M147</f>
        <v>9081.7999999999993</v>
      </c>
      <c r="M147" s="101">
        <f>M157+M161+M165+M169</f>
        <v>9081.7999999999993</v>
      </c>
      <c r="N147" s="102"/>
      <c r="O147" s="76"/>
    </row>
    <row r="148" spans="1:17" ht="15.75" hidden="1" outlineLevel="1" x14ac:dyDescent="0.25">
      <c r="A148" s="138"/>
      <c r="B148" s="51" t="s">
        <v>64</v>
      </c>
      <c r="C148" s="103"/>
      <c r="D148" s="142"/>
      <c r="E148" s="230"/>
      <c r="F148" s="101">
        <f t="shared" si="43"/>
        <v>611.6</v>
      </c>
      <c r="G148" s="101">
        <f>G172+G175</f>
        <v>611.6</v>
      </c>
      <c r="H148" s="102"/>
      <c r="I148" s="101">
        <f t="shared" si="44"/>
        <v>650.6</v>
      </c>
      <c r="J148" s="101">
        <f>J172+J175</f>
        <v>650.6</v>
      </c>
      <c r="K148" s="102"/>
      <c r="L148" s="101">
        <f t="shared" si="45"/>
        <v>814</v>
      </c>
      <c r="M148" s="101">
        <f>M172+M175</f>
        <v>814</v>
      </c>
      <c r="N148" s="102"/>
      <c r="O148" s="76"/>
    </row>
    <row r="149" spans="1:17" ht="15.75" hidden="1" outlineLevel="1" x14ac:dyDescent="0.25">
      <c r="A149" s="138"/>
      <c r="B149" s="51" t="s">
        <v>65</v>
      </c>
      <c r="C149" s="103"/>
      <c r="D149" s="142"/>
      <c r="E149" s="230"/>
      <c r="F149" s="101">
        <f t="shared" si="43"/>
        <v>364.8</v>
      </c>
      <c r="G149" s="101">
        <f>G178+G180</f>
        <v>364.8</v>
      </c>
      <c r="H149" s="102"/>
      <c r="I149" s="101">
        <f t="shared" si="44"/>
        <v>300</v>
      </c>
      <c r="J149" s="101">
        <f>J178+J180</f>
        <v>300</v>
      </c>
      <c r="K149" s="102"/>
      <c r="L149" s="101">
        <f t="shared" si="45"/>
        <v>300</v>
      </c>
      <c r="M149" s="101">
        <f>M178+M180</f>
        <v>300</v>
      </c>
      <c r="N149" s="102"/>
      <c r="O149" s="76"/>
    </row>
    <row r="150" spans="1:17" ht="31.5" hidden="1" outlineLevel="1" x14ac:dyDescent="0.25">
      <c r="A150" s="138"/>
      <c r="B150" s="51" t="s">
        <v>67</v>
      </c>
      <c r="C150" s="103"/>
      <c r="D150" s="142"/>
      <c r="E150" s="230"/>
      <c r="F150" s="101">
        <f t="shared" si="43"/>
        <v>120</v>
      </c>
      <c r="G150" s="101">
        <f>G158+G162+G166+G170</f>
        <v>120</v>
      </c>
      <c r="H150" s="102"/>
      <c r="I150" s="101">
        <f t="shared" si="44"/>
        <v>174</v>
      </c>
      <c r="J150" s="101">
        <f>J158+J162+J166+J170</f>
        <v>174</v>
      </c>
      <c r="K150" s="102"/>
      <c r="L150" s="101">
        <f t="shared" si="45"/>
        <v>140</v>
      </c>
      <c r="M150" s="101">
        <f>M158+M162+M166+M170</f>
        <v>140</v>
      </c>
      <c r="N150" s="102"/>
      <c r="O150" s="76"/>
    </row>
    <row r="151" spans="1:17" ht="31.5" hidden="1" outlineLevel="1" x14ac:dyDescent="0.25">
      <c r="A151" s="138"/>
      <c r="B151" s="51" t="s">
        <v>76</v>
      </c>
      <c r="C151" s="103"/>
      <c r="D151" s="135"/>
      <c r="E151" s="204"/>
      <c r="F151" s="101">
        <f t="shared" si="43"/>
        <v>1450</v>
      </c>
      <c r="G151" s="101">
        <f>G173+G176</f>
        <v>1450</v>
      </c>
      <c r="H151" s="102"/>
      <c r="I151" s="101">
        <f t="shared" si="44"/>
        <v>1546</v>
      </c>
      <c r="J151" s="101">
        <f>J173+J176</f>
        <v>1546</v>
      </c>
      <c r="K151" s="102"/>
      <c r="L151" s="101">
        <f t="shared" si="45"/>
        <v>2751.3</v>
      </c>
      <c r="M151" s="101">
        <f>M173+M176</f>
        <v>2751.3</v>
      </c>
      <c r="N151" s="102"/>
      <c r="O151" s="76"/>
    </row>
    <row r="152" spans="1:17" ht="15.75" collapsed="1" x14ac:dyDescent="0.25">
      <c r="A152" s="138"/>
      <c r="B152" s="176" t="s">
        <v>50</v>
      </c>
      <c r="C152" s="177"/>
      <c r="D152" s="177"/>
      <c r="E152" s="178"/>
      <c r="F152" s="99">
        <f>G152</f>
        <v>17774.899999999998</v>
      </c>
      <c r="G152" s="99">
        <f>G155+G159+G163+G167+G171+G174+G177+G179</f>
        <v>17774.899999999998</v>
      </c>
      <c r="H152" s="100"/>
      <c r="I152" s="99">
        <f>J152</f>
        <v>20196</v>
      </c>
      <c r="J152" s="99">
        <f>J155+J159+J163+J167+J171+J174+J177+J179</f>
        <v>20196</v>
      </c>
      <c r="K152" s="100"/>
      <c r="L152" s="99">
        <f>M152</f>
        <v>21002.5</v>
      </c>
      <c r="M152" s="99">
        <f>M155+M159+M163+M167+M171+M174+M177+M179</f>
        <v>21002.5</v>
      </c>
      <c r="N152" s="100"/>
    </row>
    <row r="153" spans="1:17" ht="49.5" customHeight="1" x14ac:dyDescent="0.25">
      <c r="A153" s="138"/>
      <c r="B153" s="179" t="s">
        <v>51</v>
      </c>
      <c r="C153" s="59" t="s">
        <v>60</v>
      </c>
      <c r="D153" s="134" t="s">
        <v>56</v>
      </c>
      <c r="E153" s="134" t="s">
        <v>13</v>
      </c>
      <c r="F153" s="56">
        <f>G153</f>
        <v>17410.099999999999</v>
      </c>
      <c r="G153" s="56">
        <f>G155+G159+G163+G167+G171+G174</f>
        <v>17410.099999999999</v>
      </c>
      <c r="H153" s="56"/>
      <c r="I153" s="56">
        <f>J153</f>
        <v>19896</v>
      </c>
      <c r="J153" s="56">
        <f>J155+J159+J163+J167+J171+J174</f>
        <v>19896</v>
      </c>
      <c r="K153" s="56"/>
      <c r="L153" s="56">
        <f>M153</f>
        <v>20702.5</v>
      </c>
      <c r="M153" s="56">
        <f>M155+M159+M163+M167+M171+M174</f>
        <v>20702.5</v>
      </c>
      <c r="N153" s="54"/>
    </row>
    <row r="154" spans="1:17" ht="49.5" customHeight="1" x14ac:dyDescent="0.25">
      <c r="A154" s="138"/>
      <c r="B154" s="180"/>
      <c r="C154" s="59" t="s">
        <v>62</v>
      </c>
      <c r="D154" s="135"/>
      <c r="E154" s="135"/>
      <c r="F154" s="56">
        <f>G154</f>
        <v>364.8</v>
      </c>
      <c r="G154" s="56">
        <f>G177+G179</f>
        <v>364.8</v>
      </c>
      <c r="H154" s="56"/>
      <c r="I154" s="56">
        <f>J154</f>
        <v>300</v>
      </c>
      <c r="J154" s="56">
        <f>J177+J179</f>
        <v>300</v>
      </c>
      <c r="K154" s="56"/>
      <c r="L154" s="56">
        <f>M154</f>
        <v>300</v>
      </c>
      <c r="M154" s="56">
        <f>M177+M179</f>
        <v>300</v>
      </c>
      <c r="N154" s="54"/>
    </row>
    <row r="155" spans="1:17" ht="72" customHeight="1" x14ac:dyDescent="0.25">
      <c r="A155" s="138"/>
      <c r="B155" s="51" t="s">
        <v>73</v>
      </c>
      <c r="C155" s="59" t="s">
        <v>60</v>
      </c>
      <c r="D155" s="60" t="s">
        <v>56</v>
      </c>
      <c r="E155" s="60" t="s">
        <v>13</v>
      </c>
      <c r="F155" s="50">
        <f t="shared" ref="F155:F158" si="46">G155</f>
        <v>12542.2</v>
      </c>
      <c r="G155" s="50">
        <f>G156+G157+G158</f>
        <v>12542.2</v>
      </c>
      <c r="H155" s="55"/>
      <c r="I155" s="55"/>
      <c r="J155" s="55"/>
      <c r="K155" s="55"/>
      <c r="L155" s="55"/>
      <c r="M155" s="55"/>
      <c r="N155" s="55"/>
      <c r="O155" s="76">
        <f>F155+I155+L155</f>
        <v>12542.2</v>
      </c>
    </row>
    <row r="156" spans="1:17" ht="27.75" hidden="1" customHeight="1" outlineLevel="1" x14ac:dyDescent="0.25">
      <c r="A156" s="138"/>
      <c r="B156" s="65" t="s">
        <v>58</v>
      </c>
      <c r="C156" s="59" t="s">
        <v>60</v>
      </c>
      <c r="D156" s="134" t="s">
        <v>56</v>
      </c>
      <c r="E156" s="134" t="s">
        <v>13</v>
      </c>
      <c r="F156" s="101">
        <f t="shared" si="46"/>
        <v>5647</v>
      </c>
      <c r="G156" s="101">
        <v>5647</v>
      </c>
      <c r="H156" s="102"/>
      <c r="I156" s="102"/>
      <c r="J156" s="102"/>
      <c r="K156" s="102"/>
      <c r="L156" s="102"/>
      <c r="M156" s="102"/>
      <c r="N156" s="102"/>
    </row>
    <row r="157" spans="1:17" ht="30.75" hidden="1" customHeight="1" outlineLevel="1" x14ac:dyDescent="0.25">
      <c r="A157" s="138"/>
      <c r="B157" s="65" t="s">
        <v>59</v>
      </c>
      <c r="C157" s="59" t="s">
        <v>60</v>
      </c>
      <c r="D157" s="142"/>
      <c r="E157" s="142"/>
      <c r="F157" s="101">
        <f t="shared" si="46"/>
        <v>6815.2</v>
      </c>
      <c r="G157" s="101">
        <v>6815.2</v>
      </c>
      <c r="H157" s="102"/>
      <c r="I157" s="102"/>
      <c r="J157" s="102"/>
      <c r="K157" s="102"/>
      <c r="L157" s="102"/>
      <c r="M157" s="102"/>
      <c r="N157" s="102"/>
    </row>
    <row r="158" spans="1:17" ht="30" hidden="1" customHeight="1" outlineLevel="1" x14ac:dyDescent="0.25">
      <c r="A158" s="138"/>
      <c r="B158" s="51" t="s">
        <v>67</v>
      </c>
      <c r="C158" s="59" t="s">
        <v>60</v>
      </c>
      <c r="D158" s="135"/>
      <c r="E158" s="135"/>
      <c r="F158" s="101">
        <f t="shared" si="46"/>
        <v>80</v>
      </c>
      <c r="G158" s="101">
        <v>80</v>
      </c>
      <c r="H158" s="102"/>
      <c r="I158" s="102"/>
      <c r="J158" s="102"/>
      <c r="K158" s="102"/>
      <c r="L158" s="102"/>
      <c r="M158" s="102"/>
      <c r="N158" s="102"/>
    </row>
    <row r="159" spans="1:17" ht="117" customHeight="1" collapsed="1" x14ac:dyDescent="0.25">
      <c r="A159" s="138"/>
      <c r="B159" s="51" t="s">
        <v>72</v>
      </c>
      <c r="C159" s="59" t="s">
        <v>60</v>
      </c>
      <c r="D159" s="60" t="s">
        <v>56</v>
      </c>
      <c r="E159" s="60" t="s">
        <v>13</v>
      </c>
      <c r="F159" s="102"/>
      <c r="G159" s="102">
        <f>G160+G161+G162</f>
        <v>0</v>
      </c>
      <c r="H159" s="102"/>
      <c r="I159" s="102">
        <f>J159</f>
        <v>11875</v>
      </c>
      <c r="J159" s="101">
        <f>J160+J161+J162</f>
        <v>11875</v>
      </c>
      <c r="K159" s="102"/>
      <c r="L159" s="102">
        <f>M159</f>
        <v>14135.5</v>
      </c>
      <c r="M159" s="102">
        <f>M160+M161+M162</f>
        <v>14135.5</v>
      </c>
      <c r="N159" s="102"/>
      <c r="O159" s="76">
        <f>F159+I159+L159</f>
        <v>26010.5</v>
      </c>
    </row>
    <row r="160" spans="1:17" ht="25.5" hidden="1" customHeight="1" outlineLevel="1" x14ac:dyDescent="0.25">
      <c r="A160" s="138"/>
      <c r="B160" s="65" t="s">
        <v>58</v>
      </c>
      <c r="C160" s="59" t="s">
        <v>60</v>
      </c>
      <c r="D160" s="134" t="s">
        <v>56</v>
      </c>
      <c r="E160" s="134" t="s">
        <v>13</v>
      </c>
      <c r="F160" s="102"/>
      <c r="G160" s="102"/>
      <c r="H160" s="102"/>
      <c r="I160" s="102">
        <f>J160</f>
        <v>4920</v>
      </c>
      <c r="J160" s="102">
        <f>6244.4-1324.4</f>
        <v>4920</v>
      </c>
      <c r="K160" s="102"/>
      <c r="L160" s="102">
        <f>M160</f>
        <v>6338.7</v>
      </c>
      <c r="M160" s="102">
        <v>6338.7</v>
      </c>
      <c r="N160" s="102"/>
    </row>
    <row r="161" spans="1:15" ht="31.5" hidden="1" customHeight="1" outlineLevel="1" x14ac:dyDescent="0.25">
      <c r="A161" s="138"/>
      <c r="B161" s="65" t="s">
        <v>59</v>
      </c>
      <c r="C161" s="59" t="s">
        <v>60</v>
      </c>
      <c r="D161" s="142"/>
      <c r="E161" s="142"/>
      <c r="F161" s="102"/>
      <c r="G161" s="102"/>
      <c r="H161" s="102"/>
      <c r="I161" s="101">
        <f t="shared" ref="I161:I162" si="47">J161</f>
        <v>6871</v>
      </c>
      <c r="J161" s="101">
        <f>7471-600</f>
        <v>6871</v>
      </c>
      <c r="K161" s="102"/>
      <c r="L161" s="102">
        <f t="shared" ref="L161:L162" si="48">M161</f>
        <v>7706.8</v>
      </c>
      <c r="M161" s="102">
        <f>7571.3+135.5</f>
        <v>7706.8</v>
      </c>
      <c r="N161" s="102"/>
    </row>
    <row r="162" spans="1:15" ht="30" hidden="1" customHeight="1" outlineLevel="1" x14ac:dyDescent="0.25">
      <c r="A162" s="138"/>
      <c r="B162" s="51" t="s">
        <v>67</v>
      </c>
      <c r="C162" s="59" t="s">
        <v>60</v>
      </c>
      <c r="D162" s="135"/>
      <c r="E162" s="135"/>
      <c r="F162" s="102"/>
      <c r="G162" s="102"/>
      <c r="H162" s="102"/>
      <c r="I162" s="101">
        <f t="shared" si="47"/>
        <v>84</v>
      </c>
      <c r="J162" s="101">
        <v>84</v>
      </c>
      <c r="K162" s="102"/>
      <c r="L162" s="101">
        <f t="shared" si="48"/>
        <v>90</v>
      </c>
      <c r="M162" s="101">
        <v>90</v>
      </c>
      <c r="N162" s="102"/>
    </row>
    <row r="163" spans="1:15" ht="85.5" customHeight="1" collapsed="1" x14ac:dyDescent="0.25">
      <c r="A163" s="138"/>
      <c r="B163" s="51" t="s">
        <v>74</v>
      </c>
      <c r="C163" s="59" t="s">
        <v>60</v>
      </c>
      <c r="D163" s="60" t="s">
        <v>56</v>
      </c>
      <c r="E163" s="60" t="s">
        <v>13</v>
      </c>
      <c r="F163" s="102">
        <f>G163</f>
        <v>2806.3</v>
      </c>
      <c r="G163" s="102">
        <f>G164+G165+G166</f>
        <v>2806.3</v>
      </c>
      <c r="H163" s="102"/>
      <c r="I163" s="101"/>
      <c r="J163" s="101"/>
      <c r="K163" s="102"/>
      <c r="L163" s="102"/>
      <c r="M163" s="102"/>
      <c r="N163" s="102"/>
      <c r="O163" s="72">
        <f>F163</f>
        <v>2806.3</v>
      </c>
    </row>
    <row r="164" spans="1:15" ht="29.25" hidden="1" customHeight="1" outlineLevel="1" x14ac:dyDescent="0.25">
      <c r="A164" s="138"/>
      <c r="B164" s="65" t="s">
        <v>58</v>
      </c>
      <c r="C164" s="59" t="s">
        <v>60</v>
      </c>
      <c r="D164" s="134" t="s">
        <v>56</v>
      </c>
      <c r="E164" s="134" t="s">
        <v>13</v>
      </c>
      <c r="F164" s="102">
        <f t="shared" ref="F164:F166" si="49">G164</f>
        <v>1680.2</v>
      </c>
      <c r="G164" s="102">
        <v>1680.2</v>
      </c>
      <c r="H164" s="102"/>
      <c r="I164" s="101"/>
      <c r="J164" s="101"/>
      <c r="K164" s="102"/>
      <c r="L164" s="102"/>
      <c r="M164" s="102"/>
      <c r="N164" s="102"/>
    </row>
    <row r="165" spans="1:15" ht="31.5" hidden="1" customHeight="1" outlineLevel="1" x14ac:dyDescent="0.25">
      <c r="A165" s="138"/>
      <c r="B165" s="65" t="s">
        <v>59</v>
      </c>
      <c r="C165" s="59" t="s">
        <v>60</v>
      </c>
      <c r="D165" s="142"/>
      <c r="E165" s="142"/>
      <c r="F165" s="102">
        <f t="shared" si="49"/>
        <v>1086.0999999999999</v>
      </c>
      <c r="G165" s="102">
        <v>1086.0999999999999</v>
      </c>
      <c r="H165" s="102"/>
      <c r="I165" s="101"/>
      <c r="J165" s="101"/>
      <c r="K165" s="102"/>
      <c r="L165" s="102"/>
      <c r="M165" s="102"/>
      <c r="N165" s="102"/>
    </row>
    <row r="166" spans="1:15" ht="30.75" hidden="1" customHeight="1" outlineLevel="1" x14ac:dyDescent="0.25">
      <c r="A166" s="138"/>
      <c r="B166" s="51" t="s">
        <v>67</v>
      </c>
      <c r="C166" s="59" t="s">
        <v>60</v>
      </c>
      <c r="D166" s="135"/>
      <c r="E166" s="135"/>
      <c r="F166" s="102">
        <f t="shared" si="49"/>
        <v>40</v>
      </c>
      <c r="G166" s="101">
        <v>40</v>
      </c>
      <c r="H166" s="102"/>
      <c r="I166" s="101"/>
      <c r="J166" s="101"/>
      <c r="K166" s="102"/>
      <c r="L166" s="102"/>
      <c r="M166" s="102"/>
      <c r="N166" s="102"/>
    </row>
    <row r="167" spans="1:15" ht="101.25" customHeight="1" collapsed="1" x14ac:dyDescent="0.25">
      <c r="A167" s="138"/>
      <c r="B167" s="51" t="s">
        <v>75</v>
      </c>
      <c r="C167" s="59" t="s">
        <v>60</v>
      </c>
      <c r="D167" s="60" t="s">
        <v>56</v>
      </c>
      <c r="E167" s="60" t="s">
        <v>13</v>
      </c>
      <c r="F167" s="102"/>
      <c r="G167" s="102"/>
      <c r="H167" s="102"/>
      <c r="I167" s="101">
        <f>J167</f>
        <v>5824.4</v>
      </c>
      <c r="J167" s="101">
        <f>J168+J169+J170</f>
        <v>5824.4</v>
      </c>
      <c r="K167" s="102"/>
      <c r="L167" s="101">
        <f>M167</f>
        <v>3001.7</v>
      </c>
      <c r="M167" s="101">
        <f>M168+M169+M170</f>
        <v>3001.7</v>
      </c>
      <c r="N167" s="102"/>
      <c r="O167" s="76">
        <f>F167+I167+L167</f>
        <v>8826.0999999999985</v>
      </c>
    </row>
    <row r="168" spans="1:15" ht="25.5" hidden="1" customHeight="1" outlineLevel="2" x14ac:dyDescent="0.25">
      <c r="A168" s="138"/>
      <c r="B168" s="65" t="s">
        <v>58</v>
      </c>
      <c r="C168" s="59" t="s">
        <v>60</v>
      </c>
      <c r="D168" s="134" t="s">
        <v>56</v>
      </c>
      <c r="E168" s="134" t="s">
        <v>13</v>
      </c>
      <c r="F168" s="102"/>
      <c r="G168" s="102"/>
      <c r="H168" s="102"/>
      <c r="I168" s="101">
        <f t="shared" ref="I168:I170" si="50">J168</f>
        <v>3319.4</v>
      </c>
      <c r="J168" s="101">
        <f>835+560+600+1324.4</f>
        <v>3319.4</v>
      </c>
      <c r="K168" s="102"/>
      <c r="L168" s="101">
        <f t="shared" ref="L168:L170" si="51">M168</f>
        <v>1576.7</v>
      </c>
      <c r="M168" s="102">
        <f>1575+1.7</f>
        <v>1576.7</v>
      </c>
      <c r="N168" s="102"/>
    </row>
    <row r="169" spans="1:15" ht="25.5" hidden="1" customHeight="1" outlineLevel="2" x14ac:dyDescent="0.25">
      <c r="A169" s="138"/>
      <c r="B169" s="65" t="s">
        <v>59</v>
      </c>
      <c r="C169" s="59" t="s">
        <v>60</v>
      </c>
      <c r="D169" s="142"/>
      <c r="E169" s="142"/>
      <c r="F169" s="102"/>
      <c r="G169" s="102"/>
      <c r="H169" s="102"/>
      <c r="I169" s="101">
        <f t="shared" si="50"/>
        <v>2415</v>
      </c>
      <c r="J169" s="101">
        <f>625+390+400+1000</f>
        <v>2415</v>
      </c>
      <c r="K169" s="102"/>
      <c r="L169" s="101">
        <f t="shared" si="51"/>
        <v>1375</v>
      </c>
      <c r="M169" s="101">
        <v>1375</v>
      </c>
      <c r="N169" s="102"/>
    </row>
    <row r="170" spans="1:15" ht="26.25" hidden="1" customHeight="1" outlineLevel="2" x14ac:dyDescent="0.25">
      <c r="A170" s="138"/>
      <c r="B170" s="51" t="s">
        <v>67</v>
      </c>
      <c r="C170" s="59" t="s">
        <v>60</v>
      </c>
      <c r="D170" s="135"/>
      <c r="E170" s="135"/>
      <c r="F170" s="102"/>
      <c r="G170" s="102"/>
      <c r="H170" s="102"/>
      <c r="I170" s="101">
        <f t="shared" si="50"/>
        <v>90</v>
      </c>
      <c r="J170" s="101">
        <v>90</v>
      </c>
      <c r="K170" s="102"/>
      <c r="L170" s="101">
        <f t="shared" si="51"/>
        <v>50</v>
      </c>
      <c r="M170" s="102">
        <v>50</v>
      </c>
      <c r="N170" s="102"/>
    </row>
    <row r="171" spans="1:15" ht="69.75" customHeight="1" collapsed="1" x14ac:dyDescent="0.25">
      <c r="A171" s="138"/>
      <c r="B171" s="51" t="s">
        <v>334</v>
      </c>
      <c r="C171" s="59" t="s">
        <v>60</v>
      </c>
      <c r="D171" s="60" t="s">
        <v>56</v>
      </c>
      <c r="E171" s="60" t="s">
        <v>13</v>
      </c>
      <c r="F171" s="101">
        <f>G171</f>
        <v>2061.6</v>
      </c>
      <c r="G171" s="101">
        <f>G172+G173</f>
        <v>2061.6</v>
      </c>
      <c r="H171" s="102"/>
      <c r="I171" s="101"/>
      <c r="J171" s="101"/>
      <c r="K171" s="102"/>
      <c r="L171" s="101"/>
      <c r="M171" s="102"/>
      <c r="N171" s="102"/>
      <c r="O171" s="76">
        <f>F171+I171+L171</f>
        <v>2061.6</v>
      </c>
    </row>
    <row r="172" spans="1:15" ht="27" hidden="1" customHeight="1" outlineLevel="1" x14ac:dyDescent="0.25">
      <c r="A172" s="138"/>
      <c r="B172" s="51" t="s">
        <v>64</v>
      </c>
      <c r="C172" s="59" t="s">
        <v>60</v>
      </c>
      <c r="D172" s="134" t="s">
        <v>56</v>
      </c>
      <c r="E172" s="134" t="s">
        <v>13</v>
      </c>
      <c r="F172" s="102">
        <f>G172</f>
        <v>611.6</v>
      </c>
      <c r="G172" s="102">
        <v>611.6</v>
      </c>
      <c r="H172" s="102"/>
      <c r="I172" s="101"/>
      <c r="J172" s="101"/>
      <c r="K172" s="102"/>
      <c r="L172" s="101"/>
      <c r="M172" s="102"/>
      <c r="N172" s="102"/>
    </row>
    <row r="173" spans="1:15" ht="27" hidden="1" customHeight="1" outlineLevel="1" x14ac:dyDescent="0.25">
      <c r="A173" s="138"/>
      <c r="B173" s="51" t="s">
        <v>76</v>
      </c>
      <c r="C173" s="59" t="s">
        <v>60</v>
      </c>
      <c r="D173" s="135"/>
      <c r="E173" s="135"/>
      <c r="F173" s="102">
        <f>G173</f>
        <v>1450</v>
      </c>
      <c r="G173" s="101">
        <v>1450</v>
      </c>
      <c r="H173" s="102"/>
      <c r="I173" s="101"/>
      <c r="J173" s="101"/>
      <c r="K173" s="102"/>
      <c r="L173" s="101"/>
      <c r="M173" s="102"/>
      <c r="N173" s="102"/>
    </row>
    <row r="174" spans="1:15" ht="75" customHeight="1" collapsed="1" x14ac:dyDescent="0.25">
      <c r="A174" s="138"/>
      <c r="B174" s="51" t="s">
        <v>77</v>
      </c>
      <c r="C174" s="59" t="s">
        <v>60</v>
      </c>
      <c r="D174" s="60" t="s">
        <v>56</v>
      </c>
      <c r="E174" s="60" t="s">
        <v>13</v>
      </c>
      <c r="F174" s="104"/>
      <c r="G174" s="105"/>
      <c r="H174" s="104"/>
      <c r="I174" s="58">
        <f>J174</f>
        <v>2196.6</v>
      </c>
      <c r="J174" s="58">
        <f>J175+J176</f>
        <v>2196.6</v>
      </c>
      <c r="K174" s="51"/>
      <c r="L174" s="58">
        <f>M174</f>
        <v>3565.3</v>
      </c>
      <c r="M174" s="51">
        <f>M175+M176</f>
        <v>3565.3</v>
      </c>
      <c r="N174" s="104"/>
      <c r="O174" s="76">
        <f>F174+I174+L174</f>
        <v>5761.9</v>
      </c>
    </row>
    <row r="175" spans="1:15" ht="24" hidden="1" customHeight="1" outlineLevel="1" x14ac:dyDescent="0.25">
      <c r="A175" s="138"/>
      <c r="B175" s="51" t="s">
        <v>64</v>
      </c>
      <c r="C175" s="59" t="s">
        <v>60</v>
      </c>
      <c r="D175" s="134" t="s">
        <v>56</v>
      </c>
      <c r="E175" s="134" t="s">
        <v>13</v>
      </c>
      <c r="F175" s="104"/>
      <c r="G175" s="105"/>
      <c r="H175" s="104"/>
      <c r="I175" s="105">
        <f>J175</f>
        <v>650.6</v>
      </c>
      <c r="J175" s="105">
        <v>650.6</v>
      </c>
      <c r="K175" s="104"/>
      <c r="L175" s="105">
        <f>M175</f>
        <v>814</v>
      </c>
      <c r="M175" s="104">
        <v>814</v>
      </c>
      <c r="N175" s="104"/>
    </row>
    <row r="176" spans="1:15" ht="27" hidden="1" customHeight="1" outlineLevel="1" x14ac:dyDescent="0.25">
      <c r="A176" s="138"/>
      <c r="B176" s="51" t="s">
        <v>76</v>
      </c>
      <c r="C176" s="59" t="s">
        <v>60</v>
      </c>
      <c r="D176" s="135"/>
      <c r="E176" s="135"/>
      <c r="F176" s="104"/>
      <c r="G176" s="105"/>
      <c r="H176" s="104"/>
      <c r="I176" s="105">
        <f>J176</f>
        <v>1546</v>
      </c>
      <c r="J176" s="105">
        <v>1546</v>
      </c>
      <c r="K176" s="104"/>
      <c r="L176" s="105">
        <f>M176</f>
        <v>2751.3</v>
      </c>
      <c r="M176" s="104">
        <f>2701.3+50</f>
        <v>2751.3</v>
      </c>
      <c r="N176" s="104"/>
    </row>
    <row r="177" spans="1:15" ht="84" customHeight="1" collapsed="1" x14ac:dyDescent="0.25">
      <c r="A177" s="138"/>
      <c r="B177" s="51" t="s">
        <v>78</v>
      </c>
      <c r="C177" s="59" t="s">
        <v>62</v>
      </c>
      <c r="D177" s="60" t="s">
        <v>56</v>
      </c>
      <c r="E177" s="60" t="s">
        <v>13</v>
      </c>
      <c r="F177" s="58">
        <f>G177</f>
        <v>364.8</v>
      </c>
      <c r="G177" s="58">
        <f>G178</f>
        <v>364.8</v>
      </c>
      <c r="H177" s="51"/>
      <c r="I177" s="58"/>
      <c r="J177" s="58"/>
      <c r="K177" s="51"/>
      <c r="L177" s="58"/>
      <c r="M177" s="51"/>
      <c r="N177" s="51"/>
      <c r="O177" s="76">
        <f>F177+I177+L177</f>
        <v>364.8</v>
      </c>
    </row>
    <row r="178" spans="1:15" ht="47.25" hidden="1" customHeight="1" outlineLevel="1" x14ac:dyDescent="0.25">
      <c r="A178" s="138"/>
      <c r="B178" s="51" t="s">
        <v>65</v>
      </c>
      <c r="C178" s="59" t="s">
        <v>62</v>
      </c>
      <c r="D178" s="60" t="s">
        <v>56</v>
      </c>
      <c r="E178" s="60" t="s">
        <v>13</v>
      </c>
      <c r="F178" s="58">
        <f>G178</f>
        <v>364.8</v>
      </c>
      <c r="G178" s="58">
        <v>364.8</v>
      </c>
      <c r="H178" s="51"/>
      <c r="I178" s="58"/>
      <c r="J178" s="58"/>
      <c r="K178" s="51"/>
      <c r="L178" s="58"/>
      <c r="M178" s="51"/>
      <c r="N178" s="51"/>
    </row>
    <row r="179" spans="1:15" ht="87.75" customHeight="1" collapsed="1" x14ac:dyDescent="0.25">
      <c r="A179" s="138"/>
      <c r="B179" s="51" t="s">
        <v>79</v>
      </c>
      <c r="C179" s="59" t="s">
        <v>62</v>
      </c>
      <c r="D179" s="60" t="s">
        <v>56</v>
      </c>
      <c r="E179" s="60" t="s">
        <v>13</v>
      </c>
      <c r="F179" s="51"/>
      <c r="G179" s="58"/>
      <c r="H179" s="51"/>
      <c r="I179" s="58">
        <f>J179</f>
        <v>300</v>
      </c>
      <c r="J179" s="58">
        <f>J180</f>
        <v>300</v>
      </c>
      <c r="K179" s="51"/>
      <c r="L179" s="58">
        <f>M179</f>
        <v>300</v>
      </c>
      <c r="M179" s="58">
        <f>M180</f>
        <v>300</v>
      </c>
      <c r="N179" s="51"/>
      <c r="O179" s="76">
        <f>F179+I179+L179</f>
        <v>600</v>
      </c>
    </row>
    <row r="180" spans="1:15" ht="22.5" hidden="1" customHeight="1" outlineLevel="1" x14ac:dyDescent="0.25">
      <c r="A180" s="138"/>
      <c r="B180" s="51" t="s">
        <v>65</v>
      </c>
      <c r="C180" s="59" t="s">
        <v>62</v>
      </c>
      <c r="D180" s="60" t="s">
        <v>56</v>
      </c>
      <c r="E180" s="60" t="s">
        <v>13</v>
      </c>
      <c r="F180" s="51"/>
      <c r="G180" s="58"/>
      <c r="H180" s="51"/>
      <c r="I180" s="58">
        <f>J180</f>
        <v>300</v>
      </c>
      <c r="J180" s="58">
        <v>300</v>
      </c>
      <c r="K180" s="51"/>
      <c r="L180" s="58">
        <f>M180</f>
        <v>300</v>
      </c>
      <c r="M180" s="51">
        <v>300</v>
      </c>
      <c r="N180" s="51"/>
    </row>
    <row r="181" spans="1:15" ht="15.75" collapsed="1" x14ac:dyDescent="0.25">
      <c r="A181" s="151" t="s">
        <v>287</v>
      </c>
      <c r="B181" s="151"/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</row>
    <row r="182" spans="1:15" ht="15.75" x14ac:dyDescent="0.25">
      <c r="A182" s="136" t="s">
        <v>285</v>
      </c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7"/>
    </row>
    <row r="183" spans="1:15" ht="23.25" customHeight="1" x14ac:dyDescent="0.25">
      <c r="A183" s="138" t="s">
        <v>282</v>
      </c>
      <c r="B183" s="225" t="s">
        <v>103</v>
      </c>
      <c r="C183" s="226"/>
      <c r="D183" s="226"/>
      <c r="E183" s="227"/>
      <c r="F183" s="106">
        <f>G183+H183</f>
        <v>19491.399999999998</v>
      </c>
      <c r="G183" s="106">
        <f>G188+G190+G192</f>
        <v>2954.2999999999997</v>
      </c>
      <c r="H183" s="106">
        <f>H184</f>
        <v>16537.099999999999</v>
      </c>
      <c r="I183" s="107">
        <f>J183+K183</f>
        <v>6874.2250000000004</v>
      </c>
      <c r="J183" s="107">
        <f>J188+J190+J192</f>
        <v>3813</v>
      </c>
      <c r="K183" s="107">
        <f>K192+K190+K188</f>
        <v>3061.2250000000004</v>
      </c>
      <c r="L183" s="108">
        <f>M183+N183</f>
        <v>5298.4250000000002</v>
      </c>
      <c r="M183" s="108">
        <f>M188+M190+M192</f>
        <v>4113</v>
      </c>
      <c r="N183" s="107">
        <f>N192+N190+N188</f>
        <v>1185.425</v>
      </c>
      <c r="O183" s="76">
        <f>F183+I183+L183</f>
        <v>31664.05</v>
      </c>
    </row>
    <row r="184" spans="1:15" ht="23.25" customHeight="1" x14ac:dyDescent="0.25">
      <c r="A184" s="138"/>
      <c r="B184" s="176" t="s">
        <v>52</v>
      </c>
      <c r="C184" s="177"/>
      <c r="D184" s="177"/>
      <c r="E184" s="178"/>
      <c r="F184" s="109">
        <f>G184+H184</f>
        <v>19491.399999999998</v>
      </c>
      <c r="G184" s="109">
        <f>G185+G186+G187</f>
        <v>2954.2999999999997</v>
      </c>
      <c r="H184" s="109">
        <f>H185+H186+H187</f>
        <v>16537.099999999999</v>
      </c>
      <c r="I184" s="108">
        <f>J184+K184</f>
        <v>6874.2250000000004</v>
      </c>
      <c r="J184" s="108">
        <f>J185+J186+J187</f>
        <v>3813</v>
      </c>
      <c r="K184" s="108">
        <f>K185+K186+K187</f>
        <v>3061.2250000000004</v>
      </c>
      <c r="L184" s="108">
        <f>M184+N184</f>
        <v>4113.125</v>
      </c>
      <c r="M184" s="108">
        <f>M185+M186</f>
        <v>4113</v>
      </c>
      <c r="N184" s="108">
        <f>N185+N186</f>
        <v>0.125</v>
      </c>
      <c r="O184" s="76">
        <f>F184+I184+L184</f>
        <v>30478.75</v>
      </c>
    </row>
    <row r="185" spans="1:15" ht="16.5" customHeight="1" x14ac:dyDescent="0.25">
      <c r="A185" s="138"/>
      <c r="B185" s="179" t="s">
        <v>53</v>
      </c>
      <c r="C185" s="59" t="s">
        <v>80</v>
      </c>
      <c r="D185" s="134" t="s">
        <v>56</v>
      </c>
      <c r="E185" s="134" t="s">
        <v>13</v>
      </c>
      <c r="F185" s="55">
        <f>G185+H185</f>
        <v>2933.1</v>
      </c>
      <c r="G185" s="55">
        <f>G188</f>
        <v>2933.1</v>
      </c>
      <c r="H185" s="55"/>
      <c r="I185" s="50">
        <f t="shared" ref="I185:I186" si="52">J185+K185</f>
        <v>3813.125</v>
      </c>
      <c r="J185" s="50">
        <f>J188</f>
        <v>3813</v>
      </c>
      <c r="K185" s="50">
        <f>K188</f>
        <v>0.125</v>
      </c>
      <c r="L185" s="50">
        <f t="shared" ref="L185:L186" si="53">M185+N185</f>
        <v>4113.125</v>
      </c>
      <c r="M185" s="50">
        <f>M188</f>
        <v>4113</v>
      </c>
      <c r="N185" s="50">
        <f>N188</f>
        <v>0.125</v>
      </c>
    </row>
    <row r="186" spans="1:15" ht="19.5" customHeight="1" x14ac:dyDescent="0.25">
      <c r="A186" s="138"/>
      <c r="B186" s="228"/>
      <c r="C186" s="59" t="s">
        <v>60</v>
      </c>
      <c r="D186" s="142"/>
      <c r="E186" s="135"/>
      <c r="F186" s="55">
        <f>G186+H186</f>
        <v>21.2</v>
      </c>
      <c r="G186" s="55">
        <f>G190+G192</f>
        <v>21.2</v>
      </c>
      <c r="H186" s="55">
        <f>H190</f>
        <v>0</v>
      </c>
      <c r="I186" s="50">
        <f t="shared" si="52"/>
        <v>0</v>
      </c>
      <c r="J186" s="50">
        <f>J190+J192</f>
        <v>0</v>
      </c>
      <c r="K186" s="55">
        <f>K190</f>
        <v>0</v>
      </c>
      <c r="L186" s="50">
        <f t="shared" si="53"/>
        <v>0</v>
      </c>
      <c r="M186" s="50">
        <f>M190+M192</f>
        <v>0</v>
      </c>
      <c r="N186" s="50">
        <f>N190</f>
        <v>0</v>
      </c>
    </row>
    <row r="187" spans="1:15" ht="66.75" customHeight="1" x14ac:dyDescent="0.25">
      <c r="A187" s="138"/>
      <c r="B187" s="180"/>
      <c r="C187" s="59" t="s">
        <v>60</v>
      </c>
      <c r="D187" s="135"/>
      <c r="E187" s="60" t="s">
        <v>102</v>
      </c>
      <c r="F187" s="55">
        <f>G187+H187</f>
        <v>16537.099999999999</v>
      </c>
      <c r="G187" s="55"/>
      <c r="H187" s="55">
        <f>H192</f>
        <v>16537.099999999999</v>
      </c>
      <c r="I187" s="50">
        <f>J187+K187</f>
        <v>3061.1000000000004</v>
      </c>
      <c r="J187" s="50"/>
      <c r="K187" s="55">
        <f>K192</f>
        <v>3061.1000000000004</v>
      </c>
      <c r="L187" s="50">
        <f>M187+N187</f>
        <v>1185.3</v>
      </c>
      <c r="M187" s="55"/>
      <c r="N187" s="50">
        <f>N192</f>
        <v>1185.3</v>
      </c>
    </row>
    <row r="188" spans="1:15" ht="180.75" customHeight="1" x14ac:dyDescent="0.25">
      <c r="A188" s="138"/>
      <c r="B188" s="51" t="s">
        <v>337</v>
      </c>
      <c r="C188" s="59" t="s">
        <v>80</v>
      </c>
      <c r="D188" s="60" t="s">
        <v>56</v>
      </c>
      <c r="E188" s="60" t="s">
        <v>13</v>
      </c>
      <c r="F188" s="55">
        <f>F189</f>
        <v>2933.1</v>
      </c>
      <c r="G188" s="55">
        <f>G189</f>
        <v>2933.1</v>
      </c>
      <c r="H188" s="55"/>
      <c r="I188" s="50">
        <f>J188+K188</f>
        <v>3813.125</v>
      </c>
      <c r="J188" s="50">
        <f>J189</f>
        <v>3813</v>
      </c>
      <c r="K188" s="55">
        <f>K189</f>
        <v>0.125</v>
      </c>
      <c r="L188" s="50">
        <f>M188+N188</f>
        <v>4113.125</v>
      </c>
      <c r="M188" s="50">
        <f>M189</f>
        <v>4113</v>
      </c>
      <c r="N188" s="55">
        <f>N189</f>
        <v>0.125</v>
      </c>
      <c r="O188" s="76">
        <f>I188+L188</f>
        <v>7926.25</v>
      </c>
    </row>
    <row r="189" spans="1:15" ht="35.25" hidden="1" customHeight="1" outlineLevel="1" x14ac:dyDescent="0.25">
      <c r="A189" s="138"/>
      <c r="B189" s="51" t="s">
        <v>56</v>
      </c>
      <c r="C189" s="59" t="s">
        <v>80</v>
      </c>
      <c r="D189" s="60" t="s">
        <v>56</v>
      </c>
      <c r="E189" s="60" t="s">
        <v>13</v>
      </c>
      <c r="F189" s="55">
        <f>G189</f>
        <v>2933.1</v>
      </c>
      <c r="G189" s="55">
        <v>2933.1</v>
      </c>
      <c r="H189" s="55"/>
      <c r="I189" s="50">
        <f>J189</f>
        <v>3813</v>
      </c>
      <c r="J189" s="50">
        <v>3813</v>
      </c>
      <c r="K189" s="55">
        <v>0.125</v>
      </c>
      <c r="L189" s="55">
        <f>M189</f>
        <v>4113</v>
      </c>
      <c r="M189" s="50">
        <f>4113</f>
        <v>4113</v>
      </c>
      <c r="N189" s="55">
        <v>0.125</v>
      </c>
    </row>
    <row r="190" spans="1:15" ht="51" customHeight="1" collapsed="1" x14ac:dyDescent="0.25">
      <c r="A190" s="138"/>
      <c r="B190" s="110" t="s">
        <v>338</v>
      </c>
      <c r="C190" s="59" t="s">
        <v>60</v>
      </c>
      <c r="D190" s="60" t="s">
        <v>56</v>
      </c>
      <c r="E190" s="60" t="s">
        <v>13</v>
      </c>
      <c r="F190" s="55">
        <f>G190</f>
        <v>21.2</v>
      </c>
      <c r="G190" s="55">
        <f>G191</f>
        <v>21.2</v>
      </c>
      <c r="H190" s="55"/>
      <c r="I190" s="55"/>
      <c r="J190" s="55"/>
      <c r="K190" s="55"/>
      <c r="L190" s="55"/>
      <c r="M190" s="55"/>
      <c r="N190" s="55"/>
      <c r="O190" s="72">
        <f>F190+I190+L190</f>
        <v>21.2</v>
      </c>
    </row>
    <row r="191" spans="1:15" ht="36" hidden="1" customHeight="1" outlineLevel="1" x14ac:dyDescent="0.25">
      <c r="A191" s="138"/>
      <c r="B191" s="51" t="s">
        <v>56</v>
      </c>
      <c r="C191" s="59" t="s">
        <v>60</v>
      </c>
      <c r="D191" s="60" t="s">
        <v>56</v>
      </c>
      <c r="E191" s="60" t="s">
        <v>13</v>
      </c>
      <c r="F191" s="55">
        <f>G191</f>
        <v>21.2</v>
      </c>
      <c r="G191" s="55">
        <v>21.2</v>
      </c>
      <c r="H191" s="55"/>
      <c r="I191" s="55"/>
      <c r="J191" s="55"/>
      <c r="K191" s="55"/>
      <c r="L191" s="55"/>
      <c r="M191" s="55"/>
      <c r="N191" s="55"/>
    </row>
    <row r="192" spans="1:15" ht="68.25" customHeight="1" collapsed="1" x14ac:dyDescent="0.25">
      <c r="A192" s="138"/>
      <c r="B192" s="110" t="s">
        <v>339</v>
      </c>
      <c r="C192" s="59" t="s">
        <v>60</v>
      </c>
      <c r="D192" s="60" t="s">
        <v>56</v>
      </c>
      <c r="E192" s="60" t="s">
        <v>102</v>
      </c>
      <c r="F192" s="55">
        <f>H192</f>
        <v>16537.099999999999</v>
      </c>
      <c r="G192" s="55"/>
      <c r="H192" s="55">
        <f>H193</f>
        <v>16537.099999999999</v>
      </c>
      <c r="I192" s="50">
        <f>K192</f>
        <v>3061.1000000000004</v>
      </c>
      <c r="J192" s="50"/>
      <c r="K192" s="55">
        <f>K193</f>
        <v>3061.1000000000004</v>
      </c>
      <c r="L192" s="50">
        <f>N192</f>
        <v>1185.3</v>
      </c>
      <c r="M192" s="50"/>
      <c r="N192" s="50">
        <f>N193</f>
        <v>1185.3</v>
      </c>
      <c r="O192" s="76">
        <f>F192+I192+L192</f>
        <v>20783.499999999996</v>
      </c>
    </row>
    <row r="193" spans="1:15" ht="62.25" hidden="1" customHeight="1" outlineLevel="1" x14ac:dyDescent="0.25">
      <c r="A193" s="138"/>
      <c r="B193" s="51" t="s">
        <v>56</v>
      </c>
      <c r="C193" s="59" t="s">
        <v>60</v>
      </c>
      <c r="D193" s="60" t="s">
        <v>56</v>
      </c>
      <c r="E193" s="60" t="s">
        <v>102</v>
      </c>
      <c r="F193" s="55">
        <f>H193</f>
        <v>16537.099999999999</v>
      </c>
      <c r="G193" s="55"/>
      <c r="H193" s="111">
        <f>16537.1</f>
        <v>16537.099999999999</v>
      </c>
      <c r="I193" s="50">
        <f>K193</f>
        <v>3061.1000000000004</v>
      </c>
      <c r="J193" s="50"/>
      <c r="K193" s="55">
        <f>1764.2+1245.9+51</f>
        <v>3061.1000000000004</v>
      </c>
      <c r="L193" s="50">
        <f>N193</f>
        <v>1185.3</v>
      </c>
      <c r="M193" s="50"/>
      <c r="N193" s="50">
        <f>95.5+95.5+95.5+58.8+5.4+95.5+739.1</f>
        <v>1185.3</v>
      </c>
    </row>
    <row r="194" spans="1:15" ht="15.75" collapsed="1" x14ac:dyDescent="0.25">
      <c r="A194" s="223" t="s">
        <v>286</v>
      </c>
      <c r="B194" s="223"/>
      <c r="C194" s="223"/>
      <c r="D194" s="223"/>
      <c r="E194" s="223"/>
      <c r="F194" s="223"/>
      <c r="G194" s="223"/>
      <c r="H194" s="223"/>
      <c r="I194" s="223"/>
      <c r="J194" s="223"/>
      <c r="K194" s="223"/>
      <c r="L194" s="223"/>
      <c r="M194" s="223"/>
      <c r="N194" s="224"/>
    </row>
    <row r="195" spans="1:15" ht="15.75" x14ac:dyDescent="0.25">
      <c r="A195" s="136" t="s">
        <v>285</v>
      </c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7"/>
    </row>
    <row r="196" spans="1:15" ht="21.75" customHeight="1" x14ac:dyDescent="0.25">
      <c r="A196" s="138" t="s">
        <v>283</v>
      </c>
      <c r="B196" s="176" t="s">
        <v>99</v>
      </c>
      <c r="C196" s="177"/>
      <c r="D196" s="177"/>
      <c r="E196" s="178"/>
      <c r="F196" s="99">
        <f>F215+F229+F234+F254+F259+F268+F270</f>
        <v>107551.92</v>
      </c>
      <c r="G196" s="99">
        <f>G215+G229+G234+G254+G259+G268+G270</f>
        <v>0</v>
      </c>
      <c r="H196" s="99">
        <f>H215+H229+H234+H254+H259+H268+H270</f>
        <v>107551.92</v>
      </c>
      <c r="I196" s="99">
        <f>I215+I229+I234+I254+I259+I268+I270+I226+I257</f>
        <v>255736.2</v>
      </c>
      <c r="J196" s="99">
        <f>J215+J229+J234+J254+J259+J268+J270</f>
        <v>0</v>
      </c>
      <c r="K196" s="99">
        <f>K215+K229+K234+K254+K259+K268+K270+K226+K257</f>
        <v>255736.2</v>
      </c>
      <c r="L196" s="99">
        <f>L215+L229+L234+L254+L259+L268+L270+L226</f>
        <v>126691.9</v>
      </c>
      <c r="M196" s="99">
        <f>M215+M229+M234+M254+M259+M268+M270</f>
        <v>0</v>
      </c>
      <c r="N196" s="99">
        <f>N215+N229+N234+N254+N259+N268+N270+N226+N257</f>
        <v>126691.9</v>
      </c>
      <c r="O196" s="76">
        <f>F196+I196+L196</f>
        <v>489980.02</v>
      </c>
    </row>
    <row r="197" spans="1:15" ht="69" customHeight="1" x14ac:dyDescent="0.25">
      <c r="A197" s="138"/>
      <c r="B197" s="181" t="s">
        <v>54</v>
      </c>
      <c r="C197" s="182"/>
      <c r="D197" s="60" t="s">
        <v>56</v>
      </c>
      <c r="E197" s="60" t="s">
        <v>13</v>
      </c>
      <c r="F197" s="101">
        <f>F215+F230+F235+F236+F237+F238+F254+F260+F268+F271+F272</f>
        <v>100715.2</v>
      </c>
      <c r="G197" s="101"/>
      <c r="H197" s="101">
        <f>H215+H230+H235+H236+H237+H238+H254+H260+H268+H271+H272</f>
        <v>100715.2</v>
      </c>
      <c r="I197" s="101">
        <f>I215+I230+I235+I236+I237+I238+I254+I260+I268+I271+I272+I273+I226+I257</f>
        <v>246664.2</v>
      </c>
      <c r="J197" s="101"/>
      <c r="K197" s="101">
        <f>K215+K230+K235+K236+K237+K238+K254+K260+K268+K271+K272+K273+K226+K257</f>
        <v>246664.2</v>
      </c>
      <c r="L197" s="101">
        <f>L215+L230+L235+L236+L237+L238+L254+L260+L268+L271+L272+L226+L274</f>
        <v>79003.899999999994</v>
      </c>
      <c r="M197" s="101"/>
      <c r="N197" s="101">
        <f>N215+N230+N235+N236+N237+N238+N254+N260+N268+N271+N272+N226+N274</f>
        <v>79003.899999999994</v>
      </c>
      <c r="O197" s="76"/>
    </row>
    <row r="198" spans="1:15" ht="253.5" customHeight="1" x14ac:dyDescent="0.25">
      <c r="A198" s="138"/>
      <c r="B198" s="183"/>
      <c r="C198" s="184"/>
      <c r="D198" s="60" t="s">
        <v>56</v>
      </c>
      <c r="E198" s="112" t="s">
        <v>95</v>
      </c>
      <c r="F198" s="101">
        <f>F261</f>
        <v>1836.72</v>
      </c>
      <c r="G198" s="101"/>
      <c r="H198" s="101">
        <f>H261</f>
        <v>1836.72</v>
      </c>
      <c r="I198" s="101"/>
      <c r="J198" s="101"/>
      <c r="K198" s="101"/>
      <c r="L198" s="101"/>
      <c r="M198" s="101"/>
      <c r="N198" s="101"/>
    </row>
    <row r="199" spans="1:15" ht="133.5" customHeight="1" x14ac:dyDescent="0.25">
      <c r="A199" s="138"/>
      <c r="B199" s="183"/>
      <c r="C199" s="184"/>
      <c r="D199" s="60" t="s">
        <v>93</v>
      </c>
      <c r="E199" s="60" t="s">
        <v>13</v>
      </c>
      <c r="F199" s="101">
        <f>F231+F239+F276</f>
        <v>5000</v>
      </c>
      <c r="G199" s="101"/>
      <c r="H199" s="101">
        <f>H231+H239+H276</f>
        <v>5000</v>
      </c>
      <c r="I199" s="101">
        <f>I231+I239+I276</f>
        <v>9072</v>
      </c>
      <c r="J199" s="101"/>
      <c r="K199" s="101">
        <f>K231+K239+K276</f>
        <v>9072</v>
      </c>
      <c r="L199" s="101">
        <f>N199</f>
        <v>15699</v>
      </c>
      <c r="M199" s="101"/>
      <c r="N199" s="101">
        <f>N231+N239+N276+N240</f>
        <v>15699</v>
      </c>
    </row>
    <row r="200" spans="1:15" ht="80.25" customHeight="1" x14ac:dyDescent="0.25">
      <c r="A200" s="138"/>
      <c r="B200" s="183"/>
      <c r="C200" s="184"/>
      <c r="D200" s="62" t="s">
        <v>56</v>
      </c>
      <c r="E200" s="63" t="s">
        <v>391</v>
      </c>
      <c r="F200" s="101"/>
      <c r="G200" s="101"/>
      <c r="H200" s="101"/>
      <c r="I200" s="101"/>
      <c r="J200" s="101"/>
      <c r="K200" s="101"/>
      <c r="L200" s="101">
        <f>N200</f>
        <v>52.4</v>
      </c>
      <c r="M200" s="101"/>
      <c r="N200" s="101">
        <f>N241</f>
        <v>52.4</v>
      </c>
    </row>
    <row r="201" spans="1:15" ht="67.5" customHeight="1" x14ac:dyDescent="0.25">
      <c r="A201" s="138"/>
      <c r="B201" s="185"/>
      <c r="C201" s="186"/>
      <c r="D201" s="62" t="s">
        <v>56</v>
      </c>
      <c r="E201" s="60" t="s">
        <v>394</v>
      </c>
      <c r="F201" s="101"/>
      <c r="G201" s="101"/>
      <c r="H201" s="101"/>
      <c r="I201" s="101"/>
      <c r="J201" s="101"/>
      <c r="K201" s="101"/>
      <c r="L201" s="101">
        <f>N201</f>
        <v>31936.6</v>
      </c>
      <c r="M201" s="101"/>
      <c r="N201" s="101">
        <f>N275</f>
        <v>31936.6</v>
      </c>
    </row>
    <row r="202" spans="1:15" ht="27" hidden="1" customHeight="1" outlineLevel="1" x14ac:dyDescent="0.25">
      <c r="A202" s="138"/>
      <c r="B202" s="8" t="s">
        <v>81</v>
      </c>
      <c r="C202" s="59"/>
      <c r="D202" s="139" t="s">
        <v>56</v>
      </c>
      <c r="E202" s="139" t="s">
        <v>13</v>
      </c>
      <c r="F202" s="101">
        <f t="shared" ref="F202:F220" si="54">H202</f>
        <v>30493</v>
      </c>
      <c r="G202" s="101"/>
      <c r="H202" s="101">
        <f>H220+H232</f>
        <v>30493</v>
      </c>
      <c r="I202" s="113">
        <f t="shared" ref="I202:I220" si="55">K202</f>
        <v>111446.6</v>
      </c>
      <c r="J202" s="113"/>
      <c r="K202" s="113">
        <f>K220+K232</f>
        <v>111446.6</v>
      </c>
      <c r="L202" s="113">
        <f t="shared" ref="L202:L220" si="56">N202</f>
        <v>0</v>
      </c>
      <c r="M202" s="113"/>
      <c r="N202" s="102">
        <f>N220+N232</f>
        <v>0</v>
      </c>
    </row>
    <row r="203" spans="1:15" ht="26.25" hidden="1" customHeight="1" outlineLevel="1" x14ac:dyDescent="0.25">
      <c r="A203" s="138"/>
      <c r="B203" s="8" t="s">
        <v>63</v>
      </c>
      <c r="C203" s="59"/>
      <c r="D203" s="140"/>
      <c r="E203" s="140"/>
      <c r="F203" s="101">
        <f t="shared" si="54"/>
        <v>31667.1</v>
      </c>
      <c r="G203" s="102"/>
      <c r="H203" s="101">
        <f>H222+H243+K277</f>
        <v>31667.1</v>
      </c>
      <c r="I203" s="102">
        <f t="shared" si="55"/>
        <v>14663</v>
      </c>
      <c r="J203" s="102"/>
      <c r="K203" s="102">
        <f>K222+K243+K277</f>
        <v>14663</v>
      </c>
      <c r="L203" s="102">
        <f t="shared" si="56"/>
        <v>2900</v>
      </c>
      <c r="M203" s="102"/>
      <c r="N203" s="102">
        <f>N222+N243+N277</f>
        <v>2900</v>
      </c>
    </row>
    <row r="204" spans="1:15" ht="15.75" hidden="1" customHeight="1" outlineLevel="1" x14ac:dyDescent="0.25">
      <c r="A204" s="138"/>
      <c r="B204" s="8" t="s">
        <v>86</v>
      </c>
      <c r="C204" s="59"/>
      <c r="D204" s="140"/>
      <c r="E204" s="140"/>
      <c r="F204" s="102">
        <f t="shared" si="54"/>
        <v>0</v>
      </c>
      <c r="G204" s="102"/>
      <c r="H204" s="102">
        <f>H244</f>
        <v>0</v>
      </c>
      <c r="I204" s="102">
        <f t="shared" si="55"/>
        <v>0</v>
      </c>
      <c r="J204" s="102"/>
      <c r="K204" s="102">
        <f>K244</f>
        <v>0</v>
      </c>
      <c r="L204" s="102">
        <f t="shared" si="56"/>
        <v>200</v>
      </c>
      <c r="M204" s="102"/>
      <c r="N204" s="102">
        <f>N244</f>
        <v>200</v>
      </c>
    </row>
    <row r="205" spans="1:15" ht="20.25" hidden="1" customHeight="1" outlineLevel="1" x14ac:dyDescent="0.25">
      <c r="A205" s="138"/>
      <c r="B205" s="8" t="s">
        <v>87</v>
      </c>
      <c r="C205" s="59"/>
      <c r="D205" s="140"/>
      <c r="E205" s="140"/>
      <c r="F205" s="102">
        <f t="shared" si="54"/>
        <v>8491.7000000000007</v>
      </c>
      <c r="G205" s="102"/>
      <c r="H205" s="102">
        <f>H245+H262+K279</f>
        <v>8491.7000000000007</v>
      </c>
      <c r="I205" s="102">
        <f t="shared" si="55"/>
        <v>6562.1</v>
      </c>
      <c r="J205" s="102"/>
      <c r="K205" s="102">
        <f>K245+K262+K279</f>
        <v>6562.1</v>
      </c>
      <c r="L205" s="102">
        <f t="shared" si="56"/>
        <v>0</v>
      </c>
      <c r="M205" s="102"/>
      <c r="N205" s="102">
        <f>N245+N262+N279</f>
        <v>0</v>
      </c>
    </row>
    <row r="206" spans="1:15" ht="20.25" hidden="1" customHeight="1" outlineLevel="1" x14ac:dyDescent="0.25">
      <c r="A206" s="138"/>
      <c r="B206" s="8" t="s">
        <v>87</v>
      </c>
      <c r="C206" s="73"/>
      <c r="D206" s="140"/>
      <c r="E206" s="140"/>
      <c r="F206" s="102">
        <f t="shared" si="54"/>
        <v>612.24</v>
      </c>
      <c r="G206" s="102"/>
      <c r="H206" s="102">
        <f>H265</f>
        <v>612.24</v>
      </c>
      <c r="I206" s="102">
        <f t="shared" si="55"/>
        <v>0</v>
      </c>
      <c r="J206" s="102"/>
      <c r="K206" s="102">
        <f>K265</f>
        <v>0</v>
      </c>
      <c r="L206" s="102">
        <f t="shared" si="56"/>
        <v>0</v>
      </c>
      <c r="M206" s="102"/>
      <c r="N206" s="102">
        <f>N265</f>
        <v>0</v>
      </c>
    </row>
    <row r="207" spans="1:15" ht="24.75" hidden="1" customHeight="1" outlineLevel="1" x14ac:dyDescent="0.25">
      <c r="A207" s="138"/>
      <c r="B207" s="8" t="s">
        <v>85</v>
      </c>
      <c r="C207" s="73"/>
      <c r="D207" s="140"/>
      <c r="E207" s="140"/>
      <c r="F207" s="101">
        <f t="shared" si="54"/>
        <v>34941.800000000003</v>
      </c>
      <c r="G207" s="102"/>
      <c r="H207" s="101">
        <f>H224+H246+H255+H263+H269+K280</f>
        <v>34941.800000000003</v>
      </c>
      <c r="I207" s="102">
        <f t="shared" si="55"/>
        <v>53058.1</v>
      </c>
      <c r="J207" s="102"/>
      <c r="K207" s="101">
        <f>K224+K246+K255+K263+K269+K280</f>
        <v>53058.1</v>
      </c>
      <c r="L207" s="102">
        <f t="shared" si="56"/>
        <v>14748.2</v>
      </c>
      <c r="M207" s="102"/>
      <c r="N207" s="102">
        <f>N224+N246+N255+N263+N269+N280</f>
        <v>14748.2</v>
      </c>
    </row>
    <row r="208" spans="1:15" ht="21.75" hidden="1" customHeight="1" outlineLevel="1" x14ac:dyDescent="0.25">
      <c r="A208" s="138"/>
      <c r="B208" s="8" t="s">
        <v>85</v>
      </c>
      <c r="C208" s="73"/>
      <c r="D208" s="140"/>
      <c r="E208" s="140"/>
      <c r="F208" s="101">
        <f t="shared" si="54"/>
        <v>612.24</v>
      </c>
      <c r="G208" s="102"/>
      <c r="H208" s="101">
        <f>H266</f>
        <v>612.24</v>
      </c>
      <c r="I208" s="102">
        <f t="shared" si="55"/>
        <v>0</v>
      </c>
      <c r="J208" s="102"/>
      <c r="K208" s="102">
        <f>K266</f>
        <v>0</v>
      </c>
      <c r="L208" s="102">
        <f t="shared" si="56"/>
        <v>0</v>
      </c>
      <c r="M208" s="102"/>
      <c r="N208" s="102">
        <f>N266</f>
        <v>0</v>
      </c>
    </row>
    <row r="209" spans="1:15" ht="30" hidden="1" customHeight="1" outlineLevel="1" x14ac:dyDescent="0.25">
      <c r="A209" s="138"/>
      <c r="B209" s="114" t="s">
        <v>83</v>
      </c>
      <c r="C209" s="73"/>
      <c r="D209" s="140"/>
      <c r="E209" s="140"/>
      <c r="F209" s="101">
        <f t="shared" si="54"/>
        <v>33281.300000000003</v>
      </c>
      <c r="G209" s="102"/>
      <c r="H209" s="101">
        <f>H223+H247+H256+H264</f>
        <v>33281.300000000003</v>
      </c>
      <c r="I209" s="102">
        <f t="shared" si="55"/>
        <v>46694.9</v>
      </c>
      <c r="J209" s="102"/>
      <c r="K209" s="102">
        <f>K223+K247+K256+K264</f>
        <v>46694.9</v>
      </c>
      <c r="L209" s="101">
        <f t="shared" si="56"/>
        <v>0</v>
      </c>
      <c r="M209" s="101"/>
      <c r="N209" s="101">
        <f>N223+N247+N256+N264</f>
        <v>0</v>
      </c>
    </row>
    <row r="210" spans="1:15" ht="23.25" hidden="1" customHeight="1" outlineLevel="1" x14ac:dyDescent="0.25">
      <c r="A210" s="138"/>
      <c r="B210" s="114" t="s">
        <v>83</v>
      </c>
      <c r="C210" s="73"/>
      <c r="D210" s="140"/>
      <c r="E210" s="140"/>
      <c r="F210" s="101">
        <f t="shared" si="54"/>
        <v>612.24</v>
      </c>
      <c r="G210" s="102"/>
      <c r="H210" s="101">
        <f>H267</f>
        <v>612.24</v>
      </c>
      <c r="I210" s="102">
        <f t="shared" si="55"/>
        <v>0</v>
      </c>
      <c r="J210" s="102"/>
      <c r="K210" s="102">
        <f>K267</f>
        <v>0</v>
      </c>
      <c r="L210" s="101">
        <f t="shared" si="56"/>
        <v>0</v>
      </c>
      <c r="M210" s="101"/>
      <c r="N210" s="101">
        <f>N267</f>
        <v>0</v>
      </c>
    </row>
    <row r="211" spans="1:15" ht="27" hidden="1" customHeight="1" outlineLevel="1" x14ac:dyDescent="0.25">
      <c r="A211" s="138"/>
      <c r="B211" s="115" t="s">
        <v>88</v>
      </c>
      <c r="C211" s="73"/>
      <c r="D211" s="140"/>
      <c r="E211" s="140"/>
      <c r="F211" s="102">
        <f t="shared" si="54"/>
        <v>0</v>
      </c>
      <c r="G211" s="102"/>
      <c r="H211" s="102">
        <f>H248</f>
        <v>0</v>
      </c>
      <c r="I211" s="102">
        <f t="shared" si="55"/>
        <v>0</v>
      </c>
      <c r="J211" s="102"/>
      <c r="K211" s="102">
        <f>K248</f>
        <v>0</v>
      </c>
      <c r="L211" s="101">
        <f t="shared" si="56"/>
        <v>0</v>
      </c>
      <c r="M211" s="101"/>
      <c r="N211" s="101">
        <f>N248</f>
        <v>0</v>
      </c>
    </row>
    <row r="212" spans="1:15" ht="24" hidden="1" customHeight="1" outlineLevel="1" x14ac:dyDescent="0.25">
      <c r="A212" s="138"/>
      <c r="B212" s="115" t="s">
        <v>89</v>
      </c>
      <c r="C212" s="73"/>
      <c r="D212" s="141"/>
      <c r="E212" s="141"/>
      <c r="F212" s="102">
        <f t="shared" si="54"/>
        <v>0</v>
      </c>
      <c r="G212" s="102"/>
      <c r="H212" s="102">
        <f>H249</f>
        <v>0</v>
      </c>
      <c r="I212" s="102">
        <f t="shared" si="55"/>
        <v>0</v>
      </c>
      <c r="J212" s="102"/>
      <c r="K212" s="102">
        <f>K249</f>
        <v>0</v>
      </c>
      <c r="L212" s="102">
        <f t="shared" si="56"/>
        <v>0</v>
      </c>
      <c r="M212" s="102"/>
      <c r="N212" s="102">
        <f>N249</f>
        <v>0</v>
      </c>
    </row>
    <row r="213" spans="1:15" ht="24" hidden="1" customHeight="1" outlineLevel="1" x14ac:dyDescent="0.25">
      <c r="A213" s="138"/>
      <c r="B213" s="114" t="s">
        <v>83</v>
      </c>
      <c r="C213" s="116" t="s">
        <v>392</v>
      </c>
      <c r="D213" s="117"/>
      <c r="E213" s="60" t="s">
        <v>13</v>
      </c>
      <c r="F213" s="102"/>
      <c r="G213" s="102"/>
      <c r="H213" s="102"/>
      <c r="I213" s="102"/>
      <c r="J213" s="102"/>
      <c r="K213" s="102"/>
      <c r="L213" s="101">
        <f>N213</f>
        <v>9417.5</v>
      </c>
      <c r="M213" s="102"/>
      <c r="N213" s="101">
        <f>N284</f>
        <v>9417.5</v>
      </c>
    </row>
    <row r="214" spans="1:15" ht="24" hidden="1" customHeight="1" outlineLevel="1" x14ac:dyDescent="0.25">
      <c r="A214" s="138"/>
      <c r="B214" s="114" t="s">
        <v>83</v>
      </c>
      <c r="C214" s="116" t="s">
        <v>393</v>
      </c>
      <c r="D214" s="117"/>
      <c r="E214" s="60" t="s">
        <v>394</v>
      </c>
      <c r="F214" s="102"/>
      <c r="G214" s="102"/>
      <c r="H214" s="102"/>
      <c r="I214" s="102"/>
      <c r="J214" s="102"/>
      <c r="K214" s="102"/>
      <c r="L214" s="101">
        <f>N214</f>
        <v>31936.6</v>
      </c>
      <c r="M214" s="102"/>
      <c r="N214" s="101">
        <f>N285</f>
        <v>31936.6</v>
      </c>
    </row>
    <row r="215" spans="1:15" ht="23.25" customHeight="1" collapsed="1" x14ac:dyDescent="0.25">
      <c r="A215" s="138"/>
      <c r="B215" s="145" t="s">
        <v>55</v>
      </c>
      <c r="C215" s="148" t="s">
        <v>100</v>
      </c>
      <c r="D215" s="149"/>
      <c r="E215" s="150"/>
      <c r="F215" s="108">
        <f t="shared" si="54"/>
        <v>80593</v>
      </c>
      <c r="G215" s="108"/>
      <c r="H215" s="108">
        <f>H220+H221+H222+H223+H224</f>
        <v>80593</v>
      </c>
      <c r="I215" s="108">
        <f t="shared" si="55"/>
        <v>165509.20000000001</v>
      </c>
      <c r="J215" s="108"/>
      <c r="K215" s="108">
        <f>K220+K221+K222+K223+K224</f>
        <v>165509.20000000001</v>
      </c>
      <c r="L215" s="108">
        <f>N215</f>
        <v>168.1</v>
      </c>
      <c r="M215" s="108"/>
      <c r="N215" s="108">
        <f>N216+N217+N218+N219</f>
        <v>168.1</v>
      </c>
      <c r="O215" s="76">
        <f>F215+I215+L215</f>
        <v>246270.30000000002</v>
      </c>
    </row>
    <row r="216" spans="1:15" ht="24" customHeight="1" x14ac:dyDescent="0.25">
      <c r="A216" s="138"/>
      <c r="B216" s="146"/>
      <c r="C216" s="104" t="s">
        <v>60</v>
      </c>
      <c r="D216" s="134" t="s">
        <v>56</v>
      </c>
      <c r="E216" s="134" t="s">
        <v>13</v>
      </c>
      <c r="F216" s="50">
        <f>H216</f>
        <v>30193</v>
      </c>
      <c r="G216" s="50"/>
      <c r="H216" s="50">
        <f>H220</f>
        <v>30193</v>
      </c>
      <c r="I216" s="50">
        <f>K216</f>
        <v>111446.6</v>
      </c>
      <c r="J216" s="50"/>
      <c r="K216" s="50">
        <f>K220</f>
        <v>111446.6</v>
      </c>
      <c r="L216" s="50">
        <f>N216</f>
        <v>0</v>
      </c>
      <c r="M216" s="50"/>
      <c r="N216" s="50">
        <f>N220</f>
        <v>0</v>
      </c>
      <c r="O216" s="76"/>
    </row>
    <row r="217" spans="1:15" ht="26.25" customHeight="1" x14ac:dyDescent="0.25">
      <c r="A217" s="138"/>
      <c r="B217" s="146"/>
      <c r="C217" s="104" t="s">
        <v>84</v>
      </c>
      <c r="D217" s="142"/>
      <c r="E217" s="142"/>
      <c r="F217" s="50">
        <f t="shared" ref="F217:F218" si="57">H217</f>
        <v>400</v>
      </c>
      <c r="G217" s="50"/>
      <c r="H217" s="50">
        <f>H221</f>
        <v>400</v>
      </c>
      <c r="I217" s="50">
        <f t="shared" ref="I217:I218" si="58">K217</f>
        <v>0</v>
      </c>
      <c r="J217" s="50"/>
      <c r="K217" s="50">
        <f>K221</f>
        <v>0</v>
      </c>
      <c r="L217" s="50">
        <f t="shared" ref="L217:L218" si="59">N217</f>
        <v>0</v>
      </c>
      <c r="M217" s="50"/>
      <c r="N217" s="50">
        <f>N221</f>
        <v>0</v>
      </c>
      <c r="O217" s="76"/>
    </row>
    <row r="218" spans="1:15" ht="27.75" customHeight="1" x14ac:dyDescent="0.25">
      <c r="A218" s="138"/>
      <c r="B218" s="146"/>
      <c r="C218" s="104" t="s">
        <v>62</v>
      </c>
      <c r="D218" s="142"/>
      <c r="E218" s="135"/>
      <c r="F218" s="50">
        <f t="shared" si="57"/>
        <v>50000</v>
      </c>
      <c r="G218" s="50"/>
      <c r="H218" s="50">
        <f>H222+H223+H224</f>
        <v>50000</v>
      </c>
      <c r="I218" s="50">
        <f t="shared" si="58"/>
        <v>54062.6</v>
      </c>
      <c r="J218" s="50"/>
      <c r="K218" s="50">
        <f>K222+K223+K224</f>
        <v>54062.6</v>
      </c>
      <c r="L218" s="50">
        <f t="shared" si="59"/>
        <v>68.099999999999994</v>
      </c>
      <c r="M218" s="50"/>
      <c r="N218" s="50">
        <f>N222+N223+N224</f>
        <v>68.099999999999994</v>
      </c>
      <c r="O218" s="76"/>
    </row>
    <row r="219" spans="1:15" ht="58.5" customHeight="1" x14ac:dyDescent="0.25">
      <c r="A219" s="138"/>
      <c r="B219" s="147"/>
      <c r="C219" s="104" t="s">
        <v>62</v>
      </c>
      <c r="D219" s="135"/>
      <c r="E219" s="60" t="s">
        <v>296</v>
      </c>
      <c r="F219" s="50"/>
      <c r="G219" s="50"/>
      <c r="H219" s="50"/>
      <c r="I219" s="50"/>
      <c r="J219" s="50"/>
      <c r="K219" s="50"/>
      <c r="L219" s="50">
        <f>N219</f>
        <v>100</v>
      </c>
      <c r="M219" s="50"/>
      <c r="N219" s="50">
        <f>N225</f>
        <v>100</v>
      </c>
      <c r="O219" s="76"/>
    </row>
    <row r="220" spans="1:15" ht="36.75" hidden="1" customHeight="1" outlineLevel="1" x14ac:dyDescent="0.25">
      <c r="A220" s="138"/>
      <c r="B220" s="118" t="s">
        <v>81</v>
      </c>
      <c r="C220" s="104" t="s">
        <v>60</v>
      </c>
      <c r="D220" s="134" t="s">
        <v>56</v>
      </c>
      <c r="E220" s="134" t="s">
        <v>13</v>
      </c>
      <c r="F220" s="50">
        <f t="shared" si="54"/>
        <v>30193</v>
      </c>
      <c r="G220" s="50"/>
      <c r="H220" s="50">
        <v>30193</v>
      </c>
      <c r="I220" s="55">
        <f t="shared" si="55"/>
        <v>111446.6</v>
      </c>
      <c r="J220" s="55"/>
      <c r="K220" s="55">
        <f>80000+176.6-5000+25000-3500+7000+2000+5770</f>
        <v>111446.6</v>
      </c>
      <c r="L220" s="50">
        <f t="shared" si="56"/>
        <v>0</v>
      </c>
      <c r="M220" s="57"/>
      <c r="N220" s="50">
        <f>50000-50000</f>
        <v>0</v>
      </c>
    </row>
    <row r="221" spans="1:15" ht="36.75" hidden="1" customHeight="1" outlineLevel="1" x14ac:dyDescent="0.25">
      <c r="A221" s="138"/>
      <c r="B221" s="118" t="s">
        <v>82</v>
      </c>
      <c r="C221" s="104" t="s">
        <v>84</v>
      </c>
      <c r="D221" s="142"/>
      <c r="E221" s="142"/>
      <c r="F221" s="50">
        <f t="shared" ref="F221:F224" si="60">H221</f>
        <v>400</v>
      </c>
      <c r="G221" s="50"/>
      <c r="H221" s="50">
        <v>400</v>
      </c>
      <c r="I221" s="55">
        <f t="shared" ref="I221:I224" si="61">K221</f>
        <v>0</v>
      </c>
      <c r="J221" s="55"/>
      <c r="K221" s="55"/>
      <c r="L221" s="55"/>
      <c r="M221" s="55"/>
      <c r="N221" s="55"/>
    </row>
    <row r="222" spans="1:15" ht="33.75" hidden="1" customHeight="1" outlineLevel="1" x14ac:dyDescent="0.25">
      <c r="A222" s="138"/>
      <c r="B222" s="118" t="s">
        <v>63</v>
      </c>
      <c r="C222" s="104" t="s">
        <v>62</v>
      </c>
      <c r="D222" s="142"/>
      <c r="E222" s="142"/>
      <c r="F222" s="50">
        <f t="shared" si="60"/>
        <v>18500</v>
      </c>
      <c r="G222" s="50"/>
      <c r="H222" s="50">
        <v>18500</v>
      </c>
      <c r="I222" s="55">
        <f t="shared" si="61"/>
        <v>0</v>
      </c>
      <c r="J222" s="55"/>
      <c r="K222" s="55"/>
      <c r="L222" s="55"/>
      <c r="M222" s="55"/>
      <c r="N222" s="55"/>
    </row>
    <row r="223" spans="1:15" ht="27" hidden="1" customHeight="1" outlineLevel="1" x14ac:dyDescent="0.25">
      <c r="A223" s="138"/>
      <c r="B223" s="118" t="s">
        <v>83</v>
      </c>
      <c r="C223" s="104" t="s">
        <v>62</v>
      </c>
      <c r="D223" s="142"/>
      <c r="E223" s="142"/>
      <c r="F223" s="50">
        <f t="shared" si="60"/>
        <v>31500</v>
      </c>
      <c r="G223" s="50"/>
      <c r="H223" s="50">
        <v>31500</v>
      </c>
      <c r="I223" s="55">
        <f t="shared" si="61"/>
        <v>45500</v>
      </c>
      <c r="J223" s="55"/>
      <c r="K223" s="50">
        <f>22500+5000+25000-7000</f>
        <v>45500</v>
      </c>
      <c r="L223" s="55"/>
      <c r="M223" s="55"/>
      <c r="N223" s="55"/>
    </row>
    <row r="224" spans="1:15" ht="27" hidden="1" customHeight="1" outlineLevel="1" x14ac:dyDescent="0.25">
      <c r="A224" s="138"/>
      <c r="B224" s="118" t="s">
        <v>85</v>
      </c>
      <c r="C224" s="104" t="s">
        <v>62</v>
      </c>
      <c r="D224" s="135"/>
      <c r="E224" s="135"/>
      <c r="F224" s="50">
        <f t="shared" si="60"/>
        <v>0</v>
      </c>
      <c r="G224" s="50"/>
      <c r="H224" s="50"/>
      <c r="I224" s="55">
        <f t="shared" si="61"/>
        <v>8562.6</v>
      </c>
      <c r="J224" s="55"/>
      <c r="K224" s="55">
        <f>3558.8+5003.8</f>
        <v>8562.6</v>
      </c>
      <c r="L224" s="55"/>
      <c r="M224" s="55"/>
      <c r="N224" s="55">
        <v>68.099999999999994</v>
      </c>
    </row>
    <row r="225" spans="1:14" ht="45" hidden="1" customHeight="1" outlineLevel="1" x14ac:dyDescent="0.25">
      <c r="A225" s="138"/>
      <c r="B225" s="118" t="s">
        <v>83</v>
      </c>
      <c r="C225" s="104" t="s">
        <v>62</v>
      </c>
      <c r="D225" s="64"/>
      <c r="E225" s="60" t="s">
        <v>296</v>
      </c>
      <c r="F225" s="50"/>
      <c r="G225" s="50"/>
      <c r="H225" s="50"/>
      <c r="I225" s="55"/>
      <c r="J225" s="55"/>
      <c r="K225" s="55"/>
      <c r="L225" s="55">
        <f>N225</f>
        <v>100</v>
      </c>
      <c r="M225" s="55"/>
      <c r="N225" s="55">
        <v>100</v>
      </c>
    </row>
    <row r="226" spans="1:14" ht="48.75" customHeight="1" collapsed="1" x14ac:dyDescent="0.25">
      <c r="A226" s="138"/>
      <c r="B226" s="52" t="s">
        <v>342</v>
      </c>
      <c r="C226" s="51" t="s">
        <v>62</v>
      </c>
      <c r="D226" s="60" t="s">
        <v>56</v>
      </c>
      <c r="E226" s="60" t="s">
        <v>13</v>
      </c>
      <c r="F226" s="50"/>
      <c r="G226" s="50"/>
      <c r="H226" s="50"/>
      <c r="I226" s="55">
        <f>K226</f>
        <v>0</v>
      </c>
      <c r="J226" s="55"/>
      <c r="K226" s="55">
        <f>K227</f>
        <v>0</v>
      </c>
      <c r="L226" s="55">
        <f>L228</f>
        <v>50000</v>
      </c>
      <c r="M226" s="55"/>
      <c r="N226" s="55">
        <f>N228</f>
        <v>50000</v>
      </c>
    </row>
    <row r="227" spans="1:14" ht="30" hidden="1" customHeight="1" outlineLevel="1" x14ac:dyDescent="0.25">
      <c r="A227" s="138"/>
      <c r="B227" s="118" t="s">
        <v>83</v>
      </c>
      <c r="C227" s="51" t="s">
        <v>62</v>
      </c>
      <c r="D227" s="62" t="s">
        <v>56</v>
      </c>
      <c r="E227" s="62" t="s">
        <v>13</v>
      </c>
      <c r="F227" s="50"/>
      <c r="G227" s="50"/>
      <c r="H227" s="50"/>
      <c r="I227" s="55">
        <f>K227</f>
        <v>0</v>
      </c>
      <c r="J227" s="55"/>
      <c r="K227" s="55"/>
      <c r="L227" s="55"/>
      <c r="M227" s="55"/>
      <c r="N227" s="55"/>
    </row>
    <row r="228" spans="1:14" ht="30" hidden="1" customHeight="1" outlineLevel="1" x14ac:dyDescent="0.25">
      <c r="A228" s="138"/>
      <c r="B228" s="118" t="s">
        <v>81</v>
      </c>
      <c r="C228" s="51">
        <v>712152</v>
      </c>
      <c r="D228" s="62" t="s">
        <v>56</v>
      </c>
      <c r="E228" s="62" t="s">
        <v>13</v>
      </c>
      <c r="F228" s="50"/>
      <c r="G228" s="50"/>
      <c r="H228" s="50"/>
      <c r="I228" s="55"/>
      <c r="J228" s="55"/>
      <c r="K228" s="55"/>
      <c r="L228" s="55">
        <f>N228</f>
        <v>50000</v>
      </c>
      <c r="M228" s="55"/>
      <c r="N228" s="55">
        <v>50000</v>
      </c>
    </row>
    <row r="229" spans="1:14" ht="22.5" customHeight="1" collapsed="1" x14ac:dyDescent="0.25">
      <c r="A229" s="138"/>
      <c r="B229" s="145" t="s">
        <v>343</v>
      </c>
      <c r="C229" s="148" t="s">
        <v>101</v>
      </c>
      <c r="D229" s="149"/>
      <c r="E229" s="150"/>
      <c r="F229" s="108">
        <f>H229</f>
        <v>5300</v>
      </c>
      <c r="G229" s="108"/>
      <c r="H229" s="108">
        <f>H230+H231</f>
        <v>5300</v>
      </c>
      <c r="I229" s="109"/>
      <c r="J229" s="55"/>
      <c r="K229" s="55"/>
      <c r="L229" s="55"/>
      <c r="M229" s="55"/>
      <c r="N229" s="55"/>
    </row>
    <row r="230" spans="1:14" ht="48.75" customHeight="1" x14ac:dyDescent="0.25">
      <c r="A230" s="138"/>
      <c r="B230" s="146"/>
      <c r="C230" s="51" t="s">
        <v>80</v>
      </c>
      <c r="D230" s="60" t="s">
        <v>56</v>
      </c>
      <c r="E230" s="134" t="s">
        <v>13</v>
      </c>
      <c r="F230" s="50">
        <f>H230</f>
        <v>300</v>
      </c>
      <c r="G230" s="50"/>
      <c r="H230" s="50">
        <f>H232</f>
        <v>300</v>
      </c>
      <c r="I230" s="55"/>
      <c r="J230" s="55"/>
      <c r="K230" s="55"/>
      <c r="L230" s="55"/>
      <c r="M230" s="55"/>
      <c r="N230" s="55"/>
    </row>
    <row r="231" spans="1:14" ht="132" customHeight="1" x14ac:dyDescent="0.25">
      <c r="A231" s="138"/>
      <c r="B231" s="147"/>
      <c r="C231" s="119">
        <v>1512010</v>
      </c>
      <c r="D231" s="60" t="s">
        <v>93</v>
      </c>
      <c r="E231" s="135"/>
      <c r="F231" s="50">
        <f>H231</f>
        <v>5000</v>
      </c>
      <c r="G231" s="50"/>
      <c r="H231" s="50">
        <f>H233</f>
        <v>5000</v>
      </c>
      <c r="I231" s="55"/>
      <c r="J231" s="55"/>
      <c r="K231" s="55"/>
      <c r="L231" s="55"/>
      <c r="M231" s="55"/>
      <c r="N231" s="55"/>
    </row>
    <row r="232" spans="1:14" ht="39" hidden="1" customHeight="1" outlineLevel="1" x14ac:dyDescent="0.25">
      <c r="A232" s="138"/>
      <c r="B232" s="118" t="s">
        <v>81</v>
      </c>
      <c r="C232" s="51" t="s">
        <v>80</v>
      </c>
      <c r="D232" s="60" t="s">
        <v>56</v>
      </c>
      <c r="E232" s="60" t="s">
        <v>13</v>
      </c>
      <c r="F232" s="50">
        <f t="shared" ref="F232:F233" si="62">H232</f>
        <v>300</v>
      </c>
      <c r="G232" s="55"/>
      <c r="H232" s="50">
        <v>300</v>
      </c>
      <c r="I232" s="55"/>
      <c r="J232" s="55"/>
      <c r="K232" s="55"/>
      <c r="L232" s="55"/>
      <c r="M232" s="55"/>
      <c r="N232" s="55"/>
    </row>
    <row r="233" spans="1:14" ht="110.25" hidden="1" outlineLevel="1" x14ac:dyDescent="0.25">
      <c r="A233" s="138"/>
      <c r="B233" s="118" t="s">
        <v>91</v>
      </c>
      <c r="C233" s="119">
        <v>1512010</v>
      </c>
      <c r="D233" s="60" t="s">
        <v>93</v>
      </c>
      <c r="E233" s="60" t="s">
        <v>13</v>
      </c>
      <c r="F233" s="50">
        <f t="shared" si="62"/>
        <v>5000</v>
      </c>
      <c r="G233" s="55"/>
      <c r="H233" s="50">
        <v>5000</v>
      </c>
      <c r="I233" s="55"/>
      <c r="J233" s="55"/>
      <c r="K233" s="55"/>
      <c r="L233" s="55"/>
      <c r="M233" s="55"/>
      <c r="N233" s="55"/>
    </row>
    <row r="234" spans="1:14" ht="20.25" customHeight="1" collapsed="1" x14ac:dyDescent="0.25">
      <c r="A234" s="138"/>
      <c r="B234" s="134" t="s">
        <v>344</v>
      </c>
      <c r="C234" s="148" t="s">
        <v>398</v>
      </c>
      <c r="D234" s="149"/>
      <c r="E234" s="150"/>
      <c r="F234" s="50"/>
      <c r="G234" s="50"/>
      <c r="H234" s="50"/>
      <c r="I234" s="50">
        <f>K234</f>
        <v>35332.9</v>
      </c>
      <c r="J234" s="50"/>
      <c r="K234" s="55">
        <f>K235+K236+K237+K238+K239</f>
        <v>35332.9</v>
      </c>
      <c r="L234" s="50">
        <f>N234</f>
        <v>12075.3</v>
      </c>
      <c r="M234" s="55"/>
      <c r="N234" s="50">
        <f>N235+N236+N237+N238+N239+N241+N240</f>
        <v>12075.3</v>
      </c>
    </row>
    <row r="235" spans="1:14" ht="30" hidden="1" customHeight="1" x14ac:dyDescent="0.25">
      <c r="A235" s="138"/>
      <c r="B235" s="142"/>
      <c r="C235" s="116" t="s">
        <v>80</v>
      </c>
      <c r="D235" s="134" t="s">
        <v>56</v>
      </c>
      <c r="E235" s="138" t="s">
        <v>13</v>
      </c>
      <c r="F235" s="55"/>
      <c r="G235" s="55"/>
      <c r="H235" s="55"/>
      <c r="I235" s="50">
        <f>K235</f>
        <v>0</v>
      </c>
      <c r="J235" s="50"/>
      <c r="K235" s="50">
        <f>K242</f>
        <v>0</v>
      </c>
      <c r="L235" s="50">
        <f>N235</f>
        <v>0</v>
      </c>
      <c r="M235" s="55"/>
      <c r="N235" s="50">
        <f>N242</f>
        <v>0</v>
      </c>
    </row>
    <row r="236" spans="1:14" ht="66" customHeight="1" x14ac:dyDescent="0.25">
      <c r="A236" s="138"/>
      <c r="B236" s="142"/>
      <c r="C236" s="53" t="s">
        <v>62</v>
      </c>
      <c r="D236" s="142"/>
      <c r="E236" s="138"/>
      <c r="F236" s="55"/>
      <c r="G236" s="55"/>
      <c r="H236" s="55"/>
      <c r="I236" s="50">
        <f t="shared" ref="I236:I239" si="63">K236</f>
        <v>27160.9</v>
      </c>
      <c r="J236" s="50"/>
      <c r="K236" s="50">
        <f>K243+K244+K245+K246+K247</f>
        <v>27160.9</v>
      </c>
      <c r="L236" s="50">
        <f t="shared" ref="L236:L239" si="64">N236</f>
        <v>7372.5</v>
      </c>
      <c r="M236" s="55"/>
      <c r="N236" s="50">
        <f>N243+N244+N245+N246+N247</f>
        <v>7372.5</v>
      </c>
    </row>
    <row r="237" spans="1:14" ht="30" hidden="1" customHeight="1" x14ac:dyDescent="0.25">
      <c r="A237" s="138"/>
      <c r="B237" s="142"/>
      <c r="C237" s="53" t="s">
        <v>69</v>
      </c>
      <c r="D237" s="142"/>
      <c r="E237" s="138"/>
      <c r="F237" s="55"/>
      <c r="G237" s="55"/>
      <c r="H237" s="55"/>
      <c r="I237" s="50">
        <f t="shared" si="63"/>
        <v>0</v>
      </c>
      <c r="J237" s="50"/>
      <c r="K237" s="50">
        <f>K248</f>
        <v>0</v>
      </c>
      <c r="L237" s="50">
        <f t="shared" si="64"/>
        <v>0</v>
      </c>
      <c r="M237" s="55"/>
      <c r="N237" s="50">
        <f>N248</f>
        <v>0</v>
      </c>
    </row>
    <row r="238" spans="1:14" ht="30" hidden="1" customHeight="1" x14ac:dyDescent="0.25">
      <c r="A238" s="138"/>
      <c r="B238" s="142"/>
      <c r="C238" s="53" t="s">
        <v>71</v>
      </c>
      <c r="D238" s="135"/>
      <c r="E238" s="138"/>
      <c r="F238" s="55"/>
      <c r="G238" s="55"/>
      <c r="H238" s="55"/>
      <c r="I238" s="50">
        <f t="shared" si="63"/>
        <v>0</v>
      </c>
      <c r="J238" s="50"/>
      <c r="K238" s="50">
        <f>K249</f>
        <v>0</v>
      </c>
      <c r="L238" s="50">
        <f t="shared" si="64"/>
        <v>0</v>
      </c>
      <c r="M238" s="55"/>
      <c r="N238" s="50">
        <f>N249</f>
        <v>0</v>
      </c>
    </row>
    <row r="239" spans="1:14" ht="94.5" customHeight="1" x14ac:dyDescent="0.25">
      <c r="A239" s="138"/>
      <c r="B239" s="142"/>
      <c r="C239" s="53" t="s">
        <v>90</v>
      </c>
      <c r="D239" s="134" t="s">
        <v>92</v>
      </c>
      <c r="E239" s="138"/>
      <c r="F239" s="55"/>
      <c r="G239" s="55"/>
      <c r="H239" s="50"/>
      <c r="I239" s="50">
        <f t="shared" si="63"/>
        <v>8172</v>
      </c>
      <c r="J239" s="50"/>
      <c r="K239" s="50">
        <f>K251</f>
        <v>8172</v>
      </c>
      <c r="L239" s="50">
        <f t="shared" si="64"/>
        <v>1100</v>
      </c>
      <c r="M239" s="55"/>
      <c r="N239" s="50">
        <f>N251+N250</f>
        <v>1100</v>
      </c>
    </row>
    <row r="240" spans="1:14" ht="21" customHeight="1" x14ac:dyDescent="0.25">
      <c r="A240" s="138"/>
      <c r="B240" s="142"/>
      <c r="C240" s="53" t="s">
        <v>395</v>
      </c>
      <c r="D240" s="135"/>
      <c r="E240" s="138"/>
      <c r="F240" s="55"/>
      <c r="G240" s="55"/>
      <c r="H240" s="50"/>
      <c r="I240" s="50"/>
      <c r="J240" s="50"/>
      <c r="K240" s="50"/>
      <c r="L240" s="50">
        <f>N240</f>
        <v>3550.4</v>
      </c>
      <c r="M240" s="55"/>
      <c r="N240" s="50">
        <f>N252</f>
        <v>3550.4</v>
      </c>
    </row>
    <row r="241" spans="1:19" ht="69" customHeight="1" x14ac:dyDescent="0.25">
      <c r="A241" s="138"/>
      <c r="B241" s="142"/>
      <c r="C241" s="53" t="s">
        <v>389</v>
      </c>
      <c r="D241" s="62" t="s">
        <v>56</v>
      </c>
      <c r="E241" s="63" t="s">
        <v>391</v>
      </c>
      <c r="F241" s="55"/>
      <c r="G241" s="55"/>
      <c r="H241" s="50"/>
      <c r="I241" s="50"/>
      <c r="J241" s="50"/>
      <c r="K241" s="50"/>
      <c r="L241" s="50">
        <f>N241</f>
        <v>52.4</v>
      </c>
      <c r="M241" s="55"/>
      <c r="N241" s="50">
        <f>N253</f>
        <v>52.4</v>
      </c>
    </row>
    <row r="242" spans="1:19" ht="27" hidden="1" customHeight="1" outlineLevel="2" x14ac:dyDescent="0.25">
      <c r="A242" s="138"/>
      <c r="B242" s="118" t="s">
        <v>81</v>
      </c>
      <c r="C242" s="116" t="s">
        <v>80</v>
      </c>
      <c r="D242" s="139" t="s">
        <v>56</v>
      </c>
      <c r="E242" s="139" t="s">
        <v>13</v>
      </c>
      <c r="F242" s="55"/>
      <c r="G242" s="55"/>
      <c r="H242" s="55"/>
      <c r="I242" s="55"/>
      <c r="J242" s="55"/>
      <c r="K242" s="55"/>
      <c r="L242" s="50">
        <f>N242</f>
        <v>0</v>
      </c>
      <c r="M242" s="50"/>
      <c r="N242" s="50"/>
    </row>
    <row r="243" spans="1:19" ht="29.25" hidden="1" customHeight="1" outlineLevel="2" x14ac:dyDescent="0.25">
      <c r="A243" s="138"/>
      <c r="B243" s="118" t="s">
        <v>63</v>
      </c>
      <c r="C243" s="53" t="s">
        <v>62</v>
      </c>
      <c r="D243" s="140"/>
      <c r="E243" s="140"/>
      <c r="F243" s="55"/>
      <c r="G243" s="55"/>
      <c r="H243" s="55"/>
      <c r="I243" s="55">
        <f>K243</f>
        <v>1495.9</v>
      </c>
      <c r="J243" s="55"/>
      <c r="K243" s="55">
        <v>1495.9</v>
      </c>
      <c r="L243" s="50">
        <f t="shared" ref="L243:L249" si="65">N243</f>
        <v>2900</v>
      </c>
      <c r="M243" s="50"/>
      <c r="N243" s="50">
        <f>3500-600</f>
        <v>2900</v>
      </c>
      <c r="O243" s="72" t="s">
        <v>425</v>
      </c>
    </row>
    <row r="244" spans="1:19" ht="21" hidden="1" customHeight="1" outlineLevel="2" x14ac:dyDescent="0.25">
      <c r="A244" s="138"/>
      <c r="B244" s="118" t="s">
        <v>86</v>
      </c>
      <c r="C244" s="53" t="s">
        <v>62</v>
      </c>
      <c r="D244" s="140"/>
      <c r="E244" s="140"/>
      <c r="F244" s="55"/>
      <c r="G244" s="55"/>
      <c r="H244" s="55"/>
      <c r="I244" s="55"/>
      <c r="J244" s="55"/>
      <c r="K244" s="55"/>
      <c r="L244" s="50">
        <f t="shared" si="65"/>
        <v>200</v>
      </c>
      <c r="M244" s="50"/>
      <c r="N244" s="50">
        <f>200</f>
        <v>200</v>
      </c>
      <c r="O244" s="72" t="s">
        <v>419</v>
      </c>
    </row>
    <row r="245" spans="1:19" ht="21" hidden="1" customHeight="1" outlineLevel="2" x14ac:dyDescent="0.25">
      <c r="A245" s="138"/>
      <c r="B245" s="118" t="s">
        <v>87</v>
      </c>
      <c r="C245" s="53" t="s">
        <v>62</v>
      </c>
      <c r="D245" s="140"/>
      <c r="E245" s="140"/>
      <c r="F245" s="55"/>
      <c r="G245" s="55"/>
      <c r="H245" s="55"/>
      <c r="I245" s="55"/>
      <c r="J245" s="55"/>
      <c r="K245" s="55"/>
      <c r="L245" s="50">
        <f t="shared" si="65"/>
        <v>0</v>
      </c>
      <c r="M245" s="50"/>
      <c r="N245" s="50"/>
    </row>
    <row r="246" spans="1:19" ht="33" hidden="1" customHeight="1" outlineLevel="2" x14ac:dyDescent="0.25">
      <c r="A246" s="138"/>
      <c r="B246" s="118" t="s">
        <v>85</v>
      </c>
      <c r="C246" s="53" t="s">
        <v>62</v>
      </c>
      <c r="D246" s="140"/>
      <c r="E246" s="140"/>
      <c r="F246" s="55"/>
      <c r="G246" s="55"/>
      <c r="H246" s="55"/>
      <c r="I246" s="50">
        <f>K246</f>
        <v>25665</v>
      </c>
      <c r="J246" s="57"/>
      <c r="K246" s="50">
        <f>32375-6710</f>
        <v>25665</v>
      </c>
      <c r="L246" s="50">
        <f t="shared" si="65"/>
        <v>4272.5</v>
      </c>
      <c r="M246" s="50"/>
      <c r="N246" s="50">
        <f>5000+68.1+655+1310-2692.5-68.1</f>
        <v>4272.5</v>
      </c>
      <c r="O246" s="91" t="s">
        <v>350</v>
      </c>
      <c r="P246" s="120" t="s">
        <v>412</v>
      </c>
      <c r="Q246" s="91" t="s">
        <v>413</v>
      </c>
      <c r="R246" s="91"/>
      <c r="S246" s="91" t="s">
        <v>423</v>
      </c>
    </row>
    <row r="247" spans="1:19" ht="21" hidden="1" customHeight="1" outlineLevel="2" x14ac:dyDescent="0.25">
      <c r="A247" s="138"/>
      <c r="B247" s="118" t="s">
        <v>83</v>
      </c>
      <c r="C247" s="53" t="s">
        <v>62</v>
      </c>
      <c r="D247" s="140"/>
      <c r="E247" s="140"/>
      <c r="F247" s="55"/>
      <c r="G247" s="55"/>
      <c r="H247" s="55"/>
      <c r="I247" s="55"/>
      <c r="J247" s="55"/>
      <c r="K247" s="55"/>
      <c r="L247" s="50">
        <f t="shared" si="65"/>
        <v>0</v>
      </c>
      <c r="M247" s="50"/>
      <c r="N247" s="50"/>
    </row>
    <row r="248" spans="1:19" ht="27" hidden="1" customHeight="1" outlineLevel="2" x14ac:dyDescent="0.25">
      <c r="A248" s="138"/>
      <c r="B248" s="52" t="s">
        <v>88</v>
      </c>
      <c r="C248" s="53" t="s">
        <v>69</v>
      </c>
      <c r="D248" s="140"/>
      <c r="E248" s="140"/>
      <c r="F248" s="55"/>
      <c r="G248" s="55"/>
      <c r="H248" s="55"/>
      <c r="I248" s="55"/>
      <c r="J248" s="55"/>
      <c r="K248" s="55"/>
      <c r="L248" s="50">
        <f t="shared" si="65"/>
        <v>0</v>
      </c>
      <c r="M248" s="50"/>
      <c r="N248" s="50"/>
    </row>
    <row r="249" spans="1:19" ht="28.5" hidden="1" customHeight="1" outlineLevel="2" x14ac:dyDescent="0.25">
      <c r="A249" s="138"/>
      <c r="B249" s="52" t="s">
        <v>89</v>
      </c>
      <c r="C249" s="53" t="s">
        <v>71</v>
      </c>
      <c r="D249" s="141"/>
      <c r="E249" s="141"/>
      <c r="F249" s="55"/>
      <c r="G249" s="55"/>
      <c r="H249" s="55"/>
      <c r="I249" s="55"/>
      <c r="J249" s="55"/>
      <c r="K249" s="55"/>
      <c r="L249" s="50">
        <f t="shared" si="65"/>
        <v>0</v>
      </c>
      <c r="M249" s="50"/>
      <c r="N249" s="50"/>
    </row>
    <row r="250" spans="1:19" ht="76.5" hidden="1" customHeight="1" outlineLevel="2" x14ac:dyDescent="0.25">
      <c r="A250" s="138"/>
      <c r="B250" s="52" t="s">
        <v>416</v>
      </c>
      <c r="C250" s="53" t="s">
        <v>90</v>
      </c>
      <c r="D250" s="134" t="s">
        <v>92</v>
      </c>
      <c r="E250" s="208" t="s">
        <v>13</v>
      </c>
      <c r="F250" s="54"/>
      <c r="G250" s="54"/>
      <c r="H250" s="54"/>
      <c r="I250" s="54"/>
      <c r="J250" s="55"/>
      <c r="K250" s="54"/>
      <c r="L250" s="56">
        <f>N250</f>
        <v>1000</v>
      </c>
      <c r="M250" s="56"/>
      <c r="N250" s="56">
        <v>1000</v>
      </c>
    </row>
    <row r="251" spans="1:19" ht="46.5" hidden="1" customHeight="1" outlineLevel="2" x14ac:dyDescent="0.25">
      <c r="A251" s="138"/>
      <c r="B251" s="52" t="s">
        <v>415</v>
      </c>
      <c r="C251" s="53" t="s">
        <v>90</v>
      </c>
      <c r="D251" s="142"/>
      <c r="E251" s="209"/>
      <c r="F251" s="54"/>
      <c r="G251" s="54"/>
      <c r="H251" s="54"/>
      <c r="I251" s="56">
        <f>K251</f>
        <v>8172</v>
      </c>
      <c r="J251" s="55"/>
      <c r="K251" s="56">
        <f>6972+1200</f>
        <v>8172</v>
      </c>
      <c r="L251" s="54">
        <f>N251</f>
        <v>100</v>
      </c>
      <c r="M251" s="54"/>
      <c r="N251" s="54">
        <f>80+20</f>
        <v>100</v>
      </c>
    </row>
    <row r="252" spans="1:19" ht="84" hidden="1" customHeight="1" outlineLevel="2" x14ac:dyDescent="0.25">
      <c r="A252" s="138"/>
      <c r="B252" s="52" t="s">
        <v>417</v>
      </c>
      <c r="C252" s="53" t="s">
        <v>395</v>
      </c>
      <c r="D252" s="135"/>
      <c r="E252" s="210"/>
      <c r="F252" s="54"/>
      <c r="G252" s="54"/>
      <c r="H252" s="54"/>
      <c r="I252" s="56"/>
      <c r="J252" s="57"/>
      <c r="K252" s="56"/>
      <c r="L252" s="54">
        <f>N252</f>
        <v>3550.4</v>
      </c>
      <c r="M252" s="54"/>
      <c r="N252" s="54">
        <f>100+3450.4</f>
        <v>3550.4</v>
      </c>
    </row>
    <row r="253" spans="1:19" ht="39.75" hidden="1" customHeight="1" outlineLevel="2" x14ac:dyDescent="0.25">
      <c r="A253" s="138"/>
      <c r="B253" s="52" t="s">
        <v>390</v>
      </c>
      <c r="C253" s="53"/>
      <c r="D253" s="60"/>
      <c r="E253" s="60"/>
      <c r="F253" s="55"/>
      <c r="G253" s="55"/>
      <c r="H253" s="55"/>
      <c r="I253" s="50"/>
      <c r="J253" s="55"/>
      <c r="K253" s="50"/>
      <c r="L253" s="55">
        <f>N253</f>
        <v>52.4</v>
      </c>
      <c r="M253" s="55"/>
      <c r="N253" s="55">
        <v>52.4</v>
      </c>
      <c r="O253" s="72" t="s">
        <v>435</v>
      </c>
    </row>
    <row r="254" spans="1:19" ht="75.75" customHeight="1" collapsed="1" x14ac:dyDescent="0.25">
      <c r="A254" s="138"/>
      <c r="B254" s="52" t="s">
        <v>345</v>
      </c>
      <c r="C254" s="53" t="s">
        <v>94</v>
      </c>
      <c r="D254" s="60" t="s">
        <v>56</v>
      </c>
      <c r="E254" s="60" t="s">
        <v>13</v>
      </c>
      <c r="F254" s="50">
        <f t="shared" ref="F254:F262" si="66">H254</f>
        <v>16800</v>
      </c>
      <c r="G254" s="50"/>
      <c r="H254" s="50">
        <f>H255+H256</f>
        <v>16800</v>
      </c>
      <c r="I254" s="50">
        <f>K254</f>
        <v>0</v>
      </c>
      <c r="J254" s="50"/>
      <c r="K254" s="50">
        <f>K255</f>
        <v>0</v>
      </c>
      <c r="L254" s="55"/>
      <c r="M254" s="55"/>
      <c r="N254" s="55"/>
    </row>
    <row r="255" spans="1:19" ht="28.5" hidden="1" customHeight="1" outlineLevel="1" x14ac:dyDescent="0.25">
      <c r="A255" s="138"/>
      <c r="B255" s="118" t="s">
        <v>85</v>
      </c>
      <c r="C255" s="53" t="s">
        <v>94</v>
      </c>
      <c r="D255" s="134" t="s">
        <v>56</v>
      </c>
      <c r="E255" s="134" t="s">
        <v>13</v>
      </c>
      <c r="F255" s="50">
        <f t="shared" si="66"/>
        <v>15700</v>
      </c>
      <c r="G255" s="55"/>
      <c r="H255" s="50">
        <v>15700</v>
      </c>
      <c r="I255" s="50">
        <f>K255</f>
        <v>0</v>
      </c>
      <c r="J255" s="57"/>
      <c r="K255" s="50">
        <f>107.2-107.2</f>
        <v>0</v>
      </c>
      <c r="L255" s="55"/>
      <c r="M255" s="55"/>
      <c r="N255" s="55"/>
    </row>
    <row r="256" spans="1:19" ht="27" hidden="1" customHeight="1" outlineLevel="1" x14ac:dyDescent="0.25">
      <c r="A256" s="138"/>
      <c r="B256" s="118" t="s">
        <v>83</v>
      </c>
      <c r="C256" s="53" t="s">
        <v>94</v>
      </c>
      <c r="D256" s="135"/>
      <c r="E256" s="135"/>
      <c r="F256" s="50">
        <f t="shared" si="66"/>
        <v>1100</v>
      </c>
      <c r="G256" s="55"/>
      <c r="H256" s="50">
        <v>1100</v>
      </c>
      <c r="I256" s="55"/>
      <c r="J256" s="50"/>
      <c r="K256" s="55"/>
      <c r="L256" s="55"/>
      <c r="M256" s="55"/>
      <c r="N256" s="55"/>
    </row>
    <row r="257" spans="1:14" ht="49.5" customHeight="1" collapsed="1" x14ac:dyDescent="0.25">
      <c r="A257" s="138"/>
      <c r="B257" s="52" t="s">
        <v>346</v>
      </c>
      <c r="C257" s="53" t="s">
        <v>94</v>
      </c>
      <c r="D257" s="60" t="s">
        <v>56</v>
      </c>
      <c r="E257" s="60" t="s">
        <v>13</v>
      </c>
      <c r="F257" s="50"/>
      <c r="G257" s="55"/>
      <c r="H257" s="50"/>
      <c r="I257" s="55">
        <f>I258</f>
        <v>107.2</v>
      </c>
      <c r="J257" s="50"/>
      <c r="K257" s="55">
        <f>K258</f>
        <v>107.2</v>
      </c>
      <c r="L257" s="55"/>
      <c r="M257" s="55"/>
      <c r="N257" s="55"/>
    </row>
    <row r="258" spans="1:14" ht="34.5" hidden="1" customHeight="1" outlineLevel="2" x14ac:dyDescent="0.25">
      <c r="A258" s="138"/>
      <c r="B258" s="118" t="s">
        <v>85</v>
      </c>
      <c r="C258" s="53" t="s">
        <v>94</v>
      </c>
      <c r="D258" s="60" t="s">
        <v>56</v>
      </c>
      <c r="E258" s="60" t="s">
        <v>13</v>
      </c>
      <c r="F258" s="50"/>
      <c r="G258" s="55"/>
      <c r="H258" s="50"/>
      <c r="I258" s="55">
        <f>K258</f>
        <v>107.2</v>
      </c>
      <c r="J258" s="50"/>
      <c r="K258" s="55">
        <v>107.2</v>
      </c>
      <c r="L258" s="55"/>
      <c r="M258" s="55"/>
      <c r="N258" s="55"/>
    </row>
    <row r="259" spans="1:14" ht="31.5" customHeight="1" collapsed="1" x14ac:dyDescent="0.25">
      <c r="A259" s="138"/>
      <c r="B259" s="145" t="s">
        <v>347</v>
      </c>
      <c r="C259" s="211" t="s">
        <v>400</v>
      </c>
      <c r="D259" s="212"/>
      <c r="E259" s="213"/>
      <c r="F259" s="108">
        <f t="shared" si="66"/>
        <v>4498.92</v>
      </c>
      <c r="G259" s="109"/>
      <c r="H259" s="108">
        <f>H260+H261</f>
        <v>4498.92</v>
      </c>
      <c r="I259" s="109">
        <f>K259</f>
        <v>1194.9000000000001</v>
      </c>
      <c r="J259" s="108"/>
      <c r="K259" s="109">
        <f>K260+K261</f>
        <v>1194.9000000000001</v>
      </c>
      <c r="L259" s="55"/>
      <c r="M259" s="55"/>
      <c r="N259" s="55"/>
    </row>
    <row r="260" spans="1:14" ht="31.5" customHeight="1" x14ac:dyDescent="0.25">
      <c r="A260" s="138"/>
      <c r="B260" s="146"/>
      <c r="C260" s="53" t="s">
        <v>62</v>
      </c>
      <c r="D260" s="134" t="s">
        <v>56</v>
      </c>
      <c r="E260" s="60" t="s">
        <v>13</v>
      </c>
      <c r="F260" s="55">
        <f t="shared" si="66"/>
        <v>2662.2</v>
      </c>
      <c r="G260" s="55"/>
      <c r="H260" s="55">
        <f>H262+H263+H264</f>
        <v>2662.2</v>
      </c>
      <c r="I260" s="55">
        <f>K260</f>
        <v>1194.9000000000001</v>
      </c>
      <c r="J260" s="55"/>
      <c r="K260" s="55">
        <f>K262+K263+K264</f>
        <v>1194.9000000000001</v>
      </c>
      <c r="L260" s="55"/>
      <c r="M260" s="55"/>
      <c r="N260" s="55"/>
    </row>
    <row r="261" spans="1:14" ht="203.25" customHeight="1" x14ac:dyDescent="0.25">
      <c r="A261" s="138"/>
      <c r="B261" s="147"/>
      <c r="C261" s="53" t="s">
        <v>62</v>
      </c>
      <c r="D261" s="135"/>
      <c r="E261" s="121" t="s">
        <v>95</v>
      </c>
      <c r="F261" s="55">
        <f>H261</f>
        <v>1836.72</v>
      </c>
      <c r="G261" s="55"/>
      <c r="H261" s="50">
        <f>H265+H266+H267</f>
        <v>1836.72</v>
      </c>
      <c r="I261" s="55">
        <f>K261</f>
        <v>0</v>
      </c>
      <c r="J261" s="55"/>
      <c r="K261" s="55">
        <f>K265+K266+K267</f>
        <v>0</v>
      </c>
      <c r="L261" s="55"/>
      <c r="M261" s="55"/>
      <c r="N261" s="55"/>
    </row>
    <row r="262" spans="1:14" ht="15.75" hidden="1" customHeight="1" outlineLevel="1" x14ac:dyDescent="0.25">
      <c r="A262" s="138"/>
      <c r="B262" s="118" t="s">
        <v>87</v>
      </c>
      <c r="C262" s="53" t="s">
        <v>62</v>
      </c>
      <c r="D262" s="134" t="s">
        <v>56</v>
      </c>
      <c r="E262" s="134" t="s">
        <v>13</v>
      </c>
      <c r="F262" s="55">
        <f t="shared" si="66"/>
        <v>1929.6</v>
      </c>
      <c r="G262" s="55"/>
      <c r="H262" s="55">
        <v>1929.6</v>
      </c>
      <c r="I262" s="55"/>
      <c r="J262" s="55"/>
      <c r="K262" s="55"/>
      <c r="L262" s="55"/>
      <c r="M262" s="55"/>
      <c r="N262" s="55"/>
    </row>
    <row r="263" spans="1:14" ht="21.75" hidden="1" customHeight="1" outlineLevel="1" x14ac:dyDescent="0.25">
      <c r="A263" s="138"/>
      <c r="B263" s="118" t="s">
        <v>85</v>
      </c>
      <c r="C263" s="53" t="s">
        <v>62</v>
      </c>
      <c r="D263" s="142"/>
      <c r="E263" s="142"/>
      <c r="F263" s="55">
        <f t="shared" ref="F263:F264" si="67">H263</f>
        <v>51.3</v>
      </c>
      <c r="G263" s="55"/>
      <c r="H263" s="55">
        <v>51.3</v>
      </c>
      <c r="I263" s="55"/>
      <c r="J263" s="55"/>
      <c r="K263" s="55"/>
      <c r="L263" s="55"/>
      <c r="M263" s="55"/>
      <c r="N263" s="55"/>
    </row>
    <row r="264" spans="1:14" ht="28.5" hidden="1" customHeight="1" outlineLevel="1" x14ac:dyDescent="0.25">
      <c r="A264" s="138"/>
      <c r="B264" s="118" t="s">
        <v>83</v>
      </c>
      <c r="C264" s="53" t="s">
        <v>62</v>
      </c>
      <c r="D264" s="135"/>
      <c r="E264" s="135"/>
      <c r="F264" s="55">
        <f t="shared" si="67"/>
        <v>681.3</v>
      </c>
      <c r="G264" s="55"/>
      <c r="H264" s="55">
        <v>681.3</v>
      </c>
      <c r="I264" s="55">
        <f>K264</f>
        <v>1194.9000000000001</v>
      </c>
      <c r="J264" s="55"/>
      <c r="K264" s="55">
        <v>1194.9000000000001</v>
      </c>
      <c r="L264" s="55"/>
      <c r="M264" s="55"/>
      <c r="N264" s="55"/>
    </row>
    <row r="265" spans="1:14" ht="17.25" hidden="1" customHeight="1" outlineLevel="1" x14ac:dyDescent="0.25">
      <c r="A265" s="138"/>
      <c r="B265" s="118" t="s">
        <v>87</v>
      </c>
      <c r="C265" s="53" t="s">
        <v>62</v>
      </c>
      <c r="D265" s="134" t="s">
        <v>56</v>
      </c>
      <c r="E265" s="138" t="s">
        <v>95</v>
      </c>
      <c r="F265" s="55">
        <f>H265</f>
        <v>612.24</v>
      </c>
      <c r="G265" s="55"/>
      <c r="H265" s="55">
        <v>612.24</v>
      </c>
      <c r="I265" s="55"/>
      <c r="J265" s="55"/>
      <c r="K265" s="55"/>
      <c r="L265" s="55"/>
      <c r="M265" s="55"/>
      <c r="N265" s="55"/>
    </row>
    <row r="266" spans="1:14" ht="21.75" hidden="1" customHeight="1" outlineLevel="1" x14ac:dyDescent="0.25">
      <c r="A266" s="138"/>
      <c r="B266" s="118" t="s">
        <v>85</v>
      </c>
      <c r="C266" s="53" t="s">
        <v>62</v>
      </c>
      <c r="D266" s="142"/>
      <c r="E266" s="138"/>
      <c r="F266" s="55">
        <f t="shared" ref="F266:F267" si="68">H266</f>
        <v>612.24</v>
      </c>
      <c r="G266" s="55"/>
      <c r="H266" s="55">
        <v>612.24</v>
      </c>
      <c r="I266" s="55"/>
      <c r="J266" s="55"/>
      <c r="K266" s="55"/>
      <c r="L266" s="55"/>
      <c r="M266" s="55"/>
      <c r="N266" s="55"/>
    </row>
    <row r="267" spans="1:14" ht="24.75" hidden="1" customHeight="1" outlineLevel="1" x14ac:dyDescent="0.25">
      <c r="A267" s="138"/>
      <c r="B267" s="118" t="s">
        <v>83</v>
      </c>
      <c r="C267" s="53" t="s">
        <v>62</v>
      </c>
      <c r="D267" s="135"/>
      <c r="E267" s="138"/>
      <c r="F267" s="55">
        <f t="shared" si="68"/>
        <v>612.24</v>
      </c>
      <c r="G267" s="55"/>
      <c r="H267" s="55">
        <v>612.24</v>
      </c>
      <c r="I267" s="55"/>
      <c r="J267" s="55"/>
      <c r="K267" s="55"/>
      <c r="L267" s="55"/>
      <c r="M267" s="55"/>
      <c r="N267" s="55"/>
    </row>
    <row r="268" spans="1:14" ht="64.5" customHeight="1" collapsed="1" x14ac:dyDescent="0.25">
      <c r="A268" s="138"/>
      <c r="B268" s="122" t="s">
        <v>348</v>
      </c>
      <c r="C268" s="53" t="s">
        <v>62</v>
      </c>
      <c r="D268" s="60" t="s">
        <v>56</v>
      </c>
      <c r="E268" s="60" t="s">
        <v>13</v>
      </c>
      <c r="F268" s="50">
        <f>H268</f>
        <v>360</v>
      </c>
      <c r="G268" s="55"/>
      <c r="H268" s="50">
        <f>H269</f>
        <v>360</v>
      </c>
      <c r="I268" s="55"/>
      <c r="J268" s="55"/>
      <c r="K268" s="55"/>
      <c r="L268" s="55"/>
      <c r="M268" s="55"/>
      <c r="N268" s="55"/>
    </row>
    <row r="269" spans="1:14" ht="23.25" hidden="1" customHeight="1" outlineLevel="1" x14ac:dyDescent="0.25">
      <c r="A269" s="138"/>
      <c r="B269" s="118" t="s">
        <v>85</v>
      </c>
      <c r="C269" s="53" t="s">
        <v>62</v>
      </c>
      <c r="D269" s="60" t="s">
        <v>56</v>
      </c>
      <c r="E269" s="60" t="s">
        <v>13</v>
      </c>
      <c r="F269" s="50">
        <f>H269</f>
        <v>360</v>
      </c>
      <c r="G269" s="50"/>
      <c r="H269" s="50">
        <v>360</v>
      </c>
      <c r="I269" s="55"/>
      <c r="J269" s="55"/>
      <c r="K269" s="55"/>
      <c r="L269" s="55"/>
      <c r="M269" s="55"/>
      <c r="N269" s="55"/>
    </row>
    <row r="270" spans="1:14" ht="22.5" customHeight="1" collapsed="1" x14ac:dyDescent="0.25">
      <c r="A270" s="138"/>
      <c r="B270" s="145" t="s">
        <v>349</v>
      </c>
      <c r="C270" s="211" t="s">
        <v>399</v>
      </c>
      <c r="D270" s="212"/>
      <c r="E270" s="213"/>
      <c r="F270" s="108"/>
      <c r="G270" s="109"/>
      <c r="H270" s="108"/>
      <c r="I270" s="50">
        <f>K270</f>
        <v>53592</v>
      </c>
      <c r="J270" s="55"/>
      <c r="K270" s="50">
        <f>K271+K272+K276+K273</f>
        <v>53592</v>
      </c>
      <c r="L270" s="50">
        <f>N270</f>
        <v>64448.5</v>
      </c>
      <c r="M270" s="55"/>
      <c r="N270" s="50">
        <f>N271+N272+N276+N273+N274+N275</f>
        <v>64448.5</v>
      </c>
    </row>
    <row r="271" spans="1:14" ht="32.25" customHeight="1" x14ac:dyDescent="0.25">
      <c r="A271" s="138"/>
      <c r="B271" s="146"/>
      <c r="C271" s="53" t="s">
        <v>62</v>
      </c>
      <c r="D271" s="134" t="s">
        <v>56</v>
      </c>
      <c r="E271" s="134" t="s">
        <v>13</v>
      </c>
      <c r="F271" s="50"/>
      <c r="G271" s="55"/>
      <c r="H271" s="102"/>
      <c r="I271" s="50">
        <f t="shared" ref="I271:I276" si="69">K271</f>
        <v>43650.7</v>
      </c>
      <c r="J271" s="55"/>
      <c r="K271" s="50">
        <f>K277+K279+K280+K282+K278</f>
        <v>43650.7</v>
      </c>
      <c r="L271" s="50">
        <f>M271+N271</f>
        <v>10407.6</v>
      </c>
      <c r="M271" s="55"/>
      <c r="N271" s="50">
        <f>N277+N279+N280+N282+N278</f>
        <v>10407.6</v>
      </c>
    </row>
    <row r="272" spans="1:14" ht="21.75" customHeight="1" x14ac:dyDescent="0.25">
      <c r="A272" s="138"/>
      <c r="B272" s="146"/>
      <c r="C272" s="53" t="s">
        <v>57</v>
      </c>
      <c r="D272" s="142"/>
      <c r="E272" s="142"/>
      <c r="F272" s="50"/>
      <c r="G272" s="55"/>
      <c r="H272" s="102"/>
      <c r="I272" s="50">
        <f t="shared" si="69"/>
        <v>8841.2999999999993</v>
      </c>
      <c r="J272" s="55"/>
      <c r="K272" s="50">
        <f>K283</f>
        <v>8841.2999999999993</v>
      </c>
      <c r="L272" s="50">
        <f t="shared" ref="L272:L276" si="70">M272+N272</f>
        <v>1638.2</v>
      </c>
      <c r="M272" s="55"/>
      <c r="N272" s="50">
        <f>N283</f>
        <v>1638.2</v>
      </c>
    </row>
    <row r="273" spans="1:14" ht="17.25" customHeight="1" x14ac:dyDescent="0.25">
      <c r="A273" s="138"/>
      <c r="B273" s="146"/>
      <c r="C273" s="53" t="s">
        <v>62</v>
      </c>
      <c r="D273" s="142"/>
      <c r="E273" s="142"/>
      <c r="F273" s="50"/>
      <c r="G273" s="55"/>
      <c r="H273" s="102"/>
      <c r="I273" s="50">
        <f>K273</f>
        <v>200</v>
      </c>
      <c r="J273" s="55"/>
      <c r="K273" s="50">
        <f>K281</f>
        <v>200</v>
      </c>
      <c r="L273" s="50">
        <f t="shared" si="70"/>
        <v>0</v>
      </c>
      <c r="M273" s="55"/>
      <c r="N273" s="50">
        <f>N281</f>
        <v>0</v>
      </c>
    </row>
    <row r="274" spans="1:14" ht="17.25" customHeight="1" x14ac:dyDescent="0.25">
      <c r="A274" s="138"/>
      <c r="B274" s="146"/>
      <c r="C274" s="116" t="s">
        <v>392</v>
      </c>
      <c r="D274" s="142"/>
      <c r="E274" s="135"/>
      <c r="F274" s="50"/>
      <c r="G274" s="55"/>
      <c r="H274" s="102"/>
      <c r="I274" s="50"/>
      <c r="J274" s="55"/>
      <c r="K274" s="50"/>
      <c r="L274" s="50">
        <f>N274</f>
        <v>9417.5</v>
      </c>
      <c r="M274" s="55"/>
      <c r="N274" s="50">
        <f>N284</f>
        <v>9417.5</v>
      </c>
    </row>
    <row r="275" spans="1:14" ht="17.25" customHeight="1" x14ac:dyDescent="0.25">
      <c r="A275" s="138"/>
      <c r="B275" s="146"/>
      <c r="C275" s="116" t="s">
        <v>393</v>
      </c>
      <c r="D275" s="135"/>
      <c r="E275" s="60" t="s">
        <v>394</v>
      </c>
      <c r="F275" s="50"/>
      <c r="G275" s="55"/>
      <c r="H275" s="102"/>
      <c r="I275" s="50"/>
      <c r="J275" s="55"/>
      <c r="K275" s="50"/>
      <c r="L275" s="50">
        <f>N275</f>
        <v>31936.6</v>
      </c>
      <c r="M275" s="55"/>
      <c r="N275" s="50">
        <f>N285</f>
        <v>31936.6</v>
      </c>
    </row>
    <row r="276" spans="1:14" ht="111.75" customHeight="1" x14ac:dyDescent="0.25">
      <c r="A276" s="138"/>
      <c r="B276" s="147"/>
      <c r="C276" s="119">
        <v>1517322</v>
      </c>
      <c r="D276" s="62" t="s">
        <v>93</v>
      </c>
      <c r="E276" s="51"/>
      <c r="F276" s="50"/>
      <c r="G276" s="55"/>
      <c r="H276" s="50"/>
      <c r="I276" s="50">
        <f t="shared" si="69"/>
        <v>900</v>
      </c>
      <c r="J276" s="50"/>
      <c r="K276" s="50">
        <f>K286</f>
        <v>900</v>
      </c>
      <c r="L276" s="50">
        <f t="shared" si="70"/>
        <v>11048.6</v>
      </c>
      <c r="M276" s="55"/>
      <c r="N276" s="50">
        <f>N286</f>
        <v>11048.6</v>
      </c>
    </row>
    <row r="277" spans="1:14" ht="38.450000000000003" hidden="1" customHeight="1" outlineLevel="1" x14ac:dyDescent="0.25">
      <c r="A277" s="138"/>
      <c r="B277" s="118" t="s">
        <v>63</v>
      </c>
      <c r="C277" s="53" t="s">
        <v>62</v>
      </c>
      <c r="D277" s="134" t="s">
        <v>56</v>
      </c>
      <c r="E277" s="134" t="s">
        <v>13</v>
      </c>
      <c r="F277" s="50"/>
      <c r="G277" s="55"/>
      <c r="H277" s="102"/>
      <c r="I277" s="55">
        <f>K277</f>
        <v>13167.1</v>
      </c>
      <c r="J277" s="55"/>
      <c r="K277" s="55">
        <v>13167.1</v>
      </c>
      <c r="L277" s="50">
        <f>M277+N277</f>
        <v>0</v>
      </c>
      <c r="M277" s="55"/>
      <c r="N277" s="55"/>
    </row>
    <row r="278" spans="1:14" ht="25.5" hidden="1" customHeight="1" outlineLevel="1" x14ac:dyDescent="0.25">
      <c r="A278" s="138"/>
      <c r="B278" s="118" t="s">
        <v>86</v>
      </c>
      <c r="C278" s="53" t="s">
        <v>331</v>
      </c>
      <c r="D278" s="142"/>
      <c r="E278" s="142"/>
      <c r="F278" s="50"/>
      <c r="G278" s="55"/>
      <c r="H278" s="102"/>
      <c r="I278" s="55"/>
      <c r="J278" s="55"/>
      <c r="K278" s="55"/>
      <c r="L278" s="50">
        <f>M278+N278</f>
        <v>0</v>
      </c>
      <c r="M278" s="55"/>
      <c r="N278" s="50">
        <f>500-500</f>
        <v>0</v>
      </c>
    </row>
    <row r="279" spans="1:14" ht="15.75" hidden="1" outlineLevel="1" x14ac:dyDescent="0.25">
      <c r="A279" s="138"/>
      <c r="B279" s="118" t="s">
        <v>87</v>
      </c>
      <c r="C279" s="53" t="s">
        <v>62</v>
      </c>
      <c r="D279" s="142"/>
      <c r="E279" s="142"/>
      <c r="F279" s="50"/>
      <c r="G279" s="55"/>
      <c r="H279" s="102"/>
      <c r="I279" s="55">
        <f t="shared" ref="I279:I283" si="71">K279</f>
        <v>6562.1</v>
      </c>
      <c r="J279" s="55"/>
      <c r="K279" s="55">
        <v>6562.1</v>
      </c>
      <c r="L279" s="50">
        <f t="shared" ref="L279:L286" si="72">M279+N279</f>
        <v>0</v>
      </c>
      <c r="M279" s="55"/>
      <c r="N279" s="55"/>
    </row>
    <row r="280" spans="1:14" ht="31.5" hidden="1" outlineLevel="1" x14ac:dyDescent="0.25">
      <c r="A280" s="138"/>
      <c r="B280" s="118" t="s">
        <v>85</v>
      </c>
      <c r="C280" s="53" t="s">
        <v>62</v>
      </c>
      <c r="D280" s="142"/>
      <c r="E280" s="142"/>
      <c r="F280" s="50"/>
      <c r="G280" s="55"/>
      <c r="H280" s="102"/>
      <c r="I280" s="55">
        <f t="shared" si="71"/>
        <v>18830.5</v>
      </c>
      <c r="J280" s="55"/>
      <c r="K280" s="55">
        <f>17696.4+375+759.1</f>
        <v>18830.5</v>
      </c>
      <c r="L280" s="50">
        <f t="shared" si="72"/>
        <v>10407.6</v>
      </c>
      <c r="M280" s="55"/>
      <c r="N280" s="50">
        <f>8000+2407.6</f>
        <v>10407.6</v>
      </c>
    </row>
    <row r="281" spans="1:14" ht="31.5" hidden="1" outlineLevel="1" x14ac:dyDescent="0.25">
      <c r="A281" s="138"/>
      <c r="B281" s="118" t="s">
        <v>89</v>
      </c>
      <c r="C281" s="53" t="s">
        <v>71</v>
      </c>
      <c r="D281" s="142"/>
      <c r="E281" s="142"/>
      <c r="F281" s="50"/>
      <c r="G281" s="55"/>
      <c r="H281" s="102"/>
      <c r="I281" s="55">
        <f>K281</f>
        <v>200</v>
      </c>
      <c r="J281" s="55"/>
      <c r="K281" s="55">
        <v>200</v>
      </c>
      <c r="L281" s="50">
        <f t="shared" si="72"/>
        <v>0</v>
      </c>
      <c r="M281" s="55"/>
      <c r="N281" s="55"/>
    </row>
    <row r="282" spans="1:14" ht="31.5" hidden="1" outlineLevel="1" x14ac:dyDescent="0.25">
      <c r="A282" s="138"/>
      <c r="B282" s="118" t="s">
        <v>83</v>
      </c>
      <c r="C282" s="53" t="s">
        <v>62</v>
      </c>
      <c r="D282" s="142"/>
      <c r="E282" s="142"/>
      <c r="F282" s="50"/>
      <c r="G282" s="55"/>
      <c r="H282" s="102"/>
      <c r="I282" s="55">
        <f t="shared" si="71"/>
        <v>5091</v>
      </c>
      <c r="J282" s="55"/>
      <c r="K282" s="123">
        <v>5091</v>
      </c>
      <c r="L282" s="123">
        <f t="shared" si="72"/>
        <v>0</v>
      </c>
      <c r="M282" s="55"/>
      <c r="N282" s="55"/>
    </row>
    <row r="283" spans="1:14" ht="30.75" hidden="1" customHeight="1" outlineLevel="1" x14ac:dyDescent="0.25">
      <c r="A283" s="138"/>
      <c r="B283" s="118" t="s">
        <v>96</v>
      </c>
      <c r="C283" s="53" t="s">
        <v>57</v>
      </c>
      <c r="D283" s="142"/>
      <c r="E283" s="142"/>
      <c r="F283" s="50"/>
      <c r="G283" s="55"/>
      <c r="H283" s="102"/>
      <c r="I283" s="55">
        <f t="shared" si="71"/>
        <v>8841.2999999999993</v>
      </c>
      <c r="J283" s="55"/>
      <c r="K283" s="123">
        <v>8841.2999999999993</v>
      </c>
      <c r="L283" s="123">
        <f t="shared" si="72"/>
        <v>1638.2</v>
      </c>
      <c r="M283" s="124"/>
      <c r="N283" s="123">
        <v>1638.2</v>
      </c>
    </row>
    <row r="284" spans="1:14" ht="30.75" hidden="1" customHeight="1" outlineLevel="1" x14ac:dyDescent="0.25">
      <c r="A284" s="138"/>
      <c r="B284" s="118" t="s">
        <v>83</v>
      </c>
      <c r="C284" s="116" t="s">
        <v>392</v>
      </c>
      <c r="D284" s="142"/>
      <c r="E284" s="135"/>
      <c r="F284" s="50"/>
      <c r="G284" s="55"/>
      <c r="H284" s="102"/>
      <c r="I284" s="55"/>
      <c r="J284" s="55"/>
      <c r="K284" s="123"/>
      <c r="L284" s="123">
        <f>N284</f>
        <v>9417.5</v>
      </c>
      <c r="M284" s="124"/>
      <c r="N284" s="123">
        <f>8596.5+821</f>
        <v>9417.5</v>
      </c>
    </row>
    <row r="285" spans="1:14" ht="30.75" hidden="1" customHeight="1" outlineLevel="1" x14ac:dyDescent="0.25">
      <c r="A285" s="138"/>
      <c r="B285" s="118" t="s">
        <v>83</v>
      </c>
      <c r="C285" s="116" t="s">
        <v>393</v>
      </c>
      <c r="D285" s="135"/>
      <c r="E285" s="60" t="s">
        <v>394</v>
      </c>
      <c r="F285" s="50"/>
      <c r="G285" s="55"/>
      <c r="H285" s="102"/>
      <c r="I285" s="55"/>
      <c r="J285" s="55"/>
      <c r="K285" s="123"/>
      <c r="L285" s="123">
        <f>N285</f>
        <v>31936.6</v>
      </c>
      <c r="M285" s="124"/>
      <c r="N285" s="123">
        <v>31936.6</v>
      </c>
    </row>
    <row r="286" spans="1:14" ht="35.25" hidden="1" customHeight="1" outlineLevel="1" x14ac:dyDescent="0.25">
      <c r="A286" s="138"/>
      <c r="B286" s="51" t="s">
        <v>414</v>
      </c>
      <c r="C286" s="51">
        <v>1517322</v>
      </c>
      <c r="D286" s="60" t="s">
        <v>93</v>
      </c>
      <c r="E286" s="60" t="s">
        <v>13</v>
      </c>
      <c r="F286" s="50"/>
      <c r="G286" s="50"/>
      <c r="H286" s="50"/>
      <c r="I286" s="55">
        <f>K286</f>
        <v>900</v>
      </c>
      <c r="J286" s="55"/>
      <c r="K286" s="125">
        <f>2400-1500</f>
        <v>900</v>
      </c>
      <c r="L286" s="123">
        <f t="shared" si="72"/>
        <v>11048.6</v>
      </c>
      <c r="M286" s="124"/>
      <c r="N286" s="125">
        <f>8000+2148.6+900</f>
        <v>11048.6</v>
      </c>
    </row>
    <row r="287" spans="1:14" ht="16.5" customHeight="1" collapsed="1" x14ac:dyDescent="0.25">
      <c r="A287" s="151" t="s">
        <v>313</v>
      </c>
      <c r="B287" s="151"/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</row>
    <row r="288" spans="1:14" ht="30.75" hidden="1" customHeight="1" x14ac:dyDescent="0.25">
      <c r="A288" s="181" t="s">
        <v>307</v>
      </c>
      <c r="B288" s="205"/>
      <c r="C288" s="205"/>
      <c r="D288" s="182"/>
      <c r="E288" s="126" t="s">
        <v>279</v>
      </c>
      <c r="F288" s="127">
        <f>F289+F290+F291+F292</f>
        <v>1257991.2</v>
      </c>
      <c r="G288" s="127">
        <f t="shared" ref="G288:N288" si="73">G289+G290+G291+G292</f>
        <v>818.4</v>
      </c>
      <c r="H288" s="127"/>
      <c r="I288" s="127">
        <f t="shared" si="73"/>
        <v>1198318</v>
      </c>
      <c r="J288" s="127">
        <f t="shared" si="73"/>
        <v>1281.7</v>
      </c>
      <c r="K288" s="127">
        <f t="shared" si="73"/>
        <v>17141.900000000001</v>
      </c>
      <c r="L288" s="127">
        <f t="shared" si="73"/>
        <v>1352257.7</v>
      </c>
      <c r="M288" s="127">
        <f t="shared" si="73"/>
        <v>653.4</v>
      </c>
      <c r="N288" s="127">
        <f t="shared" si="73"/>
        <v>32000</v>
      </c>
    </row>
    <row r="289" spans="1:15" ht="30.75" hidden="1" customHeight="1" x14ac:dyDescent="0.25">
      <c r="A289" s="183"/>
      <c r="B289" s="206"/>
      <c r="C289" s="206"/>
      <c r="D289" s="184"/>
      <c r="E289" s="89" t="s">
        <v>13</v>
      </c>
      <c r="F289" s="89">
        <f>F293+F296</f>
        <v>818.4</v>
      </c>
      <c r="G289" s="89">
        <f>G293+G296</f>
        <v>818.4</v>
      </c>
      <c r="H289" s="89"/>
      <c r="I289" s="89">
        <f t="shared" ref="I289:N289" si="74">I293+I296</f>
        <v>14223.599999999999</v>
      </c>
      <c r="J289" s="89">
        <f t="shared" si="74"/>
        <v>1281.7</v>
      </c>
      <c r="K289" s="89">
        <f t="shared" si="74"/>
        <v>12941.9</v>
      </c>
      <c r="L289" s="89">
        <f>L293+L296</f>
        <v>32653.4</v>
      </c>
      <c r="M289" s="89">
        <f t="shared" si="74"/>
        <v>653.4</v>
      </c>
      <c r="N289" s="89">
        <f t="shared" si="74"/>
        <v>32000</v>
      </c>
    </row>
    <row r="290" spans="1:15" ht="48.75" hidden="1" customHeight="1" x14ac:dyDescent="0.25">
      <c r="A290" s="183"/>
      <c r="B290" s="206"/>
      <c r="C290" s="206"/>
      <c r="D290" s="184"/>
      <c r="E290" s="62" t="s">
        <v>301</v>
      </c>
      <c r="F290" s="89"/>
      <c r="G290" s="89"/>
      <c r="H290" s="89"/>
      <c r="I290" s="89">
        <f t="shared" ref="I290:K290" si="75">I297</f>
        <v>4200</v>
      </c>
      <c r="J290" s="89"/>
      <c r="K290" s="89">
        <f t="shared" si="75"/>
        <v>4200</v>
      </c>
      <c r="L290" s="89"/>
      <c r="M290" s="89"/>
      <c r="N290" s="89"/>
    </row>
    <row r="291" spans="1:15" ht="30.75" hidden="1" customHeight="1" x14ac:dyDescent="0.25">
      <c r="A291" s="183"/>
      <c r="B291" s="206"/>
      <c r="C291" s="206"/>
      <c r="D291" s="184"/>
      <c r="E291" s="89" t="s">
        <v>304</v>
      </c>
      <c r="F291" s="128">
        <f>F304</f>
        <v>1199286.8</v>
      </c>
      <c r="G291" s="128"/>
      <c r="H291" s="128"/>
      <c r="I291" s="128">
        <f t="shared" ref="I291:L291" si="76">I304</f>
        <v>1113517.3999999999</v>
      </c>
      <c r="J291" s="128"/>
      <c r="K291" s="128"/>
      <c r="L291" s="128">
        <f t="shared" si="76"/>
        <v>1239215.2</v>
      </c>
      <c r="M291" s="128"/>
      <c r="N291" s="128"/>
    </row>
    <row r="292" spans="1:15" ht="30.75" hidden="1" customHeight="1" x14ac:dyDescent="0.25">
      <c r="A292" s="185"/>
      <c r="B292" s="207"/>
      <c r="C292" s="207"/>
      <c r="D292" s="186"/>
      <c r="E292" s="60" t="s">
        <v>306</v>
      </c>
      <c r="F292" s="128">
        <f>F314</f>
        <v>57886</v>
      </c>
      <c r="G292" s="128"/>
      <c r="H292" s="128"/>
      <c r="I292" s="128">
        <f t="shared" ref="I292:L292" si="77">I314</f>
        <v>66377</v>
      </c>
      <c r="J292" s="128"/>
      <c r="K292" s="128"/>
      <c r="L292" s="128">
        <f t="shared" si="77"/>
        <v>80389.099999999991</v>
      </c>
      <c r="M292" s="128"/>
      <c r="N292" s="128"/>
    </row>
    <row r="293" spans="1:15" ht="54" hidden="1" customHeight="1" x14ac:dyDescent="0.25">
      <c r="A293" s="119" t="s">
        <v>280</v>
      </c>
      <c r="B293" s="196" t="s">
        <v>297</v>
      </c>
      <c r="C293" s="196"/>
      <c r="D293" s="196"/>
      <c r="E293" s="60" t="s">
        <v>13</v>
      </c>
      <c r="F293" s="102">
        <f>F294+F295</f>
        <v>653.4</v>
      </c>
      <c r="G293" s="102">
        <f>G294+G295</f>
        <v>653.4</v>
      </c>
      <c r="H293" s="102"/>
      <c r="I293" s="102">
        <f>J293</f>
        <v>653.4</v>
      </c>
      <c r="J293" s="102">
        <f>J294+J295</f>
        <v>653.4</v>
      </c>
      <c r="K293" s="102"/>
      <c r="L293" s="102">
        <f>M293</f>
        <v>653.4</v>
      </c>
      <c r="M293" s="102">
        <f>M294+M295</f>
        <v>653.4</v>
      </c>
      <c r="N293" s="102"/>
      <c r="O293" s="91">
        <f>F293+I293+L293</f>
        <v>1960.1999999999998</v>
      </c>
    </row>
    <row r="294" spans="1:15" ht="33.75" hidden="1" customHeight="1" outlineLevel="1" x14ac:dyDescent="0.25">
      <c r="A294" s="187"/>
      <c r="B294" s="197" t="s">
        <v>86</v>
      </c>
      <c r="C294" s="198"/>
      <c r="D294" s="199"/>
      <c r="E294" s="203" t="s">
        <v>13</v>
      </c>
      <c r="F294" s="61">
        <f>G294</f>
        <v>163.4</v>
      </c>
      <c r="G294" s="61">
        <v>163.4</v>
      </c>
      <c r="H294" s="61"/>
      <c r="I294" s="61">
        <f>J294</f>
        <v>163.4</v>
      </c>
      <c r="J294" s="61">
        <v>163.4</v>
      </c>
      <c r="K294" s="61"/>
      <c r="L294" s="61">
        <f>M294</f>
        <v>163.4</v>
      </c>
      <c r="M294" s="61">
        <v>163.4</v>
      </c>
      <c r="N294" s="61"/>
    </row>
    <row r="295" spans="1:15" ht="33.75" hidden="1" customHeight="1" outlineLevel="1" x14ac:dyDescent="0.25">
      <c r="A295" s="189"/>
      <c r="B295" s="197" t="s">
        <v>89</v>
      </c>
      <c r="C295" s="198"/>
      <c r="D295" s="199"/>
      <c r="E295" s="204"/>
      <c r="F295" s="61">
        <f>G295</f>
        <v>490</v>
      </c>
      <c r="G295" s="61">
        <v>490</v>
      </c>
      <c r="H295" s="61"/>
      <c r="I295" s="61">
        <f>J295</f>
        <v>490</v>
      </c>
      <c r="J295" s="61">
        <v>490</v>
      </c>
      <c r="K295" s="61"/>
      <c r="L295" s="61">
        <f>M295</f>
        <v>490</v>
      </c>
      <c r="M295" s="61">
        <v>490</v>
      </c>
      <c r="N295" s="61"/>
    </row>
    <row r="296" spans="1:15" ht="23.25" hidden="1" customHeight="1" collapsed="1" x14ac:dyDescent="0.25">
      <c r="A296" s="145" t="s">
        <v>281</v>
      </c>
      <c r="B296" s="217" t="s">
        <v>298</v>
      </c>
      <c r="C296" s="218"/>
      <c r="D296" s="219"/>
      <c r="E296" s="89" t="s">
        <v>13</v>
      </c>
      <c r="F296" s="61">
        <f>F298+F299+F300+F301+F302</f>
        <v>165</v>
      </c>
      <c r="G296" s="61">
        <f>G298+G299+G300+G301+G302</f>
        <v>165</v>
      </c>
      <c r="H296" s="61"/>
      <c r="I296" s="61">
        <f t="shared" ref="I296:N296" si="78">I298+I299+I300+I301+I302</f>
        <v>13570.199999999999</v>
      </c>
      <c r="J296" s="61">
        <f t="shared" si="78"/>
        <v>628.30000000000007</v>
      </c>
      <c r="K296" s="61">
        <f t="shared" si="78"/>
        <v>12941.9</v>
      </c>
      <c r="L296" s="61">
        <f t="shared" si="78"/>
        <v>32000</v>
      </c>
      <c r="M296" s="61"/>
      <c r="N296" s="61">
        <f t="shared" si="78"/>
        <v>32000</v>
      </c>
      <c r="O296" s="129">
        <f>F296+I296+L296+I297</f>
        <v>49935.199999999997</v>
      </c>
    </row>
    <row r="297" spans="1:15" ht="26.25" hidden="1" customHeight="1" x14ac:dyDescent="0.25">
      <c r="A297" s="147"/>
      <c r="B297" s="220"/>
      <c r="C297" s="221"/>
      <c r="D297" s="222"/>
      <c r="E297" s="62" t="s">
        <v>301</v>
      </c>
      <c r="F297" s="61"/>
      <c r="G297" s="61"/>
      <c r="H297" s="61"/>
      <c r="I297" s="61">
        <f>I303</f>
        <v>4200</v>
      </c>
      <c r="J297" s="61"/>
      <c r="K297" s="61">
        <f>K303</f>
        <v>4200</v>
      </c>
      <c r="L297" s="61"/>
      <c r="M297" s="61"/>
      <c r="N297" s="61"/>
      <c r="O297" s="130"/>
    </row>
    <row r="298" spans="1:15" ht="15.75" hidden="1" outlineLevel="1" x14ac:dyDescent="0.25">
      <c r="A298" s="187"/>
      <c r="B298" s="197" t="s">
        <v>63</v>
      </c>
      <c r="C298" s="198"/>
      <c r="D298" s="199"/>
      <c r="E298" s="134" t="s">
        <v>13</v>
      </c>
      <c r="F298" s="61">
        <f>G298+H298</f>
        <v>0</v>
      </c>
      <c r="G298" s="61"/>
      <c r="H298" s="61"/>
      <c r="I298" s="61">
        <f>J298+K298</f>
        <v>1035.5999999999999</v>
      </c>
      <c r="J298" s="61">
        <v>285.60000000000002</v>
      </c>
      <c r="K298" s="61">
        <v>750</v>
      </c>
      <c r="L298" s="61">
        <f>M298+N298</f>
        <v>4000</v>
      </c>
      <c r="M298" s="61"/>
      <c r="N298" s="61">
        <v>4000</v>
      </c>
    </row>
    <row r="299" spans="1:15" ht="15.75" hidden="1" outlineLevel="1" x14ac:dyDescent="0.25">
      <c r="A299" s="188"/>
      <c r="B299" s="197" t="s">
        <v>299</v>
      </c>
      <c r="C299" s="198"/>
      <c r="D299" s="199"/>
      <c r="E299" s="142"/>
      <c r="F299" s="61">
        <f t="shared" ref="F299:F302" si="79">G299+H299</f>
        <v>54.1</v>
      </c>
      <c r="G299" s="61">
        <v>54.1</v>
      </c>
      <c r="H299" s="61"/>
      <c r="I299" s="61">
        <f t="shared" ref="I299:I303" si="80">J299+K299</f>
        <v>41.2</v>
      </c>
      <c r="J299" s="61">
        <v>41.2</v>
      </c>
      <c r="K299" s="61"/>
      <c r="L299" s="61">
        <f t="shared" ref="L299:L302" si="81">M299+N299</f>
        <v>17000</v>
      </c>
      <c r="M299" s="61"/>
      <c r="N299" s="61">
        <v>17000</v>
      </c>
    </row>
    <row r="300" spans="1:15" ht="15.75" hidden="1" outlineLevel="1" x14ac:dyDescent="0.25">
      <c r="A300" s="188"/>
      <c r="B300" s="197" t="s">
        <v>300</v>
      </c>
      <c r="C300" s="198"/>
      <c r="D300" s="199"/>
      <c r="E300" s="142"/>
      <c r="F300" s="61">
        <f t="shared" si="79"/>
        <v>0</v>
      </c>
      <c r="G300" s="61"/>
      <c r="H300" s="61"/>
      <c r="I300" s="61">
        <f t="shared" si="80"/>
        <v>285.60000000000002</v>
      </c>
      <c r="J300" s="61">
        <v>285.60000000000002</v>
      </c>
      <c r="K300" s="61"/>
      <c r="L300" s="61">
        <f t="shared" si="81"/>
        <v>6000</v>
      </c>
      <c r="M300" s="61"/>
      <c r="N300" s="61">
        <v>6000</v>
      </c>
    </row>
    <row r="301" spans="1:15" ht="15.75" hidden="1" outlineLevel="1" x14ac:dyDescent="0.25">
      <c r="A301" s="188"/>
      <c r="B301" s="200" t="s">
        <v>88</v>
      </c>
      <c r="C301" s="201"/>
      <c r="D301" s="202"/>
      <c r="E301" s="142"/>
      <c r="F301" s="61">
        <f t="shared" si="79"/>
        <v>64.099999999999994</v>
      </c>
      <c r="G301" s="61">
        <v>64.099999999999994</v>
      </c>
      <c r="H301" s="61"/>
      <c r="I301" s="61">
        <f t="shared" si="80"/>
        <v>10832.699999999999</v>
      </c>
      <c r="J301" s="61">
        <v>7.9</v>
      </c>
      <c r="K301" s="61">
        <v>10824.8</v>
      </c>
      <c r="L301" s="61">
        <f t="shared" si="81"/>
        <v>0</v>
      </c>
      <c r="M301" s="61"/>
      <c r="N301" s="61"/>
    </row>
    <row r="302" spans="1:15" ht="15.75" hidden="1" outlineLevel="1" x14ac:dyDescent="0.25">
      <c r="A302" s="188"/>
      <c r="B302" s="190" t="s">
        <v>85</v>
      </c>
      <c r="C302" s="191"/>
      <c r="D302" s="192"/>
      <c r="E302" s="135"/>
      <c r="F302" s="61">
        <f t="shared" si="79"/>
        <v>46.8</v>
      </c>
      <c r="G302" s="61">
        <v>46.8</v>
      </c>
      <c r="H302" s="61"/>
      <c r="I302" s="61">
        <f t="shared" si="80"/>
        <v>1375.1</v>
      </c>
      <c r="J302" s="61">
        <v>8</v>
      </c>
      <c r="K302" s="61">
        <v>1367.1</v>
      </c>
      <c r="L302" s="61">
        <f t="shared" si="81"/>
        <v>5000</v>
      </c>
      <c r="M302" s="61"/>
      <c r="N302" s="61">
        <v>5000</v>
      </c>
    </row>
    <row r="303" spans="1:15" ht="49.5" hidden="1" customHeight="1" outlineLevel="1" x14ac:dyDescent="0.25">
      <c r="A303" s="189"/>
      <c r="B303" s="193"/>
      <c r="C303" s="194"/>
      <c r="D303" s="195"/>
      <c r="E303" s="60" t="s">
        <v>301</v>
      </c>
      <c r="F303" s="61"/>
      <c r="G303" s="61"/>
      <c r="H303" s="61"/>
      <c r="I303" s="61">
        <f t="shared" si="80"/>
        <v>4200</v>
      </c>
      <c r="J303" s="61"/>
      <c r="K303" s="61">
        <v>4200</v>
      </c>
      <c r="L303" s="61"/>
      <c r="M303" s="61"/>
      <c r="N303" s="61"/>
    </row>
    <row r="304" spans="1:15" ht="33.75" customHeight="1" collapsed="1" x14ac:dyDescent="0.25">
      <c r="A304" s="119" t="s">
        <v>280</v>
      </c>
      <c r="B304" s="214" t="s">
        <v>302</v>
      </c>
      <c r="C304" s="215"/>
      <c r="D304" s="216"/>
      <c r="E304" s="89" t="s">
        <v>304</v>
      </c>
      <c r="F304" s="131">
        <f>F305+F306+F307+F308+F309+F310+F311+F312+F313</f>
        <v>1199286.8</v>
      </c>
      <c r="G304" s="61"/>
      <c r="H304" s="61"/>
      <c r="I304" s="131">
        <v>1113517.3999999999</v>
      </c>
      <c r="J304" s="61"/>
      <c r="K304" s="61"/>
      <c r="L304" s="131">
        <f>L305+L306+L307+L308+L309+L310+L311+L312+L313</f>
        <v>1239215.2</v>
      </c>
      <c r="M304" s="61"/>
      <c r="N304" s="61"/>
      <c r="O304" s="76">
        <f>F304+I304+L304</f>
        <v>3552019.4000000004</v>
      </c>
    </row>
    <row r="305" spans="1:15" ht="22.5" hidden="1" customHeight="1" outlineLevel="1" x14ac:dyDescent="0.25">
      <c r="A305" s="187"/>
      <c r="B305" s="152" t="s">
        <v>63</v>
      </c>
      <c r="C305" s="153"/>
      <c r="D305" s="154"/>
      <c r="E305" s="134" t="s">
        <v>304</v>
      </c>
      <c r="F305" s="131">
        <v>290904.7</v>
      </c>
      <c r="G305" s="61"/>
      <c r="H305" s="61"/>
      <c r="I305" s="61">
        <v>311178.59999999998</v>
      </c>
      <c r="J305" s="61"/>
      <c r="K305" s="61"/>
      <c r="L305" s="61">
        <v>381419.4</v>
      </c>
      <c r="M305" s="61"/>
      <c r="N305" s="61"/>
    </row>
    <row r="306" spans="1:15" ht="15.75" hidden="1" outlineLevel="1" x14ac:dyDescent="0.25">
      <c r="A306" s="188"/>
      <c r="B306" s="152" t="s">
        <v>86</v>
      </c>
      <c r="C306" s="153"/>
      <c r="D306" s="154"/>
      <c r="E306" s="142"/>
      <c r="F306" s="61">
        <v>98845.8</v>
      </c>
      <c r="G306" s="61"/>
      <c r="H306" s="61"/>
      <c r="I306" s="61">
        <v>79945.600000000006</v>
      </c>
      <c r="J306" s="61"/>
      <c r="K306" s="61"/>
      <c r="L306" s="61">
        <v>57740.9</v>
      </c>
      <c r="M306" s="61"/>
      <c r="N306" s="61"/>
    </row>
    <row r="307" spans="1:15" ht="15.75" hidden="1" outlineLevel="1" x14ac:dyDescent="0.25">
      <c r="A307" s="188"/>
      <c r="B307" s="152" t="s">
        <v>87</v>
      </c>
      <c r="C307" s="153"/>
      <c r="D307" s="154"/>
      <c r="E307" s="142"/>
      <c r="F307" s="61">
        <v>280810.3</v>
      </c>
      <c r="G307" s="61"/>
      <c r="H307" s="61"/>
      <c r="I307" s="61">
        <v>250237.6</v>
      </c>
      <c r="J307" s="61"/>
      <c r="K307" s="61"/>
      <c r="L307" s="61">
        <v>298850</v>
      </c>
      <c r="M307" s="61"/>
      <c r="N307" s="61"/>
    </row>
    <row r="308" spans="1:15" ht="22.5" hidden="1" customHeight="1" outlineLevel="1" x14ac:dyDescent="0.25">
      <c r="A308" s="188"/>
      <c r="B308" s="152" t="s">
        <v>85</v>
      </c>
      <c r="C308" s="153"/>
      <c r="D308" s="154"/>
      <c r="E308" s="142"/>
      <c r="F308" s="61">
        <v>67676.7</v>
      </c>
      <c r="G308" s="61"/>
      <c r="H308" s="61"/>
      <c r="I308" s="61">
        <v>76492.100000000006</v>
      </c>
      <c r="J308" s="61"/>
      <c r="K308" s="61"/>
      <c r="L308" s="61">
        <v>79555.600000000006</v>
      </c>
      <c r="M308" s="61"/>
      <c r="N308" s="61"/>
    </row>
    <row r="309" spans="1:15" ht="22.5" hidden="1" customHeight="1" outlineLevel="1" x14ac:dyDescent="0.25">
      <c r="A309" s="188"/>
      <c r="B309" s="152" t="s">
        <v>88</v>
      </c>
      <c r="C309" s="153"/>
      <c r="D309" s="154"/>
      <c r="E309" s="142"/>
      <c r="F309" s="61">
        <v>103368.3</v>
      </c>
      <c r="G309" s="61"/>
      <c r="H309" s="61"/>
      <c r="I309" s="61">
        <v>79727.399999999994</v>
      </c>
      <c r="J309" s="61"/>
      <c r="K309" s="61"/>
      <c r="L309" s="61">
        <v>79502.8</v>
      </c>
      <c r="M309" s="61"/>
      <c r="N309" s="61"/>
    </row>
    <row r="310" spans="1:15" ht="22.5" hidden="1" customHeight="1" outlineLevel="1" x14ac:dyDescent="0.25">
      <c r="A310" s="188"/>
      <c r="B310" s="152" t="s">
        <v>89</v>
      </c>
      <c r="C310" s="153"/>
      <c r="D310" s="154"/>
      <c r="E310" s="142"/>
      <c r="F310" s="61">
        <v>303.10000000000002</v>
      </c>
      <c r="G310" s="61"/>
      <c r="H310" s="61"/>
      <c r="I310" s="61">
        <v>102.6</v>
      </c>
      <c r="J310" s="61"/>
      <c r="K310" s="61"/>
      <c r="L310" s="61">
        <v>2141</v>
      </c>
      <c r="M310" s="61"/>
      <c r="N310" s="61"/>
    </row>
    <row r="311" spans="1:15" ht="22.5" hidden="1" customHeight="1" outlineLevel="1" x14ac:dyDescent="0.25">
      <c r="A311" s="188"/>
      <c r="B311" s="152" t="s">
        <v>83</v>
      </c>
      <c r="C311" s="153"/>
      <c r="D311" s="154"/>
      <c r="E311" s="142"/>
      <c r="F311" s="61">
        <v>163191.70000000001</v>
      </c>
      <c r="G311" s="61"/>
      <c r="H311" s="61"/>
      <c r="I311" s="61">
        <v>155919.70000000001</v>
      </c>
      <c r="J311" s="61"/>
      <c r="K311" s="61"/>
      <c r="L311" s="61">
        <v>193702.8</v>
      </c>
      <c r="M311" s="61"/>
      <c r="N311" s="61"/>
    </row>
    <row r="312" spans="1:15" ht="32.25" hidden="1" customHeight="1" outlineLevel="1" x14ac:dyDescent="0.25">
      <c r="A312" s="188"/>
      <c r="B312" s="152" t="s">
        <v>96</v>
      </c>
      <c r="C312" s="153"/>
      <c r="D312" s="154"/>
      <c r="E312" s="142"/>
      <c r="F312" s="61">
        <v>92957.5</v>
      </c>
      <c r="G312" s="61"/>
      <c r="H312" s="61"/>
      <c r="I312" s="61">
        <v>77218.600000000006</v>
      </c>
      <c r="J312" s="61"/>
      <c r="K312" s="61"/>
      <c r="L312" s="61">
        <v>76209.7</v>
      </c>
      <c r="M312" s="61"/>
      <c r="N312" s="61"/>
    </row>
    <row r="313" spans="1:15" ht="22.5" hidden="1" customHeight="1" outlineLevel="1" x14ac:dyDescent="0.25">
      <c r="A313" s="189"/>
      <c r="B313" s="152" t="s">
        <v>303</v>
      </c>
      <c r="C313" s="153"/>
      <c r="D313" s="154"/>
      <c r="E313" s="135"/>
      <c r="F313" s="61">
        <v>101228.7</v>
      </c>
      <c r="G313" s="61"/>
      <c r="H313" s="61"/>
      <c r="I313" s="61">
        <v>73257.2</v>
      </c>
      <c r="J313" s="61"/>
      <c r="K313" s="61"/>
      <c r="L313" s="61">
        <v>70093</v>
      </c>
      <c r="M313" s="61"/>
      <c r="N313" s="61"/>
    </row>
    <row r="314" spans="1:15" ht="47.25" collapsed="1" x14ac:dyDescent="0.25">
      <c r="A314" s="132" t="s">
        <v>281</v>
      </c>
      <c r="B314" s="158" t="s">
        <v>305</v>
      </c>
      <c r="C314" s="159"/>
      <c r="D314" s="160"/>
      <c r="E314" s="60" t="s">
        <v>306</v>
      </c>
      <c r="F314" s="131">
        <f>F315+F316+F317+F318+F319+F320+F321+F322+F323</f>
        <v>57886</v>
      </c>
      <c r="G314" s="61"/>
      <c r="H314" s="61"/>
      <c r="I314" s="131">
        <v>66377</v>
      </c>
      <c r="J314" s="61"/>
      <c r="K314" s="61"/>
      <c r="L314" s="131">
        <f>L315+L316+L317+L318+L319+L320+L321+L322+L323</f>
        <v>80389.099999999991</v>
      </c>
      <c r="M314" s="61"/>
      <c r="N314" s="61"/>
      <c r="O314" s="76">
        <f>F314+I314+L314</f>
        <v>204652.09999999998</v>
      </c>
    </row>
    <row r="315" spans="1:15" ht="24" hidden="1" customHeight="1" outlineLevel="1" x14ac:dyDescent="0.25">
      <c r="A315" s="155"/>
      <c r="B315" s="152" t="s">
        <v>63</v>
      </c>
      <c r="C315" s="153"/>
      <c r="D315" s="154"/>
      <c r="E315" s="139" t="s">
        <v>306</v>
      </c>
      <c r="F315" s="104">
        <v>3345</v>
      </c>
      <c r="G315" s="104"/>
      <c r="H315" s="104"/>
      <c r="I315" s="104">
        <v>11476</v>
      </c>
      <c r="J315" s="104"/>
      <c r="K315" s="104"/>
      <c r="L315" s="104">
        <v>9573.7000000000007</v>
      </c>
      <c r="M315" s="104"/>
      <c r="N315" s="104"/>
    </row>
    <row r="316" spans="1:15" ht="15.75" hidden="1" customHeight="1" outlineLevel="1" x14ac:dyDescent="0.25">
      <c r="A316" s="156"/>
      <c r="B316" s="152" t="s">
        <v>86</v>
      </c>
      <c r="C316" s="153"/>
      <c r="D316" s="154"/>
      <c r="E316" s="140"/>
      <c r="F316" s="104">
        <v>13524.5</v>
      </c>
      <c r="G316" s="104"/>
      <c r="H316" s="104"/>
      <c r="I316" s="104">
        <v>8871.4</v>
      </c>
      <c r="J316" s="104"/>
      <c r="K316" s="104"/>
      <c r="L316" s="104">
        <v>15969.7</v>
      </c>
      <c r="M316" s="104"/>
      <c r="N316" s="104"/>
    </row>
    <row r="317" spans="1:15" ht="15.75" hidden="1" customHeight="1" outlineLevel="1" x14ac:dyDescent="0.25">
      <c r="A317" s="156"/>
      <c r="B317" s="152" t="s">
        <v>87</v>
      </c>
      <c r="C317" s="153"/>
      <c r="D317" s="154"/>
      <c r="E317" s="140"/>
      <c r="F317" s="104">
        <v>4685.3</v>
      </c>
      <c r="G317" s="104"/>
      <c r="H317" s="104"/>
      <c r="I317" s="104">
        <v>3931</v>
      </c>
      <c r="J317" s="104"/>
      <c r="K317" s="104"/>
      <c r="L317" s="104">
        <v>3740.9</v>
      </c>
      <c r="M317" s="104"/>
      <c r="N317" s="104"/>
    </row>
    <row r="318" spans="1:15" ht="24" hidden="1" customHeight="1" outlineLevel="1" x14ac:dyDescent="0.25">
      <c r="A318" s="156"/>
      <c r="B318" s="152" t="s">
        <v>85</v>
      </c>
      <c r="C318" s="153"/>
      <c r="D318" s="154"/>
      <c r="E318" s="140"/>
      <c r="F318" s="104">
        <v>3197.5</v>
      </c>
      <c r="G318" s="104"/>
      <c r="H318" s="104"/>
      <c r="I318" s="104">
        <v>34944.6</v>
      </c>
      <c r="J318" s="104"/>
      <c r="K318" s="104"/>
      <c r="L318" s="104">
        <v>2301.1</v>
      </c>
      <c r="M318" s="104"/>
      <c r="N318" s="104"/>
    </row>
    <row r="319" spans="1:15" ht="24" hidden="1" customHeight="1" outlineLevel="1" x14ac:dyDescent="0.25">
      <c r="A319" s="156"/>
      <c r="B319" s="152" t="s">
        <v>83</v>
      </c>
      <c r="C319" s="153"/>
      <c r="D319" s="154"/>
      <c r="E319" s="140"/>
      <c r="F319" s="104">
        <v>4084</v>
      </c>
      <c r="G319" s="104"/>
      <c r="H319" s="104"/>
      <c r="I319" s="104">
        <v>4000</v>
      </c>
      <c r="J319" s="104"/>
      <c r="K319" s="104"/>
      <c r="L319" s="104">
        <v>10588</v>
      </c>
      <c r="M319" s="104"/>
      <c r="N319" s="104"/>
    </row>
    <row r="320" spans="1:15" ht="24" hidden="1" customHeight="1" outlineLevel="1" x14ac:dyDescent="0.25">
      <c r="A320" s="156"/>
      <c r="B320" s="152" t="s">
        <v>88</v>
      </c>
      <c r="C320" s="153"/>
      <c r="D320" s="154"/>
      <c r="E320" s="140"/>
      <c r="F320" s="104">
        <v>12066.9</v>
      </c>
      <c r="G320" s="104"/>
      <c r="H320" s="104"/>
      <c r="I320" s="104">
        <v>12998.5</v>
      </c>
      <c r="J320" s="104"/>
      <c r="K320" s="104"/>
      <c r="L320" s="104">
        <v>18206.5</v>
      </c>
      <c r="M320" s="104"/>
      <c r="N320" s="104"/>
    </row>
    <row r="321" spans="1:14" ht="24" hidden="1" customHeight="1" outlineLevel="1" x14ac:dyDescent="0.25">
      <c r="A321" s="156"/>
      <c r="B321" s="152" t="s">
        <v>89</v>
      </c>
      <c r="C321" s="153"/>
      <c r="D321" s="154"/>
      <c r="E321" s="140"/>
      <c r="F321" s="104">
        <v>14040.5</v>
      </c>
      <c r="G321" s="104"/>
      <c r="H321" s="104"/>
      <c r="I321" s="104">
        <v>12892.7</v>
      </c>
      <c r="J321" s="104"/>
      <c r="K321" s="104"/>
      <c r="L321" s="104">
        <v>16400.5</v>
      </c>
      <c r="M321" s="104"/>
      <c r="N321" s="104"/>
    </row>
    <row r="322" spans="1:14" ht="24" hidden="1" customHeight="1" outlineLevel="1" x14ac:dyDescent="0.25">
      <c r="A322" s="156"/>
      <c r="B322" s="152" t="s">
        <v>308</v>
      </c>
      <c r="C322" s="153"/>
      <c r="D322" s="154"/>
      <c r="E322" s="140"/>
      <c r="F322" s="104">
        <v>914.5</v>
      </c>
      <c r="G322" s="104"/>
      <c r="H322" s="104"/>
      <c r="I322" s="104">
        <v>923.9</v>
      </c>
      <c r="J322" s="104"/>
      <c r="K322" s="104"/>
      <c r="L322" s="104">
        <v>735.7</v>
      </c>
      <c r="M322" s="104"/>
      <c r="N322" s="104"/>
    </row>
    <row r="323" spans="1:14" ht="24" hidden="1" customHeight="1" outlineLevel="1" x14ac:dyDescent="0.25">
      <c r="A323" s="157"/>
      <c r="B323" s="152" t="s">
        <v>303</v>
      </c>
      <c r="C323" s="153"/>
      <c r="D323" s="154"/>
      <c r="E323" s="141"/>
      <c r="F323" s="104">
        <v>2027.8</v>
      </c>
      <c r="G323" s="104"/>
      <c r="H323" s="104"/>
      <c r="I323" s="104">
        <v>3013.1</v>
      </c>
      <c r="J323" s="104"/>
      <c r="K323" s="104"/>
      <c r="L323" s="104">
        <v>2873</v>
      </c>
      <c r="M323" s="104"/>
      <c r="N323" s="104"/>
    </row>
    <row r="324" spans="1:14" ht="15.75" collapsed="1" x14ac:dyDescent="0.25">
      <c r="B324" s="71"/>
      <c r="C324" s="71"/>
      <c r="D324" s="71"/>
      <c r="E324" s="71"/>
      <c r="F324" s="71"/>
      <c r="G324" s="71"/>
      <c r="H324" s="71"/>
      <c r="I324" s="71"/>
      <c r="J324" s="71"/>
      <c r="K324" s="71"/>
    </row>
    <row r="325" spans="1:14" ht="18.75" x14ac:dyDescent="0.3">
      <c r="B325" s="13" t="s">
        <v>433</v>
      </c>
      <c r="C325" s="71"/>
      <c r="D325" s="71"/>
      <c r="E325" s="71"/>
      <c r="F325" s="71"/>
      <c r="G325" s="71"/>
      <c r="H325" s="71"/>
    </row>
    <row r="326" spans="1:14" ht="18.75" x14ac:dyDescent="0.3">
      <c r="B326" s="13" t="s">
        <v>317</v>
      </c>
      <c r="I326" s="235" t="s">
        <v>434</v>
      </c>
      <c r="J326" s="235"/>
      <c r="K326" s="235"/>
      <c r="L326" s="235"/>
      <c r="M326" s="235"/>
      <c r="N326" s="235"/>
    </row>
    <row r="327" spans="1:14" ht="26.25" customHeight="1" x14ac:dyDescent="0.25">
      <c r="B327" s="14"/>
    </row>
  </sheetData>
  <mergeCells count="177">
    <mergeCell ref="I326:N326"/>
    <mergeCell ref="K2:N2"/>
    <mergeCell ref="K3:N3"/>
    <mergeCell ref="K4:N4"/>
    <mergeCell ref="D164:D166"/>
    <mergeCell ref="E164:E166"/>
    <mergeCell ref="E168:E170"/>
    <mergeCell ref="D168:D170"/>
    <mergeCell ref="E172:E173"/>
    <mergeCell ref="E230:E231"/>
    <mergeCell ref="D156:D158"/>
    <mergeCell ref="E156:E158"/>
    <mergeCell ref="B24:E24"/>
    <mergeCell ref="B136:D136"/>
    <mergeCell ref="D80:D82"/>
    <mergeCell ref="D64:D68"/>
    <mergeCell ref="B25:C27"/>
    <mergeCell ref="D25:D27"/>
    <mergeCell ref="B77:B79"/>
    <mergeCell ref="C77:E77"/>
    <mergeCell ref="B83:B85"/>
    <mergeCell ref="C83:E83"/>
    <mergeCell ref="B109:B112"/>
    <mergeCell ref="C109:E109"/>
    <mergeCell ref="K1:N1"/>
    <mergeCell ref="A142:N142"/>
    <mergeCell ref="D95:D96"/>
    <mergeCell ref="E95:E96"/>
    <mergeCell ref="A144:A180"/>
    <mergeCell ref="B59:B62"/>
    <mergeCell ref="B153:B154"/>
    <mergeCell ref="D153:D154"/>
    <mergeCell ref="E153:E154"/>
    <mergeCell ref="E86:E91"/>
    <mergeCell ref="D113:D119"/>
    <mergeCell ref="D160:D162"/>
    <mergeCell ref="A24:A141"/>
    <mergeCell ref="D59:D62"/>
    <mergeCell ref="A143:N143"/>
    <mergeCell ref="E160:E162"/>
    <mergeCell ref="E80:E82"/>
    <mergeCell ref="D146:D151"/>
    <mergeCell ref="E146:E151"/>
    <mergeCell ref="B130:E130"/>
    <mergeCell ref="B145:C145"/>
    <mergeCell ref="B152:E152"/>
    <mergeCell ref="D45:D47"/>
    <mergeCell ref="D6:J6"/>
    <mergeCell ref="E305:E313"/>
    <mergeCell ref="B304:D304"/>
    <mergeCell ref="B300:D300"/>
    <mergeCell ref="B270:B276"/>
    <mergeCell ref="B296:D297"/>
    <mergeCell ref="D172:D173"/>
    <mergeCell ref="D175:D176"/>
    <mergeCell ref="B196:E196"/>
    <mergeCell ref="B184:E184"/>
    <mergeCell ref="A195:N195"/>
    <mergeCell ref="D202:D212"/>
    <mergeCell ref="E202:E212"/>
    <mergeCell ref="C270:E270"/>
    <mergeCell ref="B229:B231"/>
    <mergeCell ref="A194:N194"/>
    <mergeCell ref="B183:E183"/>
    <mergeCell ref="D185:D187"/>
    <mergeCell ref="B185:B187"/>
    <mergeCell ref="E175:E176"/>
    <mergeCell ref="B299:D299"/>
    <mergeCell ref="A296:A297"/>
    <mergeCell ref="D242:D249"/>
    <mergeCell ref="E242:E249"/>
    <mergeCell ref="E277:E284"/>
    <mergeCell ref="E298:E302"/>
    <mergeCell ref="B302:D303"/>
    <mergeCell ref="A298:A303"/>
    <mergeCell ref="A183:A193"/>
    <mergeCell ref="A196:A286"/>
    <mergeCell ref="A294:A295"/>
    <mergeCell ref="B293:D293"/>
    <mergeCell ref="B294:D294"/>
    <mergeCell ref="B295:D295"/>
    <mergeCell ref="B301:D301"/>
    <mergeCell ref="E294:E295"/>
    <mergeCell ref="A288:D292"/>
    <mergeCell ref="A287:N287"/>
    <mergeCell ref="D250:D252"/>
    <mergeCell ref="E250:E252"/>
    <mergeCell ref="B298:D298"/>
    <mergeCell ref="D277:D285"/>
    <mergeCell ref="D262:D264"/>
    <mergeCell ref="E262:E264"/>
    <mergeCell ref="D255:D256"/>
    <mergeCell ref="E255:E256"/>
    <mergeCell ref="C259:E259"/>
    <mergeCell ref="D220:D224"/>
    <mergeCell ref="E220:E224"/>
    <mergeCell ref="A305:A313"/>
    <mergeCell ref="B305:D305"/>
    <mergeCell ref="B306:D306"/>
    <mergeCell ref="B307:D307"/>
    <mergeCell ref="B308:D308"/>
    <mergeCell ref="B309:D309"/>
    <mergeCell ref="B310:D310"/>
    <mergeCell ref="B311:D311"/>
    <mergeCell ref="B312:D312"/>
    <mergeCell ref="B313:D313"/>
    <mergeCell ref="D235:D238"/>
    <mergeCell ref="C229:E229"/>
    <mergeCell ref="E216:E218"/>
    <mergeCell ref="C215:E215"/>
    <mergeCell ref="B144:E144"/>
    <mergeCell ref="E235:E240"/>
    <mergeCell ref="B38:E38"/>
    <mergeCell ref="B39:B40"/>
    <mergeCell ref="B58:E58"/>
    <mergeCell ref="D42:D43"/>
    <mergeCell ref="E51:E52"/>
    <mergeCell ref="D51:D52"/>
    <mergeCell ref="E54:E55"/>
    <mergeCell ref="E64:E68"/>
    <mergeCell ref="B197:C201"/>
    <mergeCell ref="E45:E47"/>
    <mergeCell ref="D126:D127"/>
    <mergeCell ref="B215:B219"/>
    <mergeCell ref="D216:D219"/>
    <mergeCell ref="B7:M7"/>
    <mergeCell ref="A23:N23"/>
    <mergeCell ref="D14:E14"/>
    <mergeCell ref="A14:C21"/>
    <mergeCell ref="A22:N22"/>
    <mergeCell ref="D9:D11"/>
    <mergeCell ref="C9:C11"/>
    <mergeCell ref="B9:B11"/>
    <mergeCell ref="A9:A11"/>
    <mergeCell ref="F9:N9"/>
    <mergeCell ref="F10:H10"/>
    <mergeCell ref="I10:K10"/>
    <mergeCell ref="L10:N10"/>
    <mergeCell ref="A13:N13"/>
    <mergeCell ref="D15:D20"/>
    <mergeCell ref="E9:E11"/>
    <mergeCell ref="B323:D323"/>
    <mergeCell ref="A315:A323"/>
    <mergeCell ref="E315:E323"/>
    <mergeCell ref="B314:D314"/>
    <mergeCell ref="B315:D315"/>
    <mergeCell ref="B316:D316"/>
    <mergeCell ref="B317:D317"/>
    <mergeCell ref="B318:D318"/>
    <mergeCell ref="B319:D319"/>
    <mergeCell ref="B320:D320"/>
    <mergeCell ref="B321:D321"/>
    <mergeCell ref="B322:D322"/>
    <mergeCell ref="D260:D261"/>
    <mergeCell ref="A182:N182"/>
    <mergeCell ref="E185:E186"/>
    <mergeCell ref="E265:E267"/>
    <mergeCell ref="D28:D37"/>
    <mergeCell ref="D271:D275"/>
    <mergeCell ref="D239:D240"/>
    <mergeCell ref="E123:E124"/>
    <mergeCell ref="D84:D85"/>
    <mergeCell ref="E84:E85"/>
    <mergeCell ref="E113:E118"/>
    <mergeCell ref="B259:B261"/>
    <mergeCell ref="E126:E127"/>
    <mergeCell ref="D86:D91"/>
    <mergeCell ref="E271:E274"/>
    <mergeCell ref="D265:D267"/>
    <mergeCell ref="D123:D124"/>
    <mergeCell ref="C234:E234"/>
    <mergeCell ref="D78:D79"/>
    <mergeCell ref="E78:E79"/>
    <mergeCell ref="D54:D55"/>
    <mergeCell ref="E42:E43"/>
    <mergeCell ref="B234:B241"/>
    <mergeCell ref="A181:N181"/>
  </mergeCells>
  <pageMargins left="0.78740157480314965" right="0.78740157480314965" top="1.1811023622047245" bottom="0.39370078740157483" header="0.31496062992125984" footer="0.31496062992125984"/>
  <pageSetup paperSize="9" scale="69" orientation="landscape" r:id="rId1"/>
  <rowBreaks count="1" manualBreakCount="1">
    <brk id="17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view="pageBreakPreview" zoomScaleSheetLayoutView="100" workbookViewId="0">
      <selection activeCell="E9" sqref="E9:G9"/>
    </sheetView>
  </sheetViews>
  <sheetFormatPr defaultColWidth="9.140625" defaultRowHeight="15" x14ac:dyDescent="0.25"/>
  <cols>
    <col min="1" max="1" width="35.42578125" style="14" customWidth="1"/>
    <col min="2" max="2" width="14" style="14" customWidth="1"/>
    <col min="3" max="3" width="34.28515625" style="14" customWidth="1"/>
    <col min="4" max="4" width="9.28515625" style="14" bestFit="1" customWidth="1"/>
    <col min="5" max="5" width="13" style="14" customWidth="1"/>
    <col min="6" max="6" width="12.85546875" style="14" customWidth="1"/>
    <col min="7" max="7" width="13.28515625" style="14" customWidth="1"/>
    <col min="8" max="8" width="0" style="14" hidden="1" customWidth="1"/>
    <col min="9" max="9" width="16.28515625" style="14" hidden="1" customWidth="1"/>
    <col min="10" max="11" width="0" style="14" hidden="1" customWidth="1"/>
    <col min="12" max="16384" width="9.140625" style="14"/>
  </cols>
  <sheetData>
    <row r="1" spans="1:14" ht="18.75" x14ac:dyDescent="0.3">
      <c r="C1" s="13"/>
      <c r="D1" s="13"/>
      <c r="E1" s="13"/>
      <c r="F1" s="36" t="s">
        <v>16</v>
      </c>
      <c r="G1" s="36"/>
      <c r="H1" s="15"/>
    </row>
    <row r="2" spans="1:14" ht="18.75" x14ac:dyDescent="0.3">
      <c r="C2" s="36"/>
      <c r="D2" s="236" t="s">
        <v>314</v>
      </c>
      <c r="E2" s="236"/>
      <c r="F2" s="236"/>
      <c r="G2" s="236"/>
      <c r="H2" s="15"/>
    </row>
    <row r="3" spans="1:14" ht="18.75" x14ac:dyDescent="0.3">
      <c r="C3" s="36"/>
      <c r="D3" s="236" t="s">
        <v>340</v>
      </c>
      <c r="E3" s="236"/>
      <c r="F3" s="236"/>
      <c r="G3" s="236"/>
      <c r="H3" s="15"/>
    </row>
    <row r="4" spans="1:14" ht="18.75" x14ac:dyDescent="0.3">
      <c r="C4" s="36"/>
      <c r="D4" s="236" t="s">
        <v>437</v>
      </c>
      <c r="E4" s="236"/>
      <c r="F4" s="236"/>
      <c r="G4" s="236"/>
      <c r="H4" s="15"/>
    </row>
    <row r="6" spans="1:14" ht="18.75" x14ac:dyDescent="0.3">
      <c r="A6" s="269" t="s">
        <v>17</v>
      </c>
      <c r="B6" s="269"/>
      <c r="C6" s="269"/>
      <c r="D6" s="269"/>
      <c r="E6" s="269"/>
      <c r="F6" s="269"/>
      <c r="G6" s="269"/>
      <c r="H6" s="16"/>
      <c r="I6" s="16"/>
      <c r="J6" s="16"/>
    </row>
    <row r="7" spans="1:14" ht="15.75" x14ac:dyDescent="0.25">
      <c r="A7" s="267" t="s">
        <v>30</v>
      </c>
      <c r="B7" s="267"/>
      <c r="C7" s="267"/>
      <c r="D7" s="267"/>
      <c r="E7" s="267"/>
      <c r="F7" s="267"/>
      <c r="G7" s="267"/>
      <c r="H7" s="17"/>
      <c r="I7" s="17"/>
      <c r="J7" s="17"/>
      <c r="K7" s="17"/>
      <c r="L7" s="17"/>
      <c r="M7" s="17"/>
    </row>
    <row r="8" spans="1:14" ht="18" customHeight="1" x14ac:dyDescent="0.25">
      <c r="A8" s="268"/>
      <c r="B8" s="268"/>
      <c r="C8" s="268"/>
      <c r="D8" s="268"/>
      <c r="E8" s="268"/>
      <c r="F8" s="268"/>
      <c r="G8" s="15"/>
      <c r="H8" s="15"/>
      <c r="L8" s="263"/>
      <c r="M8" s="263"/>
      <c r="N8" s="263"/>
    </row>
    <row r="9" spans="1:14" ht="40.5" customHeight="1" x14ac:dyDescent="0.25">
      <c r="A9" s="246" t="s">
        <v>18</v>
      </c>
      <c r="B9" s="246" t="s">
        <v>19</v>
      </c>
      <c r="C9" s="246" t="s">
        <v>20</v>
      </c>
      <c r="D9" s="246" t="s">
        <v>21</v>
      </c>
      <c r="E9" s="260" t="s">
        <v>22</v>
      </c>
      <c r="F9" s="260"/>
      <c r="G9" s="260"/>
    </row>
    <row r="10" spans="1:14" ht="18.75" customHeight="1" x14ac:dyDescent="0.25">
      <c r="A10" s="251"/>
      <c r="B10" s="251"/>
      <c r="C10" s="251"/>
      <c r="D10" s="251"/>
      <c r="E10" s="25" t="s">
        <v>23</v>
      </c>
      <c r="F10" s="25" t="s">
        <v>24</v>
      </c>
      <c r="G10" s="25" t="s">
        <v>25</v>
      </c>
    </row>
    <row r="11" spans="1:14" x14ac:dyDescent="0.25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>
        <v>6</v>
      </c>
      <c r="G11" s="25">
        <v>7</v>
      </c>
    </row>
    <row r="12" spans="1:14" ht="30" x14ac:dyDescent="0.25">
      <c r="A12" s="246" t="s">
        <v>30</v>
      </c>
      <c r="B12" s="21" t="s">
        <v>26</v>
      </c>
      <c r="C12" s="21" t="s">
        <v>327</v>
      </c>
      <c r="D12" s="21" t="s">
        <v>133</v>
      </c>
      <c r="E12" s="25">
        <v>47470</v>
      </c>
      <c r="F12" s="25">
        <v>63300</v>
      </c>
      <c r="G12" s="25">
        <v>69900</v>
      </c>
    </row>
    <row r="13" spans="1:14" ht="30" x14ac:dyDescent="0.25">
      <c r="A13" s="247"/>
      <c r="B13" s="69" t="s">
        <v>322</v>
      </c>
      <c r="C13" s="21" t="s">
        <v>328</v>
      </c>
      <c r="D13" s="21" t="s">
        <v>111</v>
      </c>
      <c r="E13" s="26">
        <f>E12/42211*100-100</f>
        <v>12.458837743716103</v>
      </c>
      <c r="F13" s="26">
        <f>F12/E12*100-100</f>
        <v>33.347377290920576</v>
      </c>
      <c r="G13" s="26">
        <f>G12/F12*100-100</f>
        <v>10.426540284360186</v>
      </c>
    </row>
    <row r="14" spans="1:14" ht="30" x14ac:dyDescent="0.25">
      <c r="A14" s="247"/>
      <c r="B14" s="21" t="s">
        <v>26</v>
      </c>
      <c r="C14" s="21" t="s">
        <v>329</v>
      </c>
      <c r="D14" s="21" t="s">
        <v>133</v>
      </c>
      <c r="E14" s="26">
        <v>1331107</v>
      </c>
      <c r="F14" s="26">
        <v>1446287</v>
      </c>
      <c r="G14" s="26">
        <v>1440000</v>
      </c>
    </row>
    <row r="15" spans="1:14" ht="30" x14ac:dyDescent="0.25">
      <c r="A15" s="251"/>
      <c r="B15" s="69" t="s">
        <v>322</v>
      </c>
      <c r="C15" s="21" t="s">
        <v>330</v>
      </c>
      <c r="D15" s="21" t="s">
        <v>111</v>
      </c>
      <c r="E15" s="26">
        <f>1331107/1543618*100-100</f>
        <v>-13.76707190509569</v>
      </c>
      <c r="F15" s="26">
        <f>1446287/1331107*100-100</f>
        <v>8.6529482603577463</v>
      </c>
      <c r="G15" s="37">
        <f>1445000/1446287*100-100</f>
        <v>-8.8986487467565212E-2</v>
      </c>
    </row>
    <row r="16" spans="1:14" ht="24" customHeight="1" x14ac:dyDescent="0.25">
      <c r="A16" s="49" t="s">
        <v>278</v>
      </c>
      <c r="B16" s="46"/>
      <c r="C16" s="46"/>
      <c r="D16" s="47" t="s">
        <v>107</v>
      </c>
      <c r="E16" s="48">
        <f>E20+E155+E214+E237</f>
        <v>225046120</v>
      </c>
      <c r="F16" s="48">
        <f>F20+F155+F214+F237</f>
        <v>375309725</v>
      </c>
      <c r="G16" s="48">
        <f>G20+G155+G214+G237</f>
        <v>255859525</v>
      </c>
      <c r="I16" s="19">
        <f>E16+F16+G16</f>
        <v>856215370</v>
      </c>
    </row>
    <row r="17" spans="1:7" ht="20.25" customHeight="1" x14ac:dyDescent="0.25">
      <c r="A17" s="254" t="s">
        <v>104</v>
      </c>
      <c r="B17" s="255"/>
      <c r="C17" s="255"/>
      <c r="D17" s="255"/>
      <c r="E17" s="255"/>
      <c r="F17" s="255"/>
      <c r="G17" s="256"/>
    </row>
    <row r="18" spans="1:7" ht="20.25" customHeight="1" x14ac:dyDescent="0.25">
      <c r="A18" s="257"/>
      <c r="B18" s="31" t="s">
        <v>26</v>
      </c>
      <c r="C18" s="21" t="s">
        <v>108</v>
      </c>
      <c r="D18" s="68"/>
      <c r="E18" s="20">
        <f>E23+E47+E128+E137</f>
        <v>9</v>
      </c>
      <c r="F18" s="20">
        <v>9</v>
      </c>
      <c r="G18" s="20">
        <v>9</v>
      </c>
    </row>
    <row r="19" spans="1:7" ht="30.75" customHeight="1" x14ac:dyDescent="0.25">
      <c r="A19" s="259"/>
      <c r="B19" s="68" t="s">
        <v>322</v>
      </c>
      <c r="C19" s="69" t="s">
        <v>323</v>
      </c>
      <c r="D19" s="68"/>
      <c r="E19" s="38">
        <f>80227900/63578300*100</f>
        <v>126.1875514129821</v>
      </c>
      <c r="F19" s="38">
        <f>92503300/80227900*100</f>
        <v>115.30066223844821</v>
      </c>
      <c r="G19" s="38">
        <f>96926000/92503300*100</f>
        <v>104.7811267273708</v>
      </c>
    </row>
    <row r="20" spans="1:7" ht="23.25" customHeight="1" x14ac:dyDescent="0.25">
      <c r="A20" s="254" t="s">
        <v>114</v>
      </c>
      <c r="B20" s="255"/>
      <c r="C20" s="255"/>
      <c r="D20" s="256"/>
      <c r="E20" s="20">
        <f>E22+E27+E31+E46+E51+E55+E58+E62+E70+E76+E82+E90+E105+E110+E114+E118+E127+E132+E136+E145</f>
        <v>80227900</v>
      </c>
      <c r="F20" s="20">
        <f>F22+F27+F31+F46+F51+F55+F58+F62+F70+F76+F82+F90+F105+F110+F114+F118+F127+F132+F136+F145+F109</f>
        <v>92503300</v>
      </c>
      <c r="G20" s="20">
        <f>G22+G27+G31+G46+G51+G55+G58+G62+G70+G76+G82+G105+G110+G114+G118+G127+G132+G136+G145+G101</f>
        <v>102866700</v>
      </c>
    </row>
    <row r="21" spans="1:7" ht="16.5" customHeight="1" x14ac:dyDescent="0.25">
      <c r="A21" s="254" t="s">
        <v>289</v>
      </c>
      <c r="B21" s="255"/>
      <c r="C21" s="255"/>
      <c r="D21" s="255"/>
      <c r="E21" s="255"/>
      <c r="F21" s="255"/>
      <c r="G21" s="256"/>
    </row>
    <row r="22" spans="1:7" ht="20.25" customHeight="1" x14ac:dyDescent="0.25">
      <c r="A22" s="246" t="s">
        <v>113</v>
      </c>
      <c r="B22" s="21" t="s">
        <v>28</v>
      </c>
      <c r="C22" s="21" t="s">
        <v>105</v>
      </c>
      <c r="D22" s="21" t="s">
        <v>107</v>
      </c>
      <c r="E22" s="22">
        <f>Дод.2!G41*1000</f>
        <v>5307100</v>
      </c>
      <c r="F22" s="22">
        <f>Дод.2!J41*1000</f>
        <v>4555000</v>
      </c>
      <c r="G22" s="22">
        <f>Дод.2!M41*1000</f>
        <v>5716100</v>
      </c>
    </row>
    <row r="23" spans="1:7" ht="17.25" customHeight="1" x14ac:dyDescent="0.25">
      <c r="A23" s="247"/>
      <c r="B23" s="21" t="s">
        <v>26</v>
      </c>
      <c r="C23" s="21" t="s">
        <v>108</v>
      </c>
      <c r="D23" s="21" t="s">
        <v>106</v>
      </c>
      <c r="E23" s="70">
        <v>2</v>
      </c>
      <c r="F23" s="70">
        <v>2</v>
      </c>
      <c r="G23" s="70">
        <v>2</v>
      </c>
    </row>
    <row r="24" spans="1:7" x14ac:dyDescent="0.25">
      <c r="A24" s="247"/>
      <c r="B24" s="21" t="s">
        <v>29</v>
      </c>
      <c r="C24" s="21" t="s">
        <v>109</v>
      </c>
      <c r="D24" s="21" t="s">
        <v>107</v>
      </c>
      <c r="E24" s="70">
        <f>E22/E23</f>
        <v>2653550</v>
      </c>
      <c r="F24" s="70">
        <f t="shared" ref="F24:G24" si="0">F22/F23</f>
        <v>2277500</v>
      </c>
      <c r="G24" s="70">
        <f t="shared" si="0"/>
        <v>2858050</v>
      </c>
    </row>
    <row r="25" spans="1:7" x14ac:dyDescent="0.25">
      <c r="A25" s="247"/>
      <c r="B25" s="248" t="s">
        <v>27</v>
      </c>
      <c r="C25" s="21" t="s">
        <v>110</v>
      </c>
      <c r="D25" s="21" t="s">
        <v>111</v>
      </c>
      <c r="E25" s="70">
        <v>100</v>
      </c>
      <c r="F25" s="70">
        <v>100</v>
      </c>
      <c r="G25" s="70">
        <v>100</v>
      </c>
    </row>
    <row r="26" spans="1:7" ht="60" x14ac:dyDescent="0.25">
      <c r="A26" s="251"/>
      <c r="B26" s="249"/>
      <c r="C26" s="21" t="s">
        <v>112</v>
      </c>
      <c r="D26" s="21" t="s">
        <v>111</v>
      </c>
      <c r="E26" s="70">
        <v>141</v>
      </c>
      <c r="F26" s="23">
        <f>F22/E22*100</f>
        <v>85.828418533662457</v>
      </c>
      <c r="G26" s="23">
        <f>G22/F22*100</f>
        <v>125.49066959385291</v>
      </c>
    </row>
    <row r="27" spans="1:7" ht="20.25" customHeight="1" x14ac:dyDescent="0.25">
      <c r="A27" s="260" t="s">
        <v>115</v>
      </c>
      <c r="B27" s="24" t="s">
        <v>28</v>
      </c>
      <c r="C27" s="21" t="s">
        <v>105</v>
      </c>
      <c r="D27" s="21" t="s">
        <v>107</v>
      </c>
      <c r="E27" s="22">
        <f>Дод.2!G44*1000</f>
        <v>535600</v>
      </c>
      <c r="F27" s="22">
        <f>Дод.2!J44*1000</f>
        <v>76200</v>
      </c>
      <c r="G27" s="22">
        <f>Дод.2!M44*1000</f>
        <v>205900</v>
      </c>
    </row>
    <row r="28" spans="1:7" ht="32.25" customHeight="1" x14ac:dyDescent="0.25">
      <c r="A28" s="260"/>
      <c r="B28" s="24" t="s">
        <v>26</v>
      </c>
      <c r="C28" s="21" t="s">
        <v>132</v>
      </c>
      <c r="D28" s="21" t="s">
        <v>133</v>
      </c>
      <c r="E28" s="1">
        <f>6294+8589</f>
        <v>14883</v>
      </c>
      <c r="F28" s="70">
        <v>1182</v>
      </c>
      <c r="G28" s="1">
        <v>3583</v>
      </c>
    </row>
    <row r="29" spans="1:7" ht="24" customHeight="1" x14ac:dyDescent="0.25">
      <c r="A29" s="260"/>
      <c r="B29" s="24" t="s">
        <v>29</v>
      </c>
      <c r="C29" s="21" t="s">
        <v>134</v>
      </c>
      <c r="D29" s="21" t="s">
        <v>107</v>
      </c>
      <c r="E29" s="23">
        <f>E27/E28</f>
        <v>35.987368138144191</v>
      </c>
      <c r="F29" s="23">
        <v>64</v>
      </c>
      <c r="G29" s="23">
        <f t="shared" ref="G29" si="1">G27/G28</f>
        <v>57.465810773095171</v>
      </c>
    </row>
    <row r="30" spans="1:7" ht="60" x14ac:dyDescent="0.25">
      <c r="A30" s="260"/>
      <c r="B30" s="24" t="s">
        <v>27</v>
      </c>
      <c r="C30" s="21" t="s">
        <v>135</v>
      </c>
      <c r="D30" s="21" t="s">
        <v>111</v>
      </c>
      <c r="E30" s="23">
        <f>E27/1168975*100</f>
        <v>45.817917406274731</v>
      </c>
      <c r="F30" s="23">
        <f>F27/E27*100</f>
        <v>14.227035100821508</v>
      </c>
      <c r="G30" s="23">
        <f>G27/F27*100</f>
        <v>270.20997375328079</v>
      </c>
    </row>
    <row r="31" spans="1:7" ht="20.25" customHeight="1" x14ac:dyDescent="0.25">
      <c r="A31" s="260" t="s">
        <v>402</v>
      </c>
      <c r="B31" s="248" t="s">
        <v>28</v>
      </c>
      <c r="C31" s="21" t="s">
        <v>105</v>
      </c>
      <c r="D31" s="21" t="s">
        <v>107</v>
      </c>
      <c r="E31" s="22">
        <f>(Дод.2!G48+Дод.2!G50+Дод.2!G53)*1000</f>
        <v>960600</v>
      </c>
      <c r="F31" s="22">
        <f>(Дод.2!J48+Дод.2!J50+Дод.2!J53+Дод.2!J56)*1000</f>
        <v>566300</v>
      </c>
      <c r="G31" s="22">
        <f>(Дод.2!M48+Дод.2!M50+Дод.2!M53+Дод.2!M56)*1000</f>
        <v>1202200</v>
      </c>
    </row>
    <row r="32" spans="1:7" ht="43.5" customHeight="1" x14ac:dyDescent="0.25">
      <c r="A32" s="260"/>
      <c r="B32" s="250"/>
      <c r="C32" s="21" t="s">
        <v>136</v>
      </c>
      <c r="D32" s="21" t="s">
        <v>107</v>
      </c>
      <c r="E32" s="70">
        <f>Дод.2!G48*1000</f>
        <v>700000</v>
      </c>
      <c r="F32" s="70">
        <f>Дод.2!J48*1000</f>
        <v>339700</v>
      </c>
      <c r="G32" s="70">
        <f>Дод.2!M48*1000</f>
        <v>365500</v>
      </c>
    </row>
    <row r="33" spans="1:7" ht="32.25" customHeight="1" x14ac:dyDescent="0.25">
      <c r="A33" s="260"/>
      <c r="B33" s="250"/>
      <c r="C33" s="21" t="s">
        <v>137</v>
      </c>
      <c r="D33" s="21" t="s">
        <v>107</v>
      </c>
      <c r="E33" s="70">
        <f>Дод.2!G50*1000</f>
        <v>218100</v>
      </c>
      <c r="F33" s="70">
        <f>Дод.2!J50*1000</f>
        <v>139500</v>
      </c>
      <c r="G33" s="70">
        <f>Дод.2!M50*1000</f>
        <v>167700</v>
      </c>
    </row>
    <row r="34" spans="1:7" ht="51" customHeight="1" x14ac:dyDescent="0.25">
      <c r="A34" s="260"/>
      <c r="B34" s="250"/>
      <c r="C34" s="21" t="s">
        <v>138</v>
      </c>
      <c r="D34" s="21" t="s">
        <v>107</v>
      </c>
      <c r="E34" s="70">
        <f>Дод.2!G53*1000</f>
        <v>42500</v>
      </c>
      <c r="F34" s="70">
        <f>Дод.2!J53*1000</f>
        <v>23100</v>
      </c>
      <c r="G34" s="70">
        <f>Дод.2!M53*1000</f>
        <v>49800</v>
      </c>
    </row>
    <row r="35" spans="1:7" ht="29.25" customHeight="1" x14ac:dyDescent="0.25">
      <c r="A35" s="260"/>
      <c r="B35" s="249"/>
      <c r="C35" s="21" t="s">
        <v>294</v>
      </c>
      <c r="D35" s="21"/>
      <c r="E35" s="70"/>
      <c r="F35" s="70">
        <f>Дод.2!J56*1000</f>
        <v>64000</v>
      </c>
      <c r="G35" s="70">
        <f>Дод.2!M56*1000</f>
        <v>619200</v>
      </c>
    </row>
    <row r="36" spans="1:7" ht="33.75" customHeight="1" x14ac:dyDescent="0.25">
      <c r="A36" s="260"/>
      <c r="B36" s="248" t="s">
        <v>26</v>
      </c>
      <c r="C36" s="21" t="s">
        <v>139</v>
      </c>
      <c r="D36" s="21" t="s">
        <v>133</v>
      </c>
      <c r="E36" s="70">
        <v>4</v>
      </c>
      <c r="F36" s="70">
        <v>2</v>
      </c>
      <c r="G36" s="70">
        <v>4</v>
      </c>
    </row>
    <row r="37" spans="1:7" ht="36.75" customHeight="1" x14ac:dyDescent="0.25">
      <c r="A37" s="260"/>
      <c r="B37" s="250"/>
      <c r="C37" s="21" t="s">
        <v>140</v>
      </c>
      <c r="D37" s="21" t="s">
        <v>133</v>
      </c>
      <c r="E37" s="70">
        <v>26</v>
      </c>
      <c r="F37" s="70">
        <v>18</v>
      </c>
      <c r="G37" s="70">
        <v>26</v>
      </c>
    </row>
    <row r="38" spans="1:7" ht="30" customHeight="1" x14ac:dyDescent="0.25">
      <c r="A38" s="260"/>
      <c r="B38" s="250"/>
      <c r="C38" s="21" t="s">
        <v>141</v>
      </c>
      <c r="D38" s="21" t="s">
        <v>133</v>
      </c>
      <c r="E38" s="70">
        <v>7</v>
      </c>
      <c r="F38" s="70">
        <v>2</v>
      </c>
      <c r="G38" s="70">
        <v>7</v>
      </c>
    </row>
    <row r="39" spans="1:7" ht="18.75" customHeight="1" x14ac:dyDescent="0.25">
      <c r="A39" s="260"/>
      <c r="B39" s="249"/>
      <c r="C39" s="21" t="s">
        <v>293</v>
      </c>
      <c r="D39" s="21" t="s">
        <v>133</v>
      </c>
      <c r="E39" s="70"/>
      <c r="F39" s="70">
        <v>1</v>
      </c>
      <c r="G39" s="70">
        <v>1</v>
      </c>
    </row>
    <row r="40" spans="1:7" ht="33.75" customHeight="1" x14ac:dyDescent="0.25">
      <c r="A40" s="260"/>
      <c r="B40" s="248" t="s">
        <v>29</v>
      </c>
      <c r="C40" s="21" t="s">
        <v>142</v>
      </c>
      <c r="D40" s="21" t="s">
        <v>107</v>
      </c>
      <c r="E40" s="70">
        <f>E32/E36</f>
        <v>175000</v>
      </c>
      <c r="F40" s="70">
        <f t="shared" ref="F40:G40" si="2">F32/F36</f>
        <v>169850</v>
      </c>
      <c r="G40" s="70">
        <f t="shared" si="2"/>
        <v>91375</v>
      </c>
    </row>
    <row r="41" spans="1:7" ht="29.25" customHeight="1" x14ac:dyDescent="0.25">
      <c r="A41" s="260"/>
      <c r="B41" s="250"/>
      <c r="C41" s="21" t="s">
        <v>143</v>
      </c>
      <c r="D41" s="21" t="s">
        <v>107</v>
      </c>
      <c r="E41" s="23">
        <f>E33/E37</f>
        <v>8388.461538461539</v>
      </c>
      <c r="F41" s="23">
        <f t="shared" ref="F41:G41" si="3">F33/F37</f>
        <v>7750</v>
      </c>
      <c r="G41" s="23">
        <f t="shared" si="3"/>
        <v>6450</v>
      </c>
    </row>
    <row r="42" spans="1:7" ht="47.25" customHeight="1" x14ac:dyDescent="0.25">
      <c r="A42" s="260"/>
      <c r="B42" s="250"/>
      <c r="C42" s="21" t="s">
        <v>144</v>
      </c>
      <c r="D42" s="21" t="s">
        <v>107</v>
      </c>
      <c r="E42" s="23">
        <f>E34/E38</f>
        <v>6071.4285714285716</v>
      </c>
      <c r="F42" s="23">
        <f>F34/F38</f>
        <v>11550</v>
      </c>
      <c r="G42" s="23">
        <f t="shared" ref="G42" si="4">G34/G38</f>
        <v>7114.2857142857147</v>
      </c>
    </row>
    <row r="43" spans="1:7" ht="30" customHeight="1" x14ac:dyDescent="0.25">
      <c r="A43" s="260"/>
      <c r="B43" s="249"/>
      <c r="C43" s="21" t="s">
        <v>295</v>
      </c>
      <c r="D43" s="21" t="s">
        <v>107</v>
      </c>
      <c r="E43" s="23"/>
      <c r="F43" s="23">
        <f>F35/F39</f>
        <v>64000</v>
      </c>
      <c r="G43" s="23">
        <f>G35/G39</f>
        <v>619200</v>
      </c>
    </row>
    <row r="44" spans="1:7" ht="136.5" customHeight="1" x14ac:dyDescent="0.25">
      <c r="A44" s="260"/>
      <c r="B44" s="21" t="s">
        <v>27</v>
      </c>
      <c r="C44" s="21" t="s">
        <v>145</v>
      </c>
      <c r="D44" s="21" t="s">
        <v>111</v>
      </c>
      <c r="E44" s="23">
        <f>E31/694000*100</f>
        <v>138.41498559077809</v>
      </c>
      <c r="F44" s="23">
        <f>F31/E31*100</f>
        <v>58.952737872163233</v>
      </c>
      <c r="G44" s="23">
        <f>G31/F31*100</f>
        <v>212.29030549178879</v>
      </c>
    </row>
    <row r="45" spans="1:7" ht="16.5" customHeight="1" x14ac:dyDescent="0.25">
      <c r="A45" s="264" t="s">
        <v>318</v>
      </c>
      <c r="B45" s="265"/>
      <c r="C45" s="265"/>
      <c r="D45" s="265"/>
      <c r="E45" s="265"/>
      <c r="F45" s="265"/>
      <c r="G45" s="266"/>
    </row>
    <row r="46" spans="1:7" ht="15" customHeight="1" x14ac:dyDescent="0.25">
      <c r="A46" s="246" t="s">
        <v>116</v>
      </c>
      <c r="B46" s="21" t="s">
        <v>28</v>
      </c>
      <c r="C46" s="21" t="s">
        <v>105</v>
      </c>
      <c r="D46" s="21" t="s">
        <v>107</v>
      </c>
      <c r="E46" s="31">
        <f>Дод.2!G63*1000</f>
        <v>42367700</v>
      </c>
      <c r="F46" s="31">
        <f>Дод.2!J63*1000</f>
        <v>43179600</v>
      </c>
      <c r="G46" s="31">
        <f>Дод.2!M63*1000</f>
        <v>52134700</v>
      </c>
    </row>
    <row r="47" spans="1:7" x14ac:dyDescent="0.25">
      <c r="A47" s="247"/>
      <c r="B47" s="21" t="s">
        <v>26</v>
      </c>
      <c r="C47" s="18" t="s">
        <v>108</v>
      </c>
      <c r="D47" s="21" t="s">
        <v>106</v>
      </c>
      <c r="E47" s="70">
        <v>5</v>
      </c>
      <c r="F47" s="70">
        <v>5</v>
      </c>
      <c r="G47" s="70">
        <v>5</v>
      </c>
    </row>
    <row r="48" spans="1:7" x14ac:dyDescent="0.25">
      <c r="A48" s="247"/>
      <c r="B48" s="21" t="s">
        <v>29</v>
      </c>
      <c r="C48" s="18" t="s">
        <v>146</v>
      </c>
      <c r="D48" s="21" t="s">
        <v>107</v>
      </c>
      <c r="E48" s="70">
        <f>E46/E47</f>
        <v>8473540</v>
      </c>
      <c r="F48" s="70">
        <f t="shared" ref="F48:G48" si="5">F46/F47</f>
        <v>8635920</v>
      </c>
      <c r="G48" s="70">
        <f t="shared" si="5"/>
        <v>10426940</v>
      </c>
    </row>
    <row r="49" spans="1:8" x14ac:dyDescent="0.25">
      <c r="A49" s="247"/>
      <c r="B49" s="248" t="s">
        <v>27</v>
      </c>
      <c r="C49" s="2" t="s">
        <v>147</v>
      </c>
      <c r="D49" s="21" t="s">
        <v>111</v>
      </c>
      <c r="E49" s="70">
        <v>100</v>
      </c>
      <c r="F49" s="70">
        <v>100</v>
      </c>
      <c r="G49" s="70">
        <v>100</v>
      </c>
    </row>
    <row r="50" spans="1:8" ht="74.25" customHeight="1" x14ac:dyDescent="0.25">
      <c r="A50" s="251"/>
      <c r="B50" s="249"/>
      <c r="C50" s="2" t="s">
        <v>148</v>
      </c>
      <c r="D50" s="21" t="s">
        <v>111</v>
      </c>
      <c r="E50" s="23">
        <f>E46/27341490*100</f>
        <v>154.95753889052864</v>
      </c>
      <c r="F50" s="23">
        <f>F46/E46*100</f>
        <v>101.91631832740507</v>
      </c>
      <c r="G50" s="23">
        <f>G46/F46*100</f>
        <v>120.73919165531872</v>
      </c>
    </row>
    <row r="51" spans="1:8" x14ac:dyDescent="0.25">
      <c r="A51" s="246" t="s">
        <v>117</v>
      </c>
      <c r="B51" s="21" t="s">
        <v>28</v>
      </c>
      <c r="C51" s="21" t="s">
        <v>105</v>
      </c>
      <c r="D51" s="21" t="s">
        <v>107</v>
      </c>
      <c r="E51" s="22">
        <f>Дод.2!G69*1000</f>
        <v>318700</v>
      </c>
      <c r="F51" s="22">
        <f>Дод.2!J69*1000</f>
        <v>318700</v>
      </c>
      <c r="G51" s="22">
        <f>Дод.2!M69*1000</f>
        <v>363100</v>
      </c>
    </row>
    <row r="52" spans="1:8" ht="33.75" customHeight="1" x14ac:dyDescent="0.25">
      <c r="A52" s="247"/>
      <c r="B52" s="21" t="s">
        <v>26</v>
      </c>
      <c r="C52" s="21" t="s">
        <v>149</v>
      </c>
      <c r="D52" s="21" t="s">
        <v>133</v>
      </c>
      <c r="E52" s="70">
        <v>170</v>
      </c>
      <c r="F52" s="70">
        <v>200</v>
      </c>
      <c r="G52" s="70">
        <v>180</v>
      </c>
    </row>
    <row r="53" spans="1:8" x14ac:dyDescent="0.25">
      <c r="A53" s="247"/>
      <c r="B53" s="21" t="s">
        <v>29</v>
      </c>
      <c r="C53" s="21" t="s">
        <v>150</v>
      </c>
      <c r="D53" s="21" t="s">
        <v>107</v>
      </c>
      <c r="E53" s="23">
        <f>E51/E52</f>
        <v>1874.7058823529412</v>
      </c>
      <c r="F53" s="23">
        <f t="shared" ref="F53:G53" si="6">F51/F52</f>
        <v>1593.5</v>
      </c>
      <c r="G53" s="23">
        <f t="shared" si="6"/>
        <v>2017.2222222222222</v>
      </c>
    </row>
    <row r="54" spans="1:8" ht="45" x14ac:dyDescent="0.25">
      <c r="A54" s="251"/>
      <c r="B54" s="21" t="s">
        <v>27</v>
      </c>
      <c r="C54" s="21" t="s">
        <v>151</v>
      </c>
      <c r="D54" s="21" t="s">
        <v>111</v>
      </c>
      <c r="E54" s="23">
        <f>E51/300000*100</f>
        <v>106.23333333333333</v>
      </c>
      <c r="F54" s="70">
        <f>F51/E51*100</f>
        <v>100</v>
      </c>
      <c r="G54" s="23">
        <f>G51/F51*100</f>
        <v>113.93159711327267</v>
      </c>
    </row>
    <row r="55" spans="1:8" ht="19.5" customHeight="1" x14ac:dyDescent="0.25">
      <c r="A55" s="246" t="s">
        <v>118</v>
      </c>
      <c r="B55" s="21" t="s">
        <v>28</v>
      </c>
      <c r="C55" s="21" t="s">
        <v>105</v>
      </c>
      <c r="D55" s="21" t="s">
        <v>107</v>
      </c>
      <c r="E55" s="22">
        <f>Дод.2!G71*1000</f>
        <v>201700</v>
      </c>
      <c r="F55" s="22">
        <f>Дод.2!J71*1000</f>
        <v>0</v>
      </c>
      <c r="G55" s="22">
        <f>Дод.2!M71*1000</f>
        <v>0</v>
      </c>
    </row>
    <row r="56" spans="1:8" ht="30" x14ac:dyDescent="0.25">
      <c r="A56" s="247"/>
      <c r="B56" s="21" t="s">
        <v>26</v>
      </c>
      <c r="C56" s="21" t="s">
        <v>152</v>
      </c>
      <c r="D56" s="21" t="s">
        <v>106</v>
      </c>
      <c r="E56" s="70">
        <v>3</v>
      </c>
      <c r="F56" s="70"/>
      <c r="G56" s="70"/>
    </row>
    <row r="57" spans="1:8" ht="30" x14ac:dyDescent="0.25">
      <c r="A57" s="247"/>
      <c r="B57" s="21" t="s">
        <v>29</v>
      </c>
      <c r="C57" s="21" t="s">
        <v>153</v>
      </c>
      <c r="D57" s="21" t="s">
        <v>107</v>
      </c>
      <c r="E57" s="23">
        <f>E55/E56</f>
        <v>67233.333333333328</v>
      </c>
      <c r="F57" s="70"/>
      <c r="G57" s="70"/>
    </row>
    <row r="58" spans="1:8" ht="20.25" customHeight="1" x14ac:dyDescent="0.25">
      <c r="A58" s="246" t="s">
        <v>119</v>
      </c>
      <c r="B58" s="21" t="s">
        <v>28</v>
      </c>
      <c r="C58" s="21" t="s">
        <v>105</v>
      </c>
      <c r="D58" s="21" t="s">
        <v>107</v>
      </c>
      <c r="E58" s="22">
        <f>Дод.2!G73*1000</f>
        <v>2124000</v>
      </c>
      <c r="F58" s="22">
        <f>Дод.2!J73*1000</f>
        <v>2124000</v>
      </c>
      <c r="G58" s="22">
        <f>Дод.2!M73*1000</f>
        <v>2200000</v>
      </c>
    </row>
    <row r="59" spans="1:8" ht="63" customHeight="1" x14ac:dyDescent="0.25">
      <c r="A59" s="247"/>
      <c r="B59" s="21" t="s">
        <v>26</v>
      </c>
      <c r="C59" s="21" t="s">
        <v>155</v>
      </c>
      <c r="D59" s="21" t="s">
        <v>133</v>
      </c>
      <c r="E59" s="70">
        <v>6369</v>
      </c>
      <c r="F59" s="70">
        <v>6375</v>
      </c>
      <c r="G59" s="70">
        <v>7980</v>
      </c>
    </row>
    <row r="60" spans="1:8" ht="30.75" customHeight="1" x14ac:dyDescent="0.25">
      <c r="A60" s="247"/>
      <c r="B60" s="21" t="s">
        <v>29</v>
      </c>
      <c r="C60" s="21" t="s">
        <v>156</v>
      </c>
      <c r="D60" s="21" t="s">
        <v>154</v>
      </c>
      <c r="E60" s="23">
        <f>E58/E59</f>
        <v>333.49034385303815</v>
      </c>
      <c r="F60" s="23">
        <f t="shared" ref="F60:G60" si="7">F58/F59</f>
        <v>333.1764705882353</v>
      </c>
      <c r="G60" s="23">
        <f t="shared" si="7"/>
        <v>275.68922305764409</v>
      </c>
      <c r="H60" s="29"/>
    </row>
    <row r="61" spans="1:8" ht="20.25" customHeight="1" x14ac:dyDescent="0.25">
      <c r="A61" s="251"/>
      <c r="B61" s="21" t="s">
        <v>27</v>
      </c>
      <c r="C61" s="21" t="s">
        <v>157</v>
      </c>
      <c r="D61" s="21" t="s">
        <v>111</v>
      </c>
      <c r="E61" s="70">
        <v>100</v>
      </c>
      <c r="F61" s="70">
        <v>100</v>
      </c>
      <c r="G61" s="70">
        <v>100</v>
      </c>
    </row>
    <row r="62" spans="1:8" ht="20.25" customHeight="1" x14ac:dyDescent="0.25">
      <c r="A62" s="246" t="s">
        <v>120</v>
      </c>
      <c r="B62" s="248" t="s">
        <v>28</v>
      </c>
      <c r="C62" s="2" t="s">
        <v>105</v>
      </c>
      <c r="D62" s="21" t="s">
        <v>154</v>
      </c>
      <c r="E62" s="3">
        <f>Дод.2!G75*1000</f>
        <v>2188900</v>
      </c>
      <c r="F62" s="3">
        <f>Дод.2!J75*1000</f>
        <v>2390500</v>
      </c>
      <c r="G62" s="3">
        <f>Дод.2!M75*1000</f>
        <v>2571000</v>
      </c>
    </row>
    <row r="63" spans="1:8" ht="20.25" customHeight="1" x14ac:dyDescent="0.25">
      <c r="A63" s="247"/>
      <c r="B63" s="250"/>
      <c r="C63" s="4" t="s">
        <v>159</v>
      </c>
      <c r="D63" s="21" t="s">
        <v>158</v>
      </c>
      <c r="E63" s="5">
        <v>8.25</v>
      </c>
      <c r="F63" s="5">
        <v>11.25</v>
      </c>
      <c r="G63" s="5">
        <v>10.75</v>
      </c>
    </row>
    <row r="64" spans="1:8" ht="20.25" customHeight="1" x14ac:dyDescent="0.25">
      <c r="A64" s="247"/>
      <c r="B64" s="249"/>
      <c r="C64" s="4" t="s">
        <v>160</v>
      </c>
      <c r="D64" s="21" t="s">
        <v>106</v>
      </c>
      <c r="E64" s="70">
        <v>3</v>
      </c>
      <c r="F64" s="70">
        <v>3</v>
      </c>
      <c r="G64" s="70">
        <v>3.75</v>
      </c>
    </row>
    <row r="65" spans="1:7" ht="21.75" customHeight="1" x14ac:dyDescent="0.25">
      <c r="A65" s="247"/>
      <c r="B65" s="248" t="s">
        <v>26</v>
      </c>
      <c r="C65" s="6" t="s">
        <v>161</v>
      </c>
      <c r="D65" s="21" t="s">
        <v>133</v>
      </c>
      <c r="E65" s="1">
        <v>3148</v>
      </c>
      <c r="F65" s="1">
        <v>2099</v>
      </c>
      <c r="G65" s="1">
        <v>550</v>
      </c>
    </row>
    <row r="66" spans="1:7" ht="32.25" customHeight="1" x14ac:dyDescent="0.25">
      <c r="A66" s="247"/>
      <c r="B66" s="249"/>
      <c r="C66" s="6" t="s">
        <v>162</v>
      </c>
      <c r="D66" s="21" t="s">
        <v>106</v>
      </c>
      <c r="E66" s="1">
        <v>285</v>
      </c>
      <c r="F66" s="1">
        <v>190</v>
      </c>
      <c r="G66" s="1">
        <v>52</v>
      </c>
    </row>
    <row r="67" spans="1:7" ht="37.5" customHeight="1" x14ac:dyDescent="0.25">
      <c r="A67" s="247"/>
      <c r="B67" s="248" t="s">
        <v>29</v>
      </c>
      <c r="C67" s="4" t="s">
        <v>163</v>
      </c>
      <c r="D67" s="21" t="s">
        <v>133</v>
      </c>
      <c r="E67" s="70">
        <v>1049</v>
      </c>
      <c r="F67" s="70">
        <v>700</v>
      </c>
      <c r="G67" s="23">
        <f>G65/G64</f>
        <v>146.66666666666666</v>
      </c>
    </row>
    <row r="68" spans="1:7" ht="28.5" customHeight="1" x14ac:dyDescent="0.25">
      <c r="A68" s="247"/>
      <c r="B68" s="249"/>
      <c r="C68" s="4" t="s">
        <v>164</v>
      </c>
      <c r="D68" s="21" t="s">
        <v>106</v>
      </c>
      <c r="E68" s="70">
        <v>35</v>
      </c>
      <c r="F68" s="70">
        <v>63</v>
      </c>
      <c r="G68" s="23">
        <f>G66/G64</f>
        <v>13.866666666666667</v>
      </c>
    </row>
    <row r="69" spans="1:7" ht="28.5" customHeight="1" x14ac:dyDescent="0.25">
      <c r="A69" s="251"/>
      <c r="B69" s="21" t="s">
        <v>27</v>
      </c>
      <c r="C69" s="21" t="s">
        <v>165</v>
      </c>
      <c r="D69" s="21" t="s">
        <v>111</v>
      </c>
      <c r="E69" s="70">
        <v>10</v>
      </c>
      <c r="F69" s="70">
        <v>10</v>
      </c>
      <c r="G69" s="70"/>
    </row>
    <row r="70" spans="1:7" ht="17.25" customHeight="1" x14ac:dyDescent="0.25">
      <c r="A70" s="260" t="s">
        <v>380</v>
      </c>
      <c r="B70" s="67" t="s">
        <v>28</v>
      </c>
      <c r="C70" s="21" t="s">
        <v>105</v>
      </c>
      <c r="D70" s="21" t="s">
        <v>107</v>
      </c>
      <c r="E70" s="22">
        <f>(Дод.2!G78+Дод.2!G79)*1000</f>
        <v>4107600.0000000005</v>
      </c>
      <c r="F70" s="31">
        <f>(Дод.2!J78+Дод.2!J79)*1000</f>
        <v>0</v>
      </c>
      <c r="G70" s="31">
        <f>(Дод.2!M78+Дод.2!M79)*1000</f>
        <v>0</v>
      </c>
    </row>
    <row r="71" spans="1:7" ht="30" x14ac:dyDescent="0.25">
      <c r="A71" s="260"/>
      <c r="B71" s="248" t="s">
        <v>26</v>
      </c>
      <c r="C71" s="6" t="s">
        <v>170</v>
      </c>
      <c r="D71" s="21" t="s">
        <v>133</v>
      </c>
      <c r="E71" s="70">
        <v>750</v>
      </c>
      <c r="F71" s="21"/>
      <c r="G71" s="21"/>
    </row>
    <row r="72" spans="1:7" ht="33.75" customHeight="1" x14ac:dyDescent="0.25">
      <c r="A72" s="260"/>
      <c r="B72" s="250"/>
      <c r="C72" s="6" t="s">
        <v>166</v>
      </c>
      <c r="D72" s="21" t="s">
        <v>133</v>
      </c>
      <c r="E72" s="70">
        <v>16.5</v>
      </c>
      <c r="F72" s="21"/>
      <c r="G72" s="21"/>
    </row>
    <row r="73" spans="1:7" x14ac:dyDescent="0.25">
      <c r="A73" s="260"/>
      <c r="B73" s="248" t="s">
        <v>29</v>
      </c>
      <c r="C73" s="2" t="s">
        <v>167</v>
      </c>
      <c r="D73" s="21" t="s">
        <v>107</v>
      </c>
      <c r="E73" s="23">
        <f>E70/E71</f>
        <v>5476.8</v>
      </c>
      <c r="F73" s="21"/>
      <c r="G73" s="21"/>
    </row>
    <row r="74" spans="1:7" ht="30" x14ac:dyDescent="0.25">
      <c r="A74" s="260"/>
      <c r="B74" s="249"/>
      <c r="C74" s="2" t="s">
        <v>168</v>
      </c>
      <c r="D74" s="21" t="s">
        <v>107</v>
      </c>
      <c r="E74" s="23">
        <f>E70/E72</f>
        <v>248945.45454545459</v>
      </c>
      <c r="F74" s="21"/>
      <c r="G74" s="21"/>
    </row>
    <row r="75" spans="1:7" ht="35.25" customHeight="1" x14ac:dyDescent="0.25">
      <c r="A75" s="260"/>
      <c r="B75" s="21" t="s">
        <v>27</v>
      </c>
      <c r="C75" s="21" t="s">
        <v>169</v>
      </c>
      <c r="D75" s="21" t="s">
        <v>111</v>
      </c>
      <c r="E75" s="70">
        <v>100</v>
      </c>
      <c r="F75" s="21"/>
      <c r="G75" s="21"/>
    </row>
    <row r="76" spans="1:7" ht="18.75" customHeight="1" x14ac:dyDescent="0.25">
      <c r="A76" s="246" t="s">
        <v>381</v>
      </c>
      <c r="B76" s="21" t="s">
        <v>28</v>
      </c>
      <c r="C76" s="2" t="s">
        <v>105</v>
      </c>
      <c r="D76" s="21" t="s">
        <v>107</v>
      </c>
      <c r="E76" s="22">
        <f>(Дод.2!G84+Дод.2!G85)*1000</f>
        <v>0</v>
      </c>
      <c r="F76" s="22">
        <f>Дод.2!J83*1000</f>
        <v>4305200</v>
      </c>
      <c r="G76" s="22">
        <f>Дод.2!M83*1000</f>
        <v>5284200</v>
      </c>
    </row>
    <row r="77" spans="1:7" ht="37.5" customHeight="1" x14ac:dyDescent="0.25">
      <c r="A77" s="247"/>
      <c r="B77" s="248" t="s">
        <v>26</v>
      </c>
      <c r="C77" s="6" t="s">
        <v>428</v>
      </c>
      <c r="D77" s="21" t="s">
        <v>133</v>
      </c>
      <c r="E77" s="21"/>
      <c r="F77" s="70">
        <v>950</v>
      </c>
      <c r="G77" s="70">
        <f>1800+9031</f>
        <v>10831</v>
      </c>
    </row>
    <row r="78" spans="1:7" ht="35.25" customHeight="1" x14ac:dyDescent="0.25">
      <c r="A78" s="247"/>
      <c r="B78" s="250"/>
      <c r="C78" s="6" t="s">
        <v>166</v>
      </c>
      <c r="D78" s="21" t="s">
        <v>133</v>
      </c>
      <c r="E78" s="21"/>
      <c r="F78" s="70">
        <v>16.5</v>
      </c>
      <c r="G78" s="70">
        <v>43</v>
      </c>
    </row>
    <row r="79" spans="1:7" ht="32.25" customHeight="1" x14ac:dyDescent="0.25">
      <c r="A79" s="247"/>
      <c r="B79" s="248" t="s">
        <v>29</v>
      </c>
      <c r="C79" s="2" t="s">
        <v>429</v>
      </c>
      <c r="D79" s="21" t="s">
        <v>107</v>
      </c>
      <c r="E79" s="21"/>
      <c r="F79" s="23">
        <f>F76/F77</f>
        <v>4531.7894736842109</v>
      </c>
      <c r="G79" s="23">
        <f>G76/G77</f>
        <v>487.87738897608716</v>
      </c>
    </row>
    <row r="80" spans="1:7" ht="33" customHeight="1" x14ac:dyDescent="0.25">
      <c r="A80" s="247"/>
      <c r="B80" s="250"/>
      <c r="C80" s="2" t="s">
        <v>168</v>
      </c>
      <c r="D80" s="21" t="s">
        <v>107</v>
      </c>
      <c r="E80" s="21"/>
      <c r="F80" s="23">
        <f>F76/F78</f>
        <v>260921.21212121213</v>
      </c>
      <c r="G80" s="23">
        <f>G76/G78</f>
        <v>122888.37209302325</v>
      </c>
    </row>
    <row r="81" spans="1:7" ht="31.5" customHeight="1" x14ac:dyDescent="0.25">
      <c r="A81" s="251"/>
      <c r="B81" s="21" t="s">
        <v>27</v>
      </c>
      <c r="C81" s="21" t="s">
        <v>171</v>
      </c>
      <c r="D81" s="21" t="s">
        <v>111</v>
      </c>
      <c r="E81" s="21"/>
      <c r="F81" s="70">
        <v>100</v>
      </c>
      <c r="G81" s="70">
        <v>100</v>
      </c>
    </row>
    <row r="82" spans="1:7" x14ac:dyDescent="0.25">
      <c r="A82" s="246" t="s">
        <v>382</v>
      </c>
      <c r="B82" s="248" t="s">
        <v>28</v>
      </c>
      <c r="C82" s="2" t="s">
        <v>105</v>
      </c>
      <c r="D82" s="21" t="s">
        <v>107</v>
      </c>
      <c r="E82" s="22">
        <f>Дод.2!G93*1000</f>
        <v>1200000</v>
      </c>
      <c r="F82" s="22">
        <f>Дод.2!J93*1000</f>
        <v>2300000</v>
      </c>
      <c r="G82" s="22">
        <f>Дод.2!M93*1000</f>
        <v>2193000</v>
      </c>
    </row>
    <row r="83" spans="1:7" x14ac:dyDescent="0.25">
      <c r="A83" s="247"/>
      <c r="B83" s="250"/>
      <c r="C83" s="18" t="s">
        <v>172</v>
      </c>
      <c r="D83" s="21"/>
      <c r="E83" s="70"/>
      <c r="F83" s="70"/>
      <c r="G83" s="70"/>
    </row>
    <row r="84" spans="1:7" ht="29.25" customHeight="1" x14ac:dyDescent="0.25">
      <c r="A84" s="247"/>
      <c r="B84" s="250"/>
      <c r="C84" s="2" t="s">
        <v>173</v>
      </c>
      <c r="D84" s="21" t="s">
        <v>106</v>
      </c>
      <c r="E84" s="70">
        <f>Дод.2!G94*1000</f>
        <v>1000000</v>
      </c>
      <c r="F84" s="70">
        <f>Дод.2!J94*1000</f>
        <v>2100000</v>
      </c>
      <c r="G84" s="70">
        <f>Дод.2!M94*1000</f>
        <v>1993000</v>
      </c>
    </row>
    <row r="85" spans="1:7" ht="30" x14ac:dyDescent="0.25">
      <c r="A85" s="247"/>
      <c r="B85" s="249"/>
      <c r="C85" s="2" t="s">
        <v>174</v>
      </c>
      <c r="D85" s="21" t="s">
        <v>106</v>
      </c>
      <c r="E85" s="70">
        <f>Дод.2!G97*1000</f>
        <v>200000</v>
      </c>
      <c r="F85" s="70">
        <f>Дод.2!J97*1000</f>
        <v>200000</v>
      </c>
      <c r="G85" s="70">
        <f>Дод.2!M97*1000</f>
        <v>200000</v>
      </c>
    </row>
    <row r="86" spans="1:7" ht="45" x14ac:dyDescent="0.25">
      <c r="A86" s="247"/>
      <c r="B86" s="248" t="s">
        <v>26</v>
      </c>
      <c r="C86" s="7" t="s">
        <v>175</v>
      </c>
      <c r="D86" s="21" t="s">
        <v>133</v>
      </c>
      <c r="E86" s="70">
        <v>20</v>
      </c>
      <c r="F86" s="70">
        <v>40</v>
      </c>
      <c r="G86" s="70">
        <v>29</v>
      </c>
    </row>
    <row r="87" spans="1:7" ht="32.25" customHeight="1" x14ac:dyDescent="0.25">
      <c r="A87" s="247"/>
      <c r="B87" s="249"/>
      <c r="C87" s="7" t="s">
        <v>176</v>
      </c>
      <c r="D87" s="21" t="s">
        <v>133</v>
      </c>
      <c r="E87" s="70">
        <v>10</v>
      </c>
      <c r="F87" s="70">
        <v>20</v>
      </c>
      <c r="G87" s="70">
        <v>14</v>
      </c>
    </row>
    <row r="88" spans="1:7" ht="45" x14ac:dyDescent="0.25">
      <c r="A88" s="247"/>
      <c r="B88" s="248" t="s">
        <v>29</v>
      </c>
      <c r="C88" s="8" t="s">
        <v>177</v>
      </c>
      <c r="D88" s="21" t="s">
        <v>107</v>
      </c>
      <c r="E88" s="70">
        <f t="shared" ref="E88:F89" si="8">E84/E86</f>
        <v>50000</v>
      </c>
      <c r="F88" s="70">
        <f t="shared" si="8"/>
        <v>52500</v>
      </c>
      <c r="G88" s="45">
        <f>G84/G86</f>
        <v>68724.137931034478</v>
      </c>
    </row>
    <row r="89" spans="1:7" ht="30" customHeight="1" x14ac:dyDescent="0.25">
      <c r="A89" s="247"/>
      <c r="B89" s="249"/>
      <c r="C89" s="8" t="s">
        <v>178</v>
      </c>
      <c r="D89" s="21" t="s">
        <v>107</v>
      </c>
      <c r="E89" s="70">
        <f t="shared" si="8"/>
        <v>20000</v>
      </c>
      <c r="F89" s="45">
        <f t="shared" si="8"/>
        <v>10000</v>
      </c>
      <c r="G89" s="45">
        <f>G85/G87</f>
        <v>14285.714285714286</v>
      </c>
    </row>
    <row r="90" spans="1:7" x14ac:dyDescent="0.25">
      <c r="A90" s="260" t="s">
        <v>383</v>
      </c>
      <c r="B90" s="248" t="s">
        <v>28</v>
      </c>
      <c r="C90" s="21" t="s">
        <v>353</v>
      </c>
      <c r="D90" s="21"/>
      <c r="E90" s="22">
        <f>Дод.2!G99*1000</f>
        <v>653300</v>
      </c>
      <c r="F90" s="22">
        <f>Дод.2!J99*1000</f>
        <v>584499.99999999988</v>
      </c>
      <c r="G90" s="22"/>
    </row>
    <row r="91" spans="1:7" x14ac:dyDescent="0.25">
      <c r="A91" s="260"/>
      <c r="B91" s="250"/>
      <c r="C91" s="14" t="s">
        <v>172</v>
      </c>
      <c r="D91" s="21"/>
      <c r="E91" s="70"/>
      <c r="F91" s="21"/>
      <c r="G91" s="21"/>
    </row>
    <row r="92" spans="1:7" ht="59.25" customHeight="1" x14ac:dyDescent="0.25">
      <c r="A92" s="260"/>
      <c r="B92" s="249"/>
      <c r="C92" s="2" t="s">
        <v>181</v>
      </c>
      <c r="D92" s="21" t="s">
        <v>107</v>
      </c>
      <c r="E92" s="70">
        <f>Дод.2!G100*1000</f>
        <v>93600</v>
      </c>
      <c r="F92" s="70">
        <f>Дод.2!J100*1000</f>
        <v>108800</v>
      </c>
      <c r="G92" s="70"/>
    </row>
    <row r="93" spans="1:7" ht="46.5" customHeight="1" x14ac:dyDescent="0.25">
      <c r="A93" s="260"/>
      <c r="B93" s="250"/>
      <c r="C93" s="2" t="s">
        <v>179</v>
      </c>
      <c r="D93" s="21" t="s">
        <v>107</v>
      </c>
      <c r="E93" s="70">
        <f>Дод.2!G102*1000</f>
        <v>106800</v>
      </c>
      <c r="F93" s="70"/>
      <c r="G93" s="70"/>
    </row>
    <row r="94" spans="1:7" ht="60.75" customHeight="1" x14ac:dyDescent="0.25">
      <c r="A94" s="260"/>
      <c r="B94" s="249"/>
      <c r="C94" s="2" t="s">
        <v>180</v>
      </c>
      <c r="D94" s="21" t="s">
        <v>107</v>
      </c>
      <c r="E94" s="70">
        <f>Дод.2!G104*1000</f>
        <v>452900</v>
      </c>
      <c r="F94" s="23">
        <v>475777.64</v>
      </c>
      <c r="G94" s="70"/>
    </row>
    <row r="95" spans="1:7" ht="33.75" customHeight="1" x14ac:dyDescent="0.25">
      <c r="A95" s="260"/>
      <c r="B95" s="248" t="s">
        <v>26</v>
      </c>
      <c r="C95" s="2" t="s">
        <v>182</v>
      </c>
      <c r="D95" s="21" t="s">
        <v>133</v>
      </c>
      <c r="E95" s="70">
        <v>75</v>
      </c>
      <c r="F95" s="70">
        <v>68</v>
      </c>
      <c r="G95" s="70"/>
    </row>
    <row r="96" spans="1:7" ht="36" customHeight="1" x14ac:dyDescent="0.25">
      <c r="A96" s="260"/>
      <c r="B96" s="250"/>
      <c r="C96" s="2" t="s">
        <v>184</v>
      </c>
      <c r="D96" s="21" t="s">
        <v>133</v>
      </c>
      <c r="E96" s="70">
        <v>1</v>
      </c>
      <c r="F96" s="70"/>
      <c r="G96" s="70"/>
    </row>
    <row r="97" spans="1:12" ht="46.5" customHeight="1" x14ac:dyDescent="0.25">
      <c r="A97" s="260"/>
      <c r="B97" s="249"/>
      <c r="C97" s="2" t="s">
        <v>183</v>
      </c>
      <c r="D97" s="21" t="s">
        <v>133</v>
      </c>
      <c r="E97" s="70">
        <v>5</v>
      </c>
      <c r="F97" s="70">
        <v>6</v>
      </c>
      <c r="G97" s="70"/>
    </row>
    <row r="98" spans="1:12" ht="36.75" customHeight="1" x14ac:dyDescent="0.25">
      <c r="A98" s="260"/>
      <c r="B98" s="248" t="s">
        <v>29</v>
      </c>
      <c r="C98" s="2" t="s">
        <v>187</v>
      </c>
      <c r="D98" s="21" t="s">
        <v>107</v>
      </c>
      <c r="E98" s="70">
        <f>E92/E95</f>
        <v>1248</v>
      </c>
      <c r="F98" s="23">
        <f>F92/F95</f>
        <v>1600</v>
      </c>
      <c r="G98" s="23"/>
    </row>
    <row r="99" spans="1:12" ht="30.75" customHeight="1" x14ac:dyDescent="0.25">
      <c r="A99" s="260"/>
      <c r="B99" s="250"/>
      <c r="C99" s="8" t="s">
        <v>186</v>
      </c>
      <c r="D99" s="21" t="s">
        <v>107</v>
      </c>
      <c r="E99" s="70">
        <f>E93/E96</f>
        <v>106800</v>
      </c>
      <c r="F99" s="23"/>
      <c r="G99" s="70"/>
    </row>
    <row r="100" spans="1:12" ht="49.5" customHeight="1" x14ac:dyDescent="0.25">
      <c r="A100" s="260"/>
      <c r="B100" s="249"/>
      <c r="C100" s="8" t="s">
        <v>185</v>
      </c>
      <c r="D100" s="21" t="s">
        <v>107</v>
      </c>
      <c r="E100" s="70">
        <f>E94/E97</f>
        <v>90580</v>
      </c>
      <c r="F100" s="23">
        <f>F94/F97</f>
        <v>79296.273333333331</v>
      </c>
      <c r="G100" s="70"/>
    </row>
    <row r="101" spans="1:12" ht="30" customHeight="1" x14ac:dyDescent="0.25">
      <c r="A101" s="246" t="s">
        <v>403</v>
      </c>
      <c r="B101" s="21" t="s">
        <v>28</v>
      </c>
      <c r="C101" s="8" t="s">
        <v>354</v>
      </c>
      <c r="D101" s="21" t="s">
        <v>107</v>
      </c>
      <c r="E101" s="70"/>
      <c r="F101" s="23"/>
      <c r="G101" s="22">
        <f>Дод.2!M108*1000</f>
        <v>1593000</v>
      </c>
    </row>
    <row r="102" spans="1:12" ht="33.75" customHeight="1" x14ac:dyDescent="0.25">
      <c r="A102" s="247"/>
      <c r="B102" s="21" t="s">
        <v>26</v>
      </c>
      <c r="C102" s="8" t="s">
        <v>355</v>
      </c>
      <c r="D102" s="21" t="s">
        <v>133</v>
      </c>
      <c r="E102" s="70"/>
      <c r="F102" s="23"/>
      <c r="G102" s="70">
        <v>34</v>
      </c>
    </row>
    <row r="103" spans="1:12" ht="45" customHeight="1" x14ac:dyDescent="0.25">
      <c r="A103" s="247"/>
      <c r="B103" s="21" t="s">
        <v>29</v>
      </c>
      <c r="C103" s="8" t="s">
        <v>356</v>
      </c>
      <c r="D103" s="21" t="s">
        <v>107</v>
      </c>
      <c r="E103" s="70"/>
      <c r="F103" s="23"/>
      <c r="G103" s="23">
        <f>G101/G102</f>
        <v>46852.941176470587</v>
      </c>
    </row>
    <row r="104" spans="1:12" ht="62.25" customHeight="1" x14ac:dyDescent="0.25">
      <c r="A104" s="251"/>
      <c r="B104" s="21" t="s">
        <v>27</v>
      </c>
      <c r="C104" s="8" t="s">
        <v>357</v>
      </c>
      <c r="D104" s="21" t="s">
        <v>111</v>
      </c>
      <c r="E104" s="70"/>
      <c r="F104" s="23"/>
      <c r="G104" s="23">
        <f>1593000/584500*100</f>
        <v>272.54063301967494</v>
      </c>
    </row>
    <row r="105" spans="1:12" ht="30" x14ac:dyDescent="0.25">
      <c r="A105" s="260" t="s">
        <v>384</v>
      </c>
      <c r="B105" s="21" t="s">
        <v>28</v>
      </c>
      <c r="C105" s="2" t="s">
        <v>351</v>
      </c>
      <c r="D105" s="21" t="s">
        <v>107</v>
      </c>
      <c r="E105" s="22">
        <f>(Дод.2!G110+Дод.2!G111)*1000</f>
        <v>1748400</v>
      </c>
      <c r="F105" s="22">
        <f>(Дод.2!J110+Дод.2!J111+Дод.2!J112)*1000</f>
        <v>5273920</v>
      </c>
      <c r="G105" s="31">
        <f>(Дод.2!M110+Дод.2!M111+Дод.2!M112)*1000</f>
        <v>5379000</v>
      </c>
    </row>
    <row r="106" spans="1:12" x14ac:dyDescent="0.25">
      <c r="A106" s="260"/>
      <c r="B106" s="21" t="s">
        <v>26</v>
      </c>
      <c r="C106" s="2" t="s">
        <v>108</v>
      </c>
      <c r="D106" s="21" t="s">
        <v>106</v>
      </c>
      <c r="E106" s="70">
        <v>2</v>
      </c>
      <c r="F106" s="70">
        <v>2</v>
      </c>
      <c r="G106" s="70">
        <v>5</v>
      </c>
    </row>
    <row r="107" spans="1:12" x14ac:dyDescent="0.25">
      <c r="A107" s="260"/>
      <c r="B107" s="21" t="s">
        <v>29</v>
      </c>
      <c r="C107" s="2" t="s">
        <v>204</v>
      </c>
      <c r="D107" s="21" t="s">
        <v>107</v>
      </c>
      <c r="E107" s="70">
        <f>E105/E106</f>
        <v>874200</v>
      </c>
      <c r="F107" s="70">
        <f>F105/F106</f>
        <v>2636960</v>
      </c>
      <c r="G107" s="23">
        <f>G105/G106</f>
        <v>1075800</v>
      </c>
    </row>
    <row r="108" spans="1:12" ht="17.25" customHeight="1" x14ac:dyDescent="0.25">
      <c r="A108" s="260"/>
      <c r="B108" s="21" t="s">
        <v>27</v>
      </c>
      <c r="C108" s="2" t="s">
        <v>147</v>
      </c>
      <c r="D108" s="21" t="s">
        <v>111</v>
      </c>
      <c r="E108" s="70">
        <v>100</v>
      </c>
      <c r="F108" s="70">
        <v>100</v>
      </c>
      <c r="G108" s="70">
        <v>100</v>
      </c>
    </row>
    <row r="109" spans="1:12" ht="50.25" customHeight="1" x14ac:dyDescent="0.25">
      <c r="A109" s="66" t="s">
        <v>377</v>
      </c>
      <c r="B109" s="21"/>
      <c r="C109" s="2" t="s">
        <v>105</v>
      </c>
      <c r="D109" s="21" t="s">
        <v>107</v>
      </c>
      <c r="E109" s="70"/>
      <c r="F109" s="70">
        <f>Дод.2!J120*1000</f>
        <v>23480</v>
      </c>
      <c r="G109" s="70"/>
    </row>
    <row r="110" spans="1:12" ht="17.25" customHeight="1" x14ac:dyDescent="0.25">
      <c r="A110" s="246" t="s">
        <v>385</v>
      </c>
      <c r="B110" s="21" t="s">
        <v>28</v>
      </c>
      <c r="C110" s="21" t="s">
        <v>105</v>
      </c>
      <c r="D110" s="21" t="s">
        <v>107</v>
      </c>
      <c r="E110" s="22">
        <f>Дод.2!G122*1000</f>
        <v>1000000</v>
      </c>
      <c r="F110" s="22">
        <f>Дод.2!J122*1000</f>
        <v>0</v>
      </c>
      <c r="G110" s="22">
        <f>Дод.2!M122*1000</f>
        <v>0</v>
      </c>
    </row>
    <row r="111" spans="1:12" ht="22.5" customHeight="1" x14ac:dyDescent="0.25">
      <c r="A111" s="247"/>
      <c r="B111" s="248" t="s">
        <v>26</v>
      </c>
      <c r="C111" s="2" t="s">
        <v>108</v>
      </c>
      <c r="D111" s="21" t="s">
        <v>106</v>
      </c>
      <c r="E111" s="70">
        <v>2</v>
      </c>
      <c r="F111" s="70"/>
      <c r="G111" s="70"/>
    </row>
    <row r="112" spans="1:12" ht="45" x14ac:dyDescent="0.25">
      <c r="A112" s="247"/>
      <c r="B112" s="249"/>
      <c r="C112" s="2" t="s">
        <v>188</v>
      </c>
      <c r="D112" s="21" t="s">
        <v>133</v>
      </c>
      <c r="E112" s="70">
        <v>60</v>
      </c>
      <c r="F112" s="70"/>
      <c r="G112" s="70"/>
      <c r="L112" s="30"/>
    </row>
    <row r="113" spans="1:12" ht="20.25" customHeight="1" x14ac:dyDescent="0.25">
      <c r="A113" s="247"/>
      <c r="B113" s="21" t="s">
        <v>29</v>
      </c>
      <c r="C113" s="18" t="s">
        <v>189</v>
      </c>
      <c r="D113" s="21" t="s">
        <v>107</v>
      </c>
      <c r="E113" s="23">
        <f>E110/E112</f>
        <v>16666.666666666668</v>
      </c>
      <c r="F113" s="70"/>
      <c r="G113" s="70"/>
      <c r="L113" s="9"/>
    </row>
    <row r="114" spans="1:12" ht="24.75" customHeight="1" x14ac:dyDescent="0.25">
      <c r="A114" s="246" t="s">
        <v>386</v>
      </c>
      <c r="B114" s="21" t="s">
        <v>28</v>
      </c>
      <c r="C114" s="21" t="s">
        <v>105</v>
      </c>
      <c r="D114" s="21" t="s">
        <v>107</v>
      </c>
      <c r="E114" s="22">
        <f>Дод.2!G125*1000</f>
        <v>0</v>
      </c>
      <c r="F114" s="22">
        <f>Дод.2!J125*1000</f>
        <v>1000000</v>
      </c>
      <c r="G114" s="22">
        <f>Дод.2!M125*1000</f>
        <v>0</v>
      </c>
      <c r="L114" s="9"/>
    </row>
    <row r="115" spans="1:12" ht="21.75" customHeight="1" x14ac:dyDescent="0.25">
      <c r="A115" s="247"/>
      <c r="B115" s="248" t="s">
        <v>26</v>
      </c>
      <c r="C115" s="2" t="s">
        <v>108</v>
      </c>
      <c r="D115" s="21" t="s">
        <v>106</v>
      </c>
      <c r="E115" s="70"/>
      <c r="F115" s="70">
        <v>2</v>
      </c>
      <c r="G115" s="70"/>
      <c r="L115" s="30"/>
    </row>
    <row r="116" spans="1:12" ht="28.5" customHeight="1" x14ac:dyDescent="0.25">
      <c r="A116" s="247"/>
      <c r="B116" s="249"/>
      <c r="C116" s="2" t="s">
        <v>188</v>
      </c>
      <c r="D116" s="21" t="s">
        <v>133</v>
      </c>
      <c r="E116" s="70"/>
      <c r="F116" s="70">
        <v>60</v>
      </c>
      <c r="G116" s="70"/>
      <c r="L116" s="30"/>
    </row>
    <row r="117" spans="1:12" ht="23.25" customHeight="1" x14ac:dyDescent="0.25">
      <c r="A117" s="247"/>
      <c r="B117" s="21" t="s">
        <v>29</v>
      </c>
      <c r="C117" s="21" t="s">
        <v>189</v>
      </c>
      <c r="D117" s="21" t="s">
        <v>107</v>
      </c>
      <c r="E117" s="70"/>
      <c r="F117" s="23">
        <f>F114/F116</f>
        <v>16666.666666666668</v>
      </c>
      <c r="G117" s="70"/>
    </row>
    <row r="118" spans="1:12" ht="19.5" customHeight="1" x14ac:dyDescent="0.25">
      <c r="A118" s="246" t="s">
        <v>431</v>
      </c>
      <c r="B118" s="248" t="s">
        <v>28</v>
      </c>
      <c r="C118" s="2" t="s">
        <v>105</v>
      </c>
      <c r="D118" s="21" t="s">
        <v>107</v>
      </c>
      <c r="E118" s="21">
        <f>Дод.2!G128*1000</f>
        <v>0</v>
      </c>
      <c r="F118" s="22">
        <f>Дод.2!J128*1000</f>
        <v>8745500</v>
      </c>
      <c r="G118" s="22">
        <f>Дод.2!M128*1000</f>
        <v>5551700</v>
      </c>
    </row>
    <row r="119" spans="1:12" ht="19.5" customHeight="1" x14ac:dyDescent="0.25">
      <c r="A119" s="247"/>
      <c r="B119" s="250"/>
      <c r="C119" s="2" t="s">
        <v>190</v>
      </c>
      <c r="D119" s="2" t="s">
        <v>106</v>
      </c>
      <c r="E119" s="21"/>
      <c r="F119" s="5">
        <v>27.25</v>
      </c>
      <c r="G119" s="133">
        <v>25.5</v>
      </c>
    </row>
    <row r="120" spans="1:12" ht="19.5" customHeight="1" x14ac:dyDescent="0.25">
      <c r="A120" s="247"/>
      <c r="B120" s="250"/>
      <c r="C120" s="2" t="s">
        <v>191</v>
      </c>
      <c r="D120" s="21" t="s">
        <v>133</v>
      </c>
      <c r="E120" s="21"/>
      <c r="F120" s="5"/>
      <c r="G120" s="70"/>
    </row>
    <row r="121" spans="1:12" ht="19.5" customHeight="1" x14ac:dyDescent="0.25">
      <c r="A121" s="247"/>
      <c r="B121" s="250"/>
      <c r="C121" s="2" t="s">
        <v>192</v>
      </c>
      <c r="D121" s="21" t="s">
        <v>133</v>
      </c>
      <c r="E121" s="21"/>
      <c r="F121" s="5">
        <v>5.25</v>
      </c>
      <c r="G121" s="70">
        <v>2.5</v>
      </c>
      <c r="J121" s="9"/>
    </row>
    <row r="122" spans="1:12" ht="19.5" customHeight="1" x14ac:dyDescent="0.25">
      <c r="A122" s="247"/>
      <c r="B122" s="250"/>
      <c r="C122" s="2" t="s">
        <v>193</v>
      </c>
      <c r="D122" s="21" t="s">
        <v>133</v>
      </c>
      <c r="E122" s="21"/>
      <c r="F122" s="5">
        <v>26</v>
      </c>
      <c r="G122" s="70">
        <v>25</v>
      </c>
      <c r="J122" s="9"/>
    </row>
    <row r="123" spans="1:12" ht="19.5" customHeight="1" x14ac:dyDescent="0.25">
      <c r="A123" s="247"/>
      <c r="B123" s="249"/>
      <c r="C123" s="2" t="s">
        <v>194</v>
      </c>
      <c r="D123" s="21" t="s">
        <v>133</v>
      </c>
      <c r="E123" s="21"/>
      <c r="F123" s="21"/>
      <c r="G123" s="70"/>
      <c r="J123" s="9"/>
    </row>
    <row r="124" spans="1:12" x14ac:dyDescent="0.25">
      <c r="A124" s="247"/>
      <c r="B124" s="21" t="s">
        <v>26</v>
      </c>
      <c r="C124" s="2" t="s">
        <v>195</v>
      </c>
      <c r="D124" s="21" t="s">
        <v>106</v>
      </c>
      <c r="E124" s="21"/>
      <c r="F124" s="70">
        <v>1200</v>
      </c>
      <c r="G124" s="70">
        <v>1722</v>
      </c>
      <c r="J124" s="9"/>
    </row>
    <row r="125" spans="1:12" ht="31.5" customHeight="1" x14ac:dyDescent="0.25">
      <c r="A125" s="247"/>
      <c r="B125" s="21" t="s">
        <v>29</v>
      </c>
      <c r="C125" s="2" t="s">
        <v>196</v>
      </c>
      <c r="D125" s="21" t="s">
        <v>106</v>
      </c>
      <c r="E125" s="21"/>
      <c r="F125" s="70">
        <v>229</v>
      </c>
      <c r="G125" s="23">
        <f>G124/G121</f>
        <v>688.8</v>
      </c>
      <c r="J125" s="9"/>
    </row>
    <row r="126" spans="1:12" x14ac:dyDescent="0.25">
      <c r="A126" s="252" t="s">
        <v>319</v>
      </c>
      <c r="B126" s="252"/>
      <c r="C126" s="252"/>
      <c r="D126" s="252"/>
      <c r="E126" s="252"/>
      <c r="F126" s="252"/>
      <c r="G126" s="252"/>
    </row>
    <row r="127" spans="1:12" ht="15" customHeight="1" x14ac:dyDescent="0.25">
      <c r="A127" s="246" t="s">
        <v>121</v>
      </c>
      <c r="B127" s="18" t="s">
        <v>28</v>
      </c>
      <c r="C127" s="18" t="s">
        <v>105</v>
      </c>
      <c r="D127" s="21" t="s">
        <v>197</v>
      </c>
      <c r="E127" s="22">
        <f>Дод.2!G132*1000</f>
        <v>5058300</v>
      </c>
      <c r="F127" s="22">
        <f>Дод.2!J132*1000</f>
        <v>4304000</v>
      </c>
      <c r="G127" s="22">
        <f>Дод.2!M132*1000</f>
        <v>6012400</v>
      </c>
    </row>
    <row r="128" spans="1:12" x14ac:dyDescent="0.25">
      <c r="A128" s="247"/>
      <c r="B128" s="18" t="s">
        <v>26</v>
      </c>
      <c r="C128" s="2" t="s">
        <v>108</v>
      </c>
      <c r="D128" s="21" t="s">
        <v>106</v>
      </c>
      <c r="E128" s="70">
        <v>1</v>
      </c>
      <c r="F128" s="70">
        <v>1</v>
      </c>
      <c r="G128" s="70">
        <v>1</v>
      </c>
    </row>
    <row r="129" spans="1:7" x14ac:dyDescent="0.25">
      <c r="A129" s="247"/>
      <c r="B129" s="18" t="s">
        <v>29</v>
      </c>
      <c r="C129" s="2" t="s">
        <v>109</v>
      </c>
      <c r="D129" s="21" t="s">
        <v>107</v>
      </c>
      <c r="E129" s="70">
        <f>E127/E128</f>
        <v>5058300</v>
      </c>
      <c r="F129" s="70">
        <f>F127/F128</f>
        <v>4304000</v>
      </c>
      <c r="G129" s="70">
        <f>G127/G128</f>
        <v>6012400</v>
      </c>
    </row>
    <row r="130" spans="1:7" x14ac:dyDescent="0.25">
      <c r="A130" s="247"/>
      <c r="B130" s="261" t="s">
        <v>27</v>
      </c>
      <c r="C130" s="2" t="s">
        <v>147</v>
      </c>
      <c r="D130" s="21" t="s">
        <v>111</v>
      </c>
      <c r="E130" s="70">
        <v>100</v>
      </c>
      <c r="F130" s="70">
        <v>100</v>
      </c>
      <c r="G130" s="70">
        <v>100</v>
      </c>
    </row>
    <row r="131" spans="1:7" ht="63" customHeight="1" x14ac:dyDescent="0.25">
      <c r="A131" s="251"/>
      <c r="B131" s="262"/>
      <c r="C131" s="2" t="s">
        <v>148</v>
      </c>
      <c r="D131" s="21" t="s">
        <v>111</v>
      </c>
      <c r="E131" s="23">
        <f>E127/3908359*100</f>
        <v>129.42260421829212</v>
      </c>
      <c r="F131" s="23">
        <f>F127/E127*100</f>
        <v>85.087875373149075</v>
      </c>
      <c r="G131" s="23">
        <f>G127/F127*100</f>
        <v>139.69330855018586</v>
      </c>
    </row>
    <row r="132" spans="1:7" x14ac:dyDescent="0.25">
      <c r="A132" s="260" t="s">
        <v>198</v>
      </c>
      <c r="B132" s="18" t="s">
        <v>28</v>
      </c>
      <c r="C132" s="2" t="s">
        <v>105</v>
      </c>
      <c r="D132" s="21" t="s">
        <v>107</v>
      </c>
      <c r="E132" s="22">
        <f>Дод.2!G134*1000</f>
        <v>67300</v>
      </c>
      <c r="F132" s="21"/>
      <c r="G132" s="21"/>
    </row>
    <row r="133" spans="1:7" ht="30" x14ac:dyDescent="0.25">
      <c r="A133" s="260"/>
      <c r="B133" s="18" t="s">
        <v>26</v>
      </c>
      <c r="C133" s="2" t="s">
        <v>152</v>
      </c>
      <c r="D133" s="21" t="s">
        <v>106</v>
      </c>
      <c r="E133" s="70">
        <v>1</v>
      </c>
      <c r="F133" s="21"/>
      <c r="G133" s="21"/>
    </row>
    <row r="134" spans="1:7" ht="30" x14ac:dyDescent="0.25">
      <c r="A134" s="260"/>
      <c r="B134" s="18" t="s">
        <v>29</v>
      </c>
      <c r="C134" s="2" t="s">
        <v>153</v>
      </c>
      <c r="D134" s="21" t="s">
        <v>107</v>
      </c>
      <c r="E134" s="70">
        <f>E132/E133</f>
        <v>67300</v>
      </c>
      <c r="F134" s="21"/>
      <c r="G134" s="21"/>
    </row>
    <row r="135" spans="1:7" x14ac:dyDescent="0.25">
      <c r="A135" s="254" t="s">
        <v>320</v>
      </c>
      <c r="B135" s="255"/>
      <c r="C135" s="255"/>
      <c r="D135" s="255"/>
      <c r="E135" s="255"/>
      <c r="F135" s="255"/>
      <c r="G135" s="256"/>
    </row>
    <row r="136" spans="1:7" x14ac:dyDescent="0.25">
      <c r="A136" s="246" t="s">
        <v>122</v>
      </c>
      <c r="B136" s="248" t="s">
        <v>28</v>
      </c>
      <c r="C136" s="2" t="s">
        <v>105</v>
      </c>
      <c r="D136" s="21" t="s">
        <v>199</v>
      </c>
      <c r="E136" s="31">
        <f>Дод.2!G138*1000</f>
        <v>11493100</v>
      </c>
      <c r="F136" s="22">
        <f>Дод.2!J138*1000</f>
        <v>11836100</v>
      </c>
      <c r="G136" s="22">
        <f>Дод.2!M138*1000</f>
        <v>11277100</v>
      </c>
    </row>
    <row r="137" spans="1:7" x14ac:dyDescent="0.25">
      <c r="A137" s="247"/>
      <c r="B137" s="250"/>
      <c r="C137" s="2" t="s">
        <v>108</v>
      </c>
      <c r="D137" s="21" t="s">
        <v>106</v>
      </c>
      <c r="E137" s="1">
        <v>1</v>
      </c>
      <c r="F137" s="70">
        <v>1</v>
      </c>
      <c r="G137" s="70">
        <v>1</v>
      </c>
    </row>
    <row r="138" spans="1:7" x14ac:dyDescent="0.25">
      <c r="A138" s="247"/>
      <c r="B138" s="250"/>
      <c r="C138" s="2" t="s">
        <v>159</v>
      </c>
      <c r="D138" s="21" t="s">
        <v>106</v>
      </c>
      <c r="E138" s="10">
        <v>63.5</v>
      </c>
      <c r="F138" s="70">
        <v>63.5</v>
      </c>
      <c r="G138" s="70">
        <v>54</v>
      </c>
    </row>
    <row r="139" spans="1:7" x14ac:dyDescent="0.25">
      <c r="A139" s="247"/>
      <c r="B139" s="249"/>
      <c r="C139" s="2" t="s">
        <v>160</v>
      </c>
      <c r="D139" s="21" t="s">
        <v>106</v>
      </c>
      <c r="E139" s="10">
        <v>22.5</v>
      </c>
      <c r="F139" s="70">
        <v>21</v>
      </c>
      <c r="G139" s="70">
        <v>16.25</v>
      </c>
    </row>
    <row r="140" spans="1:7" x14ac:dyDescent="0.25">
      <c r="A140" s="247"/>
      <c r="B140" s="248" t="s">
        <v>26</v>
      </c>
      <c r="C140" s="2" t="s">
        <v>161</v>
      </c>
      <c r="D140" s="21"/>
      <c r="E140" s="1">
        <v>32550</v>
      </c>
      <c r="F140" s="1">
        <v>23274</v>
      </c>
      <c r="G140" s="1">
        <v>17000</v>
      </c>
    </row>
    <row r="141" spans="1:7" ht="26.25" customHeight="1" x14ac:dyDescent="0.25">
      <c r="A141" s="247"/>
      <c r="B141" s="250"/>
      <c r="C141" s="2" t="s">
        <v>203</v>
      </c>
      <c r="D141" s="21"/>
      <c r="E141" s="1">
        <v>8600</v>
      </c>
      <c r="F141" s="1">
        <v>8700</v>
      </c>
      <c r="G141" s="1">
        <v>7400</v>
      </c>
    </row>
    <row r="142" spans="1:7" ht="30" x14ac:dyDescent="0.25">
      <c r="A142" s="247"/>
      <c r="B142" s="248" t="s">
        <v>29</v>
      </c>
      <c r="C142" s="2" t="s">
        <v>202</v>
      </c>
      <c r="D142" s="21" t="s">
        <v>133</v>
      </c>
      <c r="E142" s="1">
        <v>382</v>
      </c>
      <c r="F142" s="1">
        <v>414</v>
      </c>
      <c r="G142" s="1">
        <f>G141/G139</f>
        <v>455.38461538461536</v>
      </c>
    </row>
    <row r="143" spans="1:7" ht="30" x14ac:dyDescent="0.25">
      <c r="A143" s="247"/>
      <c r="B143" s="250"/>
      <c r="C143" s="2" t="s">
        <v>201</v>
      </c>
      <c r="D143" s="21" t="s">
        <v>133</v>
      </c>
      <c r="E143" s="1">
        <f>E139/E137</f>
        <v>22.5</v>
      </c>
      <c r="F143" s="1">
        <f>F139/F137</f>
        <v>21</v>
      </c>
      <c r="G143" s="1">
        <v>1046</v>
      </c>
    </row>
    <row r="144" spans="1:7" ht="47.25" customHeight="1" x14ac:dyDescent="0.25">
      <c r="A144" s="247"/>
      <c r="B144" s="249"/>
      <c r="C144" s="2" t="s">
        <v>200</v>
      </c>
      <c r="D144" s="21" t="s">
        <v>107</v>
      </c>
      <c r="E144" s="1">
        <v>353</v>
      </c>
      <c r="F144" s="1">
        <v>509</v>
      </c>
      <c r="G144" s="1">
        <v>732.96</v>
      </c>
    </row>
    <row r="145" spans="1:9" ht="21" customHeight="1" x14ac:dyDescent="0.25">
      <c r="A145" s="246" t="s">
        <v>335</v>
      </c>
      <c r="B145" s="18" t="s">
        <v>28</v>
      </c>
      <c r="C145" s="2" t="s">
        <v>105</v>
      </c>
      <c r="D145" s="21" t="s">
        <v>107</v>
      </c>
      <c r="E145" s="22">
        <f>Дод.2!G140*1000</f>
        <v>895600</v>
      </c>
      <c r="F145" s="22">
        <f>Дод.2!J140*1000</f>
        <v>920300</v>
      </c>
      <c r="G145" s="22">
        <f>Дод.2!M140*1000</f>
        <v>1183300</v>
      </c>
    </row>
    <row r="146" spans="1:9" ht="18.75" customHeight="1" x14ac:dyDescent="0.25">
      <c r="A146" s="247"/>
      <c r="B146" s="18" t="s">
        <v>26</v>
      </c>
      <c r="C146" s="2" t="s">
        <v>108</v>
      </c>
      <c r="D146" s="21" t="s">
        <v>106</v>
      </c>
      <c r="E146" s="70">
        <v>1</v>
      </c>
      <c r="F146" s="70">
        <v>1</v>
      </c>
      <c r="G146" s="70">
        <v>1</v>
      </c>
    </row>
    <row r="147" spans="1:9" ht="18.75" customHeight="1" x14ac:dyDescent="0.25">
      <c r="A147" s="247"/>
      <c r="B147" s="18" t="s">
        <v>29</v>
      </c>
      <c r="C147" s="18" t="s">
        <v>204</v>
      </c>
      <c r="D147" s="21" t="s">
        <v>107</v>
      </c>
      <c r="E147" s="70">
        <f>E145/E146</f>
        <v>895600</v>
      </c>
      <c r="F147" s="70">
        <f>F145/F146</f>
        <v>920300</v>
      </c>
      <c r="G147" s="70">
        <f>G145/G146</f>
        <v>1183300</v>
      </c>
    </row>
    <row r="148" spans="1:9" ht="22.5" customHeight="1" x14ac:dyDescent="0.25">
      <c r="A148" s="247"/>
      <c r="B148" s="248" t="s">
        <v>27</v>
      </c>
      <c r="C148" s="2" t="s">
        <v>147</v>
      </c>
      <c r="D148" s="21" t="s">
        <v>111</v>
      </c>
      <c r="E148" s="1">
        <v>100</v>
      </c>
      <c r="F148" s="70">
        <v>100</v>
      </c>
      <c r="G148" s="70">
        <v>100</v>
      </c>
    </row>
    <row r="149" spans="1:9" ht="64.5" customHeight="1" x14ac:dyDescent="0.25">
      <c r="A149" s="251"/>
      <c r="B149" s="249"/>
      <c r="C149" s="2" t="s">
        <v>205</v>
      </c>
      <c r="D149" s="21" t="s">
        <v>111</v>
      </c>
      <c r="E149" s="1">
        <f>E145/595806*100</f>
        <v>150.31738518913875</v>
      </c>
      <c r="F149" s="23">
        <f>F145/E145*100</f>
        <v>102.75792764627066</v>
      </c>
      <c r="G149" s="23">
        <f>G145/F145*100</f>
        <v>128.57763772682819</v>
      </c>
    </row>
    <row r="150" spans="1:9" ht="22.5" customHeight="1" x14ac:dyDescent="0.25">
      <c r="A150" s="252" t="s">
        <v>123</v>
      </c>
      <c r="B150" s="252"/>
      <c r="C150" s="252"/>
      <c r="D150" s="252"/>
      <c r="E150" s="252"/>
      <c r="F150" s="252"/>
      <c r="G150" s="252"/>
    </row>
    <row r="151" spans="1:9" ht="34.5" customHeight="1" x14ac:dyDescent="0.25">
      <c r="A151" s="257"/>
      <c r="B151" s="21" t="s">
        <v>26</v>
      </c>
      <c r="C151" s="69" t="s">
        <v>324</v>
      </c>
      <c r="D151" s="69" t="s">
        <v>133</v>
      </c>
      <c r="E151" s="43">
        <f>E158+E161+E187+E191</f>
        <v>26854</v>
      </c>
      <c r="F151" s="43">
        <f>F158+F161+F187+F191</f>
        <v>31994</v>
      </c>
      <c r="G151" s="43">
        <f>G158+G161+G187+G191</f>
        <v>19333</v>
      </c>
    </row>
    <row r="152" spans="1:9" ht="33" customHeight="1" x14ac:dyDescent="0.25">
      <c r="A152" s="258"/>
      <c r="B152" s="69" t="s">
        <v>27</v>
      </c>
      <c r="C152" s="40" t="s">
        <v>326</v>
      </c>
      <c r="D152" s="69" t="s">
        <v>111</v>
      </c>
      <c r="E152" s="35">
        <f>14603800/28210600*100</f>
        <v>51.76706628005077</v>
      </c>
      <c r="F152" s="35">
        <f>14071600/14603800*100</f>
        <v>96.355743025787817</v>
      </c>
      <c r="G152" s="35">
        <f>17515300/14071600*100</f>
        <v>124.47269677932857</v>
      </c>
      <c r="I152" s="14">
        <f>G160+G190</f>
        <v>17700800</v>
      </c>
    </row>
    <row r="153" spans="1:9" ht="29.25" customHeight="1" x14ac:dyDescent="0.25">
      <c r="A153" s="258"/>
      <c r="B153" s="21" t="s">
        <v>26</v>
      </c>
      <c r="C153" s="69" t="s">
        <v>325</v>
      </c>
      <c r="D153" s="69" t="s">
        <v>133</v>
      </c>
      <c r="E153" s="43">
        <f>E168+E169+E170+E179+E180+E181+E196+E197+E205</f>
        <v>500</v>
      </c>
      <c r="F153" s="43">
        <f>F168+F169+F170+F179+F180+F181+F196+F197+F205</f>
        <v>505</v>
      </c>
      <c r="G153" s="43">
        <f>G168+G169+G170+G179+G180+G181+G196+G197+G205</f>
        <v>468</v>
      </c>
    </row>
    <row r="154" spans="1:9" ht="30" customHeight="1" x14ac:dyDescent="0.25">
      <c r="A154" s="259"/>
      <c r="B154" s="69" t="s">
        <v>27</v>
      </c>
      <c r="C154" s="40" t="s">
        <v>326</v>
      </c>
      <c r="D154" s="69" t="s">
        <v>111</v>
      </c>
      <c r="E154" s="26">
        <f>3171100/1100700*100</f>
        <v>288.09848278368315</v>
      </c>
      <c r="F154" s="26">
        <f>6124400/3171100*100</f>
        <v>193.13172085396235</v>
      </c>
      <c r="G154" s="26">
        <f>3300000/6124400*100</f>
        <v>53.882829338384163</v>
      </c>
      <c r="I154" s="14">
        <f>G175+G202</f>
        <v>3301700</v>
      </c>
    </row>
    <row r="155" spans="1:9" ht="22.5" customHeight="1" x14ac:dyDescent="0.25">
      <c r="A155" s="252" t="s">
        <v>206</v>
      </c>
      <c r="B155" s="252"/>
      <c r="C155" s="252"/>
      <c r="D155" s="252"/>
      <c r="E155" s="27">
        <f>E157+E160+E164+E175+E186+E190+E194+E202</f>
        <v>17774900</v>
      </c>
      <c r="F155" s="27">
        <f>F157+F160+F164+F175+F186+F190+F194+F202</f>
        <v>20196000</v>
      </c>
      <c r="G155" s="27">
        <f>G157+G160+G164+G175+G186+G190+G194+G202</f>
        <v>21002500</v>
      </c>
    </row>
    <row r="156" spans="1:9" x14ac:dyDescent="0.25">
      <c r="A156" s="254" t="s">
        <v>290</v>
      </c>
      <c r="B156" s="255"/>
      <c r="C156" s="255"/>
      <c r="D156" s="255"/>
      <c r="E156" s="255"/>
      <c r="F156" s="255"/>
      <c r="G156" s="256"/>
    </row>
    <row r="157" spans="1:9" x14ac:dyDescent="0.25">
      <c r="A157" s="246" t="s">
        <v>124</v>
      </c>
      <c r="B157" s="21" t="s">
        <v>28</v>
      </c>
      <c r="C157" s="2" t="s">
        <v>105</v>
      </c>
      <c r="D157" s="21" t="s">
        <v>107</v>
      </c>
      <c r="E157" s="31">
        <f>Дод.2!G155*1000</f>
        <v>12542200</v>
      </c>
      <c r="F157" s="21"/>
      <c r="G157" s="21"/>
    </row>
    <row r="158" spans="1:9" ht="45" x14ac:dyDescent="0.25">
      <c r="A158" s="247"/>
      <c r="B158" s="21" t="s">
        <v>26</v>
      </c>
      <c r="C158" s="2" t="s">
        <v>207</v>
      </c>
      <c r="D158" s="21" t="s">
        <v>133</v>
      </c>
      <c r="E158" s="70">
        <v>26112</v>
      </c>
      <c r="F158" s="21"/>
      <c r="G158" s="21"/>
    </row>
    <row r="159" spans="1:9" ht="22.5" customHeight="1" x14ac:dyDescent="0.25">
      <c r="A159" s="247"/>
      <c r="B159" s="21" t="s">
        <v>29</v>
      </c>
      <c r="C159" s="4" t="s">
        <v>150</v>
      </c>
      <c r="D159" s="21" t="s">
        <v>107</v>
      </c>
      <c r="E159" s="23">
        <f>E157/E158</f>
        <v>480.32322303921569</v>
      </c>
      <c r="F159" s="21"/>
      <c r="G159" s="21"/>
    </row>
    <row r="160" spans="1:9" ht="20.25" customHeight="1" x14ac:dyDescent="0.25">
      <c r="A160" s="246" t="s">
        <v>125</v>
      </c>
      <c r="B160" s="21" t="s">
        <v>28</v>
      </c>
      <c r="C160" s="2" t="s">
        <v>105</v>
      </c>
      <c r="D160" s="21"/>
      <c r="E160" s="21"/>
      <c r="F160" s="22">
        <f>Дод.2!J159*1000</f>
        <v>11875000</v>
      </c>
      <c r="G160" s="22">
        <f>Дод.2!M159*1000</f>
        <v>14135500</v>
      </c>
    </row>
    <row r="161" spans="1:7" ht="49.5" customHeight="1" x14ac:dyDescent="0.25">
      <c r="A161" s="247"/>
      <c r="B161" s="21" t="s">
        <v>26</v>
      </c>
      <c r="C161" s="2" t="s">
        <v>207</v>
      </c>
      <c r="D161" s="21" t="s">
        <v>133</v>
      </c>
      <c r="E161" s="21"/>
      <c r="F161" s="70">
        <v>31340</v>
      </c>
      <c r="G161" s="70">
        <v>18704</v>
      </c>
    </row>
    <row r="162" spans="1:7" ht="19.5" customHeight="1" x14ac:dyDescent="0.25">
      <c r="A162" s="247"/>
      <c r="B162" s="21" t="s">
        <v>29</v>
      </c>
      <c r="C162" s="4" t="s">
        <v>150</v>
      </c>
      <c r="D162" s="21" t="s">
        <v>107</v>
      </c>
      <c r="E162" s="21"/>
      <c r="F162" s="23">
        <f>F160/F161</f>
        <v>378.90874282067648</v>
      </c>
      <c r="G162" s="23">
        <f>G160/G161</f>
        <v>755.74743370402052</v>
      </c>
    </row>
    <row r="163" spans="1:7" ht="83.25" customHeight="1" x14ac:dyDescent="0.25">
      <c r="A163" s="251"/>
      <c r="B163" s="33" t="s">
        <v>27</v>
      </c>
      <c r="C163" s="2" t="s">
        <v>208</v>
      </c>
      <c r="D163" s="21" t="s">
        <v>111</v>
      </c>
      <c r="E163" s="21"/>
      <c r="F163" s="23">
        <f>F160/E157*100</f>
        <v>94.680359107652563</v>
      </c>
      <c r="G163" s="23">
        <f>G160/F160*100</f>
        <v>119.0357894736842</v>
      </c>
    </row>
    <row r="164" spans="1:7" x14ac:dyDescent="0.25">
      <c r="A164" s="260" t="s">
        <v>126</v>
      </c>
      <c r="B164" s="248" t="s">
        <v>28</v>
      </c>
      <c r="C164" s="2" t="s">
        <v>352</v>
      </c>
      <c r="D164" s="21" t="s">
        <v>107</v>
      </c>
      <c r="E164" s="22">
        <f>Дод.2!G163*1000</f>
        <v>2806300</v>
      </c>
      <c r="F164" s="21"/>
      <c r="G164" s="21"/>
    </row>
    <row r="165" spans="1:7" ht="20.25" customHeight="1" x14ac:dyDescent="0.25">
      <c r="A165" s="260"/>
      <c r="B165" s="250"/>
      <c r="C165" s="2" t="s">
        <v>209</v>
      </c>
      <c r="D165" s="21" t="s">
        <v>107</v>
      </c>
      <c r="E165" s="1">
        <f>1268520+627640+20030</f>
        <v>1916190</v>
      </c>
      <c r="F165" s="21"/>
      <c r="G165" s="21"/>
    </row>
    <row r="166" spans="1:7" ht="30" x14ac:dyDescent="0.25">
      <c r="A166" s="260"/>
      <c r="B166" s="250"/>
      <c r="C166" s="2" t="s">
        <v>210</v>
      </c>
      <c r="D166" s="21" t="s">
        <v>107</v>
      </c>
      <c r="E166" s="1">
        <f>365476+444728.18+20030</f>
        <v>830234.17999999993</v>
      </c>
      <c r="F166" s="21"/>
      <c r="G166" s="21"/>
    </row>
    <row r="167" spans="1:7" ht="20.25" customHeight="1" x14ac:dyDescent="0.25">
      <c r="A167" s="260"/>
      <c r="B167" s="249"/>
      <c r="C167" s="2" t="s">
        <v>211</v>
      </c>
      <c r="D167" s="21" t="s">
        <v>107</v>
      </c>
      <c r="E167" s="1">
        <f>46234+13650</f>
        <v>59884</v>
      </c>
      <c r="F167" s="21"/>
      <c r="G167" s="21"/>
    </row>
    <row r="168" spans="1:7" ht="33" customHeight="1" x14ac:dyDescent="0.25">
      <c r="A168" s="260"/>
      <c r="B168" s="248" t="s">
        <v>26</v>
      </c>
      <c r="C168" s="2" t="s">
        <v>214</v>
      </c>
      <c r="D168" s="21" t="s">
        <v>133</v>
      </c>
      <c r="E168" s="1">
        <f>165+114+2</f>
        <v>281</v>
      </c>
      <c r="F168" s="21"/>
      <c r="G168" s="21"/>
    </row>
    <row r="169" spans="1:7" ht="51.75" customHeight="1" x14ac:dyDescent="0.25">
      <c r="A169" s="260"/>
      <c r="B169" s="250"/>
      <c r="C169" s="2" t="s">
        <v>212</v>
      </c>
      <c r="D169" s="21" t="s">
        <v>133</v>
      </c>
      <c r="E169" s="1">
        <f>47+30+3</f>
        <v>80</v>
      </c>
      <c r="F169" s="21"/>
      <c r="G169" s="21"/>
    </row>
    <row r="170" spans="1:7" ht="33.75" customHeight="1" x14ac:dyDescent="0.25">
      <c r="A170" s="260"/>
      <c r="B170" s="249"/>
      <c r="C170" s="2" t="s">
        <v>213</v>
      </c>
      <c r="D170" s="21" t="s">
        <v>133</v>
      </c>
      <c r="E170" s="1">
        <f>16+20</f>
        <v>36</v>
      </c>
      <c r="F170" s="21"/>
      <c r="G170" s="21"/>
    </row>
    <row r="171" spans="1:7" ht="36" customHeight="1" x14ac:dyDescent="0.25">
      <c r="A171" s="260"/>
      <c r="B171" s="248" t="s">
        <v>29</v>
      </c>
      <c r="C171" s="4" t="s">
        <v>215</v>
      </c>
      <c r="D171" s="21" t="s">
        <v>107</v>
      </c>
      <c r="E171" s="23">
        <f>E165/E168</f>
        <v>6819.1814946619215</v>
      </c>
      <c r="F171" s="21"/>
      <c r="G171" s="21"/>
    </row>
    <row r="172" spans="1:7" ht="54" customHeight="1" x14ac:dyDescent="0.25">
      <c r="A172" s="260"/>
      <c r="B172" s="250"/>
      <c r="C172" s="4" t="s">
        <v>216</v>
      </c>
      <c r="D172" s="21" t="s">
        <v>107</v>
      </c>
      <c r="E172" s="23">
        <f>E166/E169</f>
        <v>10377.927249999999</v>
      </c>
      <c r="F172" s="21"/>
      <c r="G172" s="21"/>
    </row>
    <row r="173" spans="1:7" ht="35.25" customHeight="1" x14ac:dyDescent="0.25">
      <c r="A173" s="260"/>
      <c r="B173" s="249"/>
      <c r="C173" s="4" t="s">
        <v>217</v>
      </c>
      <c r="D173" s="21" t="s">
        <v>107</v>
      </c>
      <c r="E173" s="23">
        <f>E167/E170</f>
        <v>1663.4444444444443</v>
      </c>
      <c r="F173" s="21"/>
      <c r="G173" s="21"/>
    </row>
    <row r="174" spans="1:7" ht="75" x14ac:dyDescent="0.25">
      <c r="A174" s="260"/>
      <c r="B174" s="18" t="s">
        <v>27</v>
      </c>
      <c r="C174" s="21" t="s">
        <v>218</v>
      </c>
      <c r="D174" s="21" t="s">
        <v>111</v>
      </c>
      <c r="E174" s="23">
        <f>E164/901025*100</f>
        <v>311.45639688132957</v>
      </c>
      <c r="F174" s="21"/>
      <c r="G174" s="21"/>
    </row>
    <row r="175" spans="1:7" ht="15" customHeight="1" x14ac:dyDescent="0.25">
      <c r="A175" s="260" t="s">
        <v>127</v>
      </c>
      <c r="B175" s="248" t="s">
        <v>28</v>
      </c>
      <c r="C175" s="2" t="s">
        <v>105</v>
      </c>
      <c r="D175" s="21" t="s">
        <v>107</v>
      </c>
      <c r="E175" s="21"/>
      <c r="F175" s="22">
        <f>Дод.2!J167*1000</f>
        <v>5824400</v>
      </c>
      <c r="G175" s="22">
        <f>Дод.2!M167*1000</f>
        <v>3001700</v>
      </c>
    </row>
    <row r="176" spans="1:7" x14ac:dyDescent="0.25">
      <c r="A176" s="260"/>
      <c r="B176" s="250"/>
      <c r="C176" s="2" t="s">
        <v>209</v>
      </c>
      <c r="D176" s="21" t="s">
        <v>107</v>
      </c>
      <c r="E176" s="21"/>
      <c r="F176" s="1">
        <v>3319400</v>
      </c>
      <c r="G176" s="1">
        <v>1333976</v>
      </c>
    </row>
    <row r="177" spans="1:8" ht="30" x14ac:dyDescent="0.25">
      <c r="A177" s="260"/>
      <c r="B177" s="250"/>
      <c r="C177" s="2" t="s">
        <v>210</v>
      </c>
      <c r="D177" s="21" t="s">
        <v>107</v>
      </c>
      <c r="E177" s="21"/>
      <c r="F177" s="1">
        <v>2415000</v>
      </c>
      <c r="G177" s="1">
        <v>1450726</v>
      </c>
    </row>
    <row r="178" spans="1:8" x14ac:dyDescent="0.25">
      <c r="A178" s="260"/>
      <c r="B178" s="249"/>
      <c r="C178" s="2" t="s">
        <v>211</v>
      </c>
      <c r="D178" s="21" t="s">
        <v>107</v>
      </c>
      <c r="E178" s="21"/>
      <c r="F178" s="1">
        <v>90000</v>
      </c>
      <c r="G178" s="1">
        <v>215298</v>
      </c>
    </row>
    <row r="179" spans="1:8" ht="30" x14ac:dyDescent="0.25">
      <c r="A179" s="260"/>
      <c r="B179" s="248" t="s">
        <v>26</v>
      </c>
      <c r="C179" s="2" t="s">
        <v>214</v>
      </c>
      <c r="D179" s="21" t="s">
        <v>133</v>
      </c>
      <c r="E179" s="21"/>
      <c r="F179" s="1">
        <v>272</v>
      </c>
      <c r="G179" s="1">
        <v>284</v>
      </c>
      <c r="H179" s="14" t="s">
        <v>432</v>
      </c>
    </row>
    <row r="180" spans="1:8" ht="45" x14ac:dyDescent="0.25">
      <c r="A180" s="260"/>
      <c r="B180" s="250"/>
      <c r="C180" s="2" t="s">
        <v>212</v>
      </c>
      <c r="D180" s="21" t="s">
        <v>133</v>
      </c>
      <c r="E180" s="21"/>
      <c r="F180" s="1">
        <v>110</v>
      </c>
      <c r="G180" s="1">
        <v>83</v>
      </c>
    </row>
    <row r="181" spans="1:8" ht="30" x14ac:dyDescent="0.25">
      <c r="A181" s="260"/>
      <c r="B181" s="249"/>
      <c r="C181" s="2" t="s">
        <v>213</v>
      </c>
      <c r="D181" s="21" t="s">
        <v>133</v>
      </c>
      <c r="E181" s="21"/>
      <c r="F181" s="1">
        <v>38</v>
      </c>
      <c r="G181" s="1">
        <v>37</v>
      </c>
    </row>
    <row r="182" spans="1:8" ht="30" x14ac:dyDescent="0.25">
      <c r="A182" s="260"/>
      <c r="B182" s="248" t="s">
        <v>29</v>
      </c>
      <c r="C182" s="4" t="s">
        <v>215</v>
      </c>
      <c r="D182" s="21" t="s">
        <v>107</v>
      </c>
      <c r="E182" s="21"/>
      <c r="F182" s="1">
        <f t="shared" ref="F182:G184" si="9">F176/F179</f>
        <v>12203.676470588236</v>
      </c>
      <c r="G182" s="1">
        <f t="shared" si="9"/>
        <v>4697.0985915492956</v>
      </c>
    </row>
    <row r="183" spans="1:8" ht="45" x14ac:dyDescent="0.25">
      <c r="A183" s="260"/>
      <c r="B183" s="250"/>
      <c r="C183" s="4" t="s">
        <v>216</v>
      </c>
      <c r="D183" s="21" t="s">
        <v>107</v>
      </c>
      <c r="E183" s="21"/>
      <c r="F183" s="1">
        <f t="shared" si="9"/>
        <v>21954.545454545456</v>
      </c>
      <c r="G183" s="1">
        <f t="shared" si="9"/>
        <v>17478.626506024095</v>
      </c>
    </row>
    <row r="184" spans="1:8" ht="30" x14ac:dyDescent="0.25">
      <c r="A184" s="260"/>
      <c r="B184" s="249"/>
      <c r="C184" s="4" t="s">
        <v>217</v>
      </c>
      <c r="D184" s="21" t="s">
        <v>107</v>
      </c>
      <c r="E184" s="21"/>
      <c r="F184" s="1">
        <f t="shared" si="9"/>
        <v>2368.4210526315787</v>
      </c>
      <c r="G184" s="1">
        <f t="shared" si="9"/>
        <v>5818.864864864865</v>
      </c>
    </row>
    <row r="185" spans="1:8" ht="75" x14ac:dyDescent="0.25">
      <c r="A185" s="260"/>
      <c r="B185" s="18" t="s">
        <v>27</v>
      </c>
      <c r="C185" s="2" t="s">
        <v>218</v>
      </c>
      <c r="D185" s="21" t="s">
        <v>111</v>
      </c>
      <c r="E185" s="21"/>
      <c r="F185" s="23">
        <f>F175/E164*100</f>
        <v>207.54730427965652</v>
      </c>
      <c r="G185" s="23">
        <f>G175/F175*100</f>
        <v>51.536638967103912</v>
      </c>
    </row>
    <row r="186" spans="1:8" ht="17.25" customHeight="1" x14ac:dyDescent="0.25">
      <c r="A186" s="260" t="s">
        <v>128</v>
      </c>
      <c r="B186" s="18" t="s">
        <v>28</v>
      </c>
      <c r="C186" s="2" t="s">
        <v>105</v>
      </c>
      <c r="D186" s="21" t="s">
        <v>107</v>
      </c>
      <c r="E186" s="31">
        <f>Дод.2!G171*1000</f>
        <v>2061600</v>
      </c>
      <c r="F186" s="21"/>
      <c r="G186" s="21"/>
    </row>
    <row r="187" spans="1:8" ht="36.75" customHeight="1" x14ac:dyDescent="0.25">
      <c r="A187" s="260"/>
      <c r="B187" s="18" t="s">
        <v>26</v>
      </c>
      <c r="C187" s="2" t="s">
        <v>219</v>
      </c>
      <c r="D187" s="21" t="s">
        <v>133</v>
      </c>
      <c r="E187" s="1">
        <f>558+184</f>
        <v>742</v>
      </c>
      <c r="F187" s="21"/>
      <c r="G187" s="21"/>
    </row>
    <row r="188" spans="1:8" ht="35.25" customHeight="1" x14ac:dyDescent="0.25">
      <c r="A188" s="260"/>
      <c r="B188" s="18" t="s">
        <v>29</v>
      </c>
      <c r="C188" s="4" t="s">
        <v>220</v>
      </c>
      <c r="D188" s="21" t="s">
        <v>107</v>
      </c>
      <c r="E188" s="23">
        <f>E186/E187</f>
        <v>2778.4366576819407</v>
      </c>
      <c r="F188" s="21"/>
      <c r="G188" s="21"/>
    </row>
    <row r="189" spans="1:8" ht="75" x14ac:dyDescent="0.25">
      <c r="A189" s="260"/>
      <c r="B189" s="18" t="s">
        <v>27</v>
      </c>
      <c r="C189" s="2" t="s">
        <v>221</v>
      </c>
      <c r="D189" s="21" t="s">
        <v>111</v>
      </c>
      <c r="E189" s="23">
        <f>E186/2500000*100</f>
        <v>82.463999999999999</v>
      </c>
      <c r="F189" s="21"/>
      <c r="G189" s="21"/>
    </row>
    <row r="190" spans="1:8" x14ac:dyDescent="0.25">
      <c r="A190" s="260" t="s">
        <v>129</v>
      </c>
      <c r="B190" s="18" t="s">
        <v>28</v>
      </c>
      <c r="C190" s="2" t="s">
        <v>105</v>
      </c>
      <c r="D190" s="21" t="s">
        <v>107</v>
      </c>
      <c r="E190" s="21"/>
      <c r="F190" s="22">
        <f>Дод.2!J174*1000</f>
        <v>2196600</v>
      </c>
      <c r="G190" s="22">
        <f>Дод.2!M174*1000</f>
        <v>3565300</v>
      </c>
    </row>
    <row r="191" spans="1:8" ht="30" x14ac:dyDescent="0.25">
      <c r="A191" s="260"/>
      <c r="B191" s="18" t="s">
        <v>26</v>
      </c>
      <c r="C191" s="2" t="s">
        <v>219</v>
      </c>
      <c r="D191" s="21" t="s">
        <v>133</v>
      </c>
      <c r="E191" s="21"/>
      <c r="F191" s="70">
        <v>654</v>
      </c>
      <c r="G191" s="70">
        <f>131+490+8</f>
        <v>629</v>
      </c>
    </row>
    <row r="192" spans="1:8" ht="28.5" customHeight="1" x14ac:dyDescent="0.25">
      <c r="A192" s="260"/>
      <c r="B192" s="18" t="s">
        <v>29</v>
      </c>
      <c r="C192" s="4" t="s">
        <v>220</v>
      </c>
      <c r="D192" s="21" t="s">
        <v>107</v>
      </c>
      <c r="E192" s="21"/>
      <c r="F192" s="23">
        <f>F190/F191</f>
        <v>3358.7155963302753</v>
      </c>
      <c r="G192" s="23">
        <f>G190/G191</f>
        <v>5668.2034976152627</v>
      </c>
    </row>
    <row r="193" spans="1:7" ht="75" x14ac:dyDescent="0.25">
      <c r="A193" s="260"/>
      <c r="B193" s="18" t="s">
        <v>27</v>
      </c>
      <c r="C193" s="2" t="s">
        <v>221</v>
      </c>
      <c r="D193" s="21" t="s">
        <v>111</v>
      </c>
      <c r="E193" s="21"/>
      <c r="F193" s="23">
        <f>F190/E186*100</f>
        <v>106.54831199068684</v>
      </c>
      <c r="G193" s="23">
        <f>G190/F190*100</f>
        <v>162.30993353364289</v>
      </c>
    </row>
    <row r="194" spans="1:7" ht="15" customHeight="1" x14ac:dyDescent="0.25">
      <c r="A194" s="246" t="s">
        <v>130</v>
      </c>
      <c r="B194" s="18" t="s">
        <v>28</v>
      </c>
      <c r="C194" s="2" t="s">
        <v>105</v>
      </c>
      <c r="D194" s="21" t="s">
        <v>107</v>
      </c>
      <c r="E194" s="22">
        <f>Дод.2!G177*1000</f>
        <v>364800</v>
      </c>
      <c r="F194" s="21"/>
      <c r="G194" s="21"/>
    </row>
    <row r="195" spans="1:7" x14ac:dyDescent="0.25">
      <c r="A195" s="247"/>
      <c r="B195" s="248" t="s">
        <v>26</v>
      </c>
      <c r="C195" s="2" t="s">
        <v>226</v>
      </c>
      <c r="D195" s="18" t="s">
        <v>106</v>
      </c>
      <c r="E195" s="1">
        <v>1</v>
      </c>
      <c r="F195" s="21"/>
      <c r="G195" s="21"/>
    </row>
    <row r="196" spans="1:7" ht="45" x14ac:dyDescent="0.25">
      <c r="A196" s="247"/>
      <c r="B196" s="250"/>
      <c r="C196" s="2" t="s">
        <v>222</v>
      </c>
      <c r="D196" s="18" t="s">
        <v>133</v>
      </c>
      <c r="E196" s="1">
        <v>99</v>
      </c>
      <c r="F196" s="21"/>
      <c r="G196" s="21"/>
    </row>
    <row r="197" spans="1:7" ht="45" x14ac:dyDescent="0.25">
      <c r="A197" s="247"/>
      <c r="B197" s="249"/>
      <c r="C197" s="2" t="s">
        <v>223</v>
      </c>
      <c r="D197" s="18" t="s">
        <v>133</v>
      </c>
      <c r="E197" s="1">
        <v>4</v>
      </c>
      <c r="F197" s="21"/>
      <c r="G197" s="21"/>
    </row>
    <row r="198" spans="1:7" ht="29.25" customHeight="1" x14ac:dyDescent="0.25">
      <c r="A198" s="247"/>
      <c r="B198" s="246" t="s">
        <v>29</v>
      </c>
      <c r="C198" s="4" t="s">
        <v>224</v>
      </c>
      <c r="D198" s="18" t="s">
        <v>133</v>
      </c>
      <c r="E198" s="1">
        <f>300000/99</f>
        <v>3030.3030303030305</v>
      </c>
      <c r="F198" s="21"/>
      <c r="G198" s="21"/>
    </row>
    <row r="199" spans="1:7" ht="33" customHeight="1" x14ac:dyDescent="0.25">
      <c r="A199" s="247"/>
      <c r="B199" s="251"/>
      <c r="C199" s="4" t="s">
        <v>225</v>
      </c>
      <c r="D199" s="18" t="s">
        <v>133</v>
      </c>
      <c r="E199" s="1">
        <f>64800/4</f>
        <v>16200</v>
      </c>
      <c r="F199" s="21"/>
      <c r="G199" s="21"/>
    </row>
    <row r="200" spans="1:7" ht="30" customHeight="1" x14ac:dyDescent="0.25">
      <c r="A200" s="247"/>
      <c r="B200" s="248" t="s">
        <v>27</v>
      </c>
      <c r="C200" s="4" t="s">
        <v>227</v>
      </c>
      <c r="D200" s="18" t="s">
        <v>111</v>
      </c>
      <c r="E200" s="70">
        <v>100</v>
      </c>
      <c r="F200" s="21"/>
      <c r="G200" s="21"/>
    </row>
    <row r="201" spans="1:7" ht="31.5" customHeight="1" x14ac:dyDescent="0.25">
      <c r="A201" s="251"/>
      <c r="B201" s="249"/>
      <c r="C201" s="4" t="s">
        <v>228</v>
      </c>
      <c r="D201" s="18" t="s">
        <v>111</v>
      </c>
      <c r="E201" s="70">
        <v>100</v>
      </c>
      <c r="F201" s="31"/>
      <c r="G201" s="31"/>
    </row>
    <row r="202" spans="1:7" ht="15" customHeight="1" x14ac:dyDescent="0.25">
      <c r="A202" s="246" t="s">
        <v>131</v>
      </c>
      <c r="B202" s="248" t="s">
        <v>28</v>
      </c>
      <c r="C202" s="2" t="s">
        <v>105</v>
      </c>
      <c r="D202" s="21" t="s">
        <v>107</v>
      </c>
      <c r="E202" s="21"/>
      <c r="F202" s="22">
        <f>Дод.2!J179*1000</f>
        <v>300000</v>
      </c>
      <c r="G202" s="22">
        <f>Дод.2!M179*1000</f>
        <v>300000</v>
      </c>
    </row>
    <row r="203" spans="1:7" ht="30" x14ac:dyDescent="0.25">
      <c r="A203" s="247"/>
      <c r="B203" s="250"/>
      <c r="C203" s="2" t="s">
        <v>405</v>
      </c>
      <c r="D203" s="21" t="s">
        <v>107</v>
      </c>
      <c r="E203" s="21"/>
      <c r="F203" s="22"/>
      <c r="G203" s="22">
        <v>239800</v>
      </c>
    </row>
    <row r="204" spans="1:7" ht="30" x14ac:dyDescent="0.25">
      <c r="A204" s="247"/>
      <c r="B204" s="249"/>
      <c r="C204" s="2" t="s">
        <v>406</v>
      </c>
      <c r="D204" s="21" t="s">
        <v>107</v>
      </c>
      <c r="E204" s="21"/>
      <c r="F204" s="22"/>
      <c r="G204" s="22">
        <v>60200</v>
      </c>
    </row>
    <row r="205" spans="1:7" ht="45" x14ac:dyDescent="0.25">
      <c r="A205" s="247"/>
      <c r="B205" s="250" t="s">
        <v>26</v>
      </c>
      <c r="C205" s="2" t="s">
        <v>407</v>
      </c>
      <c r="D205" s="18" t="s">
        <v>133</v>
      </c>
      <c r="E205" s="21"/>
      <c r="F205" s="70">
        <v>85</v>
      </c>
      <c r="G205" s="70">
        <v>64</v>
      </c>
    </row>
    <row r="206" spans="1:7" ht="45" x14ac:dyDescent="0.25">
      <c r="A206" s="247"/>
      <c r="B206" s="249"/>
      <c r="C206" s="2" t="s">
        <v>408</v>
      </c>
      <c r="D206" s="18" t="s">
        <v>133</v>
      </c>
      <c r="E206" s="21"/>
      <c r="F206" s="70"/>
      <c r="G206" s="70">
        <v>3</v>
      </c>
    </row>
    <row r="207" spans="1:7" ht="30.75" customHeight="1" x14ac:dyDescent="0.25">
      <c r="A207" s="247"/>
      <c r="B207" s="246" t="s">
        <v>29</v>
      </c>
      <c r="C207" s="4" t="s">
        <v>224</v>
      </c>
      <c r="D207" s="18" t="s">
        <v>409</v>
      </c>
      <c r="E207" s="21"/>
      <c r="F207" s="23">
        <f>F202/F205</f>
        <v>3529.4117647058824</v>
      </c>
      <c r="G207" s="23">
        <f>G203/G205</f>
        <v>3746.875</v>
      </c>
    </row>
    <row r="208" spans="1:7" ht="30" customHeight="1" x14ac:dyDescent="0.25">
      <c r="A208" s="247"/>
      <c r="B208" s="251"/>
      <c r="C208" s="4" t="s">
        <v>225</v>
      </c>
      <c r="D208" s="18" t="s">
        <v>409</v>
      </c>
      <c r="E208" s="21"/>
      <c r="F208" s="23"/>
      <c r="G208" s="23">
        <f>G204/G206</f>
        <v>20066.666666666668</v>
      </c>
    </row>
    <row r="209" spans="1:7" ht="65.25" customHeight="1" x14ac:dyDescent="0.25">
      <c r="A209" s="247"/>
      <c r="B209" s="248" t="s">
        <v>27</v>
      </c>
      <c r="C209" s="4" t="s">
        <v>410</v>
      </c>
      <c r="D209" s="18" t="s">
        <v>111</v>
      </c>
      <c r="E209" s="21"/>
      <c r="F209" s="70">
        <v>100</v>
      </c>
      <c r="G209" s="23">
        <v>80</v>
      </c>
    </row>
    <row r="210" spans="1:7" ht="58.5" customHeight="1" x14ac:dyDescent="0.25">
      <c r="A210" s="251"/>
      <c r="B210" s="249"/>
      <c r="C210" s="4" t="s">
        <v>411</v>
      </c>
      <c r="D210" s="18" t="s">
        <v>111</v>
      </c>
      <c r="E210" s="21"/>
      <c r="F210" s="70"/>
      <c r="G210" s="70">
        <v>100</v>
      </c>
    </row>
    <row r="211" spans="1:7" ht="20.25" customHeight="1" x14ac:dyDescent="0.25">
      <c r="A211" s="252" t="s">
        <v>230</v>
      </c>
      <c r="B211" s="252"/>
      <c r="C211" s="252"/>
      <c r="D211" s="252"/>
      <c r="E211" s="252"/>
      <c r="F211" s="252"/>
      <c r="G211" s="252"/>
    </row>
    <row r="212" spans="1:7" ht="20.25" customHeight="1" x14ac:dyDescent="0.25">
      <c r="A212" s="68"/>
      <c r="B212" s="31" t="s">
        <v>26</v>
      </c>
      <c r="C212" s="41" t="s">
        <v>108</v>
      </c>
      <c r="D212" s="41" t="s">
        <v>106</v>
      </c>
      <c r="E212" s="25">
        <v>2</v>
      </c>
      <c r="F212" s="25">
        <v>2</v>
      </c>
      <c r="G212" s="25">
        <v>2</v>
      </c>
    </row>
    <row r="213" spans="1:7" ht="28.5" customHeight="1" x14ac:dyDescent="0.25">
      <c r="A213" s="68"/>
      <c r="B213" s="39" t="s">
        <v>27</v>
      </c>
      <c r="C213" s="40" t="s">
        <v>326</v>
      </c>
      <c r="D213" s="41" t="s">
        <v>111</v>
      </c>
      <c r="E213" s="38">
        <f>19491400/3658500*100</f>
        <v>532.77026103594369</v>
      </c>
      <c r="F213" s="38">
        <f>F214/E214*100</f>
        <v>35.267989985326864</v>
      </c>
      <c r="G213" s="38">
        <f>G214/F214*100</f>
        <v>77.076688644901793</v>
      </c>
    </row>
    <row r="214" spans="1:7" ht="18.75" customHeight="1" x14ac:dyDescent="0.25">
      <c r="A214" s="252" t="s">
        <v>229</v>
      </c>
      <c r="B214" s="252"/>
      <c r="C214" s="252"/>
      <c r="D214" s="252"/>
      <c r="E214" s="28">
        <f>E216+E230+E233</f>
        <v>19491400</v>
      </c>
      <c r="F214" s="28">
        <f>F216+F230+F233</f>
        <v>6874225</v>
      </c>
      <c r="G214" s="28">
        <f>G216+G230+G233</f>
        <v>5298425</v>
      </c>
    </row>
    <row r="215" spans="1:7" ht="18.75" customHeight="1" x14ac:dyDescent="0.25">
      <c r="A215" s="254" t="s">
        <v>321</v>
      </c>
      <c r="B215" s="255"/>
      <c r="C215" s="255"/>
      <c r="D215" s="255"/>
      <c r="E215" s="255"/>
      <c r="F215" s="255"/>
      <c r="G215" s="256"/>
    </row>
    <row r="216" spans="1:7" ht="22.5" customHeight="1" x14ac:dyDescent="0.25">
      <c r="A216" s="246" t="s">
        <v>404</v>
      </c>
      <c r="B216" s="248" t="s">
        <v>28</v>
      </c>
      <c r="C216" s="2" t="s">
        <v>232</v>
      </c>
      <c r="D216" s="21" t="s">
        <v>107</v>
      </c>
      <c r="E216" s="22">
        <f>Дод.2!G188*1000</f>
        <v>2933100</v>
      </c>
      <c r="F216" s="22">
        <f>(Дод.2!J188+Дод.2!K188)*1000</f>
        <v>3813125</v>
      </c>
      <c r="G216" s="22">
        <f>(Дод.2!M188+Дод.2!N188)*1000</f>
        <v>4113125</v>
      </c>
    </row>
    <row r="217" spans="1:7" ht="22.5" customHeight="1" x14ac:dyDescent="0.25">
      <c r="A217" s="247"/>
      <c r="B217" s="250"/>
      <c r="C217" s="2" t="s">
        <v>231</v>
      </c>
      <c r="D217" s="21"/>
      <c r="E217" s="70">
        <v>2</v>
      </c>
      <c r="F217" s="3">
        <v>2</v>
      </c>
      <c r="G217" s="3">
        <v>2</v>
      </c>
    </row>
    <row r="218" spans="1:7" ht="19.5" customHeight="1" x14ac:dyDescent="0.25">
      <c r="A218" s="247"/>
      <c r="B218" s="250"/>
      <c r="C218" s="2" t="s">
        <v>233</v>
      </c>
      <c r="D218" s="21" t="s">
        <v>106</v>
      </c>
      <c r="E218" s="1">
        <v>1</v>
      </c>
      <c r="F218" s="1">
        <v>1</v>
      </c>
      <c r="G218" s="1">
        <v>1</v>
      </c>
    </row>
    <row r="219" spans="1:7" ht="30" customHeight="1" x14ac:dyDescent="0.25">
      <c r="A219" s="247"/>
      <c r="B219" s="250"/>
      <c r="C219" s="2" t="s">
        <v>234</v>
      </c>
      <c r="D219" s="21" t="s">
        <v>106</v>
      </c>
      <c r="E219" s="1">
        <v>1</v>
      </c>
      <c r="F219" s="1">
        <v>1</v>
      </c>
      <c r="G219" s="1">
        <v>1</v>
      </c>
    </row>
    <row r="220" spans="1:7" ht="15.75" customHeight="1" x14ac:dyDescent="0.25">
      <c r="A220" s="247"/>
      <c r="B220" s="250"/>
      <c r="C220" s="2" t="s">
        <v>244</v>
      </c>
      <c r="D220" s="21" t="s">
        <v>106</v>
      </c>
      <c r="E220" s="1">
        <f>E221+E222</f>
        <v>21</v>
      </c>
      <c r="F220" s="1">
        <f>F221+F222</f>
        <v>21</v>
      </c>
      <c r="G220" s="1">
        <f>G221+G222</f>
        <v>21</v>
      </c>
    </row>
    <row r="221" spans="1:7" ht="18.75" customHeight="1" x14ac:dyDescent="0.25">
      <c r="A221" s="247"/>
      <c r="B221" s="250"/>
      <c r="C221" s="2" t="s">
        <v>243</v>
      </c>
      <c r="D221" s="21" t="s">
        <v>106</v>
      </c>
      <c r="E221" s="1">
        <v>10</v>
      </c>
      <c r="F221" s="1">
        <v>10</v>
      </c>
      <c r="G221" s="1">
        <v>10</v>
      </c>
    </row>
    <row r="222" spans="1:7" ht="18.75" customHeight="1" x14ac:dyDescent="0.25">
      <c r="A222" s="247"/>
      <c r="B222" s="249"/>
      <c r="C222" s="2" t="s">
        <v>242</v>
      </c>
      <c r="D222" s="21" t="s">
        <v>106</v>
      </c>
      <c r="E222" s="1">
        <v>11</v>
      </c>
      <c r="F222" s="1">
        <v>11</v>
      </c>
      <c r="G222" s="1">
        <v>11</v>
      </c>
    </row>
    <row r="223" spans="1:7" ht="45" x14ac:dyDescent="0.25">
      <c r="A223" s="247"/>
      <c r="B223" s="253" t="s">
        <v>26</v>
      </c>
      <c r="C223" s="2" t="s">
        <v>241</v>
      </c>
      <c r="D223" s="21" t="s">
        <v>106</v>
      </c>
      <c r="E223" s="1">
        <v>9</v>
      </c>
      <c r="F223" s="1">
        <v>9</v>
      </c>
      <c r="G223" s="1">
        <v>9</v>
      </c>
    </row>
    <row r="224" spans="1:7" ht="31.5" customHeight="1" x14ac:dyDescent="0.25">
      <c r="A224" s="247"/>
      <c r="B224" s="253"/>
      <c r="C224" s="2" t="s">
        <v>240</v>
      </c>
      <c r="D224" s="21" t="s">
        <v>106</v>
      </c>
      <c r="E224" s="1">
        <v>800</v>
      </c>
      <c r="F224" s="1">
        <v>800</v>
      </c>
      <c r="G224" s="1">
        <v>800</v>
      </c>
    </row>
    <row r="225" spans="1:7" x14ac:dyDescent="0.25">
      <c r="A225" s="247"/>
      <c r="B225" s="253"/>
      <c r="C225" s="2" t="s">
        <v>239</v>
      </c>
      <c r="D225" s="21" t="s">
        <v>106</v>
      </c>
      <c r="E225" s="1">
        <v>42</v>
      </c>
      <c r="F225" s="1">
        <v>42</v>
      </c>
      <c r="G225" s="1">
        <v>37</v>
      </c>
    </row>
    <row r="226" spans="1:7" ht="82.5" customHeight="1" x14ac:dyDescent="0.25">
      <c r="A226" s="247"/>
      <c r="B226" s="253"/>
      <c r="C226" s="2" t="s">
        <v>238</v>
      </c>
      <c r="D226" s="21" t="s">
        <v>106</v>
      </c>
      <c r="E226" s="1">
        <v>220</v>
      </c>
      <c r="F226" s="1">
        <v>220</v>
      </c>
      <c r="G226" s="1">
        <v>220</v>
      </c>
    </row>
    <row r="227" spans="1:7" ht="45" x14ac:dyDescent="0.25">
      <c r="A227" s="247"/>
      <c r="B227" s="246" t="s">
        <v>29</v>
      </c>
      <c r="C227" s="2" t="s">
        <v>237</v>
      </c>
      <c r="D227" s="21" t="s">
        <v>106</v>
      </c>
      <c r="E227" s="70">
        <f>E224/E221</f>
        <v>80</v>
      </c>
      <c r="F227" s="70">
        <f>F224/F221</f>
        <v>80</v>
      </c>
      <c r="G227" s="70">
        <f>G224/G221</f>
        <v>80</v>
      </c>
    </row>
    <row r="228" spans="1:7" ht="45" x14ac:dyDescent="0.25">
      <c r="A228" s="247"/>
      <c r="B228" s="247"/>
      <c r="C228" s="2" t="s">
        <v>236</v>
      </c>
      <c r="D228" s="21" t="s">
        <v>106</v>
      </c>
      <c r="E228" s="23">
        <f t="shared" ref="E228:G229" si="10">E225/E221</f>
        <v>4.2</v>
      </c>
      <c r="F228" s="23">
        <f t="shared" si="10"/>
        <v>4.2</v>
      </c>
      <c r="G228" s="23">
        <f t="shared" si="10"/>
        <v>3.7</v>
      </c>
    </row>
    <row r="229" spans="1:7" ht="75" x14ac:dyDescent="0.25">
      <c r="A229" s="251"/>
      <c r="B229" s="251"/>
      <c r="C229" s="2" t="s">
        <v>235</v>
      </c>
      <c r="D229" s="21" t="s">
        <v>106</v>
      </c>
      <c r="E229" s="70">
        <f t="shared" si="10"/>
        <v>20</v>
      </c>
      <c r="F229" s="70">
        <f t="shared" si="10"/>
        <v>20</v>
      </c>
      <c r="G229" s="70">
        <f t="shared" si="10"/>
        <v>20</v>
      </c>
    </row>
    <row r="230" spans="1:7" ht="16.5" customHeight="1" x14ac:dyDescent="0.25">
      <c r="A230" s="246" t="s">
        <v>358</v>
      </c>
      <c r="B230" s="21" t="s">
        <v>28</v>
      </c>
      <c r="C230" s="2" t="s">
        <v>232</v>
      </c>
      <c r="D230" s="21" t="s">
        <v>107</v>
      </c>
      <c r="E230" s="22">
        <f>Дод.2!G190*1000</f>
        <v>21200</v>
      </c>
      <c r="F230" s="70"/>
      <c r="G230" s="70"/>
    </row>
    <row r="231" spans="1:7" x14ac:dyDescent="0.25">
      <c r="A231" s="247"/>
      <c r="B231" s="69" t="s">
        <v>26</v>
      </c>
      <c r="C231" s="2" t="s">
        <v>245</v>
      </c>
      <c r="D231" s="21" t="s">
        <v>106</v>
      </c>
      <c r="E231" s="70">
        <v>2</v>
      </c>
      <c r="F231" s="70"/>
      <c r="G231" s="70"/>
    </row>
    <row r="232" spans="1:7" ht="30" x14ac:dyDescent="0.25">
      <c r="A232" s="251"/>
      <c r="B232" s="69" t="s">
        <v>29</v>
      </c>
      <c r="C232" s="4" t="s">
        <v>246</v>
      </c>
      <c r="D232" s="21" t="s">
        <v>107</v>
      </c>
      <c r="E232" s="70">
        <f>E230/E231</f>
        <v>10600</v>
      </c>
      <c r="F232" s="70"/>
      <c r="G232" s="70"/>
    </row>
    <row r="233" spans="1:7" ht="60" x14ac:dyDescent="0.25">
      <c r="A233" s="70" t="s">
        <v>359</v>
      </c>
      <c r="B233" s="21" t="s">
        <v>28</v>
      </c>
      <c r="C233" s="21" t="s">
        <v>247</v>
      </c>
      <c r="D233" s="21" t="s">
        <v>107</v>
      </c>
      <c r="E233" s="22">
        <f>Дод.2!H192*1000</f>
        <v>16537099.999999998</v>
      </c>
      <c r="F233" s="22">
        <f>Дод.2!K192*1000</f>
        <v>3061100.0000000005</v>
      </c>
      <c r="G233" s="22">
        <f>Дод.2!N192*1000</f>
        <v>1185300</v>
      </c>
    </row>
    <row r="234" spans="1:7" ht="18.75" customHeight="1" x14ac:dyDescent="0.25">
      <c r="A234" s="252" t="s">
        <v>249</v>
      </c>
      <c r="B234" s="252"/>
      <c r="C234" s="252"/>
      <c r="D234" s="252"/>
      <c r="E234" s="252"/>
      <c r="F234" s="252"/>
      <c r="G234" s="252"/>
    </row>
    <row r="235" spans="1:7" ht="22.5" customHeight="1" x14ac:dyDescent="0.25">
      <c r="A235" s="68"/>
      <c r="B235" s="31" t="s">
        <v>26</v>
      </c>
      <c r="C235" s="41" t="s">
        <v>108</v>
      </c>
      <c r="D235" s="68" t="s">
        <v>106</v>
      </c>
      <c r="E235" s="28">
        <v>5</v>
      </c>
      <c r="F235" s="28">
        <v>7</v>
      </c>
      <c r="G235" s="28">
        <v>8</v>
      </c>
    </row>
    <row r="236" spans="1:7" ht="36" customHeight="1" x14ac:dyDescent="0.25">
      <c r="A236" s="68"/>
      <c r="B236" s="39" t="s">
        <v>27</v>
      </c>
      <c r="C236" s="21" t="s">
        <v>326</v>
      </c>
      <c r="D236" s="68" t="s">
        <v>111</v>
      </c>
      <c r="E236" s="38">
        <f>E237/154476500*100</f>
        <v>69.623483183526304</v>
      </c>
      <c r="F236" s="38">
        <f>F237/E237*100</f>
        <v>237.77929766386316</v>
      </c>
      <c r="G236" s="38">
        <f>G237/F237*100</f>
        <v>49.54007293453175</v>
      </c>
    </row>
    <row r="237" spans="1:7" ht="20.25" customHeight="1" x14ac:dyDescent="0.25">
      <c r="A237" s="252" t="s">
        <v>248</v>
      </c>
      <c r="B237" s="252"/>
      <c r="C237" s="252"/>
      <c r="D237" s="252"/>
      <c r="E237" s="27">
        <f>E239+E243+E252+E259+E263+E267+E270</f>
        <v>107551920</v>
      </c>
      <c r="F237" s="42">
        <f>F239+F243+F252+F259+F263+F267+F270+F242+F262</f>
        <v>255736200</v>
      </c>
      <c r="G237" s="42">
        <f>G239+G243+G252+G259+G263+G267+G270+G242</f>
        <v>126691900</v>
      </c>
    </row>
    <row r="238" spans="1:7" x14ac:dyDescent="0.25">
      <c r="A238" s="252" t="s">
        <v>291</v>
      </c>
      <c r="B238" s="252"/>
      <c r="C238" s="252"/>
      <c r="D238" s="252"/>
      <c r="E238" s="252"/>
      <c r="F238" s="252"/>
      <c r="G238" s="252"/>
    </row>
    <row r="239" spans="1:7" ht="30" x14ac:dyDescent="0.25">
      <c r="A239" s="246" t="s">
        <v>250</v>
      </c>
      <c r="B239" s="69" t="s">
        <v>28</v>
      </c>
      <c r="C239" s="2" t="s">
        <v>251</v>
      </c>
      <c r="D239" s="21" t="s">
        <v>107</v>
      </c>
      <c r="E239" s="22">
        <f>Дод.2!H215*1000</f>
        <v>80593000</v>
      </c>
      <c r="F239" s="22">
        <f>Дод.2!K215*1000</f>
        <v>165509200</v>
      </c>
      <c r="G239" s="22">
        <f>Дод.2!N215*1000</f>
        <v>168100</v>
      </c>
    </row>
    <row r="240" spans="1:7" ht="20.25" customHeight="1" x14ac:dyDescent="0.25">
      <c r="A240" s="247"/>
      <c r="B240" s="69" t="s">
        <v>26</v>
      </c>
      <c r="C240" s="69" t="s">
        <v>252</v>
      </c>
      <c r="D240" s="21" t="s">
        <v>106</v>
      </c>
      <c r="E240" s="70">
        <v>9</v>
      </c>
      <c r="F240" s="70">
        <v>39</v>
      </c>
      <c r="G240" s="70">
        <v>2</v>
      </c>
    </row>
    <row r="241" spans="1:8" ht="30" x14ac:dyDescent="0.25">
      <c r="A241" s="247"/>
      <c r="B241" s="69" t="s">
        <v>29</v>
      </c>
      <c r="C241" s="4" t="s">
        <v>246</v>
      </c>
      <c r="D241" s="21" t="s">
        <v>107</v>
      </c>
      <c r="E241" s="23">
        <f>E239/E240</f>
        <v>8954777.777777778</v>
      </c>
      <c r="F241" s="23">
        <f t="shared" ref="F241:G241" si="11">F239/F240</f>
        <v>4243825.641025641</v>
      </c>
      <c r="G241" s="23">
        <f t="shared" si="11"/>
        <v>84050</v>
      </c>
    </row>
    <row r="242" spans="1:8" ht="40.5" customHeight="1" x14ac:dyDescent="0.25">
      <c r="A242" s="70" t="s">
        <v>342</v>
      </c>
      <c r="B242" s="67" t="s">
        <v>28</v>
      </c>
      <c r="C242" s="4" t="s">
        <v>105</v>
      </c>
      <c r="D242" s="21" t="s">
        <v>107</v>
      </c>
      <c r="E242" s="23"/>
      <c r="F242" s="23"/>
      <c r="G242" s="23">
        <f>Дод.2!N226*1000</f>
        <v>50000000</v>
      </c>
    </row>
    <row r="243" spans="1:8" ht="38.25" customHeight="1" x14ac:dyDescent="0.25">
      <c r="A243" s="246" t="s">
        <v>360</v>
      </c>
      <c r="B243" s="248" t="s">
        <v>28</v>
      </c>
      <c r="C243" s="2" t="s">
        <v>255</v>
      </c>
      <c r="D243" s="21" t="s">
        <v>107</v>
      </c>
      <c r="E243" s="22">
        <f>Дод.2!H229*1000</f>
        <v>5300000</v>
      </c>
      <c r="F243" s="70"/>
      <c r="G243" s="70"/>
    </row>
    <row r="244" spans="1:8" ht="21" customHeight="1" x14ac:dyDescent="0.25">
      <c r="A244" s="247"/>
      <c r="B244" s="250"/>
      <c r="C244" s="2" t="s">
        <v>253</v>
      </c>
      <c r="D244" s="21" t="s">
        <v>107</v>
      </c>
      <c r="E244" s="1">
        <f>300000+2000000</f>
        <v>2300000</v>
      </c>
      <c r="F244" s="70"/>
      <c r="G244" s="70"/>
    </row>
    <row r="245" spans="1:8" ht="18" customHeight="1" x14ac:dyDescent="0.25">
      <c r="A245" s="247"/>
      <c r="B245" s="249"/>
      <c r="C245" s="2" t="s">
        <v>254</v>
      </c>
      <c r="D245" s="21" t="s">
        <v>107</v>
      </c>
      <c r="E245" s="1">
        <f>2000000+1000000</f>
        <v>3000000</v>
      </c>
      <c r="F245" s="70"/>
      <c r="G245" s="70"/>
    </row>
    <row r="246" spans="1:8" ht="30.75" customHeight="1" x14ac:dyDescent="0.25">
      <c r="A246" s="247"/>
      <c r="B246" s="248" t="s">
        <v>26</v>
      </c>
      <c r="C246" s="4" t="s">
        <v>387</v>
      </c>
      <c r="D246" s="21"/>
      <c r="E246" s="22"/>
      <c r="F246" s="70"/>
      <c r="G246" s="70"/>
    </row>
    <row r="247" spans="1:8" ht="21" customHeight="1" x14ac:dyDescent="0.25">
      <c r="A247" s="247"/>
      <c r="B247" s="250"/>
      <c r="C247" s="2" t="s">
        <v>253</v>
      </c>
      <c r="D247" s="21" t="s">
        <v>106</v>
      </c>
      <c r="E247" s="70">
        <v>2</v>
      </c>
      <c r="F247" s="70"/>
      <c r="G247" s="70"/>
    </row>
    <row r="248" spans="1:8" x14ac:dyDescent="0.25">
      <c r="A248" s="247"/>
      <c r="B248" s="249"/>
      <c r="C248" s="2" t="s">
        <v>254</v>
      </c>
      <c r="D248" s="21" t="s">
        <v>106</v>
      </c>
      <c r="E248" s="70">
        <v>2</v>
      </c>
      <c r="F248" s="70"/>
      <c r="G248" s="70"/>
    </row>
    <row r="249" spans="1:8" ht="30" x14ac:dyDescent="0.25">
      <c r="A249" s="247"/>
      <c r="B249" s="246" t="s">
        <v>29</v>
      </c>
      <c r="C249" s="4" t="s">
        <v>256</v>
      </c>
      <c r="D249" s="21"/>
      <c r="E249" s="70"/>
      <c r="F249" s="70"/>
      <c r="G249" s="70"/>
    </row>
    <row r="250" spans="1:8" x14ac:dyDescent="0.25">
      <c r="A250" s="247"/>
      <c r="B250" s="247"/>
      <c r="C250" s="2" t="s">
        <v>253</v>
      </c>
      <c r="D250" s="21" t="s">
        <v>107</v>
      </c>
      <c r="E250" s="70">
        <f>E244/E247</f>
        <v>1150000</v>
      </c>
      <c r="F250" s="70"/>
      <c r="G250" s="70"/>
    </row>
    <row r="251" spans="1:8" x14ac:dyDescent="0.25">
      <c r="A251" s="247"/>
      <c r="B251" s="251"/>
      <c r="C251" s="2" t="s">
        <v>254</v>
      </c>
      <c r="D251" s="21" t="s">
        <v>107</v>
      </c>
      <c r="E251" s="70">
        <f>E245/E248</f>
        <v>1500000</v>
      </c>
      <c r="F251" s="70"/>
      <c r="G251" s="70"/>
    </row>
    <row r="252" spans="1:8" x14ac:dyDescent="0.25">
      <c r="A252" s="246" t="s">
        <v>401</v>
      </c>
      <c r="B252" s="248" t="s">
        <v>28</v>
      </c>
      <c r="C252" s="11" t="s">
        <v>257</v>
      </c>
      <c r="D252" s="21"/>
      <c r="E252" s="70"/>
      <c r="F252" s="22">
        <f>Дод.2!K234*1000</f>
        <v>35332900</v>
      </c>
      <c r="G252" s="22">
        <f>Дод.2!N234*1000</f>
        <v>12075300</v>
      </c>
      <c r="H252" s="32"/>
    </row>
    <row r="253" spans="1:8" ht="30" x14ac:dyDescent="0.25">
      <c r="A253" s="247"/>
      <c r="B253" s="250"/>
      <c r="C253" s="2" t="s">
        <v>259</v>
      </c>
      <c r="D253" s="21" t="s">
        <v>107</v>
      </c>
      <c r="E253" s="70"/>
      <c r="F253" s="1">
        <f>Дод.2!K236*1000</f>
        <v>27160900</v>
      </c>
      <c r="G253" s="70">
        <f>(Дод.2!N235+Дод.2!N236+Дод.2!N237+Дод.2!N238+1000+52.4)*1000</f>
        <v>8424900</v>
      </c>
    </row>
    <row r="254" spans="1:8" x14ac:dyDescent="0.25">
      <c r="A254" s="247"/>
      <c r="B254" s="249"/>
      <c r="C254" s="2" t="s">
        <v>258</v>
      </c>
      <c r="D254" s="21" t="s">
        <v>107</v>
      </c>
      <c r="E254" s="70"/>
      <c r="F254" s="1">
        <f>Дод.2!K239*1000</f>
        <v>8172000</v>
      </c>
      <c r="G254" s="70">
        <f>80000+100000+20000</f>
        <v>200000</v>
      </c>
    </row>
    <row r="255" spans="1:8" ht="45" x14ac:dyDescent="0.25">
      <c r="A255" s="247"/>
      <c r="B255" s="248" t="s">
        <v>26</v>
      </c>
      <c r="C255" s="2" t="s">
        <v>260</v>
      </c>
      <c r="D255" s="21" t="s">
        <v>106</v>
      </c>
      <c r="E255" s="70"/>
      <c r="F255" s="70">
        <v>2</v>
      </c>
      <c r="G255" s="70">
        <v>3</v>
      </c>
    </row>
    <row r="256" spans="1:8" ht="30" x14ac:dyDescent="0.25">
      <c r="A256" s="247"/>
      <c r="B256" s="249"/>
      <c r="C256" s="2" t="s">
        <v>263</v>
      </c>
      <c r="D256" s="21" t="s">
        <v>106</v>
      </c>
      <c r="E256" s="70"/>
      <c r="F256" s="70">
        <v>2</v>
      </c>
      <c r="G256" s="70">
        <v>2</v>
      </c>
    </row>
    <row r="257" spans="1:7" ht="45" x14ac:dyDescent="0.25">
      <c r="A257" s="247"/>
      <c r="B257" s="246" t="s">
        <v>29</v>
      </c>
      <c r="C257" s="2" t="s">
        <v>262</v>
      </c>
      <c r="D257" s="21" t="s">
        <v>107</v>
      </c>
      <c r="E257" s="70"/>
      <c r="F257" s="70">
        <f>F253/F255</f>
        <v>13580450</v>
      </c>
      <c r="G257" s="23">
        <f>G253/G255</f>
        <v>2808300</v>
      </c>
    </row>
    <row r="258" spans="1:7" ht="30" x14ac:dyDescent="0.25">
      <c r="A258" s="247"/>
      <c r="B258" s="251"/>
      <c r="C258" s="2" t="s">
        <v>261</v>
      </c>
      <c r="D258" s="21" t="s">
        <v>107</v>
      </c>
      <c r="E258" s="70"/>
      <c r="F258" s="70">
        <f>F254/F256</f>
        <v>4086000</v>
      </c>
      <c r="G258" s="70">
        <f>G254/G256</f>
        <v>100000</v>
      </c>
    </row>
    <row r="259" spans="1:7" ht="60" customHeight="1" x14ac:dyDescent="0.25">
      <c r="A259" s="270" t="s">
        <v>361</v>
      </c>
      <c r="B259" s="21" t="s">
        <v>28</v>
      </c>
      <c r="C259" s="2" t="s">
        <v>266</v>
      </c>
      <c r="D259" s="21" t="s">
        <v>107</v>
      </c>
      <c r="E259" s="22">
        <f>Дод.2!H254*1000</f>
        <v>16800000</v>
      </c>
      <c r="F259" s="22">
        <f>Дод.2!K254*1000</f>
        <v>0</v>
      </c>
      <c r="G259" s="70"/>
    </row>
    <row r="260" spans="1:7" x14ac:dyDescent="0.25">
      <c r="A260" s="270"/>
      <c r="B260" s="21" t="s">
        <v>26</v>
      </c>
      <c r="C260" s="4" t="s">
        <v>265</v>
      </c>
      <c r="D260" s="21" t="s">
        <v>106</v>
      </c>
      <c r="E260" s="70">
        <v>1</v>
      </c>
      <c r="F260" s="70">
        <v>1</v>
      </c>
      <c r="G260" s="70"/>
    </row>
    <row r="261" spans="1:7" ht="30" x14ac:dyDescent="0.25">
      <c r="A261" s="270"/>
      <c r="B261" s="21" t="s">
        <v>29</v>
      </c>
      <c r="C261" s="4" t="s">
        <v>264</v>
      </c>
      <c r="D261" s="21" t="s">
        <v>107</v>
      </c>
      <c r="E261" s="70">
        <f>E259/E260</f>
        <v>16800000</v>
      </c>
      <c r="F261" s="70">
        <f>F259/F260</f>
        <v>0</v>
      </c>
      <c r="G261" s="70"/>
    </row>
    <row r="262" spans="1:7" ht="30" customHeight="1" x14ac:dyDescent="0.25">
      <c r="A262" s="44" t="s">
        <v>346</v>
      </c>
      <c r="B262" s="21" t="s">
        <v>28</v>
      </c>
      <c r="C262" s="4" t="s">
        <v>105</v>
      </c>
      <c r="D262" s="21" t="s">
        <v>107</v>
      </c>
      <c r="E262" s="70"/>
      <c r="F262" s="70">
        <f>Дод.2!K258*1000</f>
        <v>107200</v>
      </c>
      <c r="G262" s="70"/>
    </row>
    <row r="263" spans="1:7" ht="42.75" customHeight="1" x14ac:dyDescent="0.25">
      <c r="A263" s="260" t="s">
        <v>362</v>
      </c>
      <c r="B263" s="21" t="s">
        <v>28</v>
      </c>
      <c r="C263" s="2" t="s">
        <v>267</v>
      </c>
      <c r="D263" s="21" t="s">
        <v>107</v>
      </c>
      <c r="E263" s="22">
        <f>Дод.2!H259*1000</f>
        <v>4498920</v>
      </c>
      <c r="F263" s="22">
        <f>Дод.2!K259*1000</f>
        <v>1194900</v>
      </c>
      <c r="G263" s="70"/>
    </row>
    <row r="264" spans="1:7" ht="30" x14ac:dyDescent="0.25">
      <c r="A264" s="260"/>
      <c r="B264" s="21" t="s">
        <v>26</v>
      </c>
      <c r="C264" s="4" t="s">
        <v>268</v>
      </c>
      <c r="D264" s="21" t="s">
        <v>106</v>
      </c>
      <c r="E264" s="70">
        <v>3</v>
      </c>
      <c r="F264" s="70">
        <v>1</v>
      </c>
      <c r="G264" s="70"/>
    </row>
    <row r="265" spans="1:7" ht="30.75" customHeight="1" x14ac:dyDescent="0.25">
      <c r="A265" s="260"/>
      <c r="B265" s="21" t="s">
        <v>29</v>
      </c>
      <c r="C265" s="4" t="s">
        <v>270</v>
      </c>
      <c r="D265" s="21" t="s">
        <v>107</v>
      </c>
      <c r="E265" s="70">
        <f>E263/E264</f>
        <v>1499640</v>
      </c>
      <c r="F265" s="70">
        <f>F263/F264</f>
        <v>1194900</v>
      </c>
      <c r="G265" s="70"/>
    </row>
    <row r="266" spans="1:7" ht="30" x14ac:dyDescent="0.25">
      <c r="A266" s="260"/>
      <c r="B266" s="21" t="s">
        <v>27</v>
      </c>
      <c r="C266" s="4" t="s">
        <v>269</v>
      </c>
      <c r="D266" s="21" t="s">
        <v>111</v>
      </c>
      <c r="E266" s="70">
        <v>100</v>
      </c>
      <c r="F266" s="70">
        <v>100</v>
      </c>
      <c r="G266" s="70"/>
    </row>
    <row r="267" spans="1:7" ht="46.5" customHeight="1" x14ac:dyDescent="0.25">
      <c r="A267" s="260" t="s">
        <v>363</v>
      </c>
      <c r="B267" s="34" t="s">
        <v>28</v>
      </c>
      <c r="C267" s="4" t="s">
        <v>272</v>
      </c>
      <c r="D267" s="21" t="s">
        <v>107</v>
      </c>
      <c r="E267" s="22">
        <f>Дод.2!H268*1000</f>
        <v>360000</v>
      </c>
      <c r="F267" s="70"/>
      <c r="G267" s="70"/>
    </row>
    <row r="268" spans="1:7" x14ac:dyDescent="0.25">
      <c r="A268" s="260"/>
      <c r="B268" s="21" t="s">
        <v>26</v>
      </c>
      <c r="C268" s="12" t="s">
        <v>108</v>
      </c>
      <c r="D268" s="21" t="s">
        <v>106</v>
      </c>
      <c r="E268" s="70">
        <v>1</v>
      </c>
      <c r="F268" s="70"/>
      <c r="G268" s="70"/>
    </row>
    <row r="269" spans="1:7" ht="45" x14ac:dyDescent="0.25">
      <c r="A269" s="260"/>
      <c r="B269" s="21" t="s">
        <v>29</v>
      </c>
      <c r="C269" s="2" t="s">
        <v>271</v>
      </c>
      <c r="D269" s="21" t="s">
        <v>107</v>
      </c>
      <c r="E269" s="70">
        <f>E267/E268</f>
        <v>360000</v>
      </c>
      <c r="F269" s="70"/>
      <c r="G269" s="70"/>
    </row>
    <row r="270" spans="1:7" x14ac:dyDescent="0.25">
      <c r="A270" s="260" t="s">
        <v>364</v>
      </c>
      <c r="B270" s="248" t="s">
        <v>28</v>
      </c>
      <c r="C270" s="11" t="s">
        <v>274</v>
      </c>
      <c r="D270" s="21" t="s">
        <v>107</v>
      </c>
      <c r="E270" s="70"/>
      <c r="F270" s="22">
        <f>Дод.2!K270*1000</f>
        <v>53592000</v>
      </c>
      <c r="G270" s="22">
        <f>Дод.2!N270*1000</f>
        <v>64448500</v>
      </c>
    </row>
    <row r="271" spans="1:7" ht="45" x14ac:dyDescent="0.25">
      <c r="A271" s="260"/>
      <c r="B271" s="250"/>
      <c r="C271" s="4" t="s">
        <v>273</v>
      </c>
      <c r="D271" s="21" t="s">
        <v>107</v>
      </c>
      <c r="E271" s="70"/>
      <c r="F271" s="70">
        <f>(Дод.2!K277+Дод.2!K279+Дод.2!K282+Дод.2!K283+Дод.2!K286)*1000</f>
        <v>34561500</v>
      </c>
      <c r="G271" s="70">
        <f>(Дод.2!N280+Дод.2!N283+Дод.2!N286)*1000</f>
        <v>23094400</v>
      </c>
    </row>
    <row r="272" spans="1:7" ht="30" x14ac:dyDescent="0.25">
      <c r="A272" s="260"/>
      <c r="B272" s="249"/>
      <c r="C272" s="4" t="s">
        <v>275</v>
      </c>
      <c r="D272" s="21" t="s">
        <v>107</v>
      </c>
      <c r="E272" s="70"/>
      <c r="F272" s="70">
        <f>(Дод.2!K280+Дод.2!K281)*1000</f>
        <v>19030500</v>
      </c>
      <c r="G272" s="70"/>
    </row>
    <row r="273" spans="1:7" ht="45" x14ac:dyDescent="0.25">
      <c r="A273" s="260"/>
      <c r="B273" s="248" t="s">
        <v>26</v>
      </c>
      <c r="C273" s="12" t="s">
        <v>276</v>
      </c>
      <c r="D273" s="21" t="s">
        <v>106</v>
      </c>
      <c r="E273" s="70"/>
      <c r="F273" s="70">
        <v>4</v>
      </c>
      <c r="G273" s="70">
        <v>4</v>
      </c>
    </row>
    <row r="274" spans="1:7" ht="30" x14ac:dyDescent="0.25">
      <c r="A274" s="260"/>
      <c r="B274" s="249"/>
      <c r="C274" s="12" t="s">
        <v>332</v>
      </c>
      <c r="D274" s="21" t="s">
        <v>106</v>
      </c>
      <c r="E274" s="70"/>
      <c r="F274" s="70">
        <v>2</v>
      </c>
      <c r="G274" s="70"/>
    </row>
    <row r="275" spans="1:7" ht="30" x14ac:dyDescent="0.25">
      <c r="A275" s="260"/>
      <c r="B275" s="248" t="s">
        <v>29</v>
      </c>
      <c r="C275" s="2" t="s">
        <v>277</v>
      </c>
      <c r="D275" s="21" t="s">
        <v>107</v>
      </c>
      <c r="E275" s="70"/>
      <c r="F275" s="70">
        <f>F271/F273</f>
        <v>8640375</v>
      </c>
      <c r="G275" s="70">
        <f>G271/G273</f>
        <v>5773600</v>
      </c>
    </row>
    <row r="276" spans="1:7" ht="30" x14ac:dyDescent="0.25">
      <c r="A276" s="260"/>
      <c r="B276" s="249"/>
      <c r="C276" s="2" t="s">
        <v>333</v>
      </c>
      <c r="D276" s="21" t="s">
        <v>107</v>
      </c>
      <c r="E276" s="70"/>
      <c r="F276" s="70">
        <f>F272/F274</f>
        <v>9515250</v>
      </c>
      <c r="G276" s="70"/>
    </row>
    <row r="278" spans="1:7" ht="46.5" customHeight="1" x14ac:dyDescent="0.3">
      <c r="A278" s="13" t="s">
        <v>433</v>
      </c>
      <c r="B278" s="13"/>
      <c r="C278" s="13"/>
      <c r="D278" s="235" t="s">
        <v>434</v>
      </c>
      <c r="E278" s="235"/>
      <c r="F278" s="235"/>
      <c r="G278" s="235"/>
    </row>
    <row r="279" spans="1:7" ht="18.75" x14ac:dyDescent="0.3">
      <c r="A279" s="13" t="s">
        <v>317</v>
      </c>
      <c r="B279" s="13"/>
      <c r="C279" s="13"/>
      <c r="D279" s="13"/>
      <c r="E279" s="13"/>
      <c r="F279" s="13"/>
      <c r="G279" s="13"/>
    </row>
    <row r="280" spans="1:7" ht="26.25" customHeight="1" x14ac:dyDescent="0.3">
      <c r="A280" s="13"/>
      <c r="B280" s="13"/>
      <c r="C280" s="13"/>
      <c r="D280" s="13"/>
      <c r="E280" s="13"/>
      <c r="F280" s="13"/>
      <c r="G280" s="13"/>
    </row>
  </sheetData>
  <mergeCells count="120">
    <mergeCell ref="D278:G278"/>
    <mergeCell ref="A259:A261"/>
    <mergeCell ref="A263:A266"/>
    <mergeCell ref="A267:A269"/>
    <mergeCell ref="B148:B149"/>
    <mergeCell ref="A145:A149"/>
    <mergeCell ref="A186:A189"/>
    <mergeCell ref="A190:A193"/>
    <mergeCell ref="A211:G211"/>
    <mergeCell ref="A214:D214"/>
    <mergeCell ref="B179:B181"/>
    <mergeCell ref="B182:B184"/>
    <mergeCell ref="B195:B197"/>
    <mergeCell ref="B198:B199"/>
    <mergeCell ref="B200:B201"/>
    <mergeCell ref="A156:G156"/>
    <mergeCell ref="A155:D155"/>
    <mergeCell ref="A157:A159"/>
    <mergeCell ref="A160:A163"/>
    <mergeCell ref="A164:A174"/>
    <mergeCell ref="A175:A185"/>
    <mergeCell ref="B164:B167"/>
    <mergeCell ref="B168:B170"/>
    <mergeCell ref="B171:B173"/>
    <mergeCell ref="A194:A201"/>
    <mergeCell ref="D2:G2"/>
    <mergeCell ref="D3:G3"/>
    <mergeCell ref="D4:G4"/>
    <mergeCell ref="B136:B139"/>
    <mergeCell ref="B175:B178"/>
    <mergeCell ref="A7:G7"/>
    <mergeCell ref="A8:F8"/>
    <mergeCell ref="A6:G6"/>
    <mergeCell ref="A31:A44"/>
    <mergeCell ref="A27:A30"/>
    <mergeCell ref="A9:A10"/>
    <mergeCell ref="B9:B10"/>
    <mergeCell ref="C9:C10"/>
    <mergeCell ref="D9:D10"/>
    <mergeCell ref="A17:G17"/>
    <mergeCell ref="B25:B26"/>
    <mergeCell ref="A22:A26"/>
    <mergeCell ref="B36:B39"/>
    <mergeCell ref="B82:B85"/>
    <mergeCell ref="B115:B116"/>
    <mergeCell ref="A21:G21"/>
    <mergeCell ref="A20:D20"/>
    <mergeCell ref="B40:B43"/>
    <mergeCell ref="A270:A276"/>
    <mergeCell ref="B273:B274"/>
    <mergeCell ref="B270:B272"/>
    <mergeCell ref="B275:B276"/>
    <mergeCell ref="B111:B112"/>
    <mergeCell ref="L8:N8"/>
    <mergeCell ref="E9:G9"/>
    <mergeCell ref="A62:A69"/>
    <mergeCell ref="A45:G45"/>
    <mergeCell ref="A51:A54"/>
    <mergeCell ref="A55:A57"/>
    <mergeCell ref="A58:A61"/>
    <mergeCell ref="A46:A50"/>
    <mergeCell ref="B49:B50"/>
    <mergeCell ref="B62:B64"/>
    <mergeCell ref="B65:B66"/>
    <mergeCell ref="B67:B68"/>
    <mergeCell ref="B31:B35"/>
    <mergeCell ref="A12:A15"/>
    <mergeCell ref="A18:A19"/>
    <mergeCell ref="B71:B72"/>
    <mergeCell ref="B73:B74"/>
    <mergeCell ref="B77:B78"/>
    <mergeCell ref="B79:B80"/>
    <mergeCell ref="A70:A75"/>
    <mergeCell ref="A76:A81"/>
    <mergeCell ref="A126:G126"/>
    <mergeCell ref="B86:B87"/>
    <mergeCell ref="B88:B89"/>
    <mergeCell ref="B95:B97"/>
    <mergeCell ref="B90:B94"/>
    <mergeCell ref="B98:B100"/>
    <mergeCell ref="A90:A100"/>
    <mergeCell ref="A150:G150"/>
    <mergeCell ref="A151:A154"/>
    <mergeCell ref="A135:G135"/>
    <mergeCell ref="A118:A125"/>
    <mergeCell ref="A82:A89"/>
    <mergeCell ref="A136:A144"/>
    <mergeCell ref="A105:A108"/>
    <mergeCell ref="A110:A113"/>
    <mergeCell ref="A114:A117"/>
    <mergeCell ref="A132:A134"/>
    <mergeCell ref="B118:B123"/>
    <mergeCell ref="A127:A131"/>
    <mergeCell ref="B130:B131"/>
    <mergeCell ref="B140:B141"/>
    <mergeCell ref="B142:B144"/>
    <mergeCell ref="A101:A104"/>
    <mergeCell ref="A230:A232"/>
    <mergeCell ref="A234:G234"/>
    <mergeCell ref="A237:D237"/>
    <mergeCell ref="B223:B226"/>
    <mergeCell ref="B216:B222"/>
    <mergeCell ref="B227:B229"/>
    <mergeCell ref="A216:A229"/>
    <mergeCell ref="A215:G215"/>
    <mergeCell ref="B202:B204"/>
    <mergeCell ref="B205:B206"/>
    <mergeCell ref="B207:B208"/>
    <mergeCell ref="B209:B210"/>
    <mergeCell ref="A202:A210"/>
    <mergeCell ref="A252:A258"/>
    <mergeCell ref="B255:B256"/>
    <mergeCell ref="B252:B254"/>
    <mergeCell ref="B257:B258"/>
    <mergeCell ref="A238:G238"/>
    <mergeCell ref="A239:A241"/>
    <mergeCell ref="A243:A251"/>
    <mergeCell ref="B243:B245"/>
    <mergeCell ref="B246:B248"/>
    <mergeCell ref="B249:B251"/>
  </mergeCells>
  <pageMargins left="0.78740157480314965" right="0.78740157480314965" top="1.1811023622047245" bottom="0.19685039370078741" header="0.31496062992125984" footer="0.31496062992125984"/>
  <pageSetup paperSize="9" scale="95" orientation="landscape" r:id="rId1"/>
  <rowBreaks count="9" manualBreakCount="9">
    <brk id="21" max="6" man="1"/>
    <brk id="35" max="6" man="1"/>
    <brk id="47" max="6" man="1"/>
    <brk id="61" max="6" man="1"/>
    <brk id="78" max="6" man="1"/>
    <brk id="120" max="6" man="1"/>
    <brk id="170" max="6" man="1"/>
    <brk id="183" max="6" man="1"/>
    <brk id="2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Дод.2</vt:lpstr>
      <vt:lpstr>Дод.3</vt:lpstr>
      <vt:lpstr>Дод.2!Заголовки_для_печати</vt:lpstr>
      <vt:lpstr>Дод.3!Заголовки_для_печати</vt:lpstr>
      <vt:lpstr>Дод.2!Область_печати</vt:lpstr>
      <vt:lpstr>Дод.3!Область_печати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2024-12-30T13:02:50Z</dcterms:modified>
</cp:coreProperties>
</file>