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5\Бюджет\1 Рішення\Бюджет + зміни\Зміни\04 Квітень\Наказ від 15.04.25 № 83\Наказ\додатки\"/>
    </mc:Choice>
  </mc:AlternateContent>
  <bookViews>
    <workbookView xWindow="0" yWindow="0" windowWidth="28800" windowHeight="12345" tabRatio="261" activeTab="1"/>
  </bookViews>
  <sheets>
    <sheet name="дод 2" sheetId="1" r:id="rId1"/>
    <sheet name="дод 5" sheetId="3" r:id="rId2"/>
  </sheets>
  <definedNames>
    <definedName name="_xlnm.Print_Titles" localSheetId="0">'дод 2'!$12:$14</definedName>
    <definedName name="_xlnm.Print_Titles" localSheetId="1">'дод 5'!$13:$15</definedName>
    <definedName name="_xlnm.Print_Area" localSheetId="0">'дод 2'!$A$1:$Q$257</definedName>
    <definedName name="_xlnm.Print_Area" localSheetId="1">'дод 5'!$A$1:$P$240</definedName>
  </definedNames>
  <calcPr calcId="162913"/>
</workbook>
</file>

<file path=xl/calcChain.xml><?xml version="1.0" encoding="utf-8"?>
<calcChain xmlns="http://schemas.openxmlformats.org/spreadsheetml/2006/main">
  <c r="F169" i="1" l="1"/>
  <c r="F174" i="1"/>
  <c r="E49" i="3"/>
  <c r="F49" i="3"/>
  <c r="G49" i="3"/>
  <c r="H49" i="3"/>
  <c r="I49" i="3"/>
  <c r="J49" i="3"/>
  <c r="K49" i="3"/>
  <c r="L49" i="3"/>
  <c r="M49" i="3"/>
  <c r="N49" i="3"/>
  <c r="O49" i="3"/>
  <c r="D49" i="3"/>
  <c r="E32" i="3"/>
  <c r="F32" i="3"/>
  <c r="G32" i="3"/>
  <c r="H32" i="3"/>
  <c r="I32" i="3"/>
  <c r="J32" i="3"/>
  <c r="K32" i="3"/>
  <c r="L32" i="3"/>
  <c r="M32" i="3"/>
  <c r="N32" i="3"/>
  <c r="O32" i="3"/>
  <c r="D32" i="3"/>
  <c r="E31" i="3"/>
  <c r="F31" i="3"/>
  <c r="G31" i="3"/>
  <c r="H31" i="3"/>
  <c r="I31" i="3"/>
  <c r="J31" i="3"/>
  <c r="K31" i="3"/>
  <c r="L31" i="3"/>
  <c r="M31" i="3"/>
  <c r="N31" i="3"/>
  <c r="O31" i="3"/>
  <c r="D31" i="3"/>
  <c r="C202" i="1"/>
  <c r="D202" i="1"/>
  <c r="B202" i="1"/>
  <c r="C201" i="1"/>
  <c r="D201" i="1"/>
  <c r="B201" i="1"/>
  <c r="C200" i="1"/>
  <c r="D200" i="1"/>
  <c r="B200" i="1"/>
  <c r="F195" i="1"/>
  <c r="G195" i="1"/>
  <c r="H195" i="1"/>
  <c r="I195" i="1"/>
  <c r="J195" i="1"/>
  <c r="K195" i="1"/>
  <c r="L195" i="1"/>
  <c r="M195" i="1"/>
  <c r="N195" i="1"/>
  <c r="O195" i="1"/>
  <c r="P195" i="1"/>
  <c r="E195" i="1"/>
  <c r="O201" i="1"/>
  <c r="J201" i="1" s="1"/>
  <c r="P201" i="1" s="1"/>
  <c r="K201" i="1"/>
  <c r="J200" i="1"/>
  <c r="P200" i="1" s="1"/>
  <c r="J202" i="1"/>
  <c r="P202" i="1" s="1"/>
  <c r="E200" i="1"/>
  <c r="E201" i="1"/>
  <c r="E202" i="1"/>
  <c r="O104" i="1" l="1"/>
  <c r="K104" i="1"/>
  <c r="F141" i="1" l="1"/>
  <c r="F57" i="1"/>
  <c r="H18" i="1"/>
  <c r="F18" i="1"/>
  <c r="E139" i="3"/>
  <c r="F139" i="3"/>
  <c r="G139" i="3"/>
  <c r="H139" i="3"/>
  <c r="J139" i="3"/>
  <c r="K139" i="3"/>
  <c r="L139" i="3"/>
  <c r="M139" i="3"/>
  <c r="N139" i="3"/>
  <c r="O212" i="1"/>
  <c r="K212" i="1"/>
  <c r="J209" i="1"/>
  <c r="E209" i="1"/>
  <c r="C209" i="1"/>
  <c r="D209" i="1"/>
  <c r="B209" i="1"/>
  <c r="F171" i="1"/>
  <c r="E244" i="1"/>
  <c r="P209" i="1" l="1"/>
  <c r="O180" i="1" l="1"/>
  <c r="K180" i="1"/>
  <c r="F247" i="1"/>
  <c r="O207" i="1" l="1"/>
  <c r="K207" i="1"/>
  <c r="O208" i="1"/>
  <c r="K208" i="1"/>
  <c r="O175" i="1" l="1"/>
  <c r="K175" i="1"/>
  <c r="E76" i="3"/>
  <c r="F76" i="3"/>
  <c r="G76" i="3"/>
  <c r="H76" i="3"/>
  <c r="J76" i="3"/>
  <c r="K76" i="3"/>
  <c r="L76" i="3"/>
  <c r="M76" i="3"/>
  <c r="N76" i="3"/>
  <c r="D76" i="3"/>
  <c r="J207" i="1"/>
  <c r="E207" i="1"/>
  <c r="C207" i="1"/>
  <c r="D207" i="1"/>
  <c r="B207" i="1"/>
  <c r="F135" i="1"/>
  <c r="F56" i="1"/>
  <c r="P207" i="1" l="1"/>
  <c r="F45" i="1"/>
  <c r="G45" i="1"/>
  <c r="H45" i="1"/>
  <c r="I45" i="1"/>
  <c r="K45" i="1"/>
  <c r="L45" i="1"/>
  <c r="M45" i="1"/>
  <c r="N45" i="1"/>
  <c r="O45" i="1"/>
  <c r="E63" i="3"/>
  <c r="F63" i="3"/>
  <c r="G63" i="3"/>
  <c r="H63" i="3"/>
  <c r="J63" i="3"/>
  <c r="K63" i="3"/>
  <c r="L63" i="3"/>
  <c r="M63" i="3"/>
  <c r="N63" i="3"/>
  <c r="E64" i="3"/>
  <c r="F64" i="3"/>
  <c r="G64" i="3"/>
  <c r="H64" i="3"/>
  <c r="J64" i="3"/>
  <c r="K64" i="3"/>
  <c r="L64" i="3"/>
  <c r="M64" i="3"/>
  <c r="N64" i="3"/>
  <c r="E65" i="3"/>
  <c r="F65" i="3"/>
  <c r="G65" i="3"/>
  <c r="H65" i="3"/>
  <c r="J65" i="3"/>
  <c r="K65" i="3"/>
  <c r="L65" i="3"/>
  <c r="M65" i="3"/>
  <c r="N65" i="3"/>
  <c r="D63" i="3"/>
  <c r="J86" i="1"/>
  <c r="I65" i="3" s="1"/>
  <c r="E86" i="1"/>
  <c r="D65" i="3" s="1"/>
  <c r="J85" i="1"/>
  <c r="I64" i="3" s="1"/>
  <c r="E85" i="1"/>
  <c r="J84" i="1"/>
  <c r="I63" i="3" s="1"/>
  <c r="E84" i="1"/>
  <c r="B85" i="1"/>
  <c r="C85" i="1"/>
  <c r="D85" i="1"/>
  <c r="B86" i="1"/>
  <c r="C86" i="1"/>
  <c r="D86" i="1"/>
  <c r="C84" i="1"/>
  <c r="D84" i="1"/>
  <c r="B84" i="1"/>
  <c r="P85" i="1" l="1"/>
  <c r="O64" i="3" s="1"/>
  <c r="D64" i="3"/>
  <c r="P84" i="1"/>
  <c r="O63" i="3" s="1"/>
  <c r="P86" i="1"/>
  <c r="O65" i="3" s="1"/>
  <c r="F191" i="1" l="1"/>
  <c r="O42" i="1"/>
  <c r="K42" i="1"/>
  <c r="F42" i="1"/>
  <c r="F31" i="1" l="1"/>
  <c r="O176" i="1" l="1"/>
  <c r="K176" i="1"/>
  <c r="I172" i="1" l="1"/>
  <c r="F165" i="1" l="1"/>
  <c r="G165" i="1"/>
  <c r="H165" i="1"/>
  <c r="I165" i="1"/>
  <c r="K165" i="1"/>
  <c r="L165" i="1"/>
  <c r="M165" i="1"/>
  <c r="N165" i="1"/>
  <c r="O165" i="1"/>
  <c r="C134" i="3"/>
  <c r="E144" i="3"/>
  <c r="E134" i="3" s="1"/>
  <c r="F144" i="3"/>
  <c r="F134" i="3" s="1"/>
  <c r="G144" i="3"/>
  <c r="G134" i="3" s="1"/>
  <c r="H144" i="3"/>
  <c r="H134" i="3" s="1"/>
  <c r="J144" i="3"/>
  <c r="J134" i="3" s="1"/>
  <c r="K144" i="3"/>
  <c r="K134" i="3" s="1"/>
  <c r="L144" i="3"/>
  <c r="L134" i="3" s="1"/>
  <c r="M144" i="3"/>
  <c r="M134" i="3" s="1"/>
  <c r="N144" i="3"/>
  <c r="N134" i="3" s="1"/>
  <c r="J177" i="1"/>
  <c r="J165" i="1" s="1"/>
  <c r="E177" i="1"/>
  <c r="E165" i="1" s="1"/>
  <c r="D177" i="1"/>
  <c r="D165" i="1" s="1"/>
  <c r="P177" i="1" l="1"/>
  <c r="O144" i="3" s="1"/>
  <c r="O134" i="3" s="1"/>
  <c r="D144" i="3"/>
  <c r="D134" i="3" s="1"/>
  <c r="I144" i="3"/>
  <c r="I134" i="3" s="1"/>
  <c r="D176" i="1"/>
  <c r="O247" i="1"/>
  <c r="K247" i="1"/>
  <c r="P165" i="1" l="1"/>
  <c r="F190" i="1"/>
  <c r="L34" i="1" l="1"/>
  <c r="O206" i="1" l="1"/>
  <c r="K206" i="1"/>
  <c r="K203" i="1"/>
  <c r="O203" i="1"/>
  <c r="F104" i="1"/>
  <c r="H99" i="1"/>
  <c r="F99" i="1"/>
  <c r="K211" i="1" l="1"/>
  <c r="O211" i="1"/>
  <c r="F156" i="1"/>
  <c r="O81" i="1"/>
  <c r="K81" i="1"/>
  <c r="O80" i="1"/>
  <c r="K80" i="1"/>
  <c r="O79" i="1"/>
  <c r="K79" i="1"/>
  <c r="H25" i="1"/>
  <c r="L242" i="1" l="1"/>
  <c r="F185" i="3"/>
  <c r="F182" i="3" s="1"/>
  <c r="F180" i="3" s="1"/>
  <c r="G185" i="3"/>
  <c r="G182" i="3" s="1"/>
  <c r="G180" i="3" s="1"/>
  <c r="H185" i="3"/>
  <c r="H182" i="3" s="1"/>
  <c r="H180" i="3" s="1"/>
  <c r="J185" i="3"/>
  <c r="J182" i="3" s="1"/>
  <c r="J180" i="3" s="1"/>
  <c r="K185" i="3"/>
  <c r="K182" i="3" s="1"/>
  <c r="K180" i="3" s="1"/>
  <c r="L185" i="3"/>
  <c r="L182" i="3" s="1"/>
  <c r="L180" i="3" s="1"/>
  <c r="M185" i="3"/>
  <c r="M182" i="3" s="1"/>
  <c r="M180" i="3" s="1"/>
  <c r="N185" i="3"/>
  <c r="N182" i="3" s="1"/>
  <c r="N180" i="3" s="1"/>
  <c r="G17" i="1"/>
  <c r="H17" i="1"/>
  <c r="I17" i="1"/>
  <c r="K17" i="1"/>
  <c r="L17" i="1"/>
  <c r="M17" i="1"/>
  <c r="N17" i="1"/>
  <c r="O17" i="1"/>
  <c r="G37" i="1"/>
  <c r="F37" i="1"/>
  <c r="J38" i="1"/>
  <c r="I185" i="3" s="1"/>
  <c r="I182" i="3" s="1"/>
  <c r="I180" i="3" s="1"/>
  <c r="F38" i="1"/>
  <c r="E185" i="3" s="1"/>
  <c r="E182" i="3" s="1"/>
  <c r="E180" i="3" s="1"/>
  <c r="D38" i="1"/>
  <c r="D17" i="1" s="1"/>
  <c r="C182" i="3"/>
  <c r="C180" i="3" s="1"/>
  <c r="D37" i="1"/>
  <c r="E46" i="3"/>
  <c r="E30" i="3" s="1"/>
  <c r="F46" i="3"/>
  <c r="F30" i="3" s="1"/>
  <c r="G46" i="3"/>
  <c r="G30" i="3" s="1"/>
  <c r="H46" i="3"/>
  <c r="H30" i="3" s="1"/>
  <c r="J46" i="3"/>
  <c r="J30" i="3" s="1"/>
  <c r="K46" i="3"/>
  <c r="K30" i="3" s="1"/>
  <c r="L46" i="3"/>
  <c r="L30" i="3" s="1"/>
  <c r="M46" i="3"/>
  <c r="M30" i="3" s="1"/>
  <c r="N46" i="3"/>
  <c r="N30" i="3" s="1"/>
  <c r="C46" i="3"/>
  <c r="C30" i="3" s="1"/>
  <c r="F54" i="1"/>
  <c r="G54" i="1"/>
  <c r="H54" i="1"/>
  <c r="I54" i="1"/>
  <c r="K54" i="1"/>
  <c r="L54" i="1"/>
  <c r="M54" i="1"/>
  <c r="N54" i="1"/>
  <c r="O54" i="1"/>
  <c r="D54" i="1"/>
  <c r="J70" i="1"/>
  <c r="J54" i="1" s="1"/>
  <c r="E70" i="1"/>
  <c r="D46" i="3" s="1"/>
  <c r="D30" i="3" s="1"/>
  <c r="O68" i="1"/>
  <c r="K68" i="1"/>
  <c r="E145" i="3"/>
  <c r="F145" i="3"/>
  <c r="G145" i="3"/>
  <c r="H145" i="3"/>
  <c r="J145" i="3"/>
  <c r="K145" i="3"/>
  <c r="L145" i="3"/>
  <c r="M145" i="3"/>
  <c r="N145" i="3"/>
  <c r="E146" i="3"/>
  <c r="E133" i="3" s="1"/>
  <c r="F146" i="3"/>
  <c r="F133" i="3" s="1"/>
  <c r="G146" i="3"/>
  <c r="G133" i="3" s="1"/>
  <c r="H146" i="3"/>
  <c r="H133" i="3" s="1"/>
  <c r="J146" i="3"/>
  <c r="J133" i="3" s="1"/>
  <c r="K146" i="3"/>
  <c r="K133" i="3" s="1"/>
  <c r="L146" i="3"/>
  <c r="L133" i="3" s="1"/>
  <c r="M146" i="3"/>
  <c r="M133" i="3" s="1"/>
  <c r="N146" i="3"/>
  <c r="N133" i="3" s="1"/>
  <c r="M162" i="1"/>
  <c r="N162" i="1"/>
  <c r="F163" i="1"/>
  <c r="G163" i="1"/>
  <c r="H163" i="1"/>
  <c r="I163" i="1"/>
  <c r="K163" i="1"/>
  <c r="L163" i="1"/>
  <c r="M163" i="1"/>
  <c r="N163" i="1"/>
  <c r="O163" i="1"/>
  <c r="J178" i="1"/>
  <c r="J179" i="1"/>
  <c r="E178" i="1"/>
  <c r="D145" i="3" s="1"/>
  <c r="E179" i="1"/>
  <c r="D146" i="3" s="1"/>
  <c r="D133" i="3" s="1"/>
  <c r="D178" i="1"/>
  <c r="C178" i="1"/>
  <c r="C179" i="1"/>
  <c r="D179" i="1"/>
  <c r="D163" i="1" s="1"/>
  <c r="B179" i="1"/>
  <c r="B178" i="1"/>
  <c r="C133" i="3"/>
  <c r="F51" i="1"/>
  <c r="G51" i="1"/>
  <c r="H51" i="1"/>
  <c r="I51" i="1"/>
  <c r="K51" i="1"/>
  <c r="L51" i="1"/>
  <c r="M51" i="1"/>
  <c r="N51" i="1"/>
  <c r="O51" i="1"/>
  <c r="D51" i="1"/>
  <c r="C27" i="3"/>
  <c r="E74" i="3"/>
  <c r="E27" i="3" s="1"/>
  <c r="F74" i="3"/>
  <c r="F27" i="3" s="1"/>
  <c r="G74" i="3"/>
  <c r="G27" i="3" s="1"/>
  <c r="H74" i="3"/>
  <c r="H27" i="3" s="1"/>
  <c r="J74" i="3"/>
  <c r="J27" i="3" s="1"/>
  <c r="K74" i="3"/>
  <c r="K27" i="3" s="1"/>
  <c r="L74" i="3"/>
  <c r="L27" i="3" s="1"/>
  <c r="M74" i="3"/>
  <c r="M27" i="3" s="1"/>
  <c r="N74" i="3"/>
  <c r="N27" i="3" s="1"/>
  <c r="J95" i="1"/>
  <c r="I74" i="3" s="1"/>
  <c r="I27" i="3" s="1"/>
  <c r="E95" i="1"/>
  <c r="E51" i="1" s="1"/>
  <c r="E94" i="1"/>
  <c r="L93" i="1"/>
  <c r="P179" i="1" l="1"/>
  <c r="P163" i="1" s="1"/>
  <c r="E54" i="1"/>
  <c r="E163" i="1"/>
  <c r="D74" i="3"/>
  <c r="D27" i="3" s="1"/>
  <c r="I46" i="3"/>
  <c r="I30" i="3" s="1"/>
  <c r="P178" i="1"/>
  <c r="O145" i="3" s="1"/>
  <c r="E38" i="1"/>
  <c r="D185" i="3" s="1"/>
  <c r="D182" i="3" s="1"/>
  <c r="D180" i="3" s="1"/>
  <c r="F17" i="1"/>
  <c r="J51" i="1"/>
  <c r="P95" i="1"/>
  <c r="I145" i="3"/>
  <c r="I146" i="3"/>
  <c r="I133" i="3" s="1"/>
  <c r="J17" i="1"/>
  <c r="P70" i="1"/>
  <c r="J163" i="1"/>
  <c r="O205" i="1"/>
  <c r="O204" i="1"/>
  <c r="K205" i="1"/>
  <c r="K204" i="1"/>
  <c r="O146" i="3" l="1"/>
  <c r="O133" i="3" s="1"/>
  <c r="P38" i="1"/>
  <c r="E17" i="1"/>
  <c r="O46" i="3"/>
  <c r="O30" i="3" s="1"/>
  <c r="P54" i="1"/>
  <c r="P51" i="1"/>
  <c r="O74" i="3"/>
  <c r="O27" i="3" s="1"/>
  <c r="O185" i="3"/>
  <c r="O182" i="3" s="1"/>
  <c r="O180" i="3" s="1"/>
  <c r="P17" i="1"/>
  <c r="H40" i="1" l="1"/>
  <c r="F40" i="1"/>
  <c r="F196" i="1" l="1"/>
  <c r="G196" i="1"/>
  <c r="H196" i="1"/>
  <c r="I196" i="1"/>
  <c r="K196" i="1"/>
  <c r="L196" i="1"/>
  <c r="M196" i="1"/>
  <c r="N196" i="1"/>
  <c r="O196" i="1"/>
  <c r="C28" i="3"/>
  <c r="J204" i="1"/>
  <c r="I61" i="3" s="1"/>
  <c r="J205" i="1"/>
  <c r="I62" i="3" s="1"/>
  <c r="I28" i="3" s="1"/>
  <c r="E204" i="1"/>
  <c r="D61" i="3" s="1"/>
  <c r="E205" i="1"/>
  <c r="D62" i="3" s="1"/>
  <c r="D28" i="3" s="1"/>
  <c r="E206" i="1"/>
  <c r="E61" i="3"/>
  <c r="F61" i="3"/>
  <c r="G61" i="3"/>
  <c r="H61" i="3"/>
  <c r="J61" i="3"/>
  <c r="K61" i="3"/>
  <c r="L61" i="3"/>
  <c r="M61" i="3"/>
  <c r="N61" i="3"/>
  <c r="E62" i="3"/>
  <c r="E28" i="3" s="1"/>
  <c r="F62" i="3"/>
  <c r="F28" i="3" s="1"/>
  <c r="G62" i="3"/>
  <c r="G28" i="3" s="1"/>
  <c r="H62" i="3"/>
  <c r="H28" i="3" s="1"/>
  <c r="J62" i="3"/>
  <c r="J28" i="3" s="1"/>
  <c r="K62" i="3"/>
  <c r="K28" i="3" s="1"/>
  <c r="L62" i="3"/>
  <c r="L28" i="3" s="1"/>
  <c r="M62" i="3"/>
  <c r="M28" i="3" s="1"/>
  <c r="N62" i="3"/>
  <c r="N28" i="3" s="1"/>
  <c r="D205" i="1"/>
  <c r="D196" i="1" s="1"/>
  <c r="C204" i="1"/>
  <c r="D204" i="1"/>
  <c r="B204" i="1"/>
  <c r="C203" i="1"/>
  <c r="J196" i="1" l="1"/>
  <c r="E196" i="1"/>
  <c r="P204" i="1"/>
  <c r="O61" i="3" s="1"/>
  <c r="P205" i="1"/>
  <c r="E60" i="3"/>
  <c r="F60" i="3"/>
  <c r="G60" i="3"/>
  <c r="H60" i="3"/>
  <c r="J60" i="3"/>
  <c r="K60" i="3"/>
  <c r="L60" i="3"/>
  <c r="M60" i="3"/>
  <c r="N60" i="3"/>
  <c r="E203" i="1"/>
  <c r="D60" i="3" s="1"/>
  <c r="J203" i="1"/>
  <c r="I60" i="3" s="1"/>
  <c r="D203" i="1"/>
  <c r="B203" i="1"/>
  <c r="O62" i="3" l="1"/>
  <c r="O28" i="3" s="1"/>
  <c r="P196" i="1"/>
  <c r="P203" i="1"/>
  <c r="O60" i="3" s="1"/>
  <c r="E157" i="3" l="1"/>
  <c r="F157" i="3"/>
  <c r="G157" i="3"/>
  <c r="H157" i="3"/>
  <c r="J157" i="3"/>
  <c r="K157" i="3"/>
  <c r="L157" i="3"/>
  <c r="M157" i="3"/>
  <c r="N157" i="3"/>
  <c r="E158" i="3"/>
  <c r="E154" i="3" s="1"/>
  <c r="E148" i="3" s="1"/>
  <c r="F158" i="3"/>
  <c r="F154" i="3" s="1"/>
  <c r="F148" i="3" s="1"/>
  <c r="G158" i="3"/>
  <c r="G154" i="3" s="1"/>
  <c r="G148" i="3" s="1"/>
  <c r="H158" i="3"/>
  <c r="H154" i="3" s="1"/>
  <c r="H148" i="3" s="1"/>
  <c r="J158" i="3"/>
  <c r="J154" i="3" s="1"/>
  <c r="J148" i="3" s="1"/>
  <c r="K158" i="3"/>
  <c r="K154" i="3" s="1"/>
  <c r="K148" i="3" s="1"/>
  <c r="L158" i="3"/>
  <c r="L154" i="3" s="1"/>
  <c r="L148" i="3" s="1"/>
  <c r="M158" i="3"/>
  <c r="M154" i="3" s="1"/>
  <c r="M148" i="3" s="1"/>
  <c r="N158" i="3"/>
  <c r="N154" i="3" s="1"/>
  <c r="N148" i="3" s="1"/>
  <c r="F164" i="1"/>
  <c r="G164" i="1"/>
  <c r="H164" i="1"/>
  <c r="I164" i="1"/>
  <c r="K164" i="1"/>
  <c r="L164" i="1"/>
  <c r="M164" i="1"/>
  <c r="N164" i="1"/>
  <c r="O164" i="1"/>
  <c r="D182" i="1"/>
  <c r="D164" i="1" s="1"/>
  <c r="C181" i="1"/>
  <c r="D181" i="1"/>
  <c r="B181" i="1"/>
  <c r="J181" i="1"/>
  <c r="J182" i="1"/>
  <c r="E180" i="1"/>
  <c r="E181" i="1"/>
  <c r="D157" i="3" s="1"/>
  <c r="E182" i="1"/>
  <c r="E164" i="1" s="1"/>
  <c r="F117" i="1"/>
  <c r="G117" i="1"/>
  <c r="H117" i="1"/>
  <c r="I117" i="1"/>
  <c r="K117" i="1"/>
  <c r="L117" i="1"/>
  <c r="M117" i="1"/>
  <c r="N117" i="1"/>
  <c r="O117" i="1"/>
  <c r="I113" i="1"/>
  <c r="K113" i="1"/>
  <c r="L113" i="1"/>
  <c r="M113" i="1"/>
  <c r="N113" i="1"/>
  <c r="O113" i="1"/>
  <c r="E111" i="3"/>
  <c r="F111" i="3"/>
  <c r="G111" i="3"/>
  <c r="H111" i="3"/>
  <c r="J111" i="3"/>
  <c r="K111" i="3"/>
  <c r="L111" i="3"/>
  <c r="M111" i="3"/>
  <c r="N111" i="3"/>
  <c r="E112" i="3"/>
  <c r="E87" i="3" s="1"/>
  <c r="F112" i="3"/>
  <c r="F87" i="3" s="1"/>
  <c r="G112" i="3"/>
  <c r="G87" i="3" s="1"/>
  <c r="H112" i="3"/>
  <c r="H87" i="3" s="1"/>
  <c r="J112" i="3"/>
  <c r="J87" i="3" s="1"/>
  <c r="K112" i="3"/>
  <c r="K87" i="3" s="1"/>
  <c r="L112" i="3"/>
  <c r="L87" i="3" s="1"/>
  <c r="M112" i="3"/>
  <c r="M87" i="3" s="1"/>
  <c r="N112" i="3"/>
  <c r="N87" i="3" s="1"/>
  <c r="J137" i="1"/>
  <c r="I111" i="3" s="1"/>
  <c r="J138" i="1"/>
  <c r="J117" i="1" s="1"/>
  <c r="E137" i="1"/>
  <c r="D111" i="3" s="1"/>
  <c r="E138" i="1"/>
  <c r="D112" i="3" s="1"/>
  <c r="D87" i="3" s="1"/>
  <c r="B138" i="1"/>
  <c r="C138" i="1"/>
  <c r="D138" i="1"/>
  <c r="D117" i="1" s="1"/>
  <c r="C137" i="1"/>
  <c r="D137" i="1"/>
  <c r="B137" i="1"/>
  <c r="C87" i="3"/>
  <c r="D158" i="3" l="1"/>
  <c r="D154" i="3" s="1"/>
  <c r="D148" i="3" s="1"/>
  <c r="E117" i="1"/>
  <c r="P182" i="1"/>
  <c r="J164" i="1"/>
  <c r="P181" i="1"/>
  <c r="O157" i="3" s="1"/>
  <c r="I157" i="3"/>
  <c r="I158" i="3"/>
  <c r="I154" i="3" s="1"/>
  <c r="I148" i="3" s="1"/>
  <c r="I112" i="3"/>
  <c r="I87" i="3" s="1"/>
  <c r="P138" i="1"/>
  <c r="O112" i="3" s="1"/>
  <c r="O87" i="3" s="1"/>
  <c r="P137" i="1"/>
  <c r="O111" i="3" s="1"/>
  <c r="D110" i="1"/>
  <c r="O158" i="3" l="1"/>
  <c r="O154" i="3" s="1"/>
  <c r="O148" i="3" s="1"/>
  <c r="P164" i="1"/>
  <c r="P117" i="1"/>
  <c r="O57" i="1" l="1"/>
  <c r="K57" i="1"/>
  <c r="K110" i="1" l="1"/>
  <c r="J82" i="3" s="1"/>
  <c r="O110" i="1"/>
  <c r="O102" i="1"/>
  <c r="E82" i="3"/>
  <c r="F82" i="3"/>
  <c r="G82" i="3"/>
  <c r="H82" i="3"/>
  <c r="K82" i="3"/>
  <c r="L82" i="3"/>
  <c r="M82" i="3"/>
  <c r="N82" i="3"/>
  <c r="G102" i="1"/>
  <c r="H102" i="1"/>
  <c r="I102" i="1"/>
  <c r="L102" i="1"/>
  <c r="M102" i="1"/>
  <c r="N102" i="1"/>
  <c r="J110" i="1"/>
  <c r="E110" i="1"/>
  <c r="E111" i="1"/>
  <c r="C110" i="1"/>
  <c r="B110" i="1"/>
  <c r="P110" i="1" l="1"/>
  <c r="K102" i="1"/>
  <c r="C86" i="3" l="1"/>
  <c r="E119" i="3"/>
  <c r="E86" i="3" s="1"/>
  <c r="F119" i="3"/>
  <c r="F86" i="3" s="1"/>
  <c r="G119" i="3"/>
  <c r="G86" i="3" s="1"/>
  <c r="H119" i="3"/>
  <c r="H86" i="3" s="1"/>
  <c r="J119" i="3"/>
  <c r="J86" i="3" s="1"/>
  <c r="K119" i="3"/>
  <c r="K86" i="3" s="1"/>
  <c r="L119" i="3"/>
  <c r="L86" i="3" s="1"/>
  <c r="M119" i="3"/>
  <c r="M86" i="3" s="1"/>
  <c r="N119" i="3"/>
  <c r="N86" i="3" s="1"/>
  <c r="F116" i="1"/>
  <c r="G116" i="1"/>
  <c r="H116" i="1"/>
  <c r="I116" i="1"/>
  <c r="K116" i="1"/>
  <c r="L116" i="1"/>
  <c r="M116" i="1"/>
  <c r="N116" i="1"/>
  <c r="O116" i="1"/>
  <c r="D116" i="1"/>
  <c r="J142" i="1"/>
  <c r="J143" i="1"/>
  <c r="J144" i="1"/>
  <c r="I119" i="3" s="1"/>
  <c r="I86" i="3" s="1"/>
  <c r="E144" i="1"/>
  <c r="E116" i="1" s="1"/>
  <c r="J116" i="1" l="1"/>
  <c r="D119" i="3"/>
  <c r="D86" i="3" s="1"/>
  <c r="P144" i="1"/>
  <c r="P116" i="1" l="1"/>
  <c r="O119" i="3"/>
  <c r="O86" i="3" s="1"/>
  <c r="O87" i="1"/>
  <c r="K87" i="1"/>
  <c r="O156" i="1" l="1"/>
  <c r="K156" i="1"/>
  <c r="O98" i="1"/>
  <c r="K98" i="1"/>
  <c r="E67" i="3" l="1"/>
  <c r="F67" i="3"/>
  <c r="G67" i="3"/>
  <c r="H67" i="3"/>
  <c r="J67" i="3"/>
  <c r="K67" i="3"/>
  <c r="L67" i="3"/>
  <c r="M67" i="3"/>
  <c r="N67" i="3"/>
  <c r="E66" i="3"/>
  <c r="F66" i="3"/>
  <c r="G66" i="3"/>
  <c r="H66" i="3"/>
  <c r="K66" i="3"/>
  <c r="L66" i="3"/>
  <c r="M66" i="3"/>
  <c r="F50" i="1"/>
  <c r="G50" i="1"/>
  <c r="H50" i="1"/>
  <c r="I50" i="1"/>
  <c r="K50" i="1"/>
  <c r="L50" i="1"/>
  <c r="M50" i="1"/>
  <c r="N50" i="1"/>
  <c r="O50" i="1"/>
  <c r="J87" i="1"/>
  <c r="J88" i="1"/>
  <c r="E87" i="1"/>
  <c r="E88" i="1"/>
  <c r="D67" i="3" s="1"/>
  <c r="C87" i="1"/>
  <c r="B87" i="1"/>
  <c r="E155" i="3"/>
  <c r="F155" i="3"/>
  <c r="G155" i="3"/>
  <c r="H155" i="3"/>
  <c r="J155" i="3"/>
  <c r="K155" i="3"/>
  <c r="L155" i="3"/>
  <c r="M155" i="3"/>
  <c r="N155" i="3"/>
  <c r="P88" i="1" l="1"/>
  <c r="O67" i="3" s="1"/>
  <c r="I67" i="3"/>
  <c r="P87" i="1"/>
  <c r="E141" i="3"/>
  <c r="C168" i="3" l="1"/>
  <c r="C150" i="3" s="1"/>
  <c r="E172" i="3"/>
  <c r="E168" i="3" s="1"/>
  <c r="E150" i="3" s="1"/>
  <c r="F172" i="3"/>
  <c r="F168" i="3" s="1"/>
  <c r="F150" i="3" s="1"/>
  <c r="G172" i="3"/>
  <c r="G168" i="3" s="1"/>
  <c r="G150" i="3" s="1"/>
  <c r="H172" i="3"/>
  <c r="H168" i="3" s="1"/>
  <c r="H150" i="3" s="1"/>
  <c r="J172" i="3"/>
  <c r="J168" i="3" s="1"/>
  <c r="J150" i="3" s="1"/>
  <c r="K172" i="3"/>
  <c r="K168" i="3" s="1"/>
  <c r="K150" i="3" s="1"/>
  <c r="L172" i="3"/>
  <c r="L168" i="3" s="1"/>
  <c r="L150" i="3" s="1"/>
  <c r="M172" i="3"/>
  <c r="M168" i="3" s="1"/>
  <c r="M150" i="3" s="1"/>
  <c r="N172" i="3"/>
  <c r="N168" i="3" s="1"/>
  <c r="N150" i="3" s="1"/>
  <c r="D172" i="3"/>
  <c r="D168" i="3" s="1"/>
  <c r="D150" i="3" s="1"/>
  <c r="D215" i="1"/>
  <c r="D198" i="1" s="1"/>
  <c r="F198" i="1"/>
  <c r="G198" i="1"/>
  <c r="H198" i="1"/>
  <c r="I198" i="1"/>
  <c r="K198" i="1"/>
  <c r="L198" i="1"/>
  <c r="M198" i="1"/>
  <c r="N198" i="1"/>
  <c r="O198" i="1"/>
  <c r="E198" i="1"/>
  <c r="J215" i="1"/>
  <c r="P215" i="1" s="1"/>
  <c r="J198" i="1" l="1"/>
  <c r="P198" i="1"/>
  <c r="O172" i="3"/>
  <c r="O168" i="3" s="1"/>
  <c r="O150" i="3" s="1"/>
  <c r="I172" i="3"/>
  <c r="I168" i="3" s="1"/>
  <c r="I150" i="3" s="1"/>
  <c r="O213" i="1"/>
  <c r="K213" i="1"/>
  <c r="L192" i="1" l="1"/>
  <c r="L162" i="1" s="1"/>
  <c r="F161" i="3" l="1"/>
  <c r="G161" i="3"/>
  <c r="H161" i="3"/>
  <c r="J161" i="3"/>
  <c r="K161" i="3"/>
  <c r="L161" i="3"/>
  <c r="M161" i="3"/>
  <c r="N161" i="3"/>
  <c r="E184" i="1"/>
  <c r="J184" i="1"/>
  <c r="I161" i="3" s="1"/>
  <c r="C184" i="1"/>
  <c r="D184" i="1"/>
  <c r="B184" i="1"/>
  <c r="F185" i="1"/>
  <c r="E161" i="3" l="1"/>
  <c r="P184" i="1"/>
  <c r="O161" i="3" s="1"/>
  <c r="D161" i="3"/>
  <c r="F23" i="1" l="1"/>
  <c r="F22" i="1"/>
  <c r="C208" i="1"/>
  <c r="D208" i="1"/>
  <c r="B208" i="1"/>
  <c r="C212" i="1"/>
  <c r="B212" i="1"/>
  <c r="E142" i="3"/>
  <c r="F142" i="3"/>
  <c r="G142" i="3"/>
  <c r="H142" i="3"/>
  <c r="J142" i="3"/>
  <c r="K142" i="3"/>
  <c r="L142" i="3"/>
  <c r="M142" i="3"/>
  <c r="N142" i="3"/>
  <c r="C211" i="1"/>
  <c r="D211" i="1"/>
  <c r="B211" i="1"/>
  <c r="J212" i="1"/>
  <c r="E212" i="1"/>
  <c r="J211" i="1"/>
  <c r="E211" i="1"/>
  <c r="J208" i="1"/>
  <c r="E208" i="1"/>
  <c r="D82" i="3" s="1"/>
  <c r="D66" i="3"/>
  <c r="C206" i="1"/>
  <c r="B206" i="1"/>
  <c r="O188" i="1"/>
  <c r="O162" i="1" s="1"/>
  <c r="K188" i="1"/>
  <c r="K162" i="1" s="1"/>
  <c r="H36" i="1"/>
  <c r="F36" i="1"/>
  <c r="F52" i="1"/>
  <c r="G52" i="1"/>
  <c r="H52" i="1"/>
  <c r="I52" i="1"/>
  <c r="K52" i="1"/>
  <c r="L52" i="1"/>
  <c r="M52" i="1"/>
  <c r="N52" i="1"/>
  <c r="O52" i="1"/>
  <c r="C26" i="3"/>
  <c r="E72" i="3"/>
  <c r="F72" i="3"/>
  <c r="G72" i="3"/>
  <c r="H72" i="3"/>
  <c r="J72" i="3"/>
  <c r="K72" i="3"/>
  <c r="L72" i="3"/>
  <c r="M72" i="3"/>
  <c r="N72" i="3"/>
  <c r="E73" i="3"/>
  <c r="E26" i="3" s="1"/>
  <c r="F73" i="3"/>
  <c r="F26" i="3" s="1"/>
  <c r="G73" i="3"/>
  <c r="G26" i="3" s="1"/>
  <c r="H73" i="3"/>
  <c r="H26" i="3" s="1"/>
  <c r="J73" i="3"/>
  <c r="J26" i="3" s="1"/>
  <c r="K73" i="3"/>
  <c r="K26" i="3" s="1"/>
  <c r="L73" i="3"/>
  <c r="L26" i="3" s="1"/>
  <c r="M73" i="3"/>
  <c r="M26" i="3" s="1"/>
  <c r="N73" i="3"/>
  <c r="N26" i="3" s="1"/>
  <c r="J94" i="1"/>
  <c r="J52" i="1" s="1"/>
  <c r="B94" i="1"/>
  <c r="C94" i="1"/>
  <c r="D94" i="1"/>
  <c r="D52" i="1" s="1"/>
  <c r="C93" i="1"/>
  <c r="D93" i="1"/>
  <c r="B93" i="1"/>
  <c r="D73" i="3"/>
  <c r="D26" i="3" s="1"/>
  <c r="J93" i="1"/>
  <c r="E93" i="1"/>
  <c r="D72" i="3" s="1"/>
  <c r="C25" i="3"/>
  <c r="E45" i="3"/>
  <c r="E25" i="3" s="1"/>
  <c r="F45" i="3"/>
  <c r="F25" i="3" s="1"/>
  <c r="G45" i="3"/>
  <c r="G25" i="3" s="1"/>
  <c r="H45" i="3"/>
  <c r="H25" i="3" s="1"/>
  <c r="J45" i="3"/>
  <c r="J25" i="3" s="1"/>
  <c r="K45" i="3"/>
  <c r="K25" i="3" s="1"/>
  <c r="L45" i="3"/>
  <c r="L25" i="3" s="1"/>
  <c r="M45" i="3"/>
  <c r="M25" i="3" s="1"/>
  <c r="N45" i="3"/>
  <c r="N25" i="3" s="1"/>
  <c r="J69" i="1"/>
  <c r="J50" i="1" s="1"/>
  <c r="E69" i="1"/>
  <c r="E50" i="1" s="1"/>
  <c r="D69" i="1"/>
  <c r="D50" i="1" s="1"/>
  <c r="I82" i="3" l="1"/>
  <c r="P211" i="1"/>
  <c r="I72" i="3"/>
  <c r="N66" i="3"/>
  <c r="I73" i="3"/>
  <c r="I26" i="3" s="1"/>
  <c r="J66" i="3"/>
  <c r="I45" i="3"/>
  <c r="I25" i="3" s="1"/>
  <c r="P212" i="1"/>
  <c r="P208" i="1"/>
  <c r="J206" i="1"/>
  <c r="I66" i="3" s="1"/>
  <c r="E52" i="1"/>
  <c r="P93" i="1"/>
  <c r="P94" i="1"/>
  <c r="P69" i="1"/>
  <c r="P50" i="1" s="1"/>
  <c r="D45" i="3"/>
  <c r="D25" i="3" s="1"/>
  <c r="F49" i="1"/>
  <c r="G49" i="1"/>
  <c r="H49" i="1"/>
  <c r="I49" i="1"/>
  <c r="K49" i="1"/>
  <c r="L49" i="1"/>
  <c r="M49" i="1"/>
  <c r="N49" i="1"/>
  <c r="O49" i="1"/>
  <c r="B90" i="1"/>
  <c r="C90" i="1"/>
  <c r="D90" i="1"/>
  <c r="D49" i="1" s="1"/>
  <c r="C89" i="1"/>
  <c r="D89" i="1"/>
  <c r="B89" i="1"/>
  <c r="C24" i="3"/>
  <c r="E68" i="3"/>
  <c r="F68" i="3"/>
  <c r="G68" i="3"/>
  <c r="H68" i="3"/>
  <c r="J68" i="3"/>
  <c r="K68" i="3"/>
  <c r="L68" i="3"/>
  <c r="M68" i="3"/>
  <c r="N68" i="3"/>
  <c r="E69" i="3"/>
  <c r="E24" i="3" s="1"/>
  <c r="F69" i="3"/>
  <c r="F24" i="3" s="1"/>
  <c r="G69" i="3"/>
  <c r="G24" i="3" s="1"/>
  <c r="H69" i="3"/>
  <c r="H24" i="3" s="1"/>
  <c r="J69" i="3"/>
  <c r="J24" i="3" s="1"/>
  <c r="K69" i="3"/>
  <c r="K24" i="3" s="1"/>
  <c r="L69" i="3"/>
  <c r="L24" i="3" s="1"/>
  <c r="M69" i="3"/>
  <c r="M24" i="3" s="1"/>
  <c r="N69" i="3"/>
  <c r="N24" i="3" s="1"/>
  <c r="O82" i="3" l="1"/>
  <c r="O72" i="3"/>
  <c r="P206" i="1"/>
  <c r="O66" i="3" s="1"/>
  <c r="O73" i="3"/>
  <c r="O26" i="3" s="1"/>
  <c r="P52" i="1"/>
  <c r="O45" i="3"/>
  <c r="O25" i="3" s="1"/>
  <c r="D82" i="1"/>
  <c r="J90" i="1"/>
  <c r="E90" i="1"/>
  <c r="J89" i="1"/>
  <c r="I68" i="3" s="1"/>
  <c r="E89" i="1"/>
  <c r="D68" i="3" s="1"/>
  <c r="F19" i="1"/>
  <c r="J49" i="1" l="1"/>
  <c r="I69" i="3"/>
  <c r="I24" i="3" s="1"/>
  <c r="P90" i="1"/>
  <c r="E49" i="1"/>
  <c r="D69" i="3"/>
  <c r="D24" i="3" s="1"/>
  <c r="P89" i="1"/>
  <c r="O68" i="3" s="1"/>
  <c r="P49" i="1" l="1"/>
  <c r="O69" i="3"/>
  <c r="O24" i="3" s="1"/>
  <c r="C151" i="1"/>
  <c r="D151" i="1"/>
  <c r="B151" i="1"/>
  <c r="E100" i="3"/>
  <c r="F100" i="3"/>
  <c r="G100" i="3"/>
  <c r="H100" i="3"/>
  <c r="I100" i="3"/>
  <c r="J100" i="3"/>
  <c r="K100" i="3"/>
  <c r="L100" i="3"/>
  <c r="M100" i="3"/>
  <c r="N100" i="3"/>
  <c r="E151" i="1"/>
  <c r="D100" i="3" s="1"/>
  <c r="H147" i="1"/>
  <c r="I147" i="1"/>
  <c r="L147" i="1"/>
  <c r="M147" i="1"/>
  <c r="N147" i="1"/>
  <c r="F150" i="1"/>
  <c r="F149" i="1"/>
  <c r="H129" i="1"/>
  <c r="G129" i="1"/>
  <c r="F129" i="1"/>
  <c r="H140" i="1"/>
  <c r="G140" i="1"/>
  <c r="F140" i="1"/>
  <c r="H113" i="1" l="1"/>
  <c r="P151" i="1"/>
  <c r="E55" i="3"/>
  <c r="F55" i="3"/>
  <c r="G55" i="3"/>
  <c r="H55" i="3"/>
  <c r="J55" i="3"/>
  <c r="K55" i="3"/>
  <c r="L55" i="3"/>
  <c r="M55" i="3"/>
  <c r="N55" i="3"/>
  <c r="C23" i="3"/>
  <c r="C22" i="3"/>
  <c r="C21" i="3"/>
  <c r="F48" i="1"/>
  <c r="G48" i="1"/>
  <c r="H48" i="1"/>
  <c r="I48" i="1"/>
  <c r="K48" i="1"/>
  <c r="L48" i="1"/>
  <c r="M48" i="1"/>
  <c r="N48" i="1"/>
  <c r="O48" i="1"/>
  <c r="F47" i="1"/>
  <c r="G47" i="1"/>
  <c r="H47" i="1"/>
  <c r="I47" i="1"/>
  <c r="K47" i="1"/>
  <c r="L47" i="1"/>
  <c r="M47" i="1"/>
  <c r="N47" i="1"/>
  <c r="O47" i="1"/>
  <c r="F46" i="1"/>
  <c r="G46" i="1"/>
  <c r="H46" i="1"/>
  <c r="I46" i="1"/>
  <c r="K46" i="1"/>
  <c r="L46" i="1"/>
  <c r="M46" i="1"/>
  <c r="N46" i="1"/>
  <c r="O46" i="1"/>
  <c r="E70" i="3"/>
  <c r="F70" i="3"/>
  <c r="G70" i="3"/>
  <c r="H70" i="3"/>
  <c r="J70" i="3"/>
  <c r="K70" i="3"/>
  <c r="L70" i="3"/>
  <c r="M70" i="3"/>
  <c r="N70" i="3"/>
  <c r="E71" i="3"/>
  <c r="E23" i="3" s="1"/>
  <c r="F71" i="3"/>
  <c r="F23" i="3" s="1"/>
  <c r="G71" i="3"/>
  <c r="G23" i="3" s="1"/>
  <c r="H71" i="3"/>
  <c r="H23" i="3" s="1"/>
  <c r="J71" i="3"/>
  <c r="J23" i="3" s="1"/>
  <c r="K71" i="3"/>
  <c r="K23" i="3" s="1"/>
  <c r="L71" i="3"/>
  <c r="L23" i="3" s="1"/>
  <c r="M71" i="3"/>
  <c r="M23" i="3" s="1"/>
  <c r="N71" i="3"/>
  <c r="N23" i="3" s="1"/>
  <c r="D71" i="3"/>
  <c r="D23" i="3" s="1"/>
  <c r="J91" i="1"/>
  <c r="I70" i="3" s="1"/>
  <c r="J92" i="1"/>
  <c r="I71" i="3" s="1"/>
  <c r="I23" i="3" s="1"/>
  <c r="E91" i="1"/>
  <c r="E92" i="1"/>
  <c r="E48" i="1" s="1"/>
  <c r="B92" i="1"/>
  <c r="C92" i="1"/>
  <c r="D92" i="1"/>
  <c r="D48" i="1" s="1"/>
  <c r="C91" i="1"/>
  <c r="D91" i="1"/>
  <c r="B91" i="1"/>
  <c r="E58" i="3"/>
  <c r="F58" i="3"/>
  <c r="G58" i="3"/>
  <c r="H58" i="3"/>
  <c r="J58" i="3"/>
  <c r="K58" i="3"/>
  <c r="L58" i="3"/>
  <c r="M58" i="3"/>
  <c r="N58" i="3"/>
  <c r="E59" i="3"/>
  <c r="E22" i="3" s="1"/>
  <c r="F59" i="3"/>
  <c r="F22" i="3" s="1"/>
  <c r="G59" i="3"/>
  <c r="G22" i="3" s="1"/>
  <c r="H59" i="3"/>
  <c r="H22" i="3" s="1"/>
  <c r="J59" i="3"/>
  <c r="J22" i="3" s="1"/>
  <c r="K59" i="3"/>
  <c r="K22" i="3" s="1"/>
  <c r="L59" i="3"/>
  <c r="L22" i="3" s="1"/>
  <c r="M59" i="3"/>
  <c r="M22" i="3" s="1"/>
  <c r="N59" i="3"/>
  <c r="N22" i="3" s="1"/>
  <c r="E80" i="1"/>
  <c r="D56" i="3" s="1"/>
  <c r="E81" i="1"/>
  <c r="D57" i="3" s="1"/>
  <c r="D21" i="3" s="1"/>
  <c r="E82" i="1"/>
  <c r="E83" i="1"/>
  <c r="D59" i="3" s="1"/>
  <c r="D22" i="3" s="1"/>
  <c r="J82" i="1"/>
  <c r="I58" i="3" s="1"/>
  <c r="J83" i="1"/>
  <c r="I59" i="3" s="1"/>
  <c r="I22" i="3" s="1"/>
  <c r="B83" i="1"/>
  <c r="C83" i="1"/>
  <c r="D83" i="1"/>
  <c r="D47" i="1" s="1"/>
  <c r="C82" i="1"/>
  <c r="B82" i="1"/>
  <c r="E56" i="3"/>
  <c r="F56" i="3"/>
  <c r="G56" i="3"/>
  <c r="H56" i="3"/>
  <c r="J56" i="3"/>
  <c r="K56" i="3"/>
  <c r="L56" i="3"/>
  <c r="M56" i="3"/>
  <c r="N56" i="3"/>
  <c r="E57" i="3"/>
  <c r="E21" i="3" s="1"/>
  <c r="F57" i="3"/>
  <c r="F21" i="3" s="1"/>
  <c r="G57" i="3"/>
  <c r="G21" i="3" s="1"/>
  <c r="H57" i="3"/>
  <c r="H21" i="3" s="1"/>
  <c r="J57" i="3"/>
  <c r="J21" i="3" s="1"/>
  <c r="K57" i="3"/>
  <c r="K21" i="3" s="1"/>
  <c r="L57" i="3"/>
  <c r="L21" i="3" s="1"/>
  <c r="M57" i="3"/>
  <c r="M21" i="3" s="1"/>
  <c r="N57" i="3"/>
  <c r="N21" i="3" s="1"/>
  <c r="J80" i="1"/>
  <c r="J81" i="1"/>
  <c r="J46" i="1" s="1"/>
  <c r="D81" i="1"/>
  <c r="D46" i="1" s="1"/>
  <c r="C80" i="1"/>
  <c r="D80" i="1"/>
  <c r="B80" i="1"/>
  <c r="C79" i="1"/>
  <c r="D79" i="1"/>
  <c r="B79" i="1"/>
  <c r="J79" i="1"/>
  <c r="I55" i="3" s="1"/>
  <c r="E79" i="1"/>
  <c r="F106" i="1"/>
  <c r="F109" i="1"/>
  <c r="F102" i="1" l="1"/>
  <c r="O100" i="3"/>
  <c r="P91" i="1"/>
  <c r="O70" i="3" s="1"/>
  <c r="D70" i="3"/>
  <c r="E46" i="1"/>
  <c r="E47" i="1"/>
  <c r="P82" i="1"/>
  <c r="O58" i="3" s="1"/>
  <c r="D58" i="3"/>
  <c r="J47" i="1"/>
  <c r="J48" i="1"/>
  <c r="P92" i="1"/>
  <c r="D55" i="3"/>
  <c r="P83" i="1"/>
  <c r="P81" i="1"/>
  <c r="P80" i="1"/>
  <c r="O56" i="3" s="1"/>
  <c r="I56" i="3"/>
  <c r="I57" i="3"/>
  <c r="I21" i="3" s="1"/>
  <c r="P79" i="1"/>
  <c r="C29" i="3"/>
  <c r="O59" i="3" l="1"/>
  <c r="O22" i="3" s="1"/>
  <c r="P47" i="1"/>
  <c r="O71" i="3"/>
  <c r="O23" i="3" s="1"/>
  <c r="P48" i="1"/>
  <c r="O57" i="3"/>
  <c r="O21" i="3" s="1"/>
  <c r="P46" i="1"/>
  <c r="O55" i="3"/>
  <c r="F28" i="1" l="1"/>
  <c r="F27" i="1"/>
  <c r="F26" i="1"/>
  <c r="F193" i="1" l="1"/>
  <c r="G166" i="1" l="1"/>
  <c r="G162" i="1" s="1"/>
  <c r="G229" i="1"/>
  <c r="F229" i="1"/>
  <c r="F166" i="1"/>
  <c r="G18" i="1"/>
  <c r="F173" i="1" l="1"/>
  <c r="E108" i="3" l="1"/>
  <c r="F108" i="3"/>
  <c r="G108" i="3"/>
  <c r="H108" i="3"/>
  <c r="I108" i="3"/>
  <c r="J108" i="3"/>
  <c r="K108" i="3"/>
  <c r="L108" i="3"/>
  <c r="M108" i="3"/>
  <c r="N108" i="3"/>
  <c r="E107" i="3"/>
  <c r="F107" i="3"/>
  <c r="G107" i="3"/>
  <c r="H107" i="3"/>
  <c r="I107" i="3"/>
  <c r="J107" i="3"/>
  <c r="K107" i="3"/>
  <c r="L107" i="3"/>
  <c r="M107" i="3"/>
  <c r="N107" i="3"/>
  <c r="E94" i="3"/>
  <c r="F94" i="3"/>
  <c r="G94" i="3"/>
  <c r="H94" i="3"/>
  <c r="I94" i="3"/>
  <c r="J94" i="3"/>
  <c r="K94" i="3"/>
  <c r="L94" i="3"/>
  <c r="M94" i="3"/>
  <c r="N94" i="3"/>
  <c r="E95" i="3"/>
  <c r="F95" i="3"/>
  <c r="G95" i="3"/>
  <c r="H95" i="3"/>
  <c r="I95" i="3"/>
  <c r="J95" i="3"/>
  <c r="K95" i="3"/>
  <c r="L95" i="3"/>
  <c r="M95" i="3"/>
  <c r="N95" i="3"/>
  <c r="E96" i="3"/>
  <c r="F96" i="3"/>
  <c r="G96" i="3"/>
  <c r="H96" i="3"/>
  <c r="I96" i="3"/>
  <c r="J96" i="3"/>
  <c r="K96" i="3"/>
  <c r="L96" i="3"/>
  <c r="M96" i="3"/>
  <c r="N96" i="3"/>
  <c r="F93" i="3"/>
  <c r="G93" i="3"/>
  <c r="H93" i="3"/>
  <c r="I93" i="3"/>
  <c r="J93" i="3"/>
  <c r="K93" i="3"/>
  <c r="L93" i="3"/>
  <c r="M93" i="3"/>
  <c r="N93" i="3"/>
  <c r="E93" i="3"/>
  <c r="G114" i="1"/>
  <c r="G252" i="1" s="1"/>
  <c r="H114" i="1"/>
  <c r="H252" i="1" s="1"/>
  <c r="I114" i="1"/>
  <c r="I252" i="1" s="1"/>
  <c r="J114" i="1"/>
  <c r="J252" i="1" s="1"/>
  <c r="K114" i="1"/>
  <c r="K252" i="1" s="1"/>
  <c r="L114" i="1"/>
  <c r="L252" i="1" s="1"/>
  <c r="M114" i="1"/>
  <c r="M252" i="1" s="1"/>
  <c r="N114" i="1"/>
  <c r="N252" i="1" s="1"/>
  <c r="O114" i="1"/>
  <c r="O252" i="1" s="1"/>
  <c r="E134" i="1"/>
  <c r="D108" i="3" s="1"/>
  <c r="E133" i="1"/>
  <c r="D107" i="3" s="1"/>
  <c r="B134" i="1"/>
  <c r="C134" i="1"/>
  <c r="D134" i="1"/>
  <c r="C133" i="1"/>
  <c r="D133" i="1"/>
  <c r="B133" i="1"/>
  <c r="E127" i="1"/>
  <c r="P127" i="1" s="1"/>
  <c r="O96" i="3" s="1"/>
  <c r="E126" i="1"/>
  <c r="P126" i="1" s="1"/>
  <c r="O95" i="3" s="1"/>
  <c r="E125" i="1"/>
  <c r="D94" i="3" s="1"/>
  <c r="E124" i="1"/>
  <c r="P124" i="1" s="1"/>
  <c r="O93" i="3" s="1"/>
  <c r="B125" i="1"/>
  <c r="C125" i="1"/>
  <c r="D125" i="1"/>
  <c r="B126" i="1"/>
  <c r="C126" i="1"/>
  <c r="D126" i="1"/>
  <c r="B127" i="1"/>
  <c r="C127" i="1"/>
  <c r="D127" i="1"/>
  <c r="C124" i="1"/>
  <c r="D124" i="1"/>
  <c r="B124" i="1"/>
  <c r="F117" i="3"/>
  <c r="G117" i="3"/>
  <c r="H117" i="3"/>
  <c r="I117" i="3"/>
  <c r="J117" i="3"/>
  <c r="K117" i="3"/>
  <c r="L117" i="3"/>
  <c r="M117" i="3"/>
  <c r="N117" i="3"/>
  <c r="F142" i="1"/>
  <c r="E142" i="1" s="1"/>
  <c r="P142" i="1" s="1"/>
  <c r="D142" i="1"/>
  <c r="F176" i="1"/>
  <c r="F162" i="1" s="1"/>
  <c r="E48" i="3"/>
  <c r="F48" i="3"/>
  <c r="G48" i="3"/>
  <c r="H48" i="3"/>
  <c r="I48" i="3"/>
  <c r="J48" i="3"/>
  <c r="K48" i="3"/>
  <c r="L48" i="3"/>
  <c r="M48" i="3"/>
  <c r="N48" i="3"/>
  <c r="F53" i="1"/>
  <c r="F251" i="1" s="1"/>
  <c r="G53" i="1"/>
  <c r="G251" i="1" s="1"/>
  <c r="H53" i="1"/>
  <c r="H251" i="1" s="1"/>
  <c r="I53" i="1"/>
  <c r="I251" i="1" s="1"/>
  <c r="K53" i="1"/>
  <c r="K251" i="1" s="1"/>
  <c r="L53" i="1"/>
  <c r="L251" i="1" s="1"/>
  <c r="M53" i="1"/>
  <c r="M251" i="1" s="1"/>
  <c r="N53" i="1"/>
  <c r="N251" i="1" s="1"/>
  <c r="E72" i="1"/>
  <c r="D48" i="3" s="1"/>
  <c r="F71" i="1"/>
  <c r="G71" i="1"/>
  <c r="F47" i="3" s="1"/>
  <c r="O71" i="1"/>
  <c r="N47" i="3" s="1"/>
  <c r="N71" i="1"/>
  <c r="M47" i="3" s="1"/>
  <c r="M71" i="1"/>
  <c r="L47" i="3" s="1"/>
  <c r="L71" i="1"/>
  <c r="K47" i="3" s="1"/>
  <c r="K71" i="1"/>
  <c r="J47" i="3" s="1"/>
  <c r="J71" i="1"/>
  <c r="I47" i="3" s="1"/>
  <c r="I71" i="1"/>
  <c r="H47" i="3" s="1"/>
  <c r="H71" i="1"/>
  <c r="G47" i="3" s="1"/>
  <c r="B72" i="1"/>
  <c r="C72" i="1"/>
  <c r="D72" i="1"/>
  <c r="C71" i="1"/>
  <c r="D71" i="1"/>
  <c r="B71" i="1"/>
  <c r="E41" i="3"/>
  <c r="F41" i="3"/>
  <c r="G41" i="3"/>
  <c r="H41" i="3"/>
  <c r="I41" i="3"/>
  <c r="J41" i="3"/>
  <c r="K41" i="3"/>
  <c r="L41" i="3"/>
  <c r="M41" i="3"/>
  <c r="N41" i="3"/>
  <c r="O65" i="1"/>
  <c r="N40" i="3" s="1"/>
  <c r="N65" i="1"/>
  <c r="M40" i="3" s="1"/>
  <c r="M65" i="1"/>
  <c r="L40" i="3" s="1"/>
  <c r="L65" i="1"/>
  <c r="K40" i="3" s="1"/>
  <c r="K65" i="1"/>
  <c r="J40" i="3" s="1"/>
  <c r="J65" i="1"/>
  <c r="I40" i="3" s="1"/>
  <c r="I65" i="1"/>
  <c r="H40" i="3" s="1"/>
  <c r="H65" i="1"/>
  <c r="G40" i="3" s="1"/>
  <c r="G65" i="1"/>
  <c r="F40" i="3" s="1"/>
  <c r="F65" i="1"/>
  <c r="E40" i="3" s="1"/>
  <c r="E66" i="1"/>
  <c r="P66" i="1" s="1"/>
  <c r="O41" i="3" s="1"/>
  <c r="B66" i="1"/>
  <c r="C66" i="1"/>
  <c r="D66" i="1"/>
  <c r="C65" i="1"/>
  <c r="D65" i="1"/>
  <c r="B65" i="1"/>
  <c r="G63" i="1"/>
  <c r="F38" i="3" s="1"/>
  <c r="H63" i="1"/>
  <c r="G38" i="3" s="1"/>
  <c r="I63" i="1"/>
  <c r="I44" i="1" s="1"/>
  <c r="K63" i="1"/>
  <c r="L63" i="1"/>
  <c r="K38" i="3" s="1"/>
  <c r="M63" i="1"/>
  <c r="N63" i="1"/>
  <c r="O63" i="1"/>
  <c r="O44" i="1" s="1"/>
  <c r="F63" i="1"/>
  <c r="E38" i="3" s="1"/>
  <c r="E64" i="1"/>
  <c r="E45" i="1" s="1"/>
  <c r="J64" i="1"/>
  <c r="J45" i="1" s="1"/>
  <c r="B64" i="1"/>
  <c r="C64" i="1"/>
  <c r="D64" i="1"/>
  <c r="C63" i="1"/>
  <c r="D63" i="1"/>
  <c r="B63" i="1"/>
  <c r="E39" i="3"/>
  <c r="F39" i="3"/>
  <c r="G39" i="3"/>
  <c r="H39" i="3"/>
  <c r="J39" i="3"/>
  <c r="K39" i="3"/>
  <c r="L39" i="3"/>
  <c r="M39" i="3"/>
  <c r="N39" i="3"/>
  <c r="E36" i="3"/>
  <c r="F36" i="3"/>
  <c r="G36" i="3"/>
  <c r="H36" i="3"/>
  <c r="J36" i="3"/>
  <c r="K36" i="3"/>
  <c r="L36" i="3"/>
  <c r="M36" i="3"/>
  <c r="N36" i="3"/>
  <c r="G60" i="1"/>
  <c r="G44" i="1" s="1"/>
  <c r="H60" i="1"/>
  <c r="H44" i="1" s="1"/>
  <c r="F60" i="1"/>
  <c r="J61" i="1"/>
  <c r="I36" i="3" s="1"/>
  <c r="E61" i="1"/>
  <c r="D36" i="3" s="1"/>
  <c r="E53" i="3"/>
  <c r="F53" i="3"/>
  <c r="G53" i="3"/>
  <c r="H53" i="3"/>
  <c r="J53" i="3"/>
  <c r="K53" i="3"/>
  <c r="L53" i="3"/>
  <c r="M53" i="3"/>
  <c r="N53" i="3"/>
  <c r="E52" i="3"/>
  <c r="F52" i="3"/>
  <c r="G52" i="3"/>
  <c r="H52" i="3"/>
  <c r="J52" i="3"/>
  <c r="K52" i="3"/>
  <c r="L52" i="3"/>
  <c r="M52" i="3"/>
  <c r="N52" i="3"/>
  <c r="O53" i="1"/>
  <c r="O251" i="1" s="1"/>
  <c r="J77" i="1"/>
  <c r="I53" i="3" s="1"/>
  <c r="E77" i="1"/>
  <c r="D53" i="3" s="1"/>
  <c r="J76" i="1"/>
  <c r="I52" i="3" s="1"/>
  <c r="E76" i="1"/>
  <c r="D77" i="1"/>
  <c r="C76" i="1"/>
  <c r="D76" i="1"/>
  <c r="B76" i="1"/>
  <c r="E37" i="3"/>
  <c r="F37" i="3"/>
  <c r="G37" i="3"/>
  <c r="H37" i="3"/>
  <c r="J37" i="3"/>
  <c r="K37" i="3"/>
  <c r="L37" i="3"/>
  <c r="M37" i="3"/>
  <c r="N37" i="3"/>
  <c r="H35" i="3"/>
  <c r="J35" i="3"/>
  <c r="K35" i="3"/>
  <c r="L35" i="3"/>
  <c r="M35" i="3"/>
  <c r="N35" i="3"/>
  <c r="D60" i="1"/>
  <c r="J62" i="1"/>
  <c r="E62" i="1"/>
  <c r="J60" i="1"/>
  <c r="I35" i="3" s="1"/>
  <c r="E60" i="1"/>
  <c r="D35" i="3" s="1"/>
  <c r="C60" i="1"/>
  <c r="B60" i="1"/>
  <c r="N20" i="3" l="1"/>
  <c r="N44" i="1"/>
  <c r="M44" i="1"/>
  <c r="K44" i="1"/>
  <c r="F44" i="1"/>
  <c r="M20" i="3"/>
  <c r="L20" i="3"/>
  <c r="K20" i="3"/>
  <c r="J20" i="3"/>
  <c r="H20" i="3"/>
  <c r="G20" i="3"/>
  <c r="F20" i="3"/>
  <c r="E20" i="3"/>
  <c r="J63" i="1"/>
  <c r="I38" i="3" s="1"/>
  <c r="M38" i="3"/>
  <c r="H38" i="3"/>
  <c r="E35" i="3"/>
  <c r="P134" i="1"/>
  <c r="O108" i="3" s="1"/>
  <c r="K84" i="3"/>
  <c r="K203" i="3" s="1"/>
  <c r="L275" i="1" s="1"/>
  <c r="G84" i="3"/>
  <c r="G203" i="3" s="1"/>
  <c r="H275" i="1" s="1"/>
  <c r="N84" i="3"/>
  <c r="N203" i="3" s="1"/>
  <c r="O275" i="1" s="1"/>
  <c r="J84" i="3"/>
  <c r="J203" i="3" s="1"/>
  <c r="K275" i="1" s="1"/>
  <c r="F84" i="3"/>
  <c r="F203" i="3" s="1"/>
  <c r="G275" i="1" s="1"/>
  <c r="F114" i="1"/>
  <c r="F252" i="1" s="1"/>
  <c r="D95" i="3"/>
  <c r="M84" i="3"/>
  <c r="M203" i="3" s="1"/>
  <c r="N275" i="1" s="1"/>
  <c r="I84" i="3"/>
  <c r="I203" i="3" s="1"/>
  <c r="J275" i="1" s="1"/>
  <c r="E117" i="3"/>
  <c r="E84" i="3" s="1"/>
  <c r="E203" i="3" s="1"/>
  <c r="F275" i="1" s="1"/>
  <c r="L84" i="3"/>
  <c r="L203" i="3" s="1"/>
  <c r="M275" i="1" s="1"/>
  <c r="H84" i="3"/>
  <c r="H203" i="3" s="1"/>
  <c r="I275" i="1" s="1"/>
  <c r="O117" i="3"/>
  <c r="E71" i="1"/>
  <c r="P71" i="1" s="1"/>
  <c r="O47" i="3" s="1"/>
  <c r="E47" i="3"/>
  <c r="D117" i="3"/>
  <c r="P125" i="1"/>
  <c r="O94" i="3" s="1"/>
  <c r="E114" i="1"/>
  <c r="E252" i="1" s="1"/>
  <c r="D96" i="3"/>
  <c r="P133" i="1"/>
  <c r="O107" i="3" s="1"/>
  <c r="D93" i="3"/>
  <c r="P72" i="1"/>
  <c r="O48" i="3" s="1"/>
  <c r="P76" i="1"/>
  <c r="O52" i="3" s="1"/>
  <c r="J53" i="1"/>
  <c r="J251" i="1" s="1"/>
  <c r="E53" i="1"/>
  <c r="E251" i="1" s="1"/>
  <c r="J38" i="3"/>
  <c r="K29" i="3"/>
  <c r="K202" i="3" s="1"/>
  <c r="L274" i="1" s="1"/>
  <c r="N38" i="3"/>
  <c r="D52" i="3"/>
  <c r="E65" i="1"/>
  <c r="P64" i="1"/>
  <c r="D41" i="3"/>
  <c r="L38" i="3"/>
  <c r="E63" i="1"/>
  <c r="H29" i="3"/>
  <c r="H202" i="3" s="1"/>
  <c r="I274" i="1" s="1"/>
  <c r="I39" i="3"/>
  <c r="I20" i="3" s="1"/>
  <c r="F29" i="3"/>
  <c r="F202" i="3" s="1"/>
  <c r="G274" i="1" s="1"/>
  <c r="E29" i="3"/>
  <c r="E202" i="3" s="1"/>
  <c r="F274" i="1" s="1"/>
  <c r="G29" i="3"/>
  <c r="G202" i="3" s="1"/>
  <c r="H274" i="1" s="1"/>
  <c r="D39" i="3"/>
  <c r="D20" i="3" s="1"/>
  <c r="M29" i="3"/>
  <c r="M202" i="3" s="1"/>
  <c r="N274" i="1" s="1"/>
  <c r="J29" i="3"/>
  <c r="J202" i="3" s="1"/>
  <c r="K274" i="1" s="1"/>
  <c r="L29" i="3"/>
  <c r="L202" i="3" s="1"/>
  <c r="M274" i="1" s="1"/>
  <c r="N29" i="3"/>
  <c r="N202" i="3" s="1"/>
  <c r="O274" i="1" s="1"/>
  <c r="G35" i="3"/>
  <c r="F35" i="3"/>
  <c r="P61" i="1"/>
  <c r="O36" i="3" s="1"/>
  <c r="D37" i="3"/>
  <c r="D29" i="3" s="1"/>
  <c r="D202" i="3" s="1"/>
  <c r="P77" i="1"/>
  <c r="O53" i="3" s="1"/>
  <c r="P62" i="1"/>
  <c r="P60" i="1"/>
  <c r="O35" i="3" s="1"/>
  <c r="I37" i="3"/>
  <c r="I29" i="3" s="1"/>
  <c r="I202" i="3" s="1"/>
  <c r="E274" i="1" l="1"/>
  <c r="P45" i="1"/>
  <c r="J274" i="1"/>
  <c r="D47" i="3"/>
  <c r="O84" i="3"/>
  <c r="O203" i="3" s="1"/>
  <c r="D84" i="3"/>
  <c r="D203" i="3" s="1"/>
  <c r="E275" i="1" s="1"/>
  <c r="P114" i="1"/>
  <c r="P252" i="1" s="1"/>
  <c r="P53" i="1"/>
  <c r="P251" i="1" s="1"/>
  <c r="D40" i="3"/>
  <c r="P65" i="1"/>
  <c r="O40" i="3" s="1"/>
  <c r="D38" i="3"/>
  <c r="P63" i="1"/>
  <c r="O38" i="3" s="1"/>
  <c r="O39" i="3"/>
  <c r="O20" i="3" s="1"/>
  <c r="O37" i="3"/>
  <c r="O29" i="3" s="1"/>
  <c r="O202" i="3" s="1"/>
  <c r="P275" i="1" l="1"/>
  <c r="P274" i="1"/>
  <c r="I173" i="1"/>
  <c r="I162" i="1" s="1"/>
  <c r="H173" i="1"/>
  <c r="H162" i="1" s="1"/>
  <c r="D145" i="1" l="1"/>
  <c r="C241" i="1"/>
  <c r="D247" i="1"/>
  <c r="C247" i="1"/>
  <c r="B247" i="1"/>
  <c r="C244" i="1"/>
  <c r="D244" i="1"/>
  <c r="B244" i="1"/>
  <c r="C191" i="1"/>
  <c r="D191" i="1"/>
  <c r="B191" i="1"/>
  <c r="D189" i="1"/>
  <c r="C189" i="1"/>
  <c r="B189" i="1"/>
  <c r="D167" i="1"/>
  <c r="C167" i="1"/>
  <c r="B167" i="1"/>
  <c r="D155" i="1"/>
  <c r="C155" i="1"/>
  <c r="B155" i="1"/>
  <c r="D150" i="1"/>
  <c r="C149" i="1"/>
  <c r="C150" i="1"/>
  <c r="B150" i="1"/>
  <c r="D149" i="1"/>
  <c r="B149" i="1"/>
  <c r="D100" i="1"/>
  <c r="C100" i="1"/>
  <c r="B100" i="1"/>
  <c r="D99" i="1"/>
  <c r="C99" i="1"/>
  <c r="B99" i="1"/>
  <c r="C98" i="1"/>
  <c r="B98" i="1"/>
  <c r="D97" i="1"/>
  <c r="C97" i="1"/>
  <c r="B97" i="1"/>
  <c r="B96" i="1"/>
  <c r="D78" i="1"/>
  <c r="C75" i="1"/>
  <c r="C78" i="1"/>
  <c r="B78" i="1"/>
  <c r="D74" i="1"/>
  <c r="D75" i="1"/>
  <c r="C74" i="1"/>
  <c r="B74" i="1"/>
  <c r="B75" i="1"/>
  <c r="D73" i="1"/>
  <c r="C73" i="1"/>
  <c r="B73" i="1"/>
  <c r="C68" i="1"/>
  <c r="D68" i="1"/>
  <c r="B68" i="1"/>
  <c r="C67" i="1"/>
  <c r="D67" i="1"/>
  <c r="B67" i="1"/>
  <c r="C59" i="1"/>
  <c r="D59" i="1"/>
  <c r="B59" i="1"/>
  <c r="D58" i="1"/>
  <c r="C58" i="1"/>
  <c r="B58" i="1"/>
  <c r="D25" i="1"/>
  <c r="C25" i="1"/>
  <c r="B24" i="1"/>
  <c r="D23" i="1"/>
  <c r="C23" i="1"/>
  <c r="B23" i="1"/>
  <c r="G238" i="1" l="1"/>
  <c r="F238" i="1"/>
  <c r="G118" i="1"/>
  <c r="G113" i="1" s="1"/>
  <c r="F118" i="1"/>
  <c r="F113" i="1" s="1"/>
  <c r="G154" i="1" l="1"/>
  <c r="F154" i="1"/>
  <c r="G148" i="1"/>
  <c r="G147" i="1" s="1"/>
  <c r="F148" i="1"/>
  <c r="F147" i="1" s="1"/>
  <c r="G218" i="1" l="1"/>
  <c r="F218" i="1"/>
  <c r="L68" i="1"/>
  <c r="L44" i="1" s="1"/>
  <c r="J68" i="1" l="1"/>
  <c r="F237" i="1"/>
  <c r="G237" i="1"/>
  <c r="H237" i="1"/>
  <c r="I237" i="1"/>
  <c r="K237" i="1"/>
  <c r="L237" i="1"/>
  <c r="M237" i="1"/>
  <c r="N237" i="1"/>
  <c r="O237" i="1"/>
  <c r="F228" i="1"/>
  <c r="G228" i="1"/>
  <c r="H228" i="1"/>
  <c r="I228" i="1"/>
  <c r="K228" i="1"/>
  <c r="L228" i="1"/>
  <c r="M228" i="1"/>
  <c r="N228" i="1"/>
  <c r="O228" i="1"/>
  <c r="F224" i="1"/>
  <c r="G224" i="1"/>
  <c r="H224" i="1"/>
  <c r="I224" i="1"/>
  <c r="K224" i="1"/>
  <c r="L224" i="1"/>
  <c r="M224" i="1"/>
  <c r="N224" i="1"/>
  <c r="O224" i="1"/>
  <c r="F220" i="1"/>
  <c r="G220" i="1"/>
  <c r="H220" i="1"/>
  <c r="I220" i="1"/>
  <c r="L220" i="1"/>
  <c r="M220" i="1"/>
  <c r="N220" i="1"/>
  <c r="F153" i="1"/>
  <c r="G153" i="1"/>
  <c r="H153" i="1"/>
  <c r="I153" i="1"/>
  <c r="K153" i="1"/>
  <c r="L153" i="1"/>
  <c r="M153" i="1"/>
  <c r="N153" i="1"/>
  <c r="O153" i="1"/>
  <c r="G16" i="1"/>
  <c r="H16" i="1"/>
  <c r="I16" i="1"/>
  <c r="K16" i="1"/>
  <c r="L16" i="1"/>
  <c r="M16" i="1"/>
  <c r="N16" i="1"/>
  <c r="O16" i="1"/>
  <c r="E197" i="3"/>
  <c r="F197" i="3"/>
  <c r="G197" i="3"/>
  <c r="H197" i="3"/>
  <c r="J197" i="3"/>
  <c r="K197" i="3"/>
  <c r="L197" i="3"/>
  <c r="M197" i="3"/>
  <c r="N197" i="3"/>
  <c r="N187" i="3"/>
  <c r="M187" i="3"/>
  <c r="L187" i="3"/>
  <c r="K187" i="3"/>
  <c r="J187" i="3"/>
  <c r="H187" i="3"/>
  <c r="G187" i="3"/>
  <c r="F187" i="3"/>
  <c r="E187" i="3"/>
  <c r="N175" i="3"/>
  <c r="M175" i="3"/>
  <c r="L175" i="3"/>
  <c r="K175" i="3"/>
  <c r="J175" i="3"/>
  <c r="H175" i="3"/>
  <c r="G175" i="3"/>
  <c r="F175" i="3"/>
  <c r="E175" i="3"/>
  <c r="E170" i="3"/>
  <c r="F170" i="3"/>
  <c r="G170" i="3"/>
  <c r="H170" i="3"/>
  <c r="J170" i="3"/>
  <c r="K170" i="3"/>
  <c r="L170" i="3"/>
  <c r="M170" i="3"/>
  <c r="N170" i="3"/>
  <c r="E169" i="3"/>
  <c r="F169" i="3"/>
  <c r="G169" i="3"/>
  <c r="H169" i="3"/>
  <c r="K169" i="3"/>
  <c r="L169" i="3"/>
  <c r="M169" i="3"/>
  <c r="E162" i="3"/>
  <c r="F162" i="3"/>
  <c r="G162" i="3"/>
  <c r="H162" i="3"/>
  <c r="J162" i="3"/>
  <c r="K162" i="3"/>
  <c r="L162" i="3"/>
  <c r="M162" i="3"/>
  <c r="N162" i="3"/>
  <c r="E160" i="3"/>
  <c r="F160" i="3"/>
  <c r="G160" i="3"/>
  <c r="H160" i="3"/>
  <c r="J160" i="3"/>
  <c r="K160" i="3"/>
  <c r="L160" i="3"/>
  <c r="M160" i="3"/>
  <c r="N160" i="3"/>
  <c r="E156" i="3"/>
  <c r="E153" i="3" s="1"/>
  <c r="F156" i="3"/>
  <c r="F153" i="3" s="1"/>
  <c r="G156" i="3"/>
  <c r="G153" i="3" s="1"/>
  <c r="H156" i="3"/>
  <c r="H153" i="3" s="1"/>
  <c r="J156" i="3"/>
  <c r="J153" i="3" s="1"/>
  <c r="K156" i="3"/>
  <c r="K153" i="3" s="1"/>
  <c r="L156" i="3"/>
  <c r="L153" i="3" s="1"/>
  <c r="M156" i="3"/>
  <c r="M153" i="3" s="1"/>
  <c r="N156" i="3"/>
  <c r="N153" i="3" s="1"/>
  <c r="E152" i="3"/>
  <c r="F152" i="3"/>
  <c r="G152" i="3"/>
  <c r="H152" i="3"/>
  <c r="J152" i="3"/>
  <c r="K152" i="3"/>
  <c r="L152" i="3"/>
  <c r="M152" i="3"/>
  <c r="N152" i="3"/>
  <c r="F141" i="3"/>
  <c r="G141" i="3"/>
  <c r="H141" i="3"/>
  <c r="J141" i="3"/>
  <c r="K141" i="3"/>
  <c r="L141" i="3"/>
  <c r="M141" i="3"/>
  <c r="N141" i="3"/>
  <c r="E114" i="3"/>
  <c r="F114" i="3"/>
  <c r="G114" i="3"/>
  <c r="H114" i="3"/>
  <c r="J114" i="3"/>
  <c r="K114" i="3"/>
  <c r="L114" i="3"/>
  <c r="M114" i="3"/>
  <c r="N114" i="3"/>
  <c r="E18" i="3"/>
  <c r="F18" i="3"/>
  <c r="G18" i="3"/>
  <c r="H18" i="3"/>
  <c r="J18" i="3"/>
  <c r="K18" i="3"/>
  <c r="L18" i="3"/>
  <c r="M18" i="3"/>
  <c r="N18" i="3"/>
  <c r="K112" i="1" l="1"/>
  <c r="H15" i="1"/>
  <c r="I15" i="1"/>
  <c r="L15" i="1"/>
  <c r="M15" i="1"/>
  <c r="G15" i="1"/>
  <c r="K15" i="1"/>
  <c r="N15" i="1"/>
  <c r="O15" i="1"/>
  <c r="F115" i="1" l="1"/>
  <c r="F249" i="1" s="1"/>
  <c r="G115" i="1"/>
  <c r="G249" i="1" s="1"/>
  <c r="H115" i="1"/>
  <c r="H249" i="1" s="1"/>
  <c r="I115" i="1"/>
  <c r="I249" i="1" s="1"/>
  <c r="K115" i="1"/>
  <c r="K249" i="1" s="1"/>
  <c r="L115" i="1"/>
  <c r="L249" i="1" s="1"/>
  <c r="M115" i="1"/>
  <c r="M249" i="1" s="1"/>
  <c r="N115" i="1"/>
  <c r="N249" i="1" s="1"/>
  <c r="O115" i="1"/>
  <c r="O249" i="1" s="1"/>
  <c r="M250" i="1" l="1"/>
  <c r="O250" i="1"/>
  <c r="L250" i="1"/>
  <c r="H250" i="1"/>
  <c r="N250" i="1"/>
  <c r="K250" i="1"/>
  <c r="I250" i="1"/>
  <c r="G250" i="1"/>
  <c r="F250" i="1"/>
  <c r="J128" i="1"/>
  <c r="E177" i="3" l="1"/>
  <c r="F177" i="3"/>
  <c r="G177" i="3"/>
  <c r="H177" i="3"/>
  <c r="J177" i="3"/>
  <c r="K177" i="3"/>
  <c r="L177" i="3"/>
  <c r="M177" i="3"/>
  <c r="N177" i="3"/>
  <c r="C234" i="1"/>
  <c r="D234" i="1"/>
  <c r="B234" i="1"/>
  <c r="J234" i="1"/>
  <c r="E234" i="1"/>
  <c r="E106" i="3"/>
  <c r="F106" i="3"/>
  <c r="G106" i="3"/>
  <c r="H106" i="3"/>
  <c r="J106" i="3"/>
  <c r="K106" i="3"/>
  <c r="L106" i="3"/>
  <c r="M106" i="3"/>
  <c r="N106" i="3"/>
  <c r="J132" i="1"/>
  <c r="I106" i="3" s="1"/>
  <c r="E132" i="1"/>
  <c r="D106" i="3" s="1"/>
  <c r="H115" i="3"/>
  <c r="J115" i="3"/>
  <c r="K115" i="3"/>
  <c r="L115" i="3"/>
  <c r="M115" i="3"/>
  <c r="N115" i="3"/>
  <c r="E101" i="3"/>
  <c r="F101" i="3"/>
  <c r="G101" i="3"/>
  <c r="H101" i="3"/>
  <c r="J101" i="3"/>
  <c r="K101" i="3"/>
  <c r="L101" i="3"/>
  <c r="M101" i="3"/>
  <c r="N101" i="3"/>
  <c r="C129" i="1"/>
  <c r="D129" i="1"/>
  <c r="B129" i="1"/>
  <c r="J129" i="1"/>
  <c r="I101" i="3" s="1"/>
  <c r="E129" i="1"/>
  <c r="D101" i="3" s="1"/>
  <c r="P234" i="1" l="1"/>
  <c r="F115" i="3"/>
  <c r="E115" i="3"/>
  <c r="G115" i="3"/>
  <c r="P132" i="1"/>
  <c r="O106" i="3" s="1"/>
  <c r="P129" i="1"/>
  <c r="O101" i="3" s="1"/>
  <c r="F29" i="1"/>
  <c r="F16" i="1"/>
  <c r="F15" i="1" s="1"/>
  <c r="E175" i="1"/>
  <c r="D142" i="3" s="1"/>
  <c r="C175" i="1"/>
  <c r="D175" i="1"/>
  <c r="B175" i="1"/>
  <c r="J175" i="1"/>
  <c r="I142" i="3" s="1"/>
  <c r="P175" i="1" l="1"/>
  <c r="O142" i="3" s="1"/>
  <c r="J26" i="1"/>
  <c r="E118" i="3" l="1"/>
  <c r="E85" i="3" s="1"/>
  <c r="E200" i="3" s="1"/>
  <c r="F272" i="1" s="1"/>
  <c r="F118" i="3"/>
  <c r="F85" i="3" s="1"/>
  <c r="F200" i="3" s="1"/>
  <c r="G272" i="1" s="1"/>
  <c r="G118" i="3"/>
  <c r="G85" i="3" s="1"/>
  <c r="G200" i="3" s="1"/>
  <c r="H272" i="1" s="1"/>
  <c r="H118" i="3"/>
  <c r="H85" i="3" s="1"/>
  <c r="H200" i="3" s="1"/>
  <c r="I272" i="1" s="1"/>
  <c r="J118" i="3"/>
  <c r="J85" i="3" s="1"/>
  <c r="J200" i="3" s="1"/>
  <c r="K272" i="1" s="1"/>
  <c r="K118" i="3"/>
  <c r="K85" i="3" s="1"/>
  <c r="K200" i="3" s="1"/>
  <c r="L272" i="1" s="1"/>
  <c r="L118" i="3"/>
  <c r="L85" i="3" s="1"/>
  <c r="L200" i="3" s="1"/>
  <c r="M272" i="1" s="1"/>
  <c r="M118" i="3"/>
  <c r="M85" i="3" s="1"/>
  <c r="M200" i="3" s="1"/>
  <c r="N272" i="1" s="1"/>
  <c r="N118" i="3"/>
  <c r="N85" i="3" s="1"/>
  <c r="N200" i="3" s="1"/>
  <c r="O272" i="1" s="1"/>
  <c r="J115" i="1"/>
  <c r="J249" i="1" s="1"/>
  <c r="E143" i="1"/>
  <c r="E115" i="1" s="1"/>
  <c r="E249" i="1" s="1"/>
  <c r="L201" i="3" l="1"/>
  <c r="M273" i="1" s="1"/>
  <c r="K201" i="3"/>
  <c r="L273" i="1" s="1"/>
  <c r="F201" i="3"/>
  <c r="G273" i="1" s="1"/>
  <c r="N201" i="3"/>
  <c r="O273" i="1" s="1"/>
  <c r="M201" i="3"/>
  <c r="N273" i="1" s="1"/>
  <c r="J201" i="3"/>
  <c r="K273" i="1" s="1"/>
  <c r="H201" i="3"/>
  <c r="I273" i="1" s="1"/>
  <c r="G201" i="3"/>
  <c r="H273" i="1" s="1"/>
  <c r="E201" i="3"/>
  <c r="F273" i="1" s="1"/>
  <c r="E250" i="1"/>
  <c r="J250" i="1"/>
  <c r="D118" i="3"/>
  <c r="D85" i="3" s="1"/>
  <c r="D200" i="3" s="1"/>
  <c r="E272" i="1" s="1"/>
  <c r="I118" i="3"/>
  <c r="I85" i="3" s="1"/>
  <c r="I200" i="3" s="1"/>
  <c r="J272" i="1" s="1"/>
  <c r="P143" i="1"/>
  <c r="P115" i="1" s="1"/>
  <c r="P249" i="1" s="1"/>
  <c r="I201" i="3" l="1"/>
  <c r="J273" i="1" s="1"/>
  <c r="D201" i="3"/>
  <c r="E273" i="1" s="1"/>
  <c r="P250" i="1"/>
  <c r="O118" i="3"/>
  <c r="O85" i="3" s="1"/>
  <c r="O200" i="3" s="1"/>
  <c r="P272" i="1" s="1"/>
  <c r="O201" i="3" l="1"/>
  <c r="P273" i="1" s="1"/>
  <c r="C186" i="1"/>
  <c r="D186" i="1"/>
  <c r="B186" i="1"/>
  <c r="E163" i="3"/>
  <c r="E159" i="3" s="1"/>
  <c r="F163" i="3"/>
  <c r="F159" i="3" s="1"/>
  <c r="G163" i="3"/>
  <c r="G159" i="3" s="1"/>
  <c r="H163" i="3"/>
  <c r="H159" i="3" s="1"/>
  <c r="J163" i="3"/>
  <c r="J159" i="3" s="1"/>
  <c r="K163" i="3"/>
  <c r="K159" i="3" s="1"/>
  <c r="L163" i="3"/>
  <c r="L159" i="3" s="1"/>
  <c r="M163" i="3"/>
  <c r="M159" i="3" s="1"/>
  <c r="N163" i="3"/>
  <c r="N159" i="3" s="1"/>
  <c r="E185" i="1"/>
  <c r="C185" i="1"/>
  <c r="D185" i="1"/>
  <c r="B185" i="1"/>
  <c r="J186" i="1"/>
  <c r="I163" i="3" s="1"/>
  <c r="E186" i="1"/>
  <c r="J185" i="1"/>
  <c r="J183" i="1"/>
  <c r="I160" i="3" s="1"/>
  <c r="E183" i="1"/>
  <c r="D160" i="3" s="1"/>
  <c r="C183" i="1"/>
  <c r="D183" i="1"/>
  <c r="B183" i="1"/>
  <c r="J176" i="1"/>
  <c r="E176" i="1"/>
  <c r="E143" i="3"/>
  <c r="F143" i="3"/>
  <c r="G143" i="3"/>
  <c r="H143" i="3"/>
  <c r="J143" i="3"/>
  <c r="K143" i="3"/>
  <c r="L143" i="3"/>
  <c r="M143" i="3"/>
  <c r="N143" i="3"/>
  <c r="C176" i="1"/>
  <c r="B176" i="1"/>
  <c r="E136" i="3"/>
  <c r="F136" i="3"/>
  <c r="G136" i="3"/>
  <c r="H136" i="3"/>
  <c r="J136" i="3"/>
  <c r="K136" i="3"/>
  <c r="L136" i="3"/>
  <c r="M136" i="3"/>
  <c r="N136" i="3"/>
  <c r="J170" i="1"/>
  <c r="I136" i="3" s="1"/>
  <c r="E170" i="1"/>
  <c r="C170" i="1"/>
  <c r="D170" i="1"/>
  <c r="B170" i="1"/>
  <c r="E131" i="1"/>
  <c r="E130" i="1"/>
  <c r="P130" i="1" s="1"/>
  <c r="O104" i="3" s="1"/>
  <c r="C130" i="1"/>
  <c r="D130" i="1"/>
  <c r="B130" i="1"/>
  <c r="E104" i="3"/>
  <c r="F104" i="3"/>
  <c r="G104" i="3"/>
  <c r="H104" i="3"/>
  <c r="I104" i="3"/>
  <c r="J104" i="3"/>
  <c r="K104" i="3"/>
  <c r="L104" i="3"/>
  <c r="M104" i="3"/>
  <c r="N104" i="3"/>
  <c r="I143" i="3" l="1"/>
  <c r="D162" i="3"/>
  <c r="I162" i="3"/>
  <c r="I159" i="3" s="1"/>
  <c r="P186" i="1"/>
  <c r="O163" i="3" s="1"/>
  <c r="P183" i="1"/>
  <c r="O160" i="3" s="1"/>
  <c r="P185" i="1"/>
  <c r="P170" i="1"/>
  <c r="O136" i="3" s="1"/>
  <c r="D136" i="3"/>
  <c r="P176" i="1"/>
  <c r="O143" i="3" s="1"/>
  <c r="D163" i="3"/>
  <c r="D143" i="3"/>
  <c r="D104" i="3"/>
  <c r="D159" i="3" l="1"/>
  <c r="O162" i="3"/>
  <c r="O159" i="3" s="1"/>
  <c r="D121" i="1"/>
  <c r="D128" i="1"/>
  <c r="D141" i="1"/>
  <c r="D218" i="1"/>
  <c r="D199" i="1"/>
  <c r="D166" i="1"/>
  <c r="D154" i="1"/>
  <c r="D148" i="1"/>
  <c r="D118" i="1"/>
  <c r="D103" i="1"/>
  <c r="D55" i="1"/>
  <c r="D18" i="1"/>
  <c r="H17" i="3" l="1"/>
  <c r="K17" i="3"/>
  <c r="L17" i="3"/>
  <c r="M17" i="3"/>
  <c r="F33" i="3"/>
  <c r="H33" i="3"/>
  <c r="J33" i="3"/>
  <c r="K33" i="3"/>
  <c r="L33" i="3"/>
  <c r="M33" i="3"/>
  <c r="N33" i="3"/>
  <c r="F116" i="3"/>
  <c r="G116" i="3"/>
  <c r="H116" i="3"/>
  <c r="J116" i="3"/>
  <c r="K116" i="3"/>
  <c r="L116" i="3"/>
  <c r="M116" i="3"/>
  <c r="N116" i="3"/>
  <c r="F124" i="3"/>
  <c r="G124" i="3"/>
  <c r="H124" i="3"/>
  <c r="J124" i="3"/>
  <c r="K124" i="3"/>
  <c r="L124" i="3"/>
  <c r="M124" i="3"/>
  <c r="N124" i="3"/>
  <c r="G122" i="3"/>
  <c r="H122" i="3"/>
  <c r="K122" i="3"/>
  <c r="L122" i="3"/>
  <c r="M122" i="3"/>
  <c r="F165" i="3"/>
  <c r="G165" i="3"/>
  <c r="H165" i="3"/>
  <c r="K165" i="3"/>
  <c r="L165" i="3"/>
  <c r="M165" i="3"/>
  <c r="E173" i="3"/>
  <c r="F173" i="3"/>
  <c r="G173" i="3"/>
  <c r="H173" i="3"/>
  <c r="J173" i="3"/>
  <c r="K173" i="3"/>
  <c r="L173" i="3"/>
  <c r="M173" i="3"/>
  <c r="N173" i="3"/>
  <c r="E174" i="3"/>
  <c r="F174" i="3"/>
  <c r="G174" i="3"/>
  <c r="H174" i="3"/>
  <c r="J174" i="3"/>
  <c r="K174" i="3"/>
  <c r="L174" i="3"/>
  <c r="M174" i="3"/>
  <c r="N174" i="3"/>
  <c r="E171" i="3"/>
  <c r="F171" i="3"/>
  <c r="G171" i="3"/>
  <c r="H171" i="3"/>
  <c r="J171" i="3"/>
  <c r="K171" i="3"/>
  <c r="L171" i="3"/>
  <c r="M171" i="3"/>
  <c r="N171" i="3"/>
  <c r="F178" i="3"/>
  <c r="G178" i="3"/>
  <c r="H178" i="3"/>
  <c r="J178" i="3"/>
  <c r="K178" i="3"/>
  <c r="L178" i="3"/>
  <c r="M178" i="3"/>
  <c r="N178" i="3"/>
  <c r="F198" i="3"/>
  <c r="G198" i="3"/>
  <c r="H198" i="3"/>
  <c r="K198" i="3"/>
  <c r="L198" i="3"/>
  <c r="M198" i="3"/>
  <c r="C210" i="1" l="1"/>
  <c r="D210" i="1"/>
  <c r="B210" i="1"/>
  <c r="E140" i="3"/>
  <c r="F140" i="3"/>
  <c r="G140" i="3"/>
  <c r="H140" i="3"/>
  <c r="J140" i="3"/>
  <c r="K140" i="3"/>
  <c r="L140" i="3"/>
  <c r="M140" i="3"/>
  <c r="N140" i="3"/>
  <c r="D221" i="1"/>
  <c r="D225" i="1"/>
  <c r="D229" i="1"/>
  <c r="D238" i="1"/>
  <c r="C42" i="1" l="1"/>
  <c r="D42" i="1"/>
  <c r="B42" i="1"/>
  <c r="F196" i="3" l="1"/>
  <c r="F195" i="3" s="1"/>
  <c r="G196" i="3"/>
  <c r="G195" i="3" s="1"/>
  <c r="H196" i="3"/>
  <c r="H195" i="3" s="1"/>
  <c r="K196" i="3"/>
  <c r="K195" i="3" s="1"/>
  <c r="L196" i="3"/>
  <c r="L195" i="3" s="1"/>
  <c r="M196" i="3"/>
  <c r="M195" i="3" s="1"/>
  <c r="J244" i="1"/>
  <c r="E196" i="3" l="1"/>
  <c r="E198" i="3" l="1"/>
  <c r="E195" i="3" s="1"/>
  <c r="N198" i="3" l="1"/>
  <c r="J198" i="3"/>
  <c r="G33" i="3" l="1"/>
  <c r="E33" i="3"/>
  <c r="J165" i="3"/>
  <c r="E165" i="3"/>
  <c r="N165" i="3" l="1"/>
  <c r="E116" i="3" l="1"/>
  <c r="N196" i="3" l="1"/>
  <c r="N195" i="3" s="1"/>
  <c r="J196" i="3"/>
  <c r="J195" i="3" s="1"/>
  <c r="F17" i="3" l="1"/>
  <c r="E17" i="3"/>
  <c r="G17" i="3" l="1"/>
  <c r="J122" i="3" l="1"/>
  <c r="N122" i="3"/>
  <c r="E128" i="1" l="1"/>
  <c r="J155" i="1" l="1"/>
  <c r="J247" i="1" l="1"/>
  <c r="E122" i="3" l="1"/>
  <c r="E221" i="1" l="1"/>
  <c r="E18" i="1"/>
  <c r="J156" i="1" l="1"/>
  <c r="E124" i="3" l="1"/>
  <c r="E178" i="3"/>
  <c r="F122" i="3" l="1"/>
  <c r="J32" i="1" l="1"/>
  <c r="I165" i="3" s="1"/>
  <c r="I152" i="1" l="1"/>
  <c r="E138" i="3" l="1"/>
  <c r="F138" i="3"/>
  <c r="G138" i="3"/>
  <c r="H138" i="3"/>
  <c r="J138" i="3"/>
  <c r="K138" i="3"/>
  <c r="L138" i="3"/>
  <c r="M138" i="3"/>
  <c r="N138" i="3"/>
  <c r="I161" i="1"/>
  <c r="G161" i="1"/>
  <c r="H161" i="1"/>
  <c r="F161" i="1" l="1"/>
  <c r="E172" i="1" l="1"/>
  <c r="E240" i="1" l="1"/>
  <c r="E247" i="1"/>
  <c r="P247" i="1" l="1"/>
  <c r="E246" i="1"/>
  <c r="E245" i="1" s="1"/>
  <c r="F246" i="1"/>
  <c r="F245" i="1" s="1"/>
  <c r="G246" i="1"/>
  <c r="G245" i="1" s="1"/>
  <c r="H246" i="1"/>
  <c r="H245" i="1" s="1"/>
  <c r="I246" i="1"/>
  <c r="I245" i="1" s="1"/>
  <c r="J246" i="1"/>
  <c r="J245" i="1" s="1"/>
  <c r="K246" i="1"/>
  <c r="K245" i="1" s="1"/>
  <c r="L246" i="1"/>
  <c r="L245" i="1" s="1"/>
  <c r="M246" i="1"/>
  <c r="M245" i="1" s="1"/>
  <c r="N246" i="1"/>
  <c r="N245" i="1" s="1"/>
  <c r="O246" i="1"/>
  <c r="O245" i="1" s="1"/>
  <c r="P245" i="1" l="1"/>
  <c r="P246" i="1"/>
  <c r="E56" i="1" l="1"/>
  <c r="E57" i="1"/>
  <c r="E58" i="1"/>
  <c r="D33" i="3" s="1"/>
  <c r="E59" i="1"/>
  <c r="E67" i="1"/>
  <c r="E68" i="1"/>
  <c r="E73" i="1"/>
  <c r="E74" i="1"/>
  <c r="E75" i="1"/>
  <c r="E78" i="1"/>
  <c r="E96" i="1"/>
  <c r="E97" i="1"/>
  <c r="E98" i="1"/>
  <c r="E99" i="1"/>
  <c r="E100" i="1"/>
  <c r="E55" i="1"/>
  <c r="E44" i="1" l="1"/>
  <c r="E154" i="1"/>
  <c r="E155" i="1"/>
  <c r="E156" i="1"/>
  <c r="E157" i="1"/>
  <c r="D122" i="3" s="1"/>
  <c r="E158" i="1"/>
  <c r="E159" i="1"/>
  <c r="D124" i="3" s="1"/>
  <c r="J98" i="1" l="1"/>
  <c r="E210" i="1" l="1"/>
  <c r="D140" i="3" s="1"/>
  <c r="J96" i="1" l="1"/>
  <c r="E188" i="3" l="1"/>
  <c r="F188" i="3"/>
  <c r="H188" i="3"/>
  <c r="J188" i="3"/>
  <c r="K188" i="3"/>
  <c r="L188" i="3"/>
  <c r="M188" i="3"/>
  <c r="N188" i="3"/>
  <c r="J99" i="1"/>
  <c r="P99" i="1" l="1"/>
  <c r="J188" i="1"/>
  <c r="I175" i="3" s="1"/>
  <c r="J180" i="1"/>
  <c r="I155" i="3" s="1"/>
  <c r="F190" i="3" l="1"/>
  <c r="G190" i="3"/>
  <c r="H190" i="3"/>
  <c r="J190" i="3"/>
  <c r="K190" i="3"/>
  <c r="L190" i="3"/>
  <c r="M190" i="3"/>
  <c r="N190" i="3"/>
  <c r="E188" i="1"/>
  <c r="D175" i="3" s="1"/>
  <c r="P188" i="1" l="1"/>
  <c r="O175" i="3" s="1"/>
  <c r="E42" i="1"/>
  <c r="D198" i="3" s="1"/>
  <c r="E191" i="1"/>
  <c r="J190" i="1" l="1"/>
  <c r="J191" i="1"/>
  <c r="E192" i="1"/>
  <c r="G188" i="3"/>
  <c r="P191" i="1" l="1"/>
  <c r="C222" i="1"/>
  <c r="D222" i="1"/>
  <c r="B222" i="1"/>
  <c r="C221" i="1"/>
  <c r="B221" i="1"/>
  <c r="O222" i="1"/>
  <c r="N169" i="3" s="1"/>
  <c r="K222" i="1"/>
  <c r="J169" i="3" s="1"/>
  <c r="E222" i="1"/>
  <c r="O221" i="1"/>
  <c r="K221" i="1"/>
  <c r="N219" i="1"/>
  <c r="M219" i="1"/>
  <c r="L219" i="1"/>
  <c r="I219" i="1"/>
  <c r="H219" i="1"/>
  <c r="G219" i="1"/>
  <c r="F219" i="1"/>
  <c r="O220" i="1" l="1"/>
  <c r="O219" i="1" s="1"/>
  <c r="K220" i="1"/>
  <c r="K219" i="1" s="1"/>
  <c r="D169" i="3"/>
  <c r="E220" i="1"/>
  <c r="E219" i="1" s="1"/>
  <c r="J221" i="1"/>
  <c r="J222" i="1"/>
  <c r="I169" i="3" s="1"/>
  <c r="J220" i="1" l="1"/>
  <c r="J219" i="1" s="1"/>
  <c r="P221" i="1"/>
  <c r="P222" i="1"/>
  <c r="O169" i="3" s="1"/>
  <c r="E104" i="1"/>
  <c r="P220" i="1" l="1"/>
  <c r="P219" i="1" s="1"/>
  <c r="E190" i="3" l="1"/>
  <c r="D104" i="1" l="1"/>
  <c r="D57" i="1"/>
  <c r="J192" i="1" l="1"/>
  <c r="E238" i="1" l="1"/>
  <c r="C232" i="1" l="1"/>
  <c r="D232" i="1"/>
  <c r="C233" i="1"/>
  <c r="D233" i="1"/>
  <c r="C235" i="1"/>
  <c r="D235" i="1"/>
  <c r="B235" i="1"/>
  <c r="B233" i="1"/>
  <c r="B232" i="1"/>
  <c r="C231" i="1"/>
  <c r="D231" i="1"/>
  <c r="B231" i="1"/>
  <c r="C230" i="1"/>
  <c r="D230" i="1"/>
  <c r="B230" i="1"/>
  <c r="F227" i="1"/>
  <c r="G227" i="1"/>
  <c r="H227" i="1"/>
  <c r="I227" i="1"/>
  <c r="L227" i="1"/>
  <c r="M227" i="1"/>
  <c r="N227" i="1"/>
  <c r="E235" i="1"/>
  <c r="J233" i="1"/>
  <c r="I174" i="3" s="1"/>
  <c r="E233" i="1"/>
  <c r="D174" i="3" s="1"/>
  <c r="J232" i="1"/>
  <c r="I173" i="3" s="1"/>
  <c r="E232" i="1"/>
  <c r="D173" i="3" s="1"/>
  <c r="E231" i="1"/>
  <c r="D156" i="3" s="1"/>
  <c r="J230" i="1"/>
  <c r="I152" i="3" s="1"/>
  <c r="E230" i="1"/>
  <c r="D152" i="3" s="1"/>
  <c r="C226" i="1"/>
  <c r="B226" i="1"/>
  <c r="C229" i="1"/>
  <c r="B229" i="1"/>
  <c r="C225" i="1"/>
  <c r="B225" i="1"/>
  <c r="D226" i="1"/>
  <c r="E229" i="1"/>
  <c r="J226" i="1"/>
  <c r="E226" i="1"/>
  <c r="J225" i="1"/>
  <c r="E225" i="1"/>
  <c r="O223" i="1"/>
  <c r="N223" i="1"/>
  <c r="M223" i="1"/>
  <c r="L223" i="1"/>
  <c r="K223" i="1"/>
  <c r="I223" i="1"/>
  <c r="H223" i="1"/>
  <c r="G223" i="1"/>
  <c r="F223" i="1"/>
  <c r="E228" i="1" l="1"/>
  <c r="E227" i="1" s="1"/>
  <c r="E224" i="1"/>
  <c r="E223" i="1" s="1"/>
  <c r="J224" i="1"/>
  <c r="J223" i="1" s="1"/>
  <c r="O227" i="1"/>
  <c r="K227" i="1"/>
  <c r="J229" i="1"/>
  <c r="J231" i="1"/>
  <c r="I156" i="3" s="1"/>
  <c r="I153" i="3" s="1"/>
  <c r="J235" i="1"/>
  <c r="P230" i="1"/>
  <c r="O152" i="3" s="1"/>
  <c r="P232" i="1"/>
  <c r="O173" i="3" s="1"/>
  <c r="P233" i="1"/>
  <c r="O174" i="3" s="1"/>
  <c r="P226" i="1"/>
  <c r="P225" i="1"/>
  <c r="P224" i="1" l="1"/>
  <c r="P223" i="1" s="1"/>
  <c r="J228" i="1"/>
  <c r="J227" i="1" s="1"/>
  <c r="P235" i="1"/>
  <c r="P229" i="1"/>
  <c r="P231" i="1"/>
  <c r="O156" i="3" s="1"/>
  <c r="P228" i="1" l="1"/>
  <c r="P227" i="1" s="1"/>
  <c r="J171" i="1" l="1"/>
  <c r="K161" i="1" l="1"/>
  <c r="L161" i="1"/>
  <c r="M161" i="1"/>
  <c r="O161" i="1"/>
  <c r="J174" i="1"/>
  <c r="I141" i="3" s="1"/>
  <c r="H112" i="1" l="1"/>
  <c r="I112" i="1"/>
  <c r="L112" i="1"/>
  <c r="M112" i="1"/>
  <c r="N112" i="1"/>
  <c r="C40" i="1" l="1"/>
  <c r="D40" i="1"/>
  <c r="B40" i="1"/>
  <c r="J40" i="1"/>
  <c r="E40" i="1"/>
  <c r="I188" i="3" l="1"/>
  <c r="D188" i="3"/>
  <c r="P40" i="1"/>
  <c r="O188" i="3" s="1"/>
  <c r="I194" i="1" l="1"/>
  <c r="G112" i="1" l="1"/>
  <c r="F112" i="1" l="1"/>
  <c r="E44" i="3" l="1"/>
  <c r="F44" i="3"/>
  <c r="G44" i="3"/>
  <c r="H44" i="3"/>
  <c r="J44" i="3"/>
  <c r="K44" i="3"/>
  <c r="L44" i="3"/>
  <c r="M44" i="3"/>
  <c r="N44" i="3"/>
  <c r="D44" i="3"/>
  <c r="I44" i="3" l="1"/>
  <c r="P68" i="1"/>
  <c r="O44" i="3" l="1"/>
  <c r="D136" i="1" l="1"/>
  <c r="D213" i="1"/>
  <c r="D106" i="1"/>
  <c r="D105" i="1"/>
  <c r="D56" i="1"/>
  <c r="D32" i="1"/>
  <c r="D30" i="1"/>
  <c r="D29" i="1"/>
  <c r="D28" i="1"/>
  <c r="D27" i="1"/>
  <c r="D26" i="1"/>
  <c r="E23" i="1" l="1"/>
  <c r="E191" i="3" l="1"/>
  <c r="E189" i="3" s="1"/>
  <c r="F191" i="3"/>
  <c r="F189" i="3" s="1"/>
  <c r="G191" i="3"/>
  <c r="G189" i="3" s="1"/>
  <c r="H191" i="3"/>
  <c r="H189" i="3" s="1"/>
  <c r="J191" i="3"/>
  <c r="J189" i="3" s="1"/>
  <c r="K191" i="3"/>
  <c r="K189" i="3" s="1"/>
  <c r="L191" i="3"/>
  <c r="L189" i="3" s="1"/>
  <c r="M191" i="3"/>
  <c r="M189" i="3" s="1"/>
  <c r="N191" i="3"/>
  <c r="N189" i="3" s="1"/>
  <c r="E103" i="3" l="1"/>
  <c r="F103" i="3"/>
  <c r="G103" i="3"/>
  <c r="H103" i="3"/>
  <c r="J103" i="3"/>
  <c r="K103" i="3"/>
  <c r="L103" i="3"/>
  <c r="M103" i="3"/>
  <c r="N103" i="3"/>
  <c r="D103" i="3"/>
  <c r="J23" i="1"/>
  <c r="I103" i="3" l="1"/>
  <c r="P23" i="1"/>
  <c r="O103" i="3" l="1"/>
  <c r="O112" i="1" l="1"/>
  <c r="N34" i="3"/>
  <c r="M34" i="3"/>
  <c r="L34" i="3"/>
  <c r="K34" i="3"/>
  <c r="J34" i="3"/>
  <c r="H34" i="3"/>
  <c r="G34" i="3"/>
  <c r="F34" i="3"/>
  <c r="E34" i="3"/>
  <c r="J59" i="1"/>
  <c r="I34" i="3" l="1"/>
  <c r="P59" i="1"/>
  <c r="D34" i="3"/>
  <c r="O34" i="3" l="1"/>
  <c r="M16" i="3" l="1"/>
  <c r="L16" i="3"/>
  <c r="K16" i="3"/>
  <c r="H16" i="3"/>
  <c r="G16" i="3"/>
  <c r="F16" i="3"/>
  <c r="E16" i="3"/>
  <c r="J167" i="1"/>
  <c r="E167" i="1"/>
  <c r="O149" i="1"/>
  <c r="K149" i="1"/>
  <c r="O148" i="1"/>
  <c r="O147" i="1" s="1"/>
  <c r="K148" i="1"/>
  <c r="K147" i="1" l="1"/>
  <c r="N17" i="3"/>
  <c r="N16" i="3" s="1"/>
  <c r="J17" i="3"/>
  <c r="J16" i="3" s="1"/>
  <c r="P167" i="1"/>
  <c r="N43" i="3" l="1"/>
  <c r="M43" i="3"/>
  <c r="L43" i="3"/>
  <c r="K43" i="3"/>
  <c r="J43" i="3"/>
  <c r="H43" i="3"/>
  <c r="G43" i="3"/>
  <c r="F43" i="3"/>
  <c r="E43" i="3"/>
  <c r="I43" i="3" l="1"/>
  <c r="D43" i="3"/>
  <c r="P155" i="1"/>
  <c r="O43" i="3" l="1"/>
  <c r="N128" i="3"/>
  <c r="M128" i="3"/>
  <c r="L128" i="3"/>
  <c r="K128" i="3"/>
  <c r="J128" i="3"/>
  <c r="H128" i="3"/>
  <c r="G128" i="3"/>
  <c r="F128" i="3"/>
  <c r="E128" i="3"/>
  <c r="N54" i="3"/>
  <c r="M54" i="3"/>
  <c r="L54" i="3"/>
  <c r="K54" i="3"/>
  <c r="J54" i="3"/>
  <c r="H54" i="3"/>
  <c r="G54" i="3"/>
  <c r="F54" i="3"/>
  <c r="E54" i="3"/>
  <c r="N51" i="3"/>
  <c r="M51" i="3"/>
  <c r="L51" i="3"/>
  <c r="K51" i="3"/>
  <c r="J51" i="3"/>
  <c r="H51" i="3"/>
  <c r="G51" i="3"/>
  <c r="F51" i="3"/>
  <c r="E51" i="3"/>
  <c r="N50" i="3"/>
  <c r="M50" i="3"/>
  <c r="L50" i="3"/>
  <c r="K50" i="3"/>
  <c r="J50" i="3"/>
  <c r="H50" i="3"/>
  <c r="G50" i="3"/>
  <c r="F50" i="3"/>
  <c r="E50" i="3"/>
  <c r="N42" i="3"/>
  <c r="M42" i="3"/>
  <c r="L42" i="3"/>
  <c r="K42" i="3"/>
  <c r="J42" i="3"/>
  <c r="H42" i="3"/>
  <c r="G42" i="3"/>
  <c r="F42" i="3"/>
  <c r="E42" i="3"/>
  <c r="M19" i="3" l="1"/>
  <c r="N19" i="3"/>
  <c r="F19" i="3"/>
  <c r="E19" i="3"/>
  <c r="G19" i="3"/>
  <c r="H19" i="3"/>
  <c r="K19" i="3"/>
  <c r="J19" i="3"/>
  <c r="L19" i="3"/>
  <c r="J100" i="1"/>
  <c r="J97" i="1"/>
  <c r="N260" i="1" l="1"/>
  <c r="M260" i="1"/>
  <c r="L260" i="1"/>
  <c r="I260" i="1"/>
  <c r="O260" i="1"/>
  <c r="K260" i="1"/>
  <c r="P97" i="1"/>
  <c r="P98" i="1"/>
  <c r="P100" i="1"/>
  <c r="P96" i="1"/>
  <c r="D157" i="1" l="1"/>
  <c r="I261" i="1" l="1"/>
  <c r="K261" i="1"/>
  <c r="L261" i="1"/>
  <c r="M261" i="1"/>
  <c r="N261" i="1"/>
  <c r="O261" i="1"/>
  <c r="J19" i="1"/>
  <c r="I18" i="3" s="1"/>
  <c r="E214" i="1" l="1"/>
  <c r="D171" i="3" s="1"/>
  <c r="J74" i="1" l="1"/>
  <c r="D50" i="3" l="1"/>
  <c r="I50" i="3"/>
  <c r="P74" i="1"/>
  <c r="O50" i="3" l="1"/>
  <c r="M164" i="3"/>
  <c r="L164" i="3"/>
  <c r="K164" i="3"/>
  <c r="H164" i="3"/>
  <c r="G164" i="3"/>
  <c r="F164" i="3"/>
  <c r="N164" i="3" l="1"/>
  <c r="J164" i="3"/>
  <c r="N167" i="3" l="1"/>
  <c r="N149" i="3" s="1"/>
  <c r="M167" i="3"/>
  <c r="M149" i="3" s="1"/>
  <c r="L167" i="3"/>
  <c r="L149" i="3" s="1"/>
  <c r="K167" i="3"/>
  <c r="K149" i="3" s="1"/>
  <c r="J167" i="3"/>
  <c r="J149" i="3" s="1"/>
  <c r="H167" i="3"/>
  <c r="H149" i="3" s="1"/>
  <c r="G167" i="3"/>
  <c r="G149" i="3" s="1"/>
  <c r="F167" i="3"/>
  <c r="F149" i="3" s="1"/>
  <c r="E167" i="3"/>
  <c r="E149" i="3" s="1"/>
  <c r="G204" i="3" l="1"/>
  <c r="F204" i="3"/>
  <c r="K204" i="3"/>
  <c r="L276" i="1" s="1"/>
  <c r="E204" i="3"/>
  <c r="H204" i="3"/>
  <c r="I276" i="1" s="1"/>
  <c r="J204" i="3"/>
  <c r="K276" i="1" s="1"/>
  <c r="L204" i="3"/>
  <c r="M204" i="3"/>
  <c r="N204" i="3"/>
  <c r="O197" i="1"/>
  <c r="O253" i="1" s="1"/>
  <c r="N197" i="1"/>
  <c r="N253" i="1" s="1"/>
  <c r="M197" i="1"/>
  <c r="M253" i="1" s="1"/>
  <c r="L197" i="1"/>
  <c r="L253" i="1" s="1"/>
  <c r="K197" i="1"/>
  <c r="K253" i="1" s="1"/>
  <c r="I197" i="1"/>
  <c r="I253" i="1" s="1"/>
  <c r="H197" i="1"/>
  <c r="H253" i="1" s="1"/>
  <c r="G197" i="1"/>
  <c r="G253" i="1" s="1"/>
  <c r="F197" i="1"/>
  <c r="F253" i="1" s="1"/>
  <c r="E197" i="1"/>
  <c r="E253" i="1" s="1"/>
  <c r="N276" i="1" l="1"/>
  <c r="O276" i="1"/>
  <c r="F276" i="1"/>
  <c r="G276" i="1"/>
  <c r="M276" i="1"/>
  <c r="H276" i="1"/>
  <c r="N263" i="1"/>
  <c r="O263" i="1"/>
  <c r="I263" i="1"/>
  <c r="K263" i="1"/>
  <c r="L263" i="1"/>
  <c r="M263" i="1"/>
  <c r="E164" i="3" l="1"/>
  <c r="D167" i="3" l="1"/>
  <c r="D149" i="3" s="1"/>
  <c r="J214" i="1"/>
  <c r="I171" i="3" s="1"/>
  <c r="D204" i="3" l="1"/>
  <c r="E276" i="1" s="1"/>
  <c r="J197" i="1"/>
  <c r="J253" i="1" s="1"/>
  <c r="I167" i="3"/>
  <c r="I149" i="3" s="1"/>
  <c r="P214" i="1"/>
  <c r="I204" i="3" l="1"/>
  <c r="J276" i="1" s="1"/>
  <c r="P197" i="1"/>
  <c r="P253" i="1" s="1"/>
  <c r="O171" i="3"/>
  <c r="O167" i="3" s="1"/>
  <c r="O149" i="3" s="1"/>
  <c r="O204" i="3" l="1"/>
  <c r="P276" i="1" s="1"/>
  <c r="J263" i="1"/>
  <c r="E263" i="1"/>
  <c r="P263" i="1" l="1"/>
  <c r="J73" i="1" l="1"/>
  <c r="J58" i="1"/>
  <c r="I33" i="3" s="1"/>
  <c r="P73" i="1" l="1"/>
  <c r="E261" i="1" l="1"/>
  <c r="E260" i="1"/>
  <c r="J261" i="1"/>
  <c r="J260" i="1"/>
  <c r="P58" i="1"/>
  <c r="O33" i="3" s="1"/>
  <c r="P261" i="1" l="1"/>
  <c r="P260" i="1"/>
  <c r="I262" i="1" l="1"/>
  <c r="K262" i="1"/>
  <c r="L262" i="1"/>
  <c r="O262" i="1"/>
  <c r="N262" i="1"/>
  <c r="M262" i="1"/>
  <c r="E262" i="1" l="1"/>
  <c r="J262" i="1"/>
  <c r="E109" i="1"/>
  <c r="J42" i="1"/>
  <c r="I198" i="3" s="1"/>
  <c r="P262" i="1" l="1"/>
  <c r="P42" i="1"/>
  <c r="O198" i="3" s="1"/>
  <c r="E183" i="3" l="1"/>
  <c r="F183" i="3"/>
  <c r="G183" i="3"/>
  <c r="H183" i="3"/>
  <c r="J183" i="3"/>
  <c r="K183" i="3"/>
  <c r="L183" i="3"/>
  <c r="M183" i="3"/>
  <c r="N183" i="3"/>
  <c r="E190" i="1"/>
  <c r="C190" i="1"/>
  <c r="D190" i="1"/>
  <c r="B190" i="1"/>
  <c r="P190" i="1" l="1"/>
  <c r="E186" i="3" l="1"/>
  <c r="F186" i="3"/>
  <c r="G186" i="3"/>
  <c r="H186" i="3"/>
  <c r="J186" i="3"/>
  <c r="K186" i="3"/>
  <c r="L186" i="3"/>
  <c r="M186" i="3"/>
  <c r="N186" i="3"/>
  <c r="D120" i="1" l="1"/>
  <c r="G101" i="1" l="1"/>
  <c r="H101" i="1"/>
  <c r="I101" i="1"/>
  <c r="L101" i="1"/>
  <c r="M101" i="1"/>
  <c r="N101" i="1"/>
  <c r="F101" i="1" l="1"/>
  <c r="D193" i="1" l="1"/>
  <c r="O101" i="1" l="1"/>
  <c r="K101" i="1"/>
  <c r="J160" i="1"/>
  <c r="E160" i="1"/>
  <c r="E153" i="1" s="1"/>
  <c r="C160" i="1"/>
  <c r="D160" i="1"/>
  <c r="B160" i="1"/>
  <c r="P160" i="1" l="1"/>
  <c r="E77" i="3"/>
  <c r="F77" i="3"/>
  <c r="G77" i="3"/>
  <c r="H77" i="3"/>
  <c r="J77" i="3"/>
  <c r="K77" i="3"/>
  <c r="L77" i="3"/>
  <c r="M77" i="3"/>
  <c r="N77" i="3"/>
  <c r="E78" i="3"/>
  <c r="F78" i="3"/>
  <c r="G78" i="3"/>
  <c r="H78" i="3"/>
  <c r="J78" i="3"/>
  <c r="K78" i="3"/>
  <c r="L78" i="3"/>
  <c r="M78" i="3"/>
  <c r="N78" i="3"/>
  <c r="E79" i="3"/>
  <c r="F79" i="3"/>
  <c r="G79" i="3"/>
  <c r="H79" i="3"/>
  <c r="J79" i="3"/>
  <c r="K79" i="3"/>
  <c r="L79" i="3"/>
  <c r="M79" i="3"/>
  <c r="N79" i="3"/>
  <c r="E80" i="3"/>
  <c r="F80" i="3"/>
  <c r="G80" i="3"/>
  <c r="H80" i="3"/>
  <c r="J80" i="3"/>
  <c r="K80" i="3"/>
  <c r="L80" i="3"/>
  <c r="M80" i="3"/>
  <c r="N80" i="3"/>
  <c r="E81" i="3"/>
  <c r="F81" i="3"/>
  <c r="G81" i="3"/>
  <c r="H81" i="3"/>
  <c r="J81" i="3"/>
  <c r="K81" i="3"/>
  <c r="L81" i="3"/>
  <c r="M81" i="3"/>
  <c r="N81" i="3"/>
  <c r="E88" i="3"/>
  <c r="F88" i="3"/>
  <c r="G88" i="3"/>
  <c r="H88" i="3"/>
  <c r="K88" i="3"/>
  <c r="L88" i="3"/>
  <c r="M88" i="3"/>
  <c r="E89" i="3"/>
  <c r="F89" i="3"/>
  <c r="G89" i="3"/>
  <c r="H89" i="3"/>
  <c r="J89" i="3"/>
  <c r="K89" i="3"/>
  <c r="L89" i="3"/>
  <c r="M89" i="3"/>
  <c r="N89" i="3"/>
  <c r="E90" i="3"/>
  <c r="F90" i="3"/>
  <c r="G90" i="3"/>
  <c r="H90" i="3"/>
  <c r="J90" i="3"/>
  <c r="K90" i="3"/>
  <c r="L90" i="3"/>
  <c r="M90" i="3"/>
  <c r="N90" i="3"/>
  <c r="E91" i="3"/>
  <c r="F91" i="3"/>
  <c r="G91" i="3"/>
  <c r="H91" i="3"/>
  <c r="J91" i="3"/>
  <c r="K91" i="3"/>
  <c r="L91" i="3"/>
  <c r="M91" i="3"/>
  <c r="N91" i="3"/>
  <c r="E92" i="3"/>
  <c r="F92" i="3"/>
  <c r="G92" i="3"/>
  <c r="H92" i="3"/>
  <c r="J92" i="3"/>
  <c r="K92" i="3"/>
  <c r="L92" i="3"/>
  <c r="M92" i="3"/>
  <c r="N92" i="3"/>
  <c r="E97" i="3"/>
  <c r="F97" i="3"/>
  <c r="G97" i="3"/>
  <c r="H97" i="3"/>
  <c r="J97" i="3"/>
  <c r="K97" i="3"/>
  <c r="L97" i="3"/>
  <c r="M97" i="3"/>
  <c r="N97" i="3"/>
  <c r="E98" i="3"/>
  <c r="F98" i="3"/>
  <c r="G98" i="3"/>
  <c r="H98" i="3"/>
  <c r="J98" i="3"/>
  <c r="K98" i="3"/>
  <c r="L98" i="3"/>
  <c r="M98" i="3"/>
  <c r="N98" i="3"/>
  <c r="E99" i="3"/>
  <c r="F99" i="3"/>
  <c r="G99" i="3"/>
  <c r="H99" i="3"/>
  <c r="J99" i="3"/>
  <c r="K99" i="3"/>
  <c r="L99" i="3"/>
  <c r="M99" i="3"/>
  <c r="N99" i="3"/>
  <c r="E102" i="3"/>
  <c r="F102" i="3"/>
  <c r="G102" i="3"/>
  <c r="H102" i="3"/>
  <c r="J102" i="3"/>
  <c r="K102" i="3"/>
  <c r="L102" i="3"/>
  <c r="M102" i="3"/>
  <c r="N102" i="3"/>
  <c r="E105" i="3"/>
  <c r="F105" i="3"/>
  <c r="G105" i="3"/>
  <c r="H105" i="3"/>
  <c r="J105" i="3"/>
  <c r="K105" i="3"/>
  <c r="L105" i="3"/>
  <c r="M105" i="3"/>
  <c r="N105" i="3"/>
  <c r="E109" i="3"/>
  <c r="F109" i="3"/>
  <c r="G109" i="3"/>
  <c r="H109" i="3"/>
  <c r="J109" i="3"/>
  <c r="K109" i="3"/>
  <c r="L109" i="3"/>
  <c r="M109" i="3"/>
  <c r="N109" i="3"/>
  <c r="E110" i="3"/>
  <c r="F110" i="3"/>
  <c r="G110" i="3"/>
  <c r="H110" i="3"/>
  <c r="J110" i="3"/>
  <c r="K110" i="3"/>
  <c r="L110" i="3"/>
  <c r="M110" i="3"/>
  <c r="N110" i="3"/>
  <c r="E113" i="3"/>
  <c r="F113" i="3"/>
  <c r="G113" i="3"/>
  <c r="H113" i="3"/>
  <c r="J113" i="3"/>
  <c r="K113" i="3"/>
  <c r="L113" i="3"/>
  <c r="M113" i="3"/>
  <c r="N113" i="3"/>
  <c r="E121" i="3"/>
  <c r="F121" i="3"/>
  <c r="G121" i="3"/>
  <c r="H121" i="3"/>
  <c r="J121" i="3"/>
  <c r="K121" i="3"/>
  <c r="L121" i="3"/>
  <c r="M121" i="3"/>
  <c r="N121" i="3"/>
  <c r="E123" i="3"/>
  <c r="F123" i="3"/>
  <c r="G123" i="3"/>
  <c r="H123" i="3"/>
  <c r="J123" i="3"/>
  <c r="K123" i="3"/>
  <c r="L123" i="3"/>
  <c r="M123" i="3"/>
  <c r="N123" i="3"/>
  <c r="E126" i="3"/>
  <c r="F126" i="3"/>
  <c r="G126" i="3"/>
  <c r="H126" i="3"/>
  <c r="J126" i="3"/>
  <c r="K126" i="3"/>
  <c r="L126" i="3"/>
  <c r="M126" i="3"/>
  <c r="N126" i="3"/>
  <c r="E127" i="3"/>
  <c r="F127" i="3"/>
  <c r="G127" i="3"/>
  <c r="H127" i="3"/>
  <c r="J127" i="3"/>
  <c r="K127" i="3"/>
  <c r="L127" i="3"/>
  <c r="M127" i="3"/>
  <c r="N127" i="3"/>
  <c r="E129" i="3"/>
  <c r="F129" i="3"/>
  <c r="G129" i="3"/>
  <c r="H129" i="3"/>
  <c r="J129" i="3"/>
  <c r="K129" i="3"/>
  <c r="L129" i="3"/>
  <c r="M129" i="3"/>
  <c r="N129" i="3"/>
  <c r="F130" i="3"/>
  <c r="G130" i="3"/>
  <c r="H130" i="3"/>
  <c r="J130" i="3"/>
  <c r="K130" i="3"/>
  <c r="L130" i="3"/>
  <c r="M130" i="3"/>
  <c r="N130" i="3"/>
  <c r="E131" i="3"/>
  <c r="F131" i="3"/>
  <c r="G131" i="3"/>
  <c r="H131" i="3"/>
  <c r="J131" i="3"/>
  <c r="K131" i="3"/>
  <c r="L131" i="3"/>
  <c r="M131" i="3"/>
  <c r="N131" i="3"/>
  <c r="E135" i="3"/>
  <c r="F135" i="3"/>
  <c r="G135" i="3"/>
  <c r="H135" i="3"/>
  <c r="J135" i="3"/>
  <c r="K135" i="3"/>
  <c r="L135" i="3"/>
  <c r="M135" i="3"/>
  <c r="N135" i="3"/>
  <c r="E137" i="3"/>
  <c r="F137" i="3"/>
  <c r="G137" i="3"/>
  <c r="H137" i="3"/>
  <c r="J137" i="3"/>
  <c r="K137" i="3"/>
  <c r="L137" i="3"/>
  <c r="M137" i="3"/>
  <c r="N137" i="3"/>
  <c r="E151" i="3"/>
  <c r="F151" i="3"/>
  <c r="G151" i="3"/>
  <c r="H151" i="3"/>
  <c r="J151" i="3"/>
  <c r="K151" i="3"/>
  <c r="L151" i="3"/>
  <c r="M151" i="3"/>
  <c r="N151" i="3"/>
  <c r="F176" i="3"/>
  <c r="G176" i="3"/>
  <c r="H176" i="3"/>
  <c r="J176" i="3"/>
  <c r="J166" i="3" s="1"/>
  <c r="K176" i="3"/>
  <c r="K166" i="3" s="1"/>
  <c r="L176" i="3"/>
  <c r="L166" i="3" s="1"/>
  <c r="M176" i="3"/>
  <c r="N176" i="3"/>
  <c r="N166" i="3" s="1"/>
  <c r="E184" i="3"/>
  <c r="F184" i="3"/>
  <c r="G184" i="3"/>
  <c r="H184" i="3"/>
  <c r="J184" i="3"/>
  <c r="K184" i="3"/>
  <c r="L184" i="3"/>
  <c r="M184" i="3"/>
  <c r="N184" i="3"/>
  <c r="E192" i="3"/>
  <c r="F192" i="3"/>
  <c r="G192" i="3"/>
  <c r="H192" i="3"/>
  <c r="J192" i="3"/>
  <c r="K192" i="3"/>
  <c r="L192" i="3"/>
  <c r="M192" i="3"/>
  <c r="N192" i="3"/>
  <c r="D194" i="3"/>
  <c r="D193" i="3" s="1"/>
  <c r="E194" i="3"/>
  <c r="F194" i="3"/>
  <c r="F193" i="3" s="1"/>
  <c r="G194" i="3"/>
  <c r="G193" i="3" s="1"/>
  <c r="H194" i="3"/>
  <c r="H193" i="3" s="1"/>
  <c r="J194" i="3"/>
  <c r="J193" i="3" s="1"/>
  <c r="K194" i="3"/>
  <c r="K193" i="3" s="1"/>
  <c r="L194" i="3"/>
  <c r="L193" i="3" s="1"/>
  <c r="M194" i="3"/>
  <c r="M193" i="3" s="1"/>
  <c r="N194" i="3"/>
  <c r="N193" i="3" s="1"/>
  <c r="J56" i="1"/>
  <c r="J239" i="1"/>
  <c r="J240" i="1"/>
  <c r="J241" i="1"/>
  <c r="J242" i="1"/>
  <c r="J243" i="1"/>
  <c r="J238" i="1"/>
  <c r="J218" i="1"/>
  <c r="J210" i="1"/>
  <c r="J199" i="1"/>
  <c r="J168" i="1"/>
  <c r="J169" i="1"/>
  <c r="I137" i="3"/>
  <c r="J172" i="1"/>
  <c r="J173" i="1"/>
  <c r="I139" i="3" s="1"/>
  <c r="J187" i="1"/>
  <c r="J193" i="1"/>
  <c r="J166" i="1"/>
  <c r="J157" i="1"/>
  <c r="I122" i="3" s="1"/>
  <c r="J158" i="1"/>
  <c r="J159" i="1"/>
  <c r="I124" i="3" s="1"/>
  <c r="J154" i="1"/>
  <c r="J149" i="1"/>
  <c r="J150" i="1"/>
  <c r="J148" i="1"/>
  <c r="J120" i="1"/>
  <c r="J121" i="1"/>
  <c r="J122" i="1"/>
  <c r="J123" i="1"/>
  <c r="J131" i="1"/>
  <c r="J135" i="1"/>
  <c r="J136" i="1"/>
  <c r="J139" i="1"/>
  <c r="J140" i="1"/>
  <c r="I115" i="3" s="1"/>
  <c r="J141" i="1"/>
  <c r="J145" i="1"/>
  <c r="J118" i="1"/>
  <c r="J104" i="1"/>
  <c r="I76" i="3" s="1"/>
  <c r="J105" i="1"/>
  <c r="J106" i="1"/>
  <c r="J107" i="1"/>
  <c r="J108" i="1"/>
  <c r="J109" i="1"/>
  <c r="J103" i="1"/>
  <c r="J67" i="1"/>
  <c r="J75" i="1"/>
  <c r="J78" i="1"/>
  <c r="J55" i="1"/>
  <c r="J20" i="1"/>
  <c r="J21" i="1"/>
  <c r="J22" i="1"/>
  <c r="J24" i="1"/>
  <c r="J25" i="1"/>
  <c r="J27" i="1"/>
  <c r="J28" i="1"/>
  <c r="J29" i="1"/>
  <c r="J30" i="1"/>
  <c r="J31" i="1"/>
  <c r="J33" i="1"/>
  <c r="J34" i="1"/>
  <c r="J35" i="1"/>
  <c r="J36" i="1"/>
  <c r="J37" i="1"/>
  <c r="J39" i="1"/>
  <c r="I187" i="3" s="1"/>
  <c r="J41" i="1"/>
  <c r="J18" i="1"/>
  <c r="N132" i="3" l="1"/>
  <c r="E132" i="3"/>
  <c r="G132" i="3"/>
  <c r="H132" i="3"/>
  <c r="F132" i="3"/>
  <c r="J132" i="3"/>
  <c r="M132" i="3"/>
  <c r="L132" i="3"/>
  <c r="K132" i="3"/>
  <c r="F83" i="3"/>
  <c r="E83" i="3"/>
  <c r="M83" i="3"/>
  <c r="L83" i="3"/>
  <c r="K83" i="3"/>
  <c r="H83" i="3"/>
  <c r="G83" i="3"/>
  <c r="I114" i="3"/>
  <c r="N75" i="3"/>
  <c r="M75" i="3"/>
  <c r="L75" i="3"/>
  <c r="K75" i="3"/>
  <c r="J75" i="3"/>
  <c r="H75" i="3"/>
  <c r="G75" i="3"/>
  <c r="F75" i="3"/>
  <c r="E75" i="3"/>
  <c r="I140" i="3"/>
  <c r="J147" i="1"/>
  <c r="E193" i="3"/>
  <c r="J16" i="1"/>
  <c r="J15" i="1" s="1"/>
  <c r="J153" i="1"/>
  <c r="R152" i="1" s="1"/>
  <c r="I197" i="3"/>
  <c r="I196" i="3" s="1"/>
  <c r="I195" i="3" s="1"/>
  <c r="J237" i="1"/>
  <c r="M125" i="3"/>
  <c r="H125" i="3"/>
  <c r="N125" i="3"/>
  <c r="J125" i="3"/>
  <c r="L125" i="3"/>
  <c r="G125" i="3"/>
  <c r="K125" i="3"/>
  <c r="F125" i="3"/>
  <c r="I116" i="3"/>
  <c r="I17" i="3"/>
  <c r="I16" i="3" s="1"/>
  <c r="I178" i="3"/>
  <c r="N147" i="3"/>
  <c r="L147" i="3"/>
  <c r="K147" i="3"/>
  <c r="J147" i="3"/>
  <c r="E120" i="3"/>
  <c r="N120" i="3"/>
  <c r="M120" i="3"/>
  <c r="L120" i="3"/>
  <c r="K120" i="3"/>
  <c r="J120" i="3"/>
  <c r="H120" i="3"/>
  <c r="G120" i="3"/>
  <c r="F120" i="3"/>
  <c r="P18" i="1"/>
  <c r="I138" i="3"/>
  <c r="I109" i="3"/>
  <c r="I105" i="3"/>
  <c r="I121" i="3"/>
  <c r="I151" i="3"/>
  <c r="I192" i="3"/>
  <c r="I184" i="3"/>
  <c r="I176" i="3"/>
  <c r="I128" i="3"/>
  <c r="I183" i="3"/>
  <c r="I131" i="3"/>
  <c r="I127" i="3"/>
  <c r="I102" i="3"/>
  <c r="I51" i="3"/>
  <c r="I79" i="3"/>
  <c r="I97" i="3"/>
  <c r="I91" i="3"/>
  <c r="I99" i="3"/>
  <c r="I135" i="3"/>
  <c r="I130" i="3"/>
  <c r="I126" i="3"/>
  <c r="I42" i="3"/>
  <c r="I81" i="3"/>
  <c r="I78" i="3"/>
  <c r="I113" i="3"/>
  <c r="I98" i="3"/>
  <c r="I190" i="3"/>
  <c r="I129" i="3"/>
  <c r="I80" i="3"/>
  <c r="I110" i="3"/>
  <c r="I194" i="3"/>
  <c r="I54" i="3"/>
  <c r="I191" i="3"/>
  <c r="H166" i="3"/>
  <c r="H147" i="3" s="1"/>
  <c r="F166" i="3"/>
  <c r="F147" i="3" s="1"/>
  <c r="G166" i="3"/>
  <c r="G147" i="3" s="1"/>
  <c r="I164" i="3"/>
  <c r="I89" i="3"/>
  <c r="I77" i="3"/>
  <c r="I186" i="3"/>
  <c r="J213" i="1"/>
  <c r="I123" i="3"/>
  <c r="E130" i="3"/>
  <c r="E125" i="3" s="1"/>
  <c r="L181" i="3"/>
  <c r="L179" i="3" s="1"/>
  <c r="J181" i="3"/>
  <c r="J179" i="3" s="1"/>
  <c r="G181" i="3"/>
  <c r="G179" i="3" s="1"/>
  <c r="I90" i="3"/>
  <c r="N181" i="3"/>
  <c r="N179" i="3" s="1"/>
  <c r="H181" i="3"/>
  <c r="H179" i="3" s="1"/>
  <c r="M181" i="3"/>
  <c r="M179" i="3" s="1"/>
  <c r="K181" i="3"/>
  <c r="K179" i="3" s="1"/>
  <c r="F181" i="3"/>
  <c r="F179" i="3" s="1"/>
  <c r="E181" i="3"/>
  <c r="I92" i="3"/>
  <c r="J189" i="1"/>
  <c r="J162" i="1" s="1"/>
  <c r="I132" i="3" l="1"/>
  <c r="I75" i="3"/>
  <c r="E179" i="3"/>
  <c r="R179" i="3" s="1"/>
  <c r="I193" i="3"/>
  <c r="R132" i="3"/>
  <c r="I125" i="3"/>
  <c r="I177" i="3"/>
  <c r="I120" i="3"/>
  <c r="I189" i="3"/>
  <c r="J161" i="1"/>
  <c r="K199" i="3"/>
  <c r="F199" i="3"/>
  <c r="I181" i="3"/>
  <c r="G199" i="3"/>
  <c r="L199" i="3"/>
  <c r="H199" i="3"/>
  <c r="E241" i="1"/>
  <c r="D241" i="1"/>
  <c r="B241" i="1"/>
  <c r="I179" i="3" l="1"/>
  <c r="D190" i="3"/>
  <c r="E176" i="3"/>
  <c r="J111" i="1"/>
  <c r="P241" i="1"/>
  <c r="P111" i="1" l="1"/>
  <c r="J102" i="1"/>
  <c r="I170" i="3"/>
  <c r="I166" i="3" s="1"/>
  <c r="I147" i="3" s="1"/>
  <c r="O190" i="3"/>
  <c r="E166" i="3"/>
  <c r="E147" i="3" s="1"/>
  <c r="R147" i="3" s="1"/>
  <c r="J101" i="1" l="1"/>
  <c r="E199" i="3" l="1"/>
  <c r="J57" i="1" l="1"/>
  <c r="J44" i="1" s="1"/>
  <c r="I19" i="3" l="1"/>
  <c r="J43" i="1"/>
  <c r="D34" i="1"/>
  <c r="C157" i="1"/>
  <c r="B157" i="1"/>
  <c r="P244" i="1"/>
  <c r="E239" i="1"/>
  <c r="E242" i="1"/>
  <c r="E243" i="1"/>
  <c r="K236" i="1"/>
  <c r="L236" i="1"/>
  <c r="M236" i="1"/>
  <c r="N236" i="1"/>
  <c r="O236" i="1"/>
  <c r="F236" i="1"/>
  <c r="G236" i="1"/>
  <c r="H236" i="1"/>
  <c r="I236" i="1"/>
  <c r="J217" i="1"/>
  <c r="J216" i="1" s="1"/>
  <c r="E218" i="1"/>
  <c r="K217" i="1"/>
  <c r="K216" i="1" s="1"/>
  <c r="L217" i="1"/>
  <c r="L216" i="1" s="1"/>
  <c r="M217" i="1"/>
  <c r="M216" i="1" s="1"/>
  <c r="N217" i="1"/>
  <c r="N216" i="1" s="1"/>
  <c r="O217" i="1"/>
  <c r="O216" i="1" s="1"/>
  <c r="F217" i="1"/>
  <c r="F216" i="1" s="1"/>
  <c r="G217" i="1"/>
  <c r="G216" i="1" s="1"/>
  <c r="H217" i="1"/>
  <c r="H216" i="1" s="1"/>
  <c r="I217" i="1"/>
  <c r="I216" i="1" s="1"/>
  <c r="E213" i="1"/>
  <c r="E199" i="1"/>
  <c r="K194" i="1"/>
  <c r="M194" i="1"/>
  <c r="N194" i="1"/>
  <c r="O194" i="1"/>
  <c r="F194" i="1"/>
  <c r="G194" i="1"/>
  <c r="H194" i="1"/>
  <c r="E168" i="1"/>
  <c r="D114" i="3" s="1"/>
  <c r="E169" i="1"/>
  <c r="E171" i="1"/>
  <c r="E173" i="1"/>
  <c r="D139" i="3" s="1"/>
  <c r="E174" i="1"/>
  <c r="D141" i="3" s="1"/>
  <c r="D155" i="3"/>
  <c r="D153" i="3" s="1"/>
  <c r="E187" i="1"/>
  <c r="E189" i="1"/>
  <c r="P192" i="1"/>
  <c r="E193" i="1"/>
  <c r="E166" i="1"/>
  <c r="K152" i="1"/>
  <c r="L152" i="1"/>
  <c r="M152" i="1"/>
  <c r="N152" i="1"/>
  <c r="F152" i="1"/>
  <c r="G152" i="1"/>
  <c r="H152" i="1"/>
  <c r="E149" i="1"/>
  <c r="E150" i="1"/>
  <c r="E148" i="1"/>
  <c r="E147" i="1" s="1"/>
  <c r="K146" i="1"/>
  <c r="L146" i="1"/>
  <c r="M146" i="1"/>
  <c r="N146" i="1"/>
  <c r="O146" i="1"/>
  <c r="F146" i="1"/>
  <c r="G146" i="1"/>
  <c r="H146" i="1"/>
  <c r="I146" i="1"/>
  <c r="E119" i="1"/>
  <c r="E120" i="1"/>
  <c r="E121" i="1"/>
  <c r="E122" i="1"/>
  <c r="E123" i="1"/>
  <c r="E135" i="1"/>
  <c r="E136" i="1"/>
  <c r="E139" i="1"/>
  <c r="E140" i="1"/>
  <c r="D115" i="3" s="1"/>
  <c r="E141" i="1"/>
  <c r="E145" i="1"/>
  <c r="E118" i="1"/>
  <c r="E105" i="1"/>
  <c r="E106" i="1"/>
  <c r="E107" i="1"/>
  <c r="E108" i="1"/>
  <c r="D81" i="3"/>
  <c r="E103" i="1"/>
  <c r="K43" i="1"/>
  <c r="L43" i="1"/>
  <c r="M43" i="1"/>
  <c r="N43" i="1"/>
  <c r="O43" i="1"/>
  <c r="F43" i="1"/>
  <c r="G43" i="1"/>
  <c r="H43" i="1"/>
  <c r="I43" i="1"/>
  <c r="D42" i="3"/>
  <c r="D51" i="3"/>
  <c r="D54" i="3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D165" i="3" s="1"/>
  <c r="E33" i="1"/>
  <c r="E34" i="1"/>
  <c r="E35" i="1"/>
  <c r="D178" i="3" s="1"/>
  <c r="E36" i="1"/>
  <c r="E37" i="1"/>
  <c r="E39" i="1"/>
  <c r="D187" i="3" s="1"/>
  <c r="E41" i="1"/>
  <c r="D19" i="3" l="1"/>
  <c r="E162" i="1"/>
  <c r="E161" i="1" s="1"/>
  <c r="E194" i="1"/>
  <c r="E113" i="1"/>
  <c r="E102" i="1"/>
  <c r="D170" i="3"/>
  <c r="G248" i="1"/>
  <c r="G271" i="1" s="1"/>
  <c r="D197" i="3"/>
  <c r="D196" i="3" s="1"/>
  <c r="D195" i="3" s="1"/>
  <c r="D18" i="3"/>
  <c r="E16" i="1"/>
  <c r="E15" i="1" s="1"/>
  <c r="E112" i="1"/>
  <c r="E146" i="1"/>
  <c r="E237" i="1"/>
  <c r="E236" i="1" s="1"/>
  <c r="D177" i="3"/>
  <c r="F248" i="1"/>
  <c r="F271" i="1" s="1"/>
  <c r="D17" i="3"/>
  <c r="D116" i="3"/>
  <c r="K248" i="1"/>
  <c r="M248" i="1"/>
  <c r="M271" i="1" s="1"/>
  <c r="I248" i="1"/>
  <c r="I271" i="1" s="1"/>
  <c r="H248" i="1"/>
  <c r="H271" i="1" s="1"/>
  <c r="E152" i="1"/>
  <c r="E217" i="1"/>
  <c r="E216" i="1" s="1"/>
  <c r="P180" i="1"/>
  <c r="O155" i="3" s="1"/>
  <c r="O153" i="3" s="1"/>
  <c r="P189" i="1"/>
  <c r="D80" i="3"/>
  <c r="D99" i="3"/>
  <c r="D183" i="3"/>
  <c r="D102" i="3"/>
  <c r="D98" i="3"/>
  <c r="D192" i="3"/>
  <c r="D151" i="3"/>
  <c r="D79" i="3"/>
  <c r="D78" i="3"/>
  <c r="D113" i="3"/>
  <c r="D110" i="3"/>
  <c r="D109" i="3"/>
  <c r="D91" i="3"/>
  <c r="D88" i="3"/>
  <c r="D176" i="3"/>
  <c r="D129" i="3"/>
  <c r="D127" i="3"/>
  <c r="D126" i="3"/>
  <c r="D184" i="3"/>
  <c r="E43" i="1"/>
  <c r="O194" i="3"/>
  <c r="D191" i="3"/>
  <c r="D189" i="3" s="1"/>
  <c r="D105" i="3"/>
  <c r="D131" i="3"/>
  <c r="D128" i="3"/>
  <c r="D121" i="3"/>
  <c r="D97" i="3"/>
  <c r="D130" i="3"/>
  <c r="D164" i="3"/>
  <c r="P141" i="1"/>
  <c r="P168" i="1"/>
  <c r="O114" i="3" s="1"/>
  <c r="D89" i="3"/>
  <c r="D77" i="3"/>
  <c r="D137" i="3"/>
  <c r="D186" i="3"/>
  <c r="D138" i="3"/>
  <c r="P193" i="1"/>
  <c r="D135" i="3"/>
  <c r="P166" i="1"/>
  <c r="O152" i="1"/>
  <c r="O248" i="1" s="1"/>
  <c r="D123" i="3"/>
  <c r="J152" i="1"/>
  <c r="P145" i="1"/>
  <c r="D92" i="3"/>
  <c r="D90" i="3"/>
  <c r="P41" i="1"/>
  <c r="P37" i="1"/>
  <c r="P35" i="1"/>
  <c r="P33" i="1"/>
  <c r="P78" i="1"/>
  <c r="P57" i="1"/>
  <c r="P103" i="1"/>
  <c r="P139" i="1"/>
  <c r="P135" i="1"/>
  <c r="P131" i="1"/>
  <c r="P123" i="1"/>
  <c r="P121" i="1"/>
  <c r="P174" i="1"/>
  <c r="O141" i="3" s="1"/>
  <c r="P172" i="1"/>
  <c r="O138" i="3" s="1"/>
  <c r="P169" i="1"/>
  <c r="P39" i="1"/>
  <c r="O187" i="3" s="1"/>
  <c r="P36" i="1"/>
  <c r="P34" i="1"/>
  <c r="P32" i="1"/>
  <c r="O165" i="3" s="1"/>
  <c r="P75" i="1"/>
  <c r="P67" i="1"/>
  <c r="P118" i="1"/>
  <c r="P136" i="1"/>
  <c r="P128" i="1"/>
  <c r="P122" i="1"/>
  <c r="P120" i="1"/>
  <c r="P173" i="1"/>
  <c r="O139" i="3" s="1"/>
  <c r="P171" i="1"/>
  <c r="P238" i="1"/>
  <c r="P187" i="1"/>
  <c r="P242" i="1"/>
  <c r="P239" i="1"/>
  <c r="P150" i="1"/>
  <c r="P149" i="1"/>
  <c r="P28" i="1"/>
  <c r="P26" i="1"/>
  <c r="P25" i="1"/>
  <c r="P24" i="1"/>
  <c r="P20" i="1"/>
  <c r="P154" i="1"/>
  <c r="P213" i="1"/>
  <c r="P218" i="1"/>
  <c r="P217" i="1" s="1"/>
  <c r="P216" i="1" s="1"/>
  <c r="P31" i="1"/>
  <c r="P29" i="1"/>
  <c r="P27" i="1"/>
  <c r="P22" i="1"/>
  <c r="P21" i="1"/>
  <c r="P109" i="1"/>
  <c r="P108" i="1"/>
  <c r="P107" i="1"/>
  <c r="P106" i="1"/>
  <c r="P105" i="1"/>
  <c r="P104" i="1"/>
  <c r="O76" i="3" s="1"/>
  <c r="J146" i="1"/>
  <c r="P159" i="1"/>
  <c r="O124" i="3" s="1"/>
  <c r="P156" i="1"/>
  <c r="P19" i="1"/>
  <c r="P30" i="1"/>
  <c r="P56" i="1"/>
  <c r="P148" i="1"/>
  <c r="P158" i="1"/>
  <c r="P157" i="1"/>
  <c r="O122" i="3" s="1"/>
  <c r="P240" i="1"/>
  <c r="P199" i="1"/>
  <c r="P243" i="1"/>
  <c r="J236" i="1"/>
  <c r="P55" i="1"/>
  <c r="P140" i="1"/>
  <c r="O115" i="3" s="1"/>
  <c r="P44" i="1" l="1"/>
  <c r="P43" i="1" s="1"/>
  <c r="P162" i="1"/>
  <c r="P161" i="1" s="1"/>
  <c r="D132" i="3"/>
  <c r="D83" i="3"/>
  <c r="P102" i="1"/>
  <c r="P101" i="1" s="1"/>
  <c r="D75" i="3"/>
  <c r="P147" i="1"/>
  <c r="O193" i="3"/>
  <c r="M259" i="1"/>
  <c r="I259" i="1"/>
  <c r="O197" i="3"/>
  <c r="O196" i="3" s="1"/>
  <c r="O195" i="3" s="1"/>
  <c r="P237" i="1"/>
  <c r="O18" i="3"/>
  <c r="P16" i="1"/>
  <c r="P15" i="1" s="1"/>
  <c r="O170" i="3"/>
  <c r="P153" i="1"/>
  <c r="D125" i="3"/>
  <c r="O177" i="3"/>
  <c r="D166" i="3"/>
  <c r="D147" i="3" s="1"/>
  <c r="O178" i="3"/>
  <c r="O17" i="3"/>
  <c r="O116" i="3"/>
  <c r="D120" i="3"/>
  <c r="D16" i="3"/>
  <c r="E101" i="1"/>
  <c r="E248" i="1" s="1"/>
  <c r="D181" i="3"/>
  <c r="D179" i="3" s="1"/>
  <c r="O78" i="3"/>
  <c r="O81" i="3"/>
  <c r="O98" i="3"/>
  <c r="O183" i="3"/>
  <c r="O79" i="3"/>
  <c r="O164" i="3"/>
  <c r="O192" i="3"/>
  <c r="O99" i="3"/>
  <c r="O97" i="3"/>
  <c r="O80" i="3"/>
  <c r="O102" i="3"/>
  <c r="O151" i="3"/>
  <c r="O113" i="3"/>
  <c r="O110" i="3"/>
  <c r="O109" i="3"/>
  <c r="O91" i="3"/>
  <c r="O176" i="3"/>
  <c r="O130" i="3"/>
  <c r="O129" i="3"/>
  <c r="O128" i="3"/>
  <c r="O127" i="3"/>
  <c r="O126" i="3"/>
  <c r="O184" i="3"/>
  <c r="O51" i="3"/>
  <c r="O54" i="3"/>
  <c r="O42" i="3"/>
  <c r="O135" i="3"/>
  <c r="O191" i="3"/>
  <c r="O189" i="3" s="1"/>
  <c r="O105" i="3"/>
  <c r="O131" i="3"/>
  <c r="O121" i="3"/>
  <c r="O89" i="3"/>
  <c r="O77" i="3"/>
  <c r="O137" i="3"/>
  <c r="O186" i="3"/>
  <c r="O123" i="3"/>
  <c r="O92" i="3"/>
  <c r="O90" i="3"/>
  <c r="L194" i="1"/>
  <c r="O19" i="3" l="1"/>
  <c r="O75" i="3"/>
  <c r="O125" i="3"/>
  <c r="L248" i="1"/>
  <c r="L271" i="1" s="1"/>
  <c r="O120" i="3"/>
  <c r="O16" i="3"/>
  <c r="D199" i="3"/>
  <c r="E271" i="1" s="1"/>
  <c r="O181" i="3"/>
  <c r="O179" i="3" s="1"/>
  <c r="O166" i="3"/>
  <c r="O147" i="3" s="1"/>
  <c r="P210" i="1"/>
  <c r="J194" i="1"/>
  <c r="L259" i="1" l="1"/>
  <c r="O140" i="3"/>
  <c r="O132" i="3" s="1"/>
  <c r="J88" i="3" l="1"/>
  <c r="J83" i="3" s="1"/>
  <c r="N88" i="3"/>
  <c r="N83" i="3" s="1"/>
  <c r="J119" i="1"/>
  <c r="J113" i="1" s="1"/>
  <c r="N199" i="3" l="1"/>
  <c r="O271" i="1" s="1"/>
  <c r="J199" i="3"/>
  <c r="K271" i="1" s="1"/>
  <c r="J112" i="1"/>
  <c r="J248" i="1" s="1"/>
  <c r="I88" i="3"/>
  <c r="I83" i="3" s="1"/>
  <c r="P119" i="1"/>
  <c r="P113" i="1" s="1"/>
  <c r="P236" i="1"/>
  <c r="K259" i="1" l="1"/>
  <c r="O259" i="1"/>
  <c r="P112" i="1"/>
  <c r="I199" i="3"/>
  <c r="J271" i="1" s="1"/>
  <c r="O88" i="3"/>
  <c r="O83" i="3" s="1"/>
  <c r="P194" i="1"/>
  <c r="P152" i="1"/>
  <c r="P146" i="1"/>
  <c r="J259" i="1" l="1"/>
  <c r="P248" i="1"/>
  <c r="O199" i="3"/>
  <c r="C37" i="1"/>
  <c r="P271" i="1" l="1"/>
  <c r="P259" i="1"/>
  <c r="C240" i="1"/>
  <c r="D240" i="1"/>
  <c r="B240" i="1"/>
  <c r="C188" i="1"/>
  <c r="D188" i="1"/>
  <c r="B188" i="1"/>
  <c r="C122" i="1" l="1"/>
  <c r="D122" i="1"/>
  <c r="B122" i="1"/>
  <c r="D109" i="1"/>
  <c r="C109" i="1"/>
  <c r="B109" i="1"/>
  <c r="C108" i="1"/>
  <c r="D108" i="1"/>
  <c r="B108" i="1"/>
  <c r="C34" i="1"/>
  <c r="B34" i="1"/>
  <c r="C145" i="1"/>
  <c r="B145" i="1"/>
  <c r="C140" i="1"/>
  <c r="D140" i="1"/>
  <c r="C141" i="1"/>
  <c r="B141" i="1"/>
  <c r="B140" i="1"/>
  <c r="C139" i="1"/>
  <c r="D139" i="1"/>
  <c r="B139" i="1"/>
  <c r="C136" i="1"/>
  <c r="B136" i="1"/>
  <c r="C135" i="1"/>
  <c r="D135" i="1"/>
  <c r="B135" i="1"/>
  <c r="C131" i="1"/>
  <c r="D131" i="1"/>
  <c r="B131" i="1"/>
  <c r="C128" i="1"/>
  <c r="B128" i="1"/>
  <c r="C123" i="1"/>
  <c r="D123" i="1"/>
  <c r="B123" i="1"/>
  <c r="C121" i="1"/>
  <c r="B121" i="1"/>
  <c r="C120" i="1"/>
  <c r="B120" i="1"/>
  <c r="C119" i="1"/>
  <c r="D119" i="1"/>
  <c r="B119" i="1"/>
  <c r="C111" i="1"/>
  <c r="B111" i="1"/>
  <c r="C107" i="1"/>
  <c r="D107" i="1"/>
  <c r="B107" i="1"/>
  <c r="C106" i="1"/>
  <c r="B106" i="1"/>
  <c r="C105" i="1"/>
  <c r="B105" i="1"/>
  <c r="C104" i="1"/>
  <c r="B104" i="1"/>
  <c r="C57" i="1"/>
  <c r="B57" i="1"/>
  <c r="C56" i="1"/>
  <c r="B56" i="1"/>
  <c r="C41" i="1"/>
  <c r="D41" i="1"/>
  <c r="B41" i="1"/>
  <c r="C39" i="1"/>
  <c r="D39" i="1"/>
  <c r="B39" i="1"/>
  <c r="B37" i="1"/>
  <c r="C36" i="1"/>
  <c r="D36" i="1"/>
  <c r="B36" i="1"/>
  <c r="C35" i="1"/>
  <c r="D35" i="1"/>
  <c r="B35" i="1"/>
  <c r="C33" i="1"/>
  <c r="D33" i="1"/>
  <c r="B33" i="1"/>
  <c r="C32" i="1"/>
  <c r="B32" i="1"/>
  <c r="C24" i="1"/>
  <c r="B25" i="1"/>
  <c r="C31" i="1"/>
  <c r="D31" i="1"/>
  <c r="B31" i="1"/>
  <c r="C30" i="1"/>
  <c r="B30" i="1"/>
  <c r="C29" i="1"/>
  <c r="B29" i="1"/>
  <c r="C28" i="1"/>
  <c r="B28" i="1"/>
  <c r="C27" i="1"/>
  <c r="B27" i="1"/>
  <c r="C26" i="1"/>
  <c r="B26" i="1"/>
  <c r="C22" i="1"/>
  <c r="D22" i="1"/>
  <c r="B22" i="1"/>
  <c r="C21" i="1"/>
  <c r="D21" i="1"/>
  <c r="B21" i="1"/>
  <c r="C20" i="1"/>
  <c r="B20" i="1"/>
  <c r="C19" i="1"/>
  <c r="D19" i="1"/>
  <c r="B19" i="1"/>
  <c r="C156" i="1"/>
  <c r="D156" i="1"/>
  <c r="B156" i="1"/>
  <c r="C158" i="1"/>
  <c r="D158" i="1"/>
  <c r="C159" i="1"/>
  <c r="D159" i="1"/>
  <c r="B159" i="1"/>
  <c r="B158" i="1"/>
  <c r="C168" i="1"/>
  <c r="D168" i="1"/>
  <c r="B168" i="1"/>
  <c r="C171" i="1"/>
  <c r="D171" i="1"/>
  <c r="B171" i="1"/>
  <c r="C169" i="1"/>
  <c r="D169" i="1"/>
  <c r="B169" i="1"/>
  <c r="C172" i="1"/>
  <c r="D172" i="1"/>
  <c r="B172" i="1"/>
  <c r="C173" i="1"/>
  <c r="D173" i="1"/>
  <c r="B173" i="1"/>
  <c r="C174" i="1"/>
  <c r="D174" i="1"/>
  <c r="B174" i="1"/>
  <c r="C180" i="1"/>
  <c r="B180" i="1"/>
  <c r="C187" i="1"/>
  <c r="B187" i="1"/>
  <c r="C192" i="1"/>
  <c r="D192" i="1"/>
  <c r="B192" i="1"/>
  <c r="C193" i="1"/>
  <c r="B193" i="1"/>
  <c r="C213" i="1"/>
  <c r="B213" i="1"/>
  <c r="C239" i="1"/>
  <c r="B239" i="1"/>
  <c r="C242" i="1"/>
  <c r="D242" i="1"/>
  <c r="B242" i="1"/>
  <c r="C243" i="1"/>
  <c r="D243" i="1"/>
  <c r="B243" i="1"/>
  <c r="C238" i="1"/>
  <c r="B238" i="1"/>
  <c r="C218" i="1"/>
  <c r="B218" i="1"/>
  <c r="C199" i="1"/>
  <c r="B199" i="1"/>
  <c r="C166" i="1"/>
  <c r="B166" i="1"/>
  <c r="C154" i="1"/>
  <c r="B154" i="1"/>
  <c r="C148" i="1"/>
  <c r="B148" i="1"/>
  <c r="C118" i="1"/>
  <c r="B118" i="1"/>
  <c r="C103" i="1"/>
  <c r="B103" i="1"/>
  <c r="C55" i="1"/>
  <c r="B55" i="1"/>
  <c r="C18" i="1"/>
  <c r="B18" i="1"/>
  <c r="E259" i="1" l="1"/>
  <c r="N161" i="1"/>
  <c r="N248" i="1" s="1"/>
  <c r="M166" i="3"/>
  <c r="M147" i="3" s="1"/>
  <c r="M199" i="3" l="1"/>
  <c r="N271" i="1" s="1"/>
  <c r="N259" i="1" l="1"/>
</calcChain>
</file>

<file path=xl/sharedStrings.xml><?xml version="1.0" encoding="utf-8"?>
<sst xmlns="http://schemas.openxmlformats.org/spreadsheetml/2006/main" count="674" uniqueCount="523">
  <si>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</si>
  <si>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</si>
  <si>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</si>
  <si>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</si>
  <si>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</si>
  <si>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</si>
  <si>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</si>
  <si>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</si>
  <si>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</si>
  <si>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</si>
  <si>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</si>
  <si>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</si>
  <si>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</si>
  <si>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</si>
  <si>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</si>
  <si>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</si>
  <si>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</si>
  <si>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</si>
  <si>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</si>
  <si>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</si>
  <si>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</si>
  <si>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</si>
  <si>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</si>
  <si>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</si>
  <si>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</si>
  <si>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</si>
  <si>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</si>
  <si>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</si>
  <si>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</si>
  <si>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</si>
  <si>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</si>
  <si>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</si>
  <si>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</si>
  <si>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</si>
  <si>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</si>
  <si>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</si>
  <si>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</si>
  <si>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</si>
  <si>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</si>
  <si>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</si>
  <si>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</si>
  <si>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</si>
  <si>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</si>
  <si>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</si>
  <si>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</si>
  <si>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</si>
  <si>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</si>
  <si>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</si>
  <si>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</si>
  <si>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</si>
  <si>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</si>
  <si>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</si>
  <si>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</si>
  <si>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</si>
  <si>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</si>
  <si>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</si>
  <si>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</si>
  <si>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</si>
  <si>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</si>
  <si>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</si>
  <si>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</si>
  <si>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</si>
  <si>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 xml:space="preserve"> Культура і мистецтво</t>
  </si>
  <si>
    <t>4030</t>
  </si>
  <si>
    <t>0824</t>
  </si>
  <si>
    <t>0829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</si>
  <si>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</si>
  <si>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</si>
  <si>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</si>
  <si>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</si>
  <si>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</si>
  <si>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</si>
  <si>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</si>
  <si>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</si>
  <si>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</si>
  <si>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</si>
  <si>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</si>
  <si>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</si>
  <si>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</si>
  <si>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</si>
  <si>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</si>
  <si>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</si>
  <si>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</si>
  <si>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</si>
  <si>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</si>
  <si>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</si>
  <si>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</si>
  <si>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</si>
  <si>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3104</t>
  </si>
  <si>
    <t>3112</t>
  </si>
  <si>
    <t>3200</t>
  </si>
  <si>
    <t>1050</t>
  </si>
  <si>
    <t>3131</t>
  </si>
  <si>
    <t>3160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</si>
  <si>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</si>
  <si>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</si>
  <si>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</si>
  <si>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</si>
  <si>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</si>
  <si>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</si>
  <si>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</si>
  <si>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</si>
  <si>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</si>
  <si>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</si>
  <si>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</si>
  <si>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</si>
  <si>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</si>
  <si>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</si>
  <si>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6013</t>
  </si>
  <si>
    <t>6030</t>
  </si>
  <si>
    <t>Організація благоустрою населених пунктів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</si>
  <si>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</si>
  <si>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7000</t>
  </si>
  <si>
    <t>7130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</si>
  <si>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</si>
  <si>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</si>
  <si>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</si>
  <si>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</si>
  <si>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</si>
  <si>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</si>
  <si>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1517640</t>
  </si>
  <si>
    <t>Забезпечення діяльності водопровідно-каналізаційного господарства</t>
  </si>
  <si>
    <t>8120</t>
  </si>
  <si>
    <t>0200000</t>
  </si>
  <si>
    <t>0210000</t>
  </si>
  <si>
    <t>0210160</t>
  </si>
  <si>
    <t>0213036</t>
  </si>
  <si>
    <t>0213131</t>
  </si>
  <si>
    <t>0215011</t>
  </si>
  <si>
    <t>0215012</t>
  </si>
  <si>
    <t>0215031</t>
  </si>
  <si>
    <t>0215061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</si>
  <si>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</si>
  <si>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</si>
  <si>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</si>
  <si>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</si>
  <si>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</si>
  <si>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</si>
  <si>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</si>
  <si>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</si>
  <si>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</si>
  <si>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</si>
  <si>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</si>
  <si>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</si>
  <si>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</si>
  <si>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</si>
  <si>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</si>
  <si>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</si>
  <si>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</si>
  <si>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</si>
  <si>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</si>
  <si>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</si>
  <si>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</si>
  <si>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</si>
  <si>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</si>
  <si>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</si>
  <si>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</si>
  <si>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</si>
  <si>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</si>
  <si>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</si>
  <si>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</si>
  <si>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</si>
  <si>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</si>
  <si>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</si>
  <si>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1216013</t>
  </si>
  <si>
    <t>1216020</t>
  </si>
  <si>
    <t>1216030</t>
  </si>
  <si>
    <t>1217640</t>
  </si>
  <si>
    <t>1218340</t>
  </si>
  <si>
    <t>1219770</t>
  </si>
  <si>
    <t>1516084</t>
  </si>
  <si>
    <t>1710000</t>
  </si>
  <si>
    <t>1710160</t>
  </si>
  <si>
    <t>1700000</t>
  </si>
  <si>
    <t>3100000</t>
  </si>
  <si>
    <t>3110000</t>
  </si>
  <si>
    <t>3110160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</si>
  <si>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</si>
  <si>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</si>
  <si>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</si>
  <si>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</si>
  <si>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</si>
  <si>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</si>
  <si>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</si>
  <si>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</si>
  <si>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</si>
  <si>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</si>
  <si>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</si>
  <si>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</si>
  <si>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</si>
  <si>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</si>
  <si>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</si>
  <si>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</si>
  <si>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</si>
  <si>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</si>
  <si>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</si>
  <si>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</si>
  <si>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</si>
  <si>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</si>
  <si>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</si>
  <si>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</si>
  <si>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</si>
  <si>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</si>
  <si>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</si>
  <si>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</si>
  <si>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</si>
  <si>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</si>
  <si>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</si>
  <si>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</si>
  <si>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Громадський порядок та безпека</t>
  </si>
  <si>
    <t>1216090</t>
  </si>
  <si>
    <t>0213033</t>
  </si>
  <si>
    <t>3717640</t>
  </si>
  <si>
    <t>1216017</t>
  </si>
  <si>
    <t>6017</t>
  </si>
  <si>
    <t>3117693</t>
  </si>
  <si>
    <t>0819770</t>
  </si>
  <si>
    <t>7650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</si>
  <si>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</si>
  <si>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</si>
  <si>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1217330</t>
  </si>
  <si>
    <t>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</si>
  <si>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</si>
  <si>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</si>
  <si>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</si>
  <si>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</si>
  <si>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</si>
  <si>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</si>
  <si>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</si>
  <si>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</si>
  <si>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4081</t>
  </si>
  <si>
    <t>4082</t>
  </si>
  <si>
    <t>Інші заходи в галузі культури і мистецтва</t>
  </si>
  <si>
    <t>7691</t>
  </si>
  <si>
    <t>1217691</t>
  </si>
  <si>
    <t>0217691</t>
  </si>
  <si>
    <t>1213210</t>
  </si>
  <si>
    <t>0214081</t>
  </si>
  <si>
    <t>0213242</t>
  </si>
  <si>
    <t>0813241</t>
  </si>
  <si>
    <t>0813191</t>
  </si>
  <si>
    <t>0813192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</si>
  <si>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</si>
  <si>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</si>
  <si>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</si>
  <si>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</si>
  <si>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</si>
  <si>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</si>
  <si>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</si>
  <si>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</si>
  <si>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</si>
  <si>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</si>
  <si>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</si>
  <si>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</si>
  <si>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 тому числі бюджет розвитку</t>
  </si>
  <si>
    <t>3717693</t>
  </si>
  <si>
    <t>1217670</t>
  </si>
  <si>
    <t>3111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</si>
  <si>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</si>
  <si>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</si>
  <si>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</si>
  <si>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</si>
  <si>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</si>
  <si>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</si>
  <si>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</si>
  <si>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</si>
  <si>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</si>
  <si>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</si>
  <si>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</si>
  <si>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</si>
  <si>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</si>
  <si>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</si>
  <si>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</si>
  <si>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0813033</t>
  </si>
  <si>
    <t>0813242</t>
  </si>
  <si>
    <t>Інші субвенції з місцевого бюджету</t>
  </si>
  <si>
    <t>0215032</t>
  </si>
  <si>
    <t>(грн)</t>
  </si>
  <si>
    <t>Надання пільг окремим категоріям громадян з оплати послуг зв'язку</t>
  </si>
  <si>
    <t>Управління  «Служба у справах дітей» Сумської міської ради</t>
  </si>
  <si>
    <t>Надання позашкільної освіти закладами позашкільної освіти, заходи із позашкільної роботи з дітьми</t>
  </si>
  <si>
    <t>1218110</t>
  </si>
  <si>
    <t>0219800</t>
  </si>
  <si>
    <t>іншої субвенції з місцевого бюджету</t>
  </si>
  <si>
    <t>Всього видатків,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</si>
  <si>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</si>
  <si>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</si>
  <si>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</si>
  <si>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</si>
  <si>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</si>
  <si>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</si>
  <si>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</si>
  <si>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Реалізація інших заходів щодо соціально-економічного розвитку територій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</si>
  <si>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</si>
  <si>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</si>
  <si>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</si>
  <si>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</si>
  <si>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</si>
  <si>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0611022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</si>
  <si>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</si>
  <si>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</si>
  <si>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</si>
  <si>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</si>
  <si>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</si>
  <si>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</si>
  <si>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</si>
  <si>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</si>
  <si>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</si>
  <si>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</si>
  <si>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</si>
  <si>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0613242</t>
  </si>
  <si>
    <t>0615031</t>
  </si>
  <si>
    <t>0617640</t>
  </si>
  <si>
    <t>0618340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</si>
  <si>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</si>
  <si>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</si>
  <si>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>1011080</t>
  </si>
  <si>
    <t>Забезпечення діяльності інших закладів у сфері освіти</t>
  </si>
  <si>
    <t>3718710</t>
  </si>
  <si>
    <t>Резервний фонд місцевого бюджету</t>
  </si>
  <si>
    <t>1210180</t>
  </si>
  <si>
    <t>(код бюджету)</t>
  </si>
  <si>
    <t>0611025</t>
  </si>
  <si>
    <t>Надання спеціалізованої освіти мистецькими школами</t>
  </si>
  <si>
    <t>0213133</t>
  </si>
  <si>
    <t>Багатопрофільна стаціонарна медична допомога населенню</t>
  </si>
  <si>
    <t>Фізична культура і спорт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</si>
  <si>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</si>
  <si>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</si>
  <si>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</si>
  <si>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</si>
  <si>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</si>
  <si>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</si>
  <si>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</si>
  <si>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Резервний фонд</t>
  </si>
  <si>
    <t>0218240</t>
  </si>
  <si>
    <t>Заходи та роботи з територіальної оборони</t>
  </si>
  <si>
    <t>Внески до статутного капіталу суб'єктів господарювання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</si>
  <si>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</si>
  <si>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</si>
  <si>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</si>
  <si>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</si>
  <si>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</si>
  <si>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3617370</t>
  </si>
  <si>
    <t>3617130</t>
  </si>
  <si>
    <t>3617650</t>
  </si>
  <si>
    <t>3617660</t>
  </si>
  <si>
    <t>3617693</t>
  </si>
  <si>
    <t>Соціальний захист та соціальне забезпечення, у т. ч. за рахунок: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</si>
  <si>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</si>
  <si>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</si>
  <si>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2700000</t>
  </si>
  <si>
    <t>2710160</t>
  </si>
  <si>
    <t>2710000</t>
  </si>
  <si>
    <t>2717610</t>
  </si>
  <si>
    <t>1218240</t>
  </si>
  <si>
    <t>0618240</t>
  </si>
  <si>
    <t>1853100000</t>
  </si>
  <si>
    <t>5010000</t>
  </si>
  <si>
    <t>5010160</t>
  </si>
  <si>
    <t>до                    наказу             Сумської</t>
  </si>
  <si>
    <t>міської       військової     адміністрації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</si>
  <si>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</si>
  <si>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</si>
  <si>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</si>
  <si>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</si>
  <si>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</si>
  <si>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</si>
  <si>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до                 наказу             Сумської</t>
  </si>
  <si>
    <t>міської     військової    адміністрації</t>
  </si>
  <si>
    <t>Керівництво і управління у відповідній сфері у містах (місті Києві), селищах, селах, територіальних громадах</t>
  </si>
  <si>
    <t>РОЗПОДІЛ
видатків бюджету Сумської міської територіальної громади на 2025 рік за програмною класифікацією видатків та кредитування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</si>
  <si>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</si>
  <si>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</si>
  <si>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</si>
  <si>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Державне управління</t>
  </si>
  <si>
    <t>Надання загальної середньої освіти закладами загальної середньої освіти за рахунок коштів місцевого бюджету</t>
  </si>
  <si>
    <t>Міжбюджетні трансферти</t>
  </si>
  <si>
    <t>Заходи із запобігання та ліквідації надзвичайних ситуацій та наслідків стихійного лиха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</si>
  <si>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</si>
  <si>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Охорона здоров’я</t>
  </si>
  <si>
    <t>Управління охорони здоров’я Сумської міської ради</t>
  </si>
  <si>
    <t>Компенсаційні виплати на пільговий проїзд автомобільним транспортом окремим категоріям громадян, у т.ч. за рахунок: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</si>
  <si>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</si>
  <si>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</si>
  <si>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збору та вивезення сміття і відходів</t>
  </si>
  <si>
    <t>1216014</t>
  </si>
  <si>
    <t>1216092</t>
  </si>
  <si>
    <t>1217412</t>
  </si>
  <si>
    <t>1217450</t>
  </si>
  <si>
    <t>0456</t>
  </si>
  <si>
    <t>Інша діяльність у сфері транспорту</t>
  </si>
  <si>
    <t>1217426</t>
  </si>
  <si>
    <t>Інші заходи у сфері електротранспорту</t>
  </si>
  <si>
    <t>0455</t>
  </si>
  <si>
    <t>трансфертів з державного бюджету, в т.ч.:</t>
  </si>
  <si>
    <t>1216091</t>
  </si>
  <si>
    <t>0813121</t>
  </si>
  <si>
    <t>3617691</t>
  </si>
  <si>
    <t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</si>
  <si>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0611031</t>
  </si>
  <si>
    <t>субвенції з місцевого бюджету на здійснення переданих видатків у сфері освіти за рахунок коштів освітньої субвенції</t>
  </si>
  <si>
    <t>Надання загальної середньої освіти закладами загальної середньої освіти за рахунок освітньої субвенції,  у т. ч. за рахунок:</t>
  </si>
  <si>
    <t>Управління  освіти і науки Сумської міської ради,  у т. ч. за рахунок:</t>
  </si>
  <si>
    <t>Освіта,  у т. ч. за рахунок:</t>
  </si>
  <si>
    <t>1152</t>
  </si>
  <si>
    <t>Забезпечення діяльності інклюзивно-ресурсних центрів за рахунок освітньої субвенції, у т. ч. за рахунок:</t>
  </si>
  <si>
    <t>0611152</t>
  </si>
  <si>
    <t>освітньої субвенції з державного бюджету місцевим бюджетам</t>
  </si>
  <si>
    <t>0611032</t>
  </si>
  <si>
    <t>1032</t>
  </si>
  <si>
    <t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</si>
  <si>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t>
  </si>
  <si>
    <t>0611035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</si>
  <si>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</si>
  <si>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0611092</t>
  </si>
  <si>
    <t>інші субвенції з місцевого бюджету</t>
  </si>
  <si>
    <t>0813050</t>
  </si>
  <si>
    <t>0813090</t>
  </si>
  <si>
    <t>0813171</t>
  </si>
  <si>
    <t>3050</t>
  </si>
  <si>
    <t>Пільгове медичне обслуговування осіб, які постраждали внаслідок Чорнобильської катастрофи, у т.ч. за рахунок:</t>
  </si>
  <si>
    <t>3090</t>
  </si>
  <si>
    <t>Видатки на поховання учасників бойових дій та осіб з інвалідністю внаслідок війни, у т.ч. за рахунок: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</si>
  <si>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</si>
  <si>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</si>
  <si>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t>
  </si>
  <si>
    <t>Забезпечення молодіжними центрами соціального
становлення та розвитку молоді та інші заходи у
сфері молодіжної політики</t>
  </si>
  <si>
    <t>Розвиток здібностей у дітей та молоді з фізичної
культури та спорту комунальними дитячо-юнацькими спортивними школами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</si>
  <si>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</si>
  <si>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</si>
  <si>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1183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</si>
  <si>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</si>
  <si>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t>
  </si>
  <si>
    <t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</si>
  <si>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>0611184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</si>
  <si>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</si>
  <si>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</si>
  <si>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t>
  </si>
  <si>
    <t>субвенції з державного бюджету місцевим бюджетам на надання державної пітримки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</si>
  <si>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</si>
  <si>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</si>
  <si>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здійснення доплат педагогічним працівникам закладів загальної середньої освіти</t>
  </si>
  <si>
    <t>0611600</t>
  </si>
  <si>
    <t>0913114</t>
  </si>
  <si>
    <t>Забезпечення умов для догляду та виховання дітей і молоді в дитячих будинках сімейного типу, прийомних сім’ях та сім’ях патронатних вихователів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</si>
  <si>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</si>
  <si>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</si>
  <si>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</si>
  <si>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</si>
  <si>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</si>
  <si>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</si>
  <si>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t>
  </si>
  <si>
    <t>0611700</t>
  </si>
  <si>
    <t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t>
  </si>
  <si>
    <t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</si>
  <si>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1300</t>
  </si>
  <si>
    <t>Будівництво-1 освітніх установ та закладів</t>
  </si>
  <si>
    <t>1511300</t>
  </si>
  <si>
    <t>1512170</t>
  </si>
  <si>
    <t>1516091</t>
  </si>
  <si>
    <t>1517330</t>
  </si>
  <si>
    <t>Регулювання цін на послуги місцевого наземного електротранспорту</t>
  </si>
  <si>
    <t>0453</t>
  </si>
  <si>
    <t>1217422</t>
  </si>
  <si>
    <t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t>
  </si>
  <si>
    <t>Будівництво1 інших об'єктів комунальної власності</t>
  </si>
  <si>
    <t>Регіональний розвиток та інші інвестиційні проекти, у т.ч. за рахунок:</t>
  </si>
  <si>
    <t>0611300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</si>
  <si>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</t>
    </r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</si>
  <si>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</si>
  <si>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</si>
  <si>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0712170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</si>
  <si>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</si>
  <si>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закладів охорони здоров'я</t>
    </r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</si>
  <si>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</si>
  <si>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t>
  </si>
  <si>
    <t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</si>
  <si>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0813193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</si>
  <si>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t>
  </si>
  <si>
    <t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</si>
  <si>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1217384</t>
  </si>
  <si>
    <t>Департамент інфраструктури міста Сумської міської ради, у т.ч. за рахунок:</t>
  </si>
  <si>
    <t>1261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</si>
  <si>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</si>
  <si>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1511261</t>
  </si>
  <si>
    <t>1511262</t>
  </si>
  <si>
    <t>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</si>
  <si>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t>
  </si>
  <si>
    <t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</si>
  <si>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</si>
  <si>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1216094</t>
  </si>
  <si>
    <t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</si>
  <si>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t>
  </si>
  <si>
    <t>Житлово-комунальне господарство, у т.ч. за рахунок:</t>
  </si>
  <si>
    <t>Виконавчий комітет Сумської міської ради, у т.ч. за рахунок:</t>
  </si>
  <si>
    <t>Заходи з організації рятування на водах, у т.ч. за рахунок:</t>
  </si>
  <si>
    <t>Інша діяльність, у т.ч. за рахунок: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</si>
  <si>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</si>
  <si>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залишку коштів, що склався станом на 01.01.2025 року, за іншою субвенцією з місцевого бюджету</t>
  </si>
  <si>
    <t xml:space="preserve"> Перший заступник директора Департаменту фінансів, економіки та інвестицій Сумської міської ради  </t>
  </si>
  <si>
    <t>Лариса СКИРТАЧ</t>
  </si>
  <si>
    <t xml:space="preserve">Перший заступник директора Департаменту фінансів, економіки та інвестицій Сумської міської ради  </t>
  </si>
  <si>
    <t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</t>
  </si>
  <si>
    <t>Усього видатків, у т.ч. за рахунок:</t>
  </si>
  <si>
    <t>1271</t>
  </si>
  <si>
    <t>1272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</si>
  <si>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</si>
  <si>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Реалізація заходів за рахунок освітньої субвенції з державного бюджету місцевим бюджетам (за спеціальним фондом державного бюджету), у т.ч. за рахунок:</t>
  </si>
  <si>
    <t>0611271</t>
  </si>
  <si>
    <t>0611272</t>
  </si>
  <si>
    <t>1512010</t>
  </si>
  <si>
    <t>УСЬОГО, т.ч. за рахунок:</t>
  </si>
  <si>
    <t>усього</t>
  </si>
  <si>
    <t xml:space="preserve">РОЗПОДІЛ
видатків бюджету Сумської міської територіальної громади на 2025 рік </t>
  </si>
  <si>
    <t xml:space="preserve">                     Додаток 2</t>
  </si>
  <si>
    <t xml:space="preserve">                     Додаток 5</t>
  </si>
  <si>
    <t>1516030</t>
  </si>
  <si>
    <t>Захист населення і територій від надзвичайних ситуацій, у т.ч. за рахунок:</t>
  </si>
  <si>
    <t>1511010</t>
  </si>
  <si>
    <t>1511021</t>
  </si>
  <si>
    <t>1511141</t>
  </si>
  <si>
    <t>від 15.04.2025 № 83 - СМВА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</si>
</sst>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.00;* \-#,##0.00;* &quot;-&quot;??;@"/>
  </numFmts>
  <fonts count="47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2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25"/>
      <name val="Times New Roman"/>
      <family val="1"/>
      <charset val="204"/>
    </font>
    <font>
      <b/>
      <i/>
      <sz val="25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  <xf numFmtId="0" fontId="2" fillId="0" borderId="0"/>
  </cellStyleXfs>
  <cellXfs count="150">
    <xf numFmtId="0" fontId="0" fillId="0" borderId="0" xfId="0"/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4" fontId="23" fillId="0" borderId="0" xfId="0" applyNumberFormat="1" applyFont="1" applyFill="1" applyAlignment="1">
      <alignment horizontal="center"/>
    </xf>
    <xf numFmtId="4" fontId="44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4" fontId="44" fillId="0" borderId="0" xfId="0" applyNumberFormat="1" applyFont="1" applyFill="1" applyAlignment="1">
      <alignment vertical="center"/>
    </xf>
    <xf numFmtId="4" fontId="41" fillId="0" borderId="0" xfId="0" applyNumberFormat="1" applyFont="1" applyFill="1"/>
    <xf numFmtId="3" fontId="34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4" fontId="23" fillId="0" borderId="0" xfId="0" applyNumberFormat="1" applyFont="1" applyFill="1" applyAlignment="1">
      <alignment horizontal="center" wrapText="1"/>
    </xf>
    <xf numFmtId="4" fontId="31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1" fontId="21" fillId="0" borderId="7" xfId="0" applyNumberFormat="1" applyFont="1" applyFill="1" applyBorder="1" applyAlignment="1">
      <alignment horizontal="left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3" fontId="29" fillId="0" borderId="7" xfId="0" applyNumberFormat="1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3" fontId="21" fillId="0" borderId="7" xfId="0" applyNumberFormat="1" applyFont="1" applyFill="1" applyBorder="1" applyAlignment="1">
      <alignment horizontal="left" vertical="top" wrapText="1"/>
    </xf>
    <xf numFmtId="49" fontId="21" fillId="0" borderId="7" xfId="0" applyNumberFormat="1" applyFont="1" applyFill="1" applyBorder="1" applyAlignment="1">
      <alignment horizontal="left"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1" fontId="30" fillId="0" borderId="0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left" vertical="center" wrapText="1"/>
    </xf>
    <xf numFmtId="4" fontId="30" fillId="0" borderId="0" xfId="0" applyNumberFormat="1" applyFont="1" applyFill="1" applyBorder="1" applyAlignment="1">
      <alignment horizontal="right" wrapText="1"/>
    </xf>
    <xf numFmtId="3" fontId="44" fillId="0" borderId="0" xfId="0" applyNumberFormat="1" applyFont="1" applyFill="1"/>
    <xf numFmtId="49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4" fontId="34" fillId="0" borderId="7" xfId="0" applyNumberFormat="1" applyFont="1" applyFill="1" applyBorder="1" applyAlignment="1">
      <alignment horizontal="center"/>
    </xf>
    <xf numFmtId="3" fontId="27" fillId="0" borderId="0" xfId="0" applyNumberFormat="1" applyFont="1" applyFill="1"/>
    <xf numFmtId="4" fontId="23" fillId="0" borderId="7" xfId="0" applyNumberFormat="1" applyFont="1" applyFill="1" applyBorder="1" applyAlignment="1">
      <alignment horizontal="center"/>
    </xf>
    <xf numFmtId="3" fontId="27" fillId="0" borderId="0" xfId="0" applyNumberFormat="1" applyFont="1" applyFill="1" applyAlignment="1">
      <alignment vertical="center" textRotation="180"/>
    </xf>
    <xf numFmtId="0" fontId="27" fillId="0" borderId="0" xfId="0" applyFont="1" applyFill="1" applyAlignment="1">
      <alignment vertical="center" textRotation="180"/>
    </xf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1" fontId="21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4" fontId="21" fillId="0" borderId="7" xfId="0" applyNumberFormat="1" applyFont="1" applyFill="1" applyBorder="1" applyAlignment="1">
      <alignment horizontal="right"/>
    </xf>
    <xf numFmtId="1" fontId="28" fillId="0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4" fontId="30" fillId="0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center" vertical="center"/>
    </xf>
    <xf numFmtId="4" fontId="29" fillId="0" borderId="7" xfId="0" applyNumberFormat="1" applyFont="1" applyFill="1" applyBorder="1" applyAlignment="1">
      <alignment horizontal="right"/>
    </xf>
    <xf numFmtId="49" fontId="21" fillId="0" borderId="7" xfId="0" applyNumberFormat="1" applyFont="1" applyFill="1" applyBorder="1" applyAlignment="1" applyProtection="1">
      <alignment horizontal="center" vertical="center" wrapText="1"/>
    </xf>
    <xf numFmtId="3" fontId="21" fillId="0" borderId="7" xfId="0" applyNumberFormat="1" applyFont="1" applyFill="1" applyBorder="1" applyAlignment="1" applyProtection="1">
      <alignment horizontal="left" vertical="center" wrapText="1"/>
    </xf>
    <xf numFmtId="1" fontId="21" fillId="0" borderId="7" xfId="0" applyNumberFormat="1" applyFont="1" applyFill="1" applyBorder="1" applyAlignment="1" applyProtection="1">
      <alignment horizontal="center" vertical="center" wrapText="1"/>
    </xf>
    <xf numFmtId="1" fontId="29" fillId="0" borderId="7" xfId="0" applyNumberFormat="1" applyFont="1" applyFill="1" applyBorder="1" applyAlignment="1" applyProtection="1">
      <alignment horizontal="center" vertical="center" wrapText="1"/>
    </xf>
    <xf numFmtId="49" fontId="29" fillId="0" borderId="7" xfId="0" applyNumberFormat="1" applyFont="1" applyFill="1" applyBorder="1" applyAlignment="1" applyProtection="1">
      <alignment horizontal="center" vertical="center" wrapText="1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top" wrapText="1"/>
    </xf>
    <xf numFmtId="4" fontId="42" fillId="0" borderId="7" xfId="0" applyNumberFormat="1" applyFont="1" applyFill="1" applyBorder="1" applyAlignment="1">
      <alignment horizontal="right"/>
    </xf>
    <xf numFmtId="49" fontId="21" fillId="0" borderId="7" xfId="0" applyNumberFormat="1" applyFont="1" applyFill="1" applyBorder="1" applyAlignment="1">
      <alignment horizontal="center" vertical="center"/>
    </xf>
    <xf numFmtId="49" fontId="28" fillId="0" borderId="7" xfId="0" applyNumberFormat="1" applyFont="1" applyFill="1" applyBorder="1" applyAlignment="1">
      <alignment horizontal="left" vertical="center"/>
    </xf>
    <xf numFmtId="1" fontId="30" fillId="0" borderId="0" xfId="0" applyNumberFormat="1" applyFont="1" applyFill="1" applyAlignment="1">
      <alignment horizontal="center" vertical="center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/>
    </xf>
    <xf numFmtId="4" fontId="45" fillId="0" borderId="0" xfId="0" applyNumberFormat="1" applyFont="1" applyFill="1" applyAlignment="1">
      <alignment horizontal="right"/>
    </xf>
    <xf numFmtId="3" fontId="27" fillId="0" borderId="0" xfId="0" applyNumberFormat="1" applyFont="1" applyFill="1" applyBorder="1" applyAlignment="1">
      <alignment vertical="center" textRotation="180"/>
    </xf>
    <xf numFmtId="1" fontId="21" fillId="0" borderId="7" xfId="0" applyNumberFormat="1" applyFont="1" applyFill="1" applyBorder="1" applyAlignment="1">
      <alignment horizontal="left" vertical="top" wrapText="1"/>
    </xf>
    <xf numFmtId="3" fontId="27" fillId="0" borderId="9" xfId="0" applyNumberFormat="1" applyFont="1" applyFill="1" applyBorder="1" applyAlignment="1">
      <alignment vertical="center" textRotation="180"/>
    </xf>
    <xf numFmtId="0" fontId="21" fillId="0" borderId="0" xfId="0" applyFont="1" applyFill="1"/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0" fontId="28" fillId="0" borderId="0" xfId="0" applyFont="1" applyFill="1"/>
    <xf numFmtId="0" fontId="29" fillId="0" borderId="0" xfId="0" applyFont="1" applyFill="1"/>
    <xf numFmtId="0" fontId="43" fillId="0" borderId="0" xfId="0" applyFont="1" applyFill="1"/>
    <xf numFmtId="4" fontId="28" fillId="0" borderId="0" xfId="0" applyNumberFormat="1" applyFont="1" applyFill="1"/>
    <xf numFmtId="0" fontId="30" fillId="0" borderId="0" xfId="0" applyFont="1" applyFill="1"/>
    <xf numFmtId="49" fontId="28" fillId="0" borderId="7" xfId="0" applyNumberFormat="1" applyFont="1" applyFill="1" applyBorder="1" applyAlignment="1">
      <alignment horizontal="left" vertical="center" wrapText="1"/>
    </xf>
    <xf numFmtId="4" fontId="44" fillId="0" borderId="0" xfId="0" applyNumberFormat="1" applyFont="1" applyFill="1" applyAlignment="1">
      <alignment horizontal="left" vertical="center"/>
    </xf>
    <xf numFmtId="0" fontId="31" fillId="0" borderId="0" xfId="0" applyFont="1" applyFill="1"/>
    <xf numFmtId="3" fontId="30" fillId="0" borderId="7" xfId="0" applyNumberFormat="1" applyFont="1" applyFill="1" applyBorder="1" applyAlignment="1">
      <alignment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0" fontId="45" fillId="0" borderId="0" xfId="0" applyFont="1" applyFill="1"/>
    <xf numFmtId="4" fontId="21" fillId="0" borderId="7" xfId="0" applyNumberFormat="1" applyFont="1" applyFill="1" applyBorder="1"/>
    <xf numFmtId="1" fontId="21" fillId="0" borderId="7" xfId="0" applyNumberFormat="1" applyFont="1" applyFill="1" applyBorder="1" applyAlignment="1">
      <alignment horizontal="left" wrapText="1"/>
    </xf>
    <xf numFmtId="1" fontId="29" fillId="0" borderId="7" xfId="0" applyNumberFormat="1" applyFont="1" applyFill="1" applyBorder="1" applyAlignment="1">
      <alignment horizontal="left" wrapText="1"/>
    </xf>
    <xf numFmtId="49" fontId="29" fillId="0" borderId="7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textRotation="180"/>
    </xf>
    <xf numFmtId="3" fontId="46" fillId="0" borderId="0" xfId="0" applyNumberFormat="1" applyFont="1" applyFill="1" applyAlignment="1">
      <alignment vertical="center"/>
    </xf>
    <xf numFmtId="4" fontId="44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0" fontId="27" fillId="0" borderId="0" xfId="0" applyFont="1" applyFill="1" applyAlignment="1">
      <alignment horizontal="center" vertical="center" textRotation="180"/>
    </xf>
    <xf numFmtId="4" fontId="24" fillId="0" borderId="7" xfId="0" applyNumberFormat="1" applyFont="1" applyFill="1" applyBorder="1" applyAlignment="1">
      <alignment horizontal="center" vertical="center" wrapText="1"/>
    </xf>
    <xf numFmtId="4" fontId="23" fillId="0" borderId="8" xfId="0" applyNumberFormat="1" applyFont="1" applyFill="1" applyBorder="1" applyAlignment="1">
      <alignment horizontal="center"/>
    </xf>
    <xf numFmtId="4" fontId="30" fillId="0" borderId="0" xfId="0" applyNumberFormat="1" applyFont="1" applyFill="1"/>
    <xf numFmtId="4" fontId="44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3" fontId="24" fillId="0" borderId="7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164" fontId="21" fillId="0" borderId="7" xfId="29" applyFont="1" applyFill="1" applyBorder="1" applyAlignment="1">
      <alignment horizontal="right" wrapText="1"/>
    </xf>
    <xf numFmtId="3" fontId="44" fillId="0" borderId="0" xfId="0" applyNumberFormat="1" applyFont="1" applyFill="1" applyAlignment="1">
      <alignment vertical="center"/>
    </xf>
    <xf numFmtId="4" fontId="44" fillId="0" borderId="0" xfId="0" applyNumberFormat="1" applyFont="1" applyFill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textRotation="180"/>
    </xf>
    <xf numFmtId="3" fontId="27" fillId="0" borderId="9" xfId="0" applyNumberFormat="1" applyFont="1" applyFill="1" applyBorder="1" applyAlignment="1">
      <alignment horizontal="center" vertical="center" textRotation="180"/>
    </xf>
    <xf numFmtId="3" fontId="44" fillId="0" borderId="0" xfId="0" applyNumberFormat="1" applyFont="1" applyFill="1" applyAlignment="1">
      <alignment horizontal="right" vertical="center" wrapText="1"/>
    </xf>
    <xf numFmtId="49" fontId="37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left" vertical="center" wrapText="1"/>
    </xf>
    <xf numFmtId="4" fontId="44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3" fontId="36" fillId="0" borderId="0" xfId="0" applyNumberFormat="1" applyFont="1" applyFill="1" applyAlignment="1">
      <alignment horizontal="center" vertical="top" wrapText="1"/>
    </xf>
    <xf numFmtId="49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top"/>
    </xf>
    <xf numFmtId="4" fontId="38" fillId="0" borderId="7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39" fillId="0" borderId="7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textRotation="180"/>
    </xf>
    <xf numFmtId="4" fontId="44" fillId="0" borderId="0" xfId="0" applyNumberFormat="1" applyFont="1" applyFill="1" applyAlignment="1">
      <alignment horizontal="left"/>
    </xf>
    <xf numFmtId="4" fontId="24" fillId="0" borderId="7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top" wrapText="1"/>
    </xf>
    <xf numFmtId="3" fontId="28" fillId="0" borderId="7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Fill="1" applyAlignment="1">
      <alignment horizontal="left" vertical="top" wrapText="1"/>
    </xf>
    <xf numFmtId="3" fontId="44" fillId="0" borderId="0" xfId="0" applyNumberFormat="1" applyFont="1" applyFill="1" applyAlignment="1">
      <alignment horizontal="center" wrapText="1"/>
    </xf>
    <xf numFmtId="0" fontId="27" fillId="0" borderId="9" xfId="0" applyFont="1" applyFill="1" applyBorder="1" applyAlignment="1">
      <alignment horizontal="center" vertical="center" textRotation="180"/>
    </xf>
  </cellXfs>
  <cellStyles count="81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Обычный 3" xfId="80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E1532"/>
  <sheetViews>
    <sheetView showGridLines="0" showZeros="0" view="pageBreakPreview" zoomScale="60" zoomScaleNormal="82" workbookViewId="0">
      <selection activeCell="M7" sqref="M7"/>
    </sheetView>
  </sheetViews>
  <sheetFormatPr defaultColWidth="9.1640625" defaultRowHeight="15" x14ac:dyDescent="0.25"/>
  <cols>
    <col min="1" max="1" width="16.1640625" style="1" customWidth="1"/>
    <col min="2" max="2" width="15.33203125" style="2" customWidth="1"/>
    <col min="3" max="3" width="14.6640625" style="2" customWidth="1"/>
    <col min="4" max="4" width="62" style="3" customWidth="1"/>
    <col min="5" max="5" width="22.33203125" style="4" customWidth="1"/>
    <col min="6" max="6" width="22.5" style="4" customWidth="1"/>
    <col min="7" max="7" width="22.83203125" style="4" customWidth="1"/>
    <col min="8" max="8" width="22.5" style="4" customWidth="1"/>
    <col min="9" max="9" width="20" style="4" customWidth="1"/>
    <col min="10" max="10" width="22.33203125" style="4" customWidth="1"/>
    <col min="11" max="11" width="21.6640625" style="4" customWidth="1"/>
    <col min="12" max="12" width="21.1640625" style="4" customWidth="1"/>
    <col min="13" max="13" width="19.5" style="4" customWidth="1"/>
    <col min="14" max="14" width="17.1640625" style="4" customWidth="1"/>
    <col min="15" max="15" width="23.6640625" style="4" customWidth="1"/>
    <col min="16" max="16" width="27.83203125" style="117" customWidth="1"/>
    <col min="17" max="17" width="6.6640625" style="53" customWidth="1"/>
    <col min="18" max="19" width="21" style="6" customWidth="1"/>
    <col min="20" max="16384" width="9.1640625" style="6"/>
  </cols>
  <sheetData>
    <row r="1" spans="1:525" ht="26.25" customHeight="1" x14ac:dyDescent="0.45">
      <c r="K1" s="119" t="s">
        <v>515</v>
      </c>
      <c r="L1" s="5"/>
      <c r="M1" s="5"/>
      <c r="N1" s="5"/>
      <c r="O1" s="5"/>
      <c r="P1" s="5"/>
    </row>
    <row r="2" spans="1:525" ht="26.25" customHeight="1" x14ac:dyDescent="0.25">
      <c r="K2" s="7" t="s">
        <v>368</v>
      </c>
      <c r="L2" s="7"/>
      <c r="M2" s="7"/>
      <c r="N2" s="7"/>
      <c r="O2" s="7"/>
      <c r="P2" s="7"/>
    </row>
    <row r="3" spans="1:525" ht="26.25" customHeight="1" x14ac:dyDescent="0.25">
      <c r="K3" s="7" t="s">
        <v>369</v>
      </c>
      <c r="L3" s="7"/>
      <c r="M3" s="7"/>
      <c r="N3" s="7"/>
      <c r="O3" s="7"/>
      <c r="P3" s="7"/>
    </row>
    <row r="4" spans="1:525" ht="26.25" customHeight="1" x14ac:dyDescent="0.45">
      <c r="K4" s="132" t="s">
        <v>522</v>
      </c>
      <c r="L4" s="132"/>
      <c r="M4" s="132"/>
      <c r="N4" s="132"/>
      <c r="O4" s="132"/>
      <c r="P4" s="132"/>
    </row>
    <row r="5" spans="1:525" ht="26.25" customHeight="1" x14ac:dyDescent="0.4">
      <c r="K5" s="133"/>
      <c r="L5" s="133"/>
      <c r="M5" s="133"/>
      <c r="N5" s="133"/>
      <c r="O5" s="133"/>
      <c r="P5" s="133"/>
    </row>
    <row r="6" spans="1:525" ht="26.25" customHeight="1" x14ac:dyDescent="0.4">
      <c r="K6" s="120"/>
      <c r="L6" s="120"/>
      <c r="M6" s="120"/>
      <c r="N6" s="120"/>
      <c r="O6" s="120"/>
      <c r="P6" s="120"/>
    </row>
    <row r="7" spans="1:525" ht="60" customHeight="1" x14ac:dyDescent="0.4">
      <c r="K7" s="8"/>
      <c r="L7" s="8"/>
      <c r="M7" s="8"/>
      <c r="N7" s="8"/>
      <c r="O7" s="8"/>
      <c r="P7" s="8"/>
    </row>
    <row r="8" spans="1:525" s="9" customFormat="1" ht="71.25" customHeight="1" x14ac:dyDescent="0.3">
      <c r="A8" s="134" t="s">
        <v>514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53"/>
    </row>
    <row r="9" spans="1:525" s="9" customFormat="1" ht="23.25" customHeight="1" x14ac:dyDescent="0.35">
      <c r="A9" s="130" t="s">
        <v>357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53"/>
    </row>
    <row r="10" spans="1:525" s="9" customFormat="1" ht="19.5" customHeight="1" x14ac:dyDescent="0.3">
      <c r="A10" s="137" t="s">
        <v>321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53"/>
    </row>
    <row r="11" spans="1:525" s="14" customFormat="1" ht="22.5" customHeight="1" x14ac:dyDescent="0.3">
      <c r="A11" s="10"/>
      <c r="B11" s="11"/>
      <c r="C11" s="11"/>
      <c r="D11" s="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 t="s">
        <v>277</v>
      </c>
      <c r="Q11" s="53"/>
    </row>
    <row r="12" spans="1:525" s="121" customFormat="1" ht="20.25" customHeight="1" x14ac:dyDescent="0.2">
      <c r="A12" s="135" t="s">
        <v>260</v>
      </c>
      <c r="B12" s="136" t="s">
        <v>261</v>
      </c>
      <c r="C12" s="136" t="s">
        <v>253</v>
      </c>
      <c r="D12" s="136" t="s">
        <v>262</v>
      </c>
      <c r="E12" s="140" t="s">
        <v>183</v>
      </c>
      <c r="F12" s="140"/>
      <c r="G12" s="140"/>
      <c r="H12" s="140"/>
      <c r="I12" s="140"/>
      <c r="J12" s="140" t="s">
        <v>184</v>
      </c>
      <c r="K12" s="140"/>
      <c r="L12" s="140"/>
      <c r="M12" s="140"/>
      <c r="N12" s="140"/>
      <c r="O12" s="140"/>
      <c r="P12" s="140" t="s">
        <v>185</v>
      </c>
      <c r="Q12" s="53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</row>
    <row r="13" spans="1:525" s="121" customFormat="1" ht="19.5" customHeight="1" x14ac:dyDescent="0.2">
      <c r="A13" s="135"/>
      <c r="B13" s="136"/>
      <c r="C13" s="136"/>
      <c r="D13" s="136"/>
      <c r="E13" s="139" t="s">
        <v>513</v>
      </c>
      <c r="F13" s="139" t="s">
        <v>186</v>
      </c>
      <c r="G13" s="138" t="s">
        <v>187</v>
      </c>
      <c r="H13" s="138"/>
      <c r="I13" s="139" t="s">
        <v>188</v>
      </c>
      <c r="J13" s="139" t="s">
        <v>513</v>
      </c>
      <c r="K13" s="139" t="s">
        <v>254</v>
      </c>
      <c r="L13" s="139" t="s">
        <v>186</v>
      </c>
      <c r="M13" s="138" t="s">
        <v>187</v>
      </c>
      <c r="N13" s="138"/>
      <c r="O13" s="139" t="s">
        <v>188</v>
      </c>
      <c r="P13" s="140"/>
      <c r="Q13" s="53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</row>
    <row r="14" spans="1:525" s="121" customFormat="1" ht="87.75" customHeight="1" x14ac:dyDescent="0.2">
      <c r="A14" s="135"/>
      <c r="B14" s="136"/>
      <c r="C14" s="136"/>
      <c r="D14" s="136"/>
      <c r="E14" s="139"/>
      <c r="F14" s="139"/>
      <c r="G14" s="122" t="s">
        <v>189</v>
      </c>
      <c r="H14" s="122" t="s">
        <v>190</v>
      </c>
      <c r="I14" s="139"/>
      <c r="J14" s="139"/>
      <c r="K14" s="139"/>
      <c r="L14" s="139"/>
      <c r="M14" s="122" t="s">
        <v>189</v>
      </c>
      <c r="N14" s="122" t="s">
        <v>190</v>
      </c>
      <c r="O14" s="139"/>
      <c r="P14" s="140"/>
      <c r="Q14" s="53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</row>
    <row r="15" spans="1:525" s="19" customFormat="1" ht="24" customHeight="1" x14ac:dyDescent="0.25">
      <c r="A15" s="16" t="s">
        <v>123</v>
      </c>
      <c r="B15" s="123"/>
      <c r="C15" s="123"/>
      <c r="D15" s="17" t="s">
        <v>29</v>
      </c>
      <c r="E15" s="18">
        <f t="shared" ref="E15:P15" si="0">E16</f>
        <v>295479439</v>
      </c>
      <c r="F15" s="18">
        <f t="shared" si="0"/>
        <v>295479439</v>
      </c>
      <c r="G15" s="18">
        <f t="shared" si="0"/>
        <v>153851000</v>
      </c>
      <c r="H15" s="18">
        <f t="shared" si="0"/>
        <v>13481458</v>
      </c>
      <c r="I15" s="18">
        <f t="shared" si="0"/>
        <v>0</v>
      </c>
      <c r="J15" s="18">
        <f t="shared" si="0"/>
        <v>10992060.6</v>
      </c>
      <c r="K15" s="18">
        <f t="shared" si="0"/>
        <v>10186984</v>
      </c>
      <c r="L15" s="18">
        <f t="shared" si="0"/>
        <v>710900</v>
      </c>
      <c r="M15" s="18">
        <f t="shared" si="0"/>
        <v>354800</v>
      </c>
      <c r="N15" s="18">
        <f t="shared" si="0"/>
        <v>53748</v>
      </c>
      <c r="O15" s="18">
        <f t="shared" si="0"/>
        <v>10281160.6</v>
      </c>
      <c r="P15" s="18">
        <f t="shared" si="0"/>
        <v>306471499.60000002</v>
      </c>
      <c r="Q15" s="53"/>
    </row>
    <row r="16" spans="1:525" s="24" customFormat="1" ht="31.5" customHeight="1" x14ac:dyDescent="0.25">
      <c r="A16" s="20" t="s">
        <v>124</v>
      </c>
      <c r="B16" s="21"/>
      <c r="C16" s="21"/>
      <c r="D16" s="22" t="s">
        <v>495</v>
      </c>
      <c r="E16" s="23">
        <f>E18+E19+E20+E21+E22+E24+E25+E26+E27+E28+E29+E30+E31+E33+E34+E35+E36+E37+E39+E41+E42+E23+E40+E32</f>
        <v>295479439</v>
      </c>
      <c r="F16" s="23">
        <f t="shared" ref="F16:P16" si="1">F18+F19+F20+F21+F22+F24+F25+F26+F27+F28+F29+F30+F31+F33+F34+F35+F36+F37+F39+F41+F42+F23+F40+F32</f>
        <v>295479439</v>
      </c>
      <c r="G16" s="23">
        <f t="shared" si="1"/>
        <v>153851000</v>
      </c>
      <c r="H16" s="23">
        <f t="shared" si="1"/>
        <v>13481458</v>
      </c>
      <c r="I16" s="23">
        <f t="shared" si="1"/>
        <v>0</v>
      </c>
      <c r="J16" s="23">
        <f t="shared" si="1"/>
        <v>10992060.6</v>
      </c>
      <c r="K16" s="23">
        <f t="shared" si="1"/>
        <v>10186984</v>
      </c>
      <c r="L16" s="23">
        <f t="shared" si="1"/>
        <v>710900</v>
      </c>
      <c r="M16" s="23">
        <f t="shared" si="1"/>
        <v>354800</v>
      </c>
      <c r="N16" s="23">
        <f t="shared" si="1"/>
        <v>53748</v>
      </c>
      <c r="O16" s="23">
        <f t="shared" si="1"/>
        <v>10281160.6</v>
      </c>
      <c r="P16" s="23">
        <f t="shared" si="1"/>
        <v>306471499.60000002</v>
      </c>
      <c r="Q16" s="53"/>
    </row>
    <row r="17" spans="1:19" s="24" customFormat="1" ht="51.4" customHeight="1" x14ac:dyDescent="0.25">
      <c r="A17" s="20"/>
      <c r="B17" s="21"/>
      <c r="C17" s="21"/>
      <c r="D17" s="22" t="str">
        <f>D38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17" s="23">
        <f>E38</f>
        <v>514900</v>
      </c>
      <c r="F17" s="23">
        <f t="shared" ref="F17:P17" si="2">F38</f>
        <v>514900</v>
      </c>
      <c r="G17" s="23">
        <f t="shared" si="2"/>
        <v>422100</v>
      </c>
      <c r="H17" s="23">
        <f t="shared" si="2"/>
        <v>0</v>
      </c>
      <c r="I17" s="23">
        <f t="shared" si="2"/>
        <v>0</v>
      </c>
      <c r="J17" s="23">
        <f t="shared" si="2"/>
        <v>0</v>
      </c>
      <c r="K17" s="23">
        <f t="shared" si="2"/>
        <v>0</v>
      </c>
      <c r="L17" s="23">
        <f t="shared" si="2"/>
        <v>0</v>
      </c>
      <c r="M17" s="23">
        <f t="shared" si="2"/>
        <v>0</v>
      </c>
      <c r="N17" s="23">
        <f t="shared" si="2"/>
        <v>0</v>
      </c>
      <c r="O17" s="23">
        <f t="shared" si="2"/>
        <v>0</v>
      </c>
      <c r="P17" s="23">
        <f t="shared" si="2"/>
        <v>514900</v>
      </c>
      <c r="Q17" s="53"/>
    </row>
    <row r="18" spans="1:19" s="29" customFormat="1" ht="45.75" customHeight="1" x14ac:dyDescent="0.25">
      <c r="A18" s="25" t="s">
        <v>125</v>
      </c>
      <c r="B18" s="26" t="str">
        <f>'дод 5'!A17</f>
        <v>0160</v>
      </c>
      <c r="C18" s="26" t="str">
        <f>'дод 5'!B17</f>
        <v>0111</v>
      </c>
      <c r="D18" s="2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18" s="28">
        <f>F18+I18</f>
        <v>163107900</v>
      </c>
      <c r="F18" s="28">
        <f>161921900+786000+400000</f>
        <v>163107900</v>
      </c>
      <c r="G18" s="28">
        <f>120577600+644200</f>
        <v>121221800</v>
      </c>
      <c r="H18" s="28">
        <f>5902100+400000</f>
        <v>6302100</v>
      </c>
      <c r="I18" s="28"/>
      <c r="J18" s="28">
        <f>L18+O18</f>
        <v>0</v>
      </c>
      <c r="K18" s="28"/>
      <c r="L18" s="28"/>
      <c r="M18" s="28"/>
      <c r="N18" s="28"/>
      <c r="O18" s="28"/>
      <c r="P18" s="28">
        <f>E18+J18</f>
        <v>163107900</v>
      </c>
      <c r="Q18" s="53"/>
    </row>
    <row r="19" spans="1:19" s="29" customFormat="1" ht="27.75" customHeight="1" x14ac:dyDescent="0.25">
      <c r="A19" s="25" t="s">
        <v>199</v>
      </c>
      <c r="B19" s="26" t="str">
        <f>'дод 5'!A18</f>
        <v>0180</v>
      </c>
      <c r="C19" s="26" t="str">
        <f>'дод 5'!B18</f>
        <v>0133</v>
      </c>
      <c r="D19" s="27" t="str">
        <f>'дод 5'!C18</f>
        <v>Інша діяльність у сфері державного управління</v>
      </c>
      <c r="E19" s="28">
        <f t="shared" ref="E19:E41" si="3">F19+I19</f>
        <v>3200000</v>
      </c>
      <c r="F19" s="28">
        <f>3100000+100000</f>
        <v>3200000</v>
      </c>
      <c r="G19" s="28"/>
      <c r="H19" s="28"/>
      <c r="I19" s="28"/>
      <c r="J19" s="28">
        <f t="shared" ref="J19" si="4">L19+O19</f>
        <v>0</v>
      </c>
      <c r="K19" s="28"/>
      <c r="L19" s="28"/>
      <c r="M19" s="28"/>
      <c r="N19" s="28"/>
      <c r="O19" s="28"/>
      <c r="P19" s="28">
        <f t="shared" ref="P19:P42" si="5">E19+J19</f>
        <v>3200000</v>
      </c>
      <c r="Q19" s="53"/>
    </row>
    <row r="20" spans="1:19" s="29" customFormat="1" ht="47.25" customHeight="1" x14ac:dyDescent="0.25">
      <c r="A20" s="25" t="s">
        <v>211</v>
      </c>
      <c r="B20" s="26" t="str">
        <f>'дод 5'!A90</f>
        <v>3033</v>
      </c>
      <c r="C20" s="26" t="str">
        <f>'дод 5'!B90</f>
        <v>1070</v>
      </c>
      <c r="D20" s="27" t="s">
        <v>285</v>
      </c>
      <c r="E20" s="28">
        <f t="shared" si="3"/>
        <v>555700</v>
      </c>
      <c r="F20" s="28">
        <v>555700</v>
      </c>
      <c r="G20" s="28"/>
      <c r="H20" s="28"/>
      <c r="I20" s="28"/>
      <c r="J20" s="28">
        <f t="shared" ref="J20:J42" si="6">L20+O20</f>
        <v>0</v>
      </c>
      <c r="K20" s="28"/>
      <c r="L20" s="28"/>
      <c r="M20" s="28"/>
      <c r="N20" s="28"/>
      <c r="O20" s="28"/>
      <c r="P20" s="28">
        <f t="shared" si="5"/>
        <v>555700</v>
      </c>
      <c r="Q20" s="53"/>
    </row>
    <row r="21" spans="1:19" s="29" customFormat="1" ht="31.5" customHeight="1" x14ac:dyDescent="0.25">
      <c r="A21" s="25" t="s">
        <v>126</v>
      </c>
      <c r="B21" s="26" t="str">
        <f>'дод 5'!A92</f>
        <v>3036</v>
      </c>
      <c r="C21" s="26" t="str">
        <f>'дод 5'!B92</f>
        <v>1070</v>
      </c>
      <c r="D21" s="27" t="str">
        <f>'дод 5'!C92</f>
        <v>Компенсаційні виплати на пільговий проїзд електротранспортом окремим категоріям громадян</v>
      </c>
      <c r="E21" s="28">
        <f t="shared" si="3"/>
        <v>967900</v>
      </c>
      <c r="F21" s="28">
        <v>967900</v>
      </c>
      <c r="G21" s="28"/>
      <c r="H21" s="28"/>
      <c r="I21" s="28"/>
      <c r="J21" s="28">
        <f t="shared" si="6"/>
        <v>0</v>
      </c>
      <c r="K21" s="28"/>
      <c r="L21" s="28"/>
      <c r="M21" s="28"/>
      <c r="N21" s="28"/>
      <c r="O21" s="28"/>
      <c r="P21" s="28">
        <f t="shared" si="5"/>
        <v>967900</v>
      </c>
      <c r="Q21" s="53"/>
    </row>
    <row r="22" spans="1:19" s="29" customFormat="1" ht="42" customHeight="1" x14ac:dyDescent="0.25">
      <c r="A22" s="25" t="s">
        <v>127</v>
      </c>
      <c r="B22" s="26" t="str">
        <f>'дод 5'!A102</f>
        <v>3131</v>
      </c>
      <c r="C22" s="26" t="str">
        <f>'дод 5'!B102</f>
        <v>1040</v>
      </c>
      <c r="D22" s="27" t="str">
        <f>'дод 5'!C102</f>
        <v>Здійснення заходів та реалізація проектів на виконання Державної цільової соціальної програми "Молодь України"</v>
      </c>
      <c r="E22" s="28">
        <f t="shared" si="3"/>
        <v>410000</v>
      </c>
      <c r="F22" s="28">
        <f>500000-90000</f>
        <v>410000</v>
      </c>
      <c r="G22" s="28"/>
      <c r="H22" s="28"/>
      <c r="I22" s="28"/>
      <c r="J22" s="28">
        <f t="shared" si="6"/>
        <v>0</v>
      </c>
      <c r="K22" s="28"/>
      <c r="L22" s="28"/>
      <c r="M22" s="28"/>
      <c r="N22" s="28"/>
      <c r="O22" s="28"/>
      <c r="P22" s="28">
        <f t="shared" si="5"/>
        <v>410000</v>
      </c>
      <c r="Q22" s="53"/>
    </row>
    <row r="23" spans="1:19" s="29" customFormat="1" ht="45.75" customHeight="1" x14ac:dyDescent="0.25">
      <c r="A23" s="25" t="s">
        <v>324</v>
      </c>
      <c r="B23" s="26">
        <f>'дод 5'!A103</f>
        <v>3133</v>
      </c>
      <c r="C23" s="26">
        <f>'дод 5'!B103</f>
        <v>1040</v>
      </c>
      <c r="D23" s="30" t="str">
        <f>'дод 5'!C103</f>
        <v>Забезпечення молодіжними центрами соціального
становлення та розвитку молоді та інші заходи у
сфері молодіжної політики</v>
      </c>
      <c r="E23" s="28">
        <f t="shared" si="3"/>
        <v>5841416</v>
      </c>
      <c r="F23" s="28">
        <f>5668400+83016+90000</f>
        <v>5841416</v>
      </c>
      <c r="G23" s="28">
        <v>3357400</v>
      </c>
      <c r="H23" s="28">
        <v>778500</v>
      </c>
      <c r="I23" s="28"/>
      <c r="J23" s="28">
        <f t="shared" si="6"/>
        <v>126984</v>
      </c>
      <c r="K23" s="28">
        <v>116984</v>
      </c>
      <c r="L23" s="28">
        <v>10000</v>
      </c>
      <c r="M23" s="28">
        <v>2000</v>
      </c>
      <c r="N23" s="28">
        <v>3810</v>
      </c>
      <c r="O23" s="28">
        <v>116984</v>
      </c>
      <c r="P23" s="28">
        <f t="shared" si="5"/>
        <v>5968400</v>
      </c>
      <c r="Q23" s="53"/>
    </row>
    <row r="24" spans="1:19" s="29" customFormat="1" ht="33.75" customHeight="1" x14ac:dyDescent="0.25">
      <c r="A24" s="25" t="s">
        <v>238</v>
      </c>
      <c r="B24" s="26" t="str">
        <f>'дод 5'!A116</f>
        <v>3242</v>
      </c>
      <c r="C24" s="26" t="str">
        <f>'дод 5'!B116</f>
        <v>1090</v>
      </c>
      <c r="D24" s="27" t="s">
        <v>286</v>
      </c>
      <c r="E24" s="28">
        <f t="shared" si="3"/>
        <v>159400</v>
      </c>
      <c r="F24" s="28">
        <v>159400</v>
      </c>
      <c r="G24" s="28"/>
      <c r="H24" s="28"/>
      <c r="I24" s="28"/>
      <c r="J24" s="28">
        <f t="shared" si="6"/>
        <v>0</v>
      </c>
      <c r="K24" s="28"/>
      <c r="L24" s="28"/>
      <c r="M24" s="28"/>
      <c r="N24" s="28"/>
      <c r="O24" s="28"/>
      <c r="P24" s="28">
        <f t="shared" si="5"/>
        <v>159400</v>
      </c>
      <c r="Q24" s="53"/>
    </row>
    <row r="25" spans="1:19" s="29" customFormat="1" ht="30.75" customHeight="1" x14ac:dyDescent="0.25">
      <c r="A25" s="25" t="s">
        <v>237</v>
      </c>
      <c r="B25" s="26" t="str">
        <f>'дод 5'!A123</f>
        <v>4081</v>
      </c>
      <c r="C25" s="26" t="str">
        <f>'дод 5'!B123</f>
        <v>0829</v>
      </c>
      <c r="D25" s="30" t="str">
        <f>'дод 5'!C123</f>
        <v>Забезпечення діяльності інших закладів в галузі культури і мистецтва</v>
      </c>
      <c r="E25" s="28">
        <f t="shared" si="3"/>
        <v>3015300</v>
      </c>
      <c r="F25" s="28">
        <v>3015300</v>
      </c>
      <c r="G25" s="28">
        <v>2003800</v>
      </c>
      <c r="H25" s="28">
        <f>229600+58</f>
        <v>229658</v>
      </c>
      <c r="I25" s="28"/>
      <c r="J25" s="28">
        <f t="shared" si="6"/>
        <v>0</v>
      </c>
      <c r="K25" s="28"/>
      <c r="L25" s="28"/>
      <c r="M25" s="28"/>
      <c r="N25" s="28"/>
      <c r="O25" s="28"/>
      <c r="P25" s="28">
        <f t="shared" si="5"/>
        <v>3015300</v>
      </c>
      <c r="Q25" s="53"/>
    </row>
    <row r="26" spans="1:19" s="29" customFormat="1" ht="36.75" customHeight="1" x14ac:dyDescent="0.25">
      <c r="A26" s="25" t="s">
        <v>128</v>
      </c>
      <c r="B26" s="26" t="str">
        <f>'дод 5'!A126</f>
        <v>5011</v>
      </c>
      <c r="C26" s="26" t="str">
        <f>'дод 5'!B126</f>
        <v>0810</v>
      </c>
      <c r="D26" s="27" t="str">
        <f>'дод 5'!C126</f>
        <v>Проведення навчально-тренувальних зборів і змагань з олімпійських видів спорту</v>
      </c>
      <c r="E26" s="28">
        <f t="shared" si="3"/>
        <v>1150000</v>
      </c>
      <c r="F26" s="28">
        <f>400000+750000</f>
        <v>1150000</v>
      </c>
      <c r="G26" s="28"/>
      <c r="H26" s="28"/>
      <c r="I26" s="28"/>
      <c r="J26" s="28">
        <f>L26+O26</f>
        <v>0</v>
      </c>
      <c r="K26" s="28"/>
      <c r="L26" s="28"/>
      <c r="M26" s="28"/>
      <c r="N26" s="28"/>
      <c r="O26" s="28"/>
      <c r="P26" s="28">
        <f t="shared" si="5"/>
        <v>1150000</v>
      </c>
      <c r="Q26" s="53"/>
    </row>
    <row r="27" spans="1:19" s="29" customFormat="1" ht="34.5" customHeight="1" x14ac:dyDescent="0.25">
      <c r="A27" s="25" t="s">
        <v>129</v>
      </c>
      <c r="B27" s="26" t="str">
        <f>'дод 5'!A127</f>
        <v>5012</v>
      </c>
      <c r="C27" s="26" t="str">
        <f>'дод 5'!B127</f>
        <v>0810</v>
      </c>
      <c r="D27" s="27" t="str">
        <f>'дод 5'!C127</f>
        <v>Проведення навчально-тренувальних зборів і змагань з неолімпійських видів спорту</v>
      </c>
      <c r="E27" s="28">
        <f t="shared" si="3"/>
        <v>1150000</v>
      </c>
      <c r="F27" s="28">
        <f>400000+750000</f>
        <v>1150000</v>
      </c>
      <c r="G27" s="28"/>
      <c r="H27" s="28"/>
      <c r="I27" s="28"/>
      <c r="J27" s="28">
        <f t="shared" si="6"/>
        <v>0</v>
      </c>
      <c r="K27" s="28"/>
      <c r="L27" s="28"/>
      <c r="M27" s="28"/>
      <c r="N27" s="28"/>
      <c r="O27" s="28"/>
      <c r="P27" s="28">
        <f t="shared" si="5"/>
        <v>1150000</v>
      </c>
      <c r="Q27" s="53"/>
    </row>
    <row r="28" spans="1:19" s="29" customFormat="1" ht="47.25" x14ac:dyDescent="0.25">
      <c r="A28" s="25" t="s">
        <v>130</v>
      </c>
      <c r="B28" s="26" t="str">
        <f>'дод 5'!A128</f>
        <v>5031</v>
      </c>
      <c r="C28" s="26" t="str">
        <f>'дод 5'!B128</f>
        <v>0810</v>
      </c>
      <c r="D28" s="27" t="str">
        <f>'дод 5'!C128</f>
        <v>Розвиток здібностей у дітей та молоді з фізичної
культури та спорту комунальними дитячо-юнацькими спортивними школами</v>
      </c>
      <c r="E28" s="28">
        <f t="shared" si="3"/>
        <v>27885000</v>
      </c>
      <c r="F28" s="28">
        <f>26685000-300000+1500000</f>
        <v>27885000</v>
      </c>
      <c r="G28" s="28">
        <v>19283000</v>
      </c>
      <c r="H28" s="28">
        <v>1932800</v>
      </c>
      <c r="I28" s="28"/>
      <c r="J28" s="28">
        <f t="shared" si="6"/>
        <v>0</v>
      </c>
      <c r="K28" s="28"/>
      <c r="L28" s="28"/>
      <c r="M28" s="28"/>
      <c r="N28" s="28"/>
      <c r="O28" s="28"/>
      <c r="P28" s="28">
        <f t="shared" si="5"/>
        <v>27885000</v>
      </c>
      <c r="Q28" s="53"/>
    </row>
    <row r="29" spans="1:19" s="29" customFormat="1" ht="43.5" customHeight="1" x14ac:dyDescent="0.25">
      <c r="A29" s="25" t="s">
        <v>276</v>
      </c>
      <c r="B29" s="26" t="str">
        <f>'дод 5'!A129</f>
        <v>5032</v>
      </c>
      <c r="C29" s="26" t="str">
        <f>'дод 5'!B129</f>
        <v>0810</v>
      </c>
      <c r="D29" s="27" t="str">
        <f>'дод 5'!C129</f>
        <v>Фінансова підтримка дитячо-юнацьких спортивних шкіл фізкультурно-спортивних товариств</v>
      </c>
      <c r="E29" s="28">
        <f t="shared" si="3"/>
        <v>20518600</v>
      </c>
      <c r="F29" s="28">
        <f>20218600+300000</f>
        <v>20518600</v>
      </c>
      <c r="G29" s="28"/>
      <c r="H29" s="28"/>
      <c r="I29" s="28"/>
      <c r="J29" s="28">
        <f t="shared" si="6"/>
        <v>0</v>
      </c>
      <c r="K29" s="28"/>
      <c r="L29" s="28"/>
      <c r="M29" s="28"/>
      <c r="N29" s="28"/>
      <c r="O29" s="28"/>
      <c r="P29" s="28">
        <f t="shared" si="5"/>
        <v>20518600</v>
      </c>
      <c r="Q29" s="53"/>
    </row>
    <row r="30" spans="1:19" s="29" customFormat="1" ht="58.5" customHeight="1" x14ac:dyDescent="0.25">
      <c r="A30" s="25" t="s">
        <v>131</v>
      </c>
      <c r="B30" s="26" t="str">
        <f>'дод 5'!A130</f>
        <v>5061</v>
      </c>
      <c r="C30" s="26" t="str">
        <f>'дод 5'!B130</f>
        <v>0810</v>
      </c>
      <c r="D30" s="27" t="str">
        <f>'дод 5'!C130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30" s="28">
        <f t="shared" si="3"/>
        <v>8289285</v>
      </c>
      <c r="F30" s="28">
        <v>8289285</v>
      </c>
      <c r="G30" s="28">
        <v>4671000</v>
      </c>
      <c r="H30" s="28">
        <v>948100</v>
      </c>
      <c r="I30" s="28"/>
      <c r="J30" s="28">
        <f t="shared" si="6"/>
        <v>633800</v>
      </c>
      <c r="K30" s="28">
        <v>50000</v>
      </c>
      <c r="L30" s="28">
        <v>583800</v>
      </c>
      <c r="M30" s="28">
        <v>352800</v>
      </c>
      <c r="N30" s="28">
        <v>48438</v>
      </c>
      <c r="O30" s="28">
        <v>50000</v>
      </c>
      <c r="P30" s="28">
        <f t="shared" si="5"/>
        <v>8923085</v>
      </c>
      <c r="Q30" s="53"/>
    </row>
    <row r="31" spans="1:19" s="29" customFormat="1" ht="47.25" x14ac:dyDescent="0.25">
      <c r="A31" s="25" t="s">
        <v>272</v>
      </c>
      <c r="B31" s="26" t="str">
        <f>'дод 5'!A131</f>
        <v>5062</v>
      </c>
      <c r="C31" s="26" t="str">
        <f>'дод 5'!B131</f>
        <v>0810</v>
      </c>
      <c r="D31" s="27" t="str">
        <f>'дод 5'!C131</f>
        <v>Підтримка спорту вищих досягнень та організацій, які здійснюють фізкультурно-спортивну діяльність в регіоні</v>
      </c>
      <c r="E31" s="28">
        <f t="shared" si="3"/>
        <v>18035216</v>
      </c>
      <c r="F31" s="28">
        <f>16861800+400000+773416</f>
        <v>18035216</v>
      </c>
      <c r="G31" s="28"/>
      <c r="H31" s="28"/>
      <c r="I31" s="28"/>
      <c r="J31" s="28">
        <f t="shared" si="6"/>
        <v>0</v>
      </c>
      <c r="K31" s="28"/>
      <c r="L31" s="28"/>
      <c r="M31" s="28"/>
      <c r="N31" s="28"/>
      <c r="O31" s="28"/>
      <c r="P31" s="28">
        <f t="shared" si="5"/>
        <v>18035216</v>
      </c>
      <c r="Q31" s="53"/>
      <c r="S31" s="112"/>
    </row>
    <row r="32" spans="1:19" s="29" customFormat="1" ht="30.75" customHeight="1" x14ac:dyDescent="0.25">
      <c r="A32" s="25" t="s">
        <v>191</v>
      </c>
      <c r="B32" s="26" t="str">
        <f>'дод 5'!A165</f>
        <v>7530</v>
      </c>
      <c r="C32" s="26" t="str">
        <f>'дод 5'!B165</f>
        <v>0460</v>
      </c>
      <c r="D32" s="27" t="str">
        <f>'дод 5'!C165</f>
        <v>Інші заходи у сфері зв'язку, телекомунікації та інформатики</v>
      </c>
      <c r="E32" s="28">
        <f t="shared" si="3"/>
        <v>4644100</v>
      </c>
      <c r="F32" s="28">
        <v>4644100</v>
      </c>
      <c r="G32" s="28"/>
      <c r="H32" s="28"/>
      <c r="I32" s="28"/>
      <c r="J32" s="28">
        <f>L32+O32</f>
        <v>0</v>
      </c>
      <c r="K32" s="28"/>
      <c r="L32" s="28"/>
      <c r="M32" s="28"/>
      <c r="N32" s="28"/>
      <c r="O32" s="28"/>
      <c r="P32" s="28">
        <f t="shared" si="5"/>
        <v>4644100</v>
      </c>
      <c r="Q32" s="53"/>
    </row>
    <row r="33" spans="1:17" s="29" customFormat="1" ht="34.5" customHeight="1" x14ac:dyDescent="0.25">
      <c r="A33" s="25" t="s">
        <v>205</v>
      </c>
      <c r="B33" s="26" t="str">
        <f>'дод 5'!A176</f>
        <v>7680</v>
      </c>
      <c r="C33" s="26" t="str">
        <f>'дод 5'!B176</f>
        <v>0490</v>
      </c>
      <c r="D33" s="27" t="str">
        <f>'дод 5'!C176</f>
        <v>Членські внески до асоціацій органів місцевого самоврядування</v>
      </c>
      <c r="E33" s="28">
        <f t="shared" si="3"/>
        <v>463094</v>
      </c>
      <c r="F33" s="28">
        <v>463094</v>
      </c>
      <c r="G33" s="28"/>
      <c r="H33" s="28"/>
      <c r="I33" s="28"/>
      <c r="J33" s="28">
        <f t="shared" si="6"/>
        <v>0</v>
      </c>
      <c r="K33" s="28"/>
      <c r="L33" s="28"/>
      <c r="M33" s="28"/>
      <c r="N33" s="28"/>
      <c r="O33" s="28"/>
      <c r="P33" s="28">
        <f t="shared" si="5"/>
        <v>463094</v>
      </c>
      <c r="Q33" s="90"/>
    </row>
    <row r="34" spans="1:17" s="29" customFormat="1" ht="117" customHeight="1" x14ac:dyDescent="0.25">
      <c r="A34" s="25" t="s">
        <v>235</v>
      </c>
      <c r="B34" s="26" t="str">
        <f>'дод 5'!A177</f>
        <v>7691</v>
      </c>
      <c r="C34" s="26" t="str">
        <f>'дод 5'!B177</f>
        <v>0490</v>
      </c>
      <c r="D34" s="27" t="str">
        <f>'дод 5'!C177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4" s="28">
        <f t="shared" si="3"/>
        <v>0</v>
      </c>
      <c r="F34" s="28"/>
      <c r="G34" s="28"/>
      <c r="H34" s="28"/>
      <c r="I34" s="28"/>
      <c r="J34" s="28">
        <f t="shared" si="6"/>
        <v>124176.6</v>
      </c>
      <c r="K34" s="28"/>
      <c r="L34" s="28">
        <f>30000</f>
        <v>30000</v>
      </c>
      <c r="M34" s="28"/>
      <c r="N34" s="28"/>
      <c r="O34" s="28">
        <v>94176.6</v>
      </c>
      <c r="P34" s="28">
        <f t="shared" si="5"/>
        <v>124176.6</v>
      </c>
      <c r="Q34" s="128">
        <v>2</v>
      </c>
    </row>
    <row r="35" spans="1:17" s="29" customFormat="1" ht="23.25" customHeight="1" x14ac:dyDescent="0.25">
      <c r="A35" s="25" t="s">
        <v>198</v>
      </c>
      <c r="B35" s="26" t="str">
        <f>'дод 5'!A178</f>
        <v>7693</v>
      </c>
      <c r="C35" s="26" t="str">
        <f>'дод 5'!B178</f>
        <v>0490</v>
      </c>
      <c r="D35" s="27" t="str">
        <f>'дод 5'!C178</f>
        <v>Інші заходи, пов'язані з економічною діяльністю</v>
      </c>
      <c r="E35" s="28">
        <f t="shared" si="3"/>
        <v>1500100</v>
      </c>
      <c r="F35" s="28">
        <v>1500100</v>
      </c>
      <c r="G35" s="28"/>
      <c r="H35" s="28"/>
      <c r="I35" s="28"/>
      <c r="J35" s="28">
        <f t="shared" si="6"/>
        <v>0</v>
      </c>
      <c r="K35" s="28"/>
      <c r="L35" s="28"/>
      <c r="M35" s="28"/>
      <c r="N35" s="28"/>
      <c r="O35" s="28"/>
      <c r="P35" s="28">
        <f t="shared" si="5"/>
        <v>1500100</v>
      </c>
      <c r="Q35" s="128"/>
    </row>
    <row r="36" spans="1:17" s="29" customFormat="1" ht="34.5" customHeight="1" x14ac:dyDescent="0.25">
      <c r="A36" s="25" t="s">
        <v>132</v>
      </c>
      <c r="B36" s="26" t="str">
        <f>'дод 5'!A183</f>
        <v>8110</v>
      </c>
      <c r="C36" s="26" t="str">
        <f>'дод 5'!B183</f>
        <v>0320</v>
      </c>
      <c r="D36" s="27" t="str">
        <f>'дод 5'!C183</f>
        <v>Заходи із запобігання та ліквідації надзвичайних ситуацій та наслідків стихійного лиха</v>
      </c>
      <c r="E36" s="28">
        <f t="shared" si="3"/>
        <v>7157800</v>
      </c>
      <c r="F36" s="28">
        <f>6173800+492000+492000</f>
        <v>7157800</v>
      </c>
      <c r="G36" s="28"/>
      <c r="H36" s="28">
        <f>98000+492000+492000</f>
        <v>1082000</v>
      </c>
      <c r="I36" s="28"/>
      <c r="J36" s="28">
        <f t="shared" si="6"/>
        <v>920000</v>
      </c>
      <c r="K36" s="28">
        <v>920000</v>
      </c>
      <c r="L36" s="28"/>
      <c r="M36" s="28"/>
      <c r="N36" s="28"/>
      <c r="O36" s="28">
        <v>920000</v>
      </c>
      <c r="P36" s="28">
        <f t="shared" si="5"/>
        <v>8077800</v>
      </c>
      <c r="Q36" s="128"/>
    </row>
    <row r="37" spans="1:17" s="29" customFormat="1" ht="30" customHeight="1" x14ac:dyDescent="0.25">
      <c r="A37" s="25" t="s">
        <v>182</v>
      </c>
      <c r="B37" s="26" t="str">
        <f>'дод 5'!A184</f>
        <v>8120</v>
      </c>
      <c r="C37" s="26" t="str">
        <f>'дод 5'!B184</f>
        <v>0320</v>
      </c>
      <c r="D37" s="27" t="str">
        <f>'дод 5'!C184</f>
        <v>Заходи з організації рятування на водах, у т.ч. за рахунок:</v>
      </c>
      <c r="E37" s="28">
        <f t="shared" si="3"/>
        <v>4480700</v>
      </c>
      <c r="F37" s="28">
        <f>4480700+514900-514900</f>
        <v>4480700</v>
      </c>
      <c r="G37" s="28">
        <f>3314000+422100-422100</f>
        <v>3314000</v>
      </c>
      <c r="H37" s="28">
        <v>118900</v>
      </c>
      <c r="I37" s="28"/>
      <c r="J37" s="28">
        <f t="shared" si="6"/>
        <v>7100</v>
      </c>
      <c r="K37" s="28"/>
      <c r="L37" s="28">
        <v>7100</v>
      </c>
      <c r="M37" s="28"/>
      <c r="N37" s="28">
        <v>1500</v>
      </c>
      <c r="O37" s="28"/>
      <c r="P37" s="28">
        <f t="shared" si="5"/>
        <v>4487800</v>
      </c>
      <c r="Q37" s="128"/>
    </row>
    <row r="38" spans="1:17" s="38" customFormat="1" ht="63" x14ac:dyDescent="0.25">
      <c r="A38" s="34"/>
      <c r="B38" s="35"/>
      <c r="C38" s="35"/>
      <c r="D38" s="39" t="str">
        <f>'дод 5'!C185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38" s="37">
        <f t="shared" si="3"/>
        <v>514900</v>
      </c>
      <c r="F38" s="37">
        <f>514900</f>
        <v>514900</v>
      </c>
      <c r="G38" s="37">
        <v>422100</v>
      </c>
      <c r="H38" s="37"/>
      <c r="I38" s="37"/>
      <c r="J38" s="28">
        <f t="shared" si="6"/>
        <v>0</v>
      </c>
      <c r="K38" s="37"/>
      <c r="L38" s="37"/>
      <c r="M38" s="37"/>
      <c r="N38" s="37"/>
      <c r="O38" s="37"/>
      <c r="P38" s="28">
        <f t="shared" si="5"/>
        <v>514900</v>
      </c>
      <c r="Q38" s="128"/>
    </row>
    <row r="39" spans="1:17" s="29" customFormat="1" ht="27" customHeight="1" x14ac:dyDescent="0.25">
      <c r="A39" s="25" t="s">
        <v>201</v>
      </c>
      <c r="B39" s="26" t="str">
        <f>'дод 5'!A187</f>
        <v>8230</v>
      </c>
      <c r="C39" s="26" t="str">
        <f>'дод 5'!B187</f>
        <v>0380</v>
      </c>
      <c r="D39" s="27" t="str">
        <f>'дод 5'!C187</f>
        <v>Інші заходи громадського порядку та безпеки</v>
      </c>
      <c r="E39" s="28">
        <f t="shared" si="3"/>
        <v>714500</v>
      </c>
      <c r="F39" s="28">
        <v>714500</v>
      </c>
      <c r="G39" s="28"/>
      <c r="H39" s="28">
        <v>589400</v>
      </c>
      <c r="I39" s="28"/>
      <c r="J39" s="28">
        <f t="shared" si="6"/>
        <v>0</v>
      </c>
      <c r="K39" s="28"/>
      <c r="L39" s="28"/>
      <c r="M39" s="28"/>
      <c r="N39" s="28"/>
      <c r="O39" s="28"/>
      <c r="P39" s="28">
        <f t="shared" si="5"/>
        <v>714500</v>
      </c>
      <c r="Q39" s="128"/>
    </row>
    <row r="40" spans="1:17" s="29" customFormat="1" ht="17.25" customHeight="1" x14ac:dyDescent="0.25">
      <c r="A40" s="25" t="s">
        <v>335</v>
      </c>
      <c r="B40" s="26">
        <f>'дод 5'!A188</f>
        <v>8240</v>
      </c>
      <c r="C40" s="26" t="str">
        <f>'дод 5'!B188</f>
        <v>0380</v>
      </c>
      <c r="D40" s="30" t="str">
        <f>'дод 5'!C188</f>
        <v>Заходи та роботи з територіальної оборони</v>
      </c>
      <c r="E40" s="28">
        <f t="shared" ref="E40" si="7">F40+I40</f>
        <v>12299264</v>
      </c>
      <c r="F40" s="28">
        <f>3750000+7799264+750000</f>
        <v>12299264</v>
      </c>
      <c r="G40" s="28"/>
      <c r="H40" s="28">
        <f>750000+750000</f>
        <v>1500000</v>
      </c>
      <c r="I40" s="28"/>
      <c r="J40" s="28">
        <f t="shared" ref="J40" si="8">L40+O40</f>
        <v>0</v>
      </c>
      <c r="K40" s="28"/>
      <c r="L40" s="28"/>
      <c r="M40" s="28"/>
      <c r="N40" s="28"/>
      <c r="O40" s="28"/>
      <c r="P40" s="28">
        <f t="shared" ref="P40" si="9">E40+J40</f>
        <v>12299264</v>
      </c>
      <c r="Q40" s="128"/>
    </row>
    <row r="41" spans="1:17" s="29" customFormat="1" ht="31.5" x14ac:dyDescent="0.25">
      <c r="A41" s="25" t="s">
        <v>133</v>
      </c>
      <c r="B41" s="26" t="str">
        <f>'дод 5'!A191</f>
        <v>8340</v>
      </c>
      <c r="C41" s="26" t="str">
        <f>'дод 5'!B191</f>
        <v>0540</v>
      </c>
      <c r="D41" s="27" t="str">
        <f>'дод 5'!C191</f>
        <v>Природоохоронні заходи за рахунок цільових фондів</v>
      </c>
      <c r="E41" s="28">
        <f t="shared" si="3"/>
        <v>0</v>
      </c>
      <c r="F41" s="28"/>
      <c r="G41" s="28"/>
      <c r="H41" s="28"/>
      <c r="I41" s="28"/>
      <c r="J41" s="28">
        <f t="shared" si="6"/>
        <v>80000</v>
      </c>
      <c r="K41" s="28"/>
      <c r="L41" s="28">
        <v>80000</v>
      </c>
      <c r="M41" s="28"/>
      <c r="N41" s="28"/>
      <c r="O41" s="28"/>
      <c r="P41" s="28">
        <f t="shared" si="5"/>
        <v>80000</v>
      </c>
      <c r="Q41" s="128"/>
    </row>
    <row r="42" spans="1:17" s="29" customFormat="1" ht="47.25" customHeight="1" x14ac:dyDescent="0.25">
      <c r="A42" s="25" t="s">
        <v>282</v>
      </c>
      <c r="B42" s="26">
        <f>'дод 5'!A198</f>
        <v>9800</v>
      </c>
      <c r="C42" s="26" t="str">
        <f>'дод 5'!B198</f>
        <v>0180</v>
      </c>
      <c r="D42" s="30" t="str">
        <f>'дод 5'!C198</f>
        <v>Субвенція з місцевого бюджету державному бюджету на виконання програм соціально-економічного розвитку регіонів</v>
      </c>
      <c r="E42" s="28">
        <f>F42+I42</f>
        <v>9934164</v>
      </c>
      <c r="F42" s="28">
        <f>200000+2755000+816000+6403164-240000</f>
        <v>9934164</v>
      </c>
      <c r="G42" s="28"/>
      <c r="H42" s="28"/>
      <c r="I42" s="28"/>
      <c r="J42" s="28">
        <f t="shared" si="6"/>
        <v>9100000</v>
      </c>
      <c r="K42" s="28">
        <f>10024200-213200+200000-2755000-816000+3420000-760000</f>
        <v>9100000</v>
      </c>
      <c r="L42" s="28"/>
      <c r="M42" s="28"/>
      <c r="N42" s="28"/>
      <c r="O42" s="28">
        <f>10024200-213200+200000-2755000-816000+3420000-760000</f>
        <v>9100000</v>
      </c>
      <c r="P42" s="28">
        <f t="shared" si="5"/>
        <v>19034164</v>
      </c>
      <c r="Q42" s="128"/>
    </row>
    <row r="43" spans="1:17" s="19" customFormat="1" ht="29.25" customHeight="1" x14ac:dyDescent="0.25">
      <c r="A43" s="16" t="s">
        <v>134</v>
      </c>
      <c r="B43" s="31"/>
      <c r="C43" s="31"/>
      <c r="D43" s="17" t="s">
        <v>21</v>
      </c>
      <c r="E43" s="18">
        <f>E44</f>
        <v>1298760606</v>
      </c>
      <c r="F43" s="18">
        <f t="shared" ref="F43:I43" si="10">F44</f>
        <v>1298760606</v>
      </c>
      <c r="G43" s="18">
        <f t="shared" si="10"/>
        <v>857510810</v>
      </c>
      <c r="H43" s="18">
        <f t="shared" si="10"/>
        <v>151871100</v>
      </c>
      <c r="I43" s="18">
        <f t="shared" si="10"/>
        <v>0</v>
      </c>
      <c r="J43" s="18">
        <f>J44</f>
        <v>169444430.67000002</v>
      </c>
      <c r="K43" s="18">
        <f t="shared" ref="K43" si="11">K44</f>
        <v>66465730.670000002</v>
      </c>
      <c r="L43" s="18">
        <f t="shared" ref="L43" si="12">L44</f>
        <v>87460000</v>
      </c>
      <c r="M43" s="18">
        <f t="shared" ref="M43" si="13">M44</f>
        <v>9886420</v>
      </c>
      <c r="N43" s="18">
        <f t="shared" ref="N43" si="14">N44</f>
        <v>6906830</v>
      </c>
      <c r="O43" s="18">
        <f t="shared" ref="O43:P43" si="15">O44</f>
        <v>81984430.670000002</v>
      </c>
      <c r="P43" s="18">
        <f t="shared" si="15"/>
        <v>1468205036.6700001</v>
      </c>
      <c r="Q43" s="128"/>
    </row>
    <row r="44" spans="1:17" s="24" customFormat="1" ht="33" customHeight="1" x14ac:dyDescent="0.25">
      <c r="A44" s="20" t="s">
        <v>135</v>
      </c>
      <c r="B44" s="32"/>
      <c r="C44" s="32"/>
      <c r="D44" s="22" t="s">
        <v>403</v>
      </c>
      <c r="E44" s="23">
        <f>E55+E56+E57+E58+E59+E67+E73+E74+E75+E78+E96+E97+E98+E100+E68+E99+E60+E76+E63+E65+E71+E79+E80+E82+E91+E89+E93+E87+E84+E85</f>
        <v>1298760606</v>
      </c>
      <c r="F44" s="23">
        <f t="shared" ref="F44:P44" si="16">F55+F56+F57+F58+F59+F67+F73+F74+F75+F78+F96+F97+F98+F100+F68+F99+F60+F76+F63+F65+F71+F79+F80+F82+F91+F89+F93+F87+F84+F85</f>
        <v>1298760606</v>
      </c>
      <c r="G44" s="23">
        <f t="shared" si="16"/>
        <v>857510810</v>
      </c>
      <c r="H44" s="23">
        <f t="shared" si="16"/>
        <v>151871100</v>
      </c>
      <c r="I44" s="23">
        <f t="shared" si="16"/>
        <v>0</v>
      </c>
      <c r="J44" s="23">
        <f t="shared" si="16"/>
        <v>169444430.67000002</v>
      </c>
      <c r="K44" s="23">
        <f t="shared" si="16"/>
        <v>66465730.670000002</v>
      </c>
      <c r="L44" s="23">
        <f t="shared" si="16"/>
        <v>87460000</v>
      </c>
      <c r="M44" s="23">
        <f t="shared" si="16"/>
        <v>9886420</v>
      </c>
      <c r="N44" s="23">
        <f t="shared" si="16"/>
        <v>6906830</v>
      </c>
      <c r="O44" s="23">
        <f t="shared" si="16"/>
        <v>81984430.670000002</v>
      </c>
      <c r="P44" s="23">
        <f t="shared" si="16"/>
        <v>1468205036.6700001</v>
      </c>
      <c r="Q44" s="128"/>
    </row>
    <row r="45" spans="1:17" s="24" customFormat="1" ht="33" customHeight="1" x14ac:dyDescent="0.25">
      <c r="A45" s="20"/>
      <c r="B45" s="32"/>
      <c r="C45" s="32"/>
      <c r="D45" s="33" t="s">
        <v>408</v>
      </c>
      <c r="E45" s="23">
        <f>E61+E64+E66+E72+E86</f>
        <v>336977300</v>
      </c>
      <c r="F45" s="23">
        <f t="shared" ref="F45:P45" si="17">F61+F64+F66+F72+F86</f>
        <v>336977300</v>
      </c>
      <c r="G45" s="23">
        <f t="shared" si="17"/>
        <v>276212800</v>
      </c>
      <c r="H45" s="23">
        <f t="shared" si="17"/>
        <v>0</v>
      </c>
      <c r="I45" s="23">
        <f t="shared" si="17"/>
        <v>0</v>
      </c>
      <c r="J45" s="23">
        <f t="shared" si="17"/>
        <v>15081700</v>
      </c>
      <c r="K45" s="23">
        <f t="shared" si="17"/>
        <v>0</v>
      </c>
      <c r="L45" s="23">
        <f t="shared" si="17"/>
        <v>0</v>
      </c>
      <c r="M45" s="23">
        <f t="shared" si="17"/>
        <v>0</v>
      </c>
      <c r="N45" s="23">
        <f t="shared" si="17"/>
        <v>0</v>
      </c>
      <c r="O45" s="23">
        <f t="shared" si="17"/>
        <v>15081700</v>
      </c>
      <c r="P45" s="23">
        <f t="shared" si="17"/>
        <v>352059000</v>
      </c>
      <c r="Q45" s="128"/>
    </row>
    <row r="46" spans="1:17" s="24" customFormat="1" ht="64.900000000000006" customHeight="1" x14ac:dyDescent="0.25">
      <c r="A46" s="20"/>
      <c r="B46" s="32"/>
      <c r="C46" s="32"/>
      <c r="D46" s="33" t="str">
        <f>D81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46" s="23">
        <f>E81</f>
        <v>2625231</v>
      </c>
      <c r="F46" s="23">
        <f t="shared" ref="F46:P46" si="18">F81</f>
        <v>2625231</v>
      </c>
      <c r="G46" s="23">
        <f t="shared" si="18"/>
        <v>0</v>
      </c>
      <c r="H46" s="23">
        <f t="shared" si="18"/>
        <v>0</v>
      </c>
      <c r="I46" s="23">
        <f t="shared" si="18"/>
        <v>0</v>
      </c>
      <c r="J46" s="23">
        <f t="shared" si="18"/>
        <v>7677569</v>
      </c>
      <c r="K46" s="23">
        <f t="shared" si="18"/>
        <v>7677569</v>
      </c>
      <c r="L46" s="23">
        <f t="shared" si="18"/>
        <v>0</v>
      </c>
      <c r="M46" s="23">
        <f t="shared" si="18"/>
        <v>0</v>
      </c>
      <c r="N46" s="23">
        <f t="shared" si="18"/>
        <v>0</v>
      </c>
      <c r="O46" s="23">
        <f t="shared" si="18"/>
        <v>7677569</v>
      </c>
      <c r="P46" s="23">
        <f t="shared" si="18"/>
        <v>10302800</v>
      </c>
      <c r="Q46" s="128"/>
    </row>
    <row r="47" spans="1:17" s="24" customFormat="1" ht="53.65" customHeight="1" x14ac:dyDescent="0.25">
      <c r="A47" s="20"/>
      <c r="B47" s="32"/>
      <c r="C47" s="32"/>
      <c r="D47" s="33" t="str">
        <f>D83</f>
        <v>субвенції з державного бюджету місцевим бюджетам на надання державної пітримки особам з особливими освітніми потребами</v>
      </c>
      <c r="E47" s="23">
        <f>E83</f>
        <v>891200</v>
      </c>
      <c r="F47" s="23">
        <f t="shared" ref="F47:P47" si="19">F83</f>
        <v>891200</v>
      </c>
      <c r="G47" s="23">
        <f t="shared" si="19"/>
        <v>730490</v>
      </c>
      <c r="H47" s="23">
        <f t="shared" si="19"/>
        <v>0</v>
      </c>
      <c r="I47" s="23">
        <f t="shared" si="19"/>
        <v>0</v>
      </c>
      <c r="J47" s="23">
        <f t="shared" si="19"/>
        <v>0</v>
      </c>
      <c r="K47" s="23">
        <f t="shared" si="19"/>
        <v>0</v>
      </c>
      <c r="L47" s="23">
        <f t="shared" si="19"/>
        <v>0</v>
      </c>
      <c r="M47" s="23">
        <f t="shared" si="19"/>
        <v>0</v>
      </c>
      <c r="N47" s="23">
        <f t="shared" si="19"/>
        <v>0</v>
      </c>
      <c r="O47" s="23">
        <f t="shared" si="19"/>
        <v>0</v>
      </c>
      <c r="P47" s="23">
        <f t="shared" si="19"/>
        <v>891200</v>
      </c>
      <c r="Q47" s="128"/>
    </row>
    <row r="48" spans="1:17" s="24" customFormat="1" ht="50.65" customHeight="1" x14ac:dyDescent="0.25">
      <c r="A48" s="20"/>
      <c r="B48" s="32"/>
      <c r="C48" s="32"/>
      <c r="D48" s="33" t="str">
        <f>D92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48" s="23">
        <f>E92</f>
        <v>24742100</v>
      </c>
      <c r="F48" s="23">
        <f t="shared" ref="F48:P48" si="20">F92</f>
        <v>24742100</v>
      </c>
      <c r="G48" s="23">
        <f t="shared" si="20"/>
        <v>20280410</v>
      </c>
      <c r="H48" s="23">
        <f t="shared" si="20"/>
        <v>0</v>
      </c>
      <c r="I48" s="23">
        <f t="shared" si="20"/>
        <v>0</v>
      </c>
      <c r="J48" s="23">
        <f t="shared" si="20"/>
        <v>0</v>
      </c>
      <c r="K48" s="23">
        <f t="shared" si="20"/>
        <v>0</v>
      </c>
      <c r="L48" s="23">
        <f t="shared" si="20"/>
        <v>0</v>
      </c>
      <c r="M48" s="23">
        <f t="shared" si="20"/>
        <v>0</v>
      </c>
      <c r="N48" s="23">
        <f t="shared" si="20"/>
        <v>0</v>
      </c>
      <c r="O48" s="23">
        <f t="shared" si="20"/>
        <v>0</v>
      </c>
      <c r="P48" s="23">
        <f t="shared" si="20"/>
        <v>24742100</v>
      </c>
      <c r="Q48" s="128"/>
    </row>
    <row r="49" spans="1:17" s="24" customFormat="1" ht="50.65" customHeight="1" x14ac:dyDescent="0.25">
      <c r="A49" s="20"/>
      <c r="B49" s="32"/>
      <c r="C49" s="32"/>
      <c r="D49" s="33" t="str">
        <f>D90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49" s="23">
        <f>E90</f>
        <v>0</v>
      </c>
      <c r="F49" s="23">
        <f t="shared" ref="F49:P49" si="21">F90</f>
        <v>0</v>
      </c>
      <c r="G49" s="23">
        <f t="shared" si="21"/>
        <v>0</v>
      </c>
      <c r="H49" s="23">
        <f t="shared" si="21"/>
        <v>0</v>
      </c>
      <c r="I49" s="23">
        <f t="shared" si="21"/>
        <v>0</v>
      </c>
      <c r="J49" s="23">
        <f t="shared" si="21"/>
        <v>22533600</v>
      </c>
      <c r="K49" s="23">
        <f t="shared" si="21"/>
        <v>0</v>
      </c>
      <c r="L49" s="23">
        <f t="shared" si="21"/>
        <v>22533600</v>
      </c>
      <c r="M49" s="23">
        <f t="shared" si="21"/>
        <v>0</v>
      </c>
      <c r="N49" s="23">
        <f t="shared" si="21"/>
        <v>0</v>
      </c>
      <c r="O49" s="23">
        <f t="shared" si="21"/>
        <v>0</v>
      </c>
      <c r="P49" s="23">
        <f t="shared" si="21"/>
        <v>22533600</v>
      </c>
      <c r="Q49" s="128"/>
    </row>
    <row r="50" spans="1:17" s="24" customFormat="1" ht="141.75" x14ac:dyDescent="0.25">
      <c r="A50" s="20"/>
      <c r="B50" s="32"/>
      <c r="C50" s="32"/>
      <c r="D50" s="33" t="str">
        <f>D69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50" s="23">
        <f t="shared" ref="E50:P50" si="22">E69+E88</f>
        <v>0</v>
      </c>
      <c r="F50" s="23">
        <f t="shared" si="22"/>
        <v>0</v>
      </c>
      <c r="G50" s="23">
        <f t="shared" si="22"/>
        <v>0</v>
      </c>
      <c r="H50" s="23">
        <f t="shared" si="22"/>
        <v>0</v>
      </c>
      <c r="I50" s="23">
        <f t="shared" si="22"/>
        <v>0</v>
      </c>
      <c r="J50" s="23">
        <f t="shared" si="22"/>
        <v>35673973.670000002</v>
      </c>
      <c r="K50" s="23">
        <f t="shared" si="22"/>
        <v>35673973.670000002</v>
      </c>
      <c r="L50" s="23">
        <f t="shared" si="22"/>
        <v>0</v>
      </c>
      <c r="M50" s="23">
        <f t="shared" si="22"/>
        <v>0</v>
      </c>
      <c r="N50" s="23">
        <f t="shared" si="22"/>
        <v>0</v>
      </c>
      <c r="O50" s="23">
        <f t="shared" si="22"/>
        <v>35673973.670000002</v>
      </c>
      <c r="P50" s="23">
        <f t="shared" si="22"/>
        <v>35673973.670000002</v>
      </c>
      <c r="Q50" s="128"/>
    </row>
    <row r="51" spans="1:17" s="24" customFormat="1" ht="63" x14ac:dyDescent="0.25">
      <c r="A51" s="20"/>
      <c r="B51" s="32"/>
      <c r="C51" s="32"/>
      <c r="D51" s="33" t="str">
        <f>D95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1" s="23">
        <f>E95</f>
        <v>0</v>
      </c>
      <c r="F51" s="23">
        <f t="shared" ref="F51:P51" si="23">F95</f>
        <v>0</v>
      </c>
      <c r="G51" s="23">
        <f t="shared" si="23"/>
        <v>0</v>
      </c>
      <c r="H51" s="23">
        <f t="shared" si="23"/>
        <v>0</v>
      </c>
      <c r="I51" s="23">
        <f t="shared" si="23"/>
        <v>0</v>
      </c>
      <c r="J51" s="23">
        <f t="shared" si="23"/>
        <v>2892900</v>
      </c>
      <c r="K51" s="23">
        <f t="shared" si="23"/>
        <v>0</v>
      </c>
      <c r="L51" s="23">
        <f t="shared" si="23"/>
        <v>2892900</v>
      </c>
      <c r="M51" s="23">
        <f t="shared" si="23"/>
        <v>0</v>
      </c>
      <c r="N51" s="23">
        <f t="shared" si="23"/>
        <v>0</v>
      </c>
      <c r="O51" s="23">
        <f t="shared" si="23"/>
        <v>0</v>
      </c>
      <c r="P51" s="23">
        <f t="shared" si="23"/>
        <v>2892900</v>
      </c>
      <c r="Q51" s="128"/>
    </row>
    <row r="52" spans="1:17" s="24" customFormat="1" ht="79.150000000000006" customHeight="1" x14ac:dyDescent="0.25">
      <c r="A52" s="20"/>
      <c r="B52" s="32"/>
      <c r="C52" s="32"/>
      <c r="D52" s="33" t="str">
        <f>D94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2" s="33">
        <f t="shared" ref="E52:P52" si="24">E94</f>
        <v>0</v>
      </c>
      <c r="F52" s="33">
        <f t="shared" si="24"/>
        <v>0</v>
      </c>
      <c r="G52" s="33">
        <f t="shared" si="24"/>
        <v>0</v>
      </c>
      <c r="H52" s="33">
        <f t="shared" si="24"/>
        <v>0</v>
      </c>
      <c r="I52" s="33">
        <f t="shared" si="24"/>
        <v>0</v>
      </c>
      <c r="J52" s="23">
        <f t="shared" si="24"/>
        <v>2892900</v>
      </c>
      <c r="K52" s="23">
        <f t="shared" si="24"/>
        <v>0</v>
      </c>
      <c r="L52" s="23">
        <f t="shared" si="24"/>
        <v>2892900</v>
      </c>
      <c r="M52" s="23">
        <f t="shared" si="24"/>
        <v>0</v>
      </c>
      <c r="N52" s="23">
        <f t="shared" si="24"/>
        <v>0</v>
      </c>
      <c r="O52" s="23">
        <f t="shared" si="24"/>
        <v>0</v>
      </c>
      <c r="P52" s="23">
        <f t="shared" si="24"/>
        <v>2892900</v>
      </c>
      <c r="Q52" s="128"/>
    </row>
    <row r="53" spans="1:17" s="24" customFormat="1" ht="44.25" customHeight="1" x14ac:dyDescent="0.25">
      <c r="A53" s="20"/>
      <c r="B53" s="32"/>
      <c r="C53" s="32"/>
      <c r="D53" s="22" t="s">
        <v>401</v>
      </c>
      <c r="E53" s="23">
        <f>E62+E77</f>
        <v>3536117</v>
      </c>
      <c r="F53" s="23">
        <f t="shared" ref="F53:N53" si="25">F62+F77</f>
        <v>3536117</v>
      </c>
      <c r="G53" s="23">
        <f t="shared" si="25"/>
        <v>1176210</v>
      </c>
      <c r="H53" s="23">
        <f t="shared" si="25"/>
        <v>0</v>
      </c>
      <c r="I53" s="23">
        <f t="shared" si="25"/>
        <v>0</v>
      </c>
      <c r="J53" s="23">
        <f t="shared" si="25"/>
        <v>0</v>
      </c>
      <c r="K53" s="23">
        <f t="shared" si="25"/>
        <v>0</v>
      </c>
      <c r="L53" s="23">
        <f t="shared" si="25"/>
        <v>0</v>
      </c>
      <c r="M53" s="23">
        <f t="shared" si="25"/>
        <v>0</v>
      </c>
      <c r="N53" s="23">
        <f t="shared" si="25"/>
        <v>0</v>
      </c>
      <c r="O53" s="23">
        <f>O62+O77</f>
        <v>0</v>
      </c>
      <c r="P53" s="23">
        <f>P62+P77</f>
        <v>3536117</v>
      </c>
      <c r="Q53" s="128"/>
    </row>
    <row r="54" spans="1:17" s="24" customFormat="1" ht="30.4" customHeight="1" x14ac:dyDescent="0.25">
      <c r="A54" s="20"/>
      <c r="B54" s="32"/>
      <c r="C54" s="32"/>
      <c r="D54" s="22" t="str">
        <f>D70</f>
        <v>іншої субвенції з місцевого бюджету</v>
      </c>
      <c r="E54" s="23">
        <f>E70</f>
        <v>0</v>
      </c>
      <c r="F54" s="23">
        <f t="shared" ref="F54:P54" si="26">F70</f>
        <v>0</v>
      </c>
      <c r="G54" s="23">
        <f t="shared" si="26"/>
        <v>0</v>
      </c>
      <c r="H54" s="23">
        <f t="shared" si="26"/>
        <v>0</v>
      </c>
      <c r="I54" s="23">
        <f t="shared" si="26"/>
        <v>0</v>
      </c>
      <c r="J54" s="23">
        <f t="shared" si="26"/>
        <v>4500000</v>
      </c>
      <c r="K54" s="23">
        <f t="shared" si="26"/>
        <v>4500000</v>
      </c>
      <c r="L54" s="23">
        <f t="shared" si="26"/>
        <v>0</v>
      </c>
      <c r="M54" s="23">
        <f t="shared" si="26"/>
        <v>0</v>
      </c>
      <c r="N54" s="23">
        <f t="shared" si="26"/>
        <v>0</v>
      </c>
      <c r="O54" s="23">
        <f t="shared" si="26"/>
        <v>4500000</v>
      </c>
      <c r="P54" s="23">
        <f t="shared" si="26"/>
        <v>4500000</v>
      </c>
      <c r="Q54" s="128"/>
    </row>
    <row r="55" spans="1:17" s="29" customFormat="1" ht="45.75" customHeight="1" x14ac:dyDescent="0.25">
      <c r="A55" s="25" t="s">
        <v>136</v>
      </c>
      <c r="B55" s="26" t="str">
        <f>'дод 5'!A17</f>
        <v>0160</v>
      </c>
      <c r="C55" s="26" t="str">
        <f>'дод 5'!B17</f>
        <v>0111</v>
      </c>
      <c r="D55" s="2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55" s="28">
        <f t="shared" ref="E55:E100" si="27">F55+I55</f>
        <v>5997800</v>
      </c>
      <c r="F55" s="28">
        <v>5997800</v>
      </c>
      <c r="G55" s="28">
        <v>4567200</v>
      </c>
      <c r="H55" s="28">
        <v>111900</v>
      </c>
      <c r="I55" s="28"/>
      <c r="J55" s="28">
        <f>L55+O55</f>
        <v>0</v>
      </c>
      <c r="K55" s="28">
        <v>0</v>
      </c>
      <c r="L55" s="28"/>
      <c r="M55" s="28"/>
      <c r="N55" s="28"/>
      <c r="O55" s="28">
        <v>0</v>
      </c>
      <c r="P55" s="28">
        <f t="shared" ref="P55:P100" si="28">E55+J55</f>
        <v>5997800</v>
      </c>
      <c r="Q55" s="128"/>
    </row>
    <row r="56" spans="1:17" s="29" customFormat="1" ht="21.75" customHeight="1" x14ac:dyDescent="0.25">
      <c r="A56" s="25" t="s">
        <v>137</v>
      </c>
      <c r="B56" s="26" t="str">
        <f>'дод 5'!A31</f>
        <v>1010</v>
      </c>
      <c r="C56" s="26" t="str">
        <f>'дод 5'!B31</f>
        <v>0910</v>
      </c>
      <c r="D56" s="27" t="str">
        <f>'дод 5'!C31</f>
        <v>Надання дошкільної освіти</v>
      </c>
      <c r="E56" s="28">
        <f t="shared" si="27"/>
        <v>372827900</v>
      </c>
      <c r="F56" s="28">
        <f>372792900+35000</f>
        <v>372827900</v>
      </c>
      <c r="G56" s="28">
        <v>253895000</v>
      </c>
      <c r="H56" s="28">
        <v>47086600</v>
      </c>
      <c r="I56" s="28"/>
      <c r="J56" s="28">
        <f>L56+O56</f>
        <v>17052030</v>
      </c>
      <c r="K56" s="28"/>
      <c r="L56" s="28">
        <v>17052030</v>
      </c>
      <c r="M56" s="28"/>
      <c r="N56" s="28"/>
      <c r="O56" s="28"/>
      <c r="P56" s="28">
        <f t="shared" si="28"/>
        <v>389879930</v>
      </c>
      <c r="Q56" s="128">
        <v>3</v>
      </c>
    </row>
    <row r="57" spans="1:17" s="29" customFormat="1" ht="54" customHeight="1" x14ac:dyDescent="0.25">
      <c r="A57" s="25" t="s">
        <v>297</v>
      </c>
      <c r="B57" s="25">
        <f>'дод 5'!A32</f>
        <v>1021</v>
      </c>
      <c r="C57" s="26" t="str">
        <f>'дод 5'!B32</f>
        <v>0921</v>
      </c>
      <c r="D57" s="27" t="str">
        <f>'дод 5'!C32</f>
        <v>Надання загальної середньої освіти закладами загальної середньої освіти за рахунок коштів місцевого бюджету</v>
      </c>
      <c r="E57" s="28">
        <f t="shared" si="27"/>
        <v>276673151</v>
      </c>
      <c r="F57" s="28">
        <f>275705700+120960+470000+40359+210000+126132</f>
        <v>276673151</v>
      </c>
      <c r="G57" s="28">
        <v>145056200</v>
      </c>
      <c r="H57" s="28">
        <v>65222400</v>
      </c>
      <c r="I57" s="28"/>
      <c r="J57" s="28">
        <f t="shared" ref="J57:J100" si="29">L57+O57</f>
        <v>26849410</v>
      </c>
      <c r="K57" s="28">
        <f>1000000+500000+3654000+1500000</f>
        <v>6654000</v>
      </c>
      <c r="L57" s="28">
        <v>20195410</v>
      </c>
      <c r="M57" s="28">
        <v>2627920</v>
      </c>
      <c r="N57" s="28">
        <v>244330</v>
      </c>
      <c r="O57" s="124">
        <f>1000000+500000+3654000+1500000</f>
        <v>6654000</v>
      </c>
      <c r="P57" s="28">
        <f t="shared" si="28"/>
        <v>303522561</v>
      </c>
      <c r="Q57" s="128"/>
    </row>
    <row r="58" spans="1:17" s="29" customFormat="1" ht="80.25" customHeight="1" x14ac:dyDescent="0.25">
      <c r="A58" s="25" t="s">
        <v>298</v>
      </c>
      <c r="B58" s="26">
        <f>'дод 5'!A33</f>
        <v>1022</v>
      </c>
      <c r="C58" s="26" t="str">
        <f>'дод 5'!B33</f>
        <v>0922</v>
      </c>
      <c r="D58" s="30" t="str">
        <f>'дод 5'!C33</f>
        <v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v>
      </c>
      <c r="E58" s="28">
        <f t="shared" si="27"/>
        <v>18577200</v>
      </c>
      <c r="F58" s="28">
        <v>18577200</v>
      </c>
      <c r="G58" s="28">
        <v>11223500</v>
      </c>
      <c r="H58" s="28">
        <v>3058200</v>
      </c>
      <c r="I58" s="28"/>
      <c r="J58" s="28">
        <f t="shared" si="29"/>
        <v>0</v>
      </c>
      <c r="K58" s="28"/>
      <c r="L58" s="28"/>
      <c r="M58" s="28"/>
      <c r="N58" s="28"/>
      <c r="O58" s="28"/>
      <c r="P58" s="28">
        <f t="shared" si="28"/>
        <v>18577200</v>
      </c>
      <c r="Q58" s="128"/>
    </row>
    <row r="59" spans="1:17" s="29" customFormat="1" ht="83.25" customHeight="1" x14ac:dyDescent="0.25">
      <c r="A59" s="25" t="s">
        <v>322</v>
      </c>
      <c r="B59" s="26">
        <f>'дод 5'!A34</f>
        <v>1025</v>
      </c>
      <c r="C59" s="26" t="str">
        <f>'дод 5'!B34</f>
        <v>0922</v>
      </c>
      <c r="D59" s="30" t="str">
        <f>'дод 5'!C34</f>
        <v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v>
      </c>
      <c r="E59" s="28">
        <f t="shared" si="27"/>
        <v>13453600</v>
      </c>
      <c r="F59" s="28">
        <v>13453600</v>
      </c>
      <c r="G59" s="28">
        <v>9459000</v>
      </c>
      <c r="H59" s="28">
        <v>1260200</v>
      </c>
      <c r="I59" s="28"/>
      <c r="J59" s="28">
        <f t="shared" si="29"/>
        <v>0</v>
      </c>
      <c r="K59" s="28"/>
      <c r="L59" s="28"/>
      <c r="M59" s="28"/>
      <c r="N59" s="28"/>
      <c r="O59" s="28"/>
      <c r="P59" s="28">
        <f t="shared" si="28"/>
        <v>13453600</v>
      </c>
      <c r="Q59" s="128"/>
    </row>
    <row r="60" spans="1:17" s="29" customFormat="1" ht="47.25" x14ac:dyDescent="0.25">
      <c r="A60" s="25" t="s">
        <v>400</v>
      </c>
      <c r="B60" s="26">
        <f>'дод 5'!A35</f>
        <v>1031</v>
      </c>
      <c r="C60" s="26">
        <f>'дод 5'!B35</f>
        <v>921</v>
      </c>
      <c r="D60" s="30" t="str">
        <f>'дод 5'!C35</f>
        <v>Надання загальної середньої освіти закладами загальної середньої освіти за рахунок освітньої субвенції,  у т. ч. за рахунок:</v>
      </c>
      <c r="E60" s="28">
        <f t="shared" ref="E60:E64" si="30">F60+I60</f>
        <v>311742647</v>
      </c>
      <c r="F60" s="28">
        <f>F61+F62</f>
        <v>311742647</v>
      </c>
      <c r="G60" s="28">
        <f t="shared" ref="G60:H60" si="31">G61+G62</f>
        <v>253806400</v>
      </c>
      <c r="H60" s="28">
        <f t="shared" si="31"/>
        <v>0</v>
      </c>
      <c r="I60" s="28"/>
      <c r="J60" s="28">
        <f t="shared" ref="J60:J64" si="32">L60+O60</f>
        <v>0</v>
      </c>
      <c r="K60" s="28"/>
      <c r="L60" s="28"/>
      <c r="M60" s="28"/>
      <c r="N60" s="28"/>
      <c r="O60" s="28"/>
      <c r="P60" s="28">
        <f t="shared" ref="P60:P62" si="33">E60+J60</f>
        <v>311742647</v>
      </c>
      <c r="Q60" s="128"/>
    </row>
    <row r="61" spans="1:17" s="38" customFormat="1" ht="31.5" x14ac:dyDescent="0.25">
      <c r="A61" s="34"/>
      <c r="B61" s="35"/>
      <c r="C61" s="35"/>
      <c r="D61" s="36" t="s">
        <v>408</v>
      </c>
      <c r="E61" s="37">
        <f t="shared" ref="E61" si="34">F61+I61</f>
        <v>309641500</v>
      </c>
      <c r="F61" s="37">
        <v>309641500</v>
      </c>
      <c r="G61" s="37">
        <v>253806400</v>
      </c>
      <c r="H61" s="37"/>
      <c r="I61" s="37"/>
      <c r="J61" s="37">
        <f t="shared" ref="J61" si="35">L61+O61</f>
        <v>0</v>
      </c>
      <c r="K61" s="37"/>
      <c r="L61" s="37"/>
      <c r="M61" s="37"/>
      <c r="N61" s="37"/>
      <c r="O61" s="37"/>
      <c r="P61" s="37">
        <f t="shared" ref="P61" si="36">E61+J61</f>
        <v>309641500</v>
      </c>
      <c r="Q61" s="128"/>
    </row>
    <row r="62" spans="1:17" s="38" customFormat="1" ht="47.25" x14ac:dyDescent="0.25">
      <c r="A62" s="34"/>
      <c r="B62" s="35"/>
      <c r="C62" s="35"/>
      <c r="D62" s="39" t="s">
        <v>401</v>
      </c>
      <c r="E62" s="37">
        <f t="shared" si="30"/>
        <v>2101147</v>
      </c>
      <c r="F62" s="37">
        <v>2101147</v>
      </c>
      <c r="G62" s="37"/>
      <c r="H62" s="37"/>
      <c r="I62" s="37"/>
      <c r="J62" s="37">
        <f t="shared" si="32"/>
        <v>0</v>
      </c>
      <c r="K62" s="37"/>
      <c r="L62" s="37"/>
      <c r="M62" s="37"/>
      <c r="N62" s="37"/>
      <c r="O62" s="37"/>
      <c r="P62" s="37">
        <f t="shared" si="33"/>
        <v>2101147</v>
      </c>
      <c r="Q62" s="128"/>
    </row>
    <row r="63" spans="1:17" s="29" customFormat="1" ht="100.5" customHeight="1" x14ac:dyDescent="0.25">
      <c r="A63" s="25" t="s">
        <v>409</v>
      </c>
      <c r="B63" s="26" t="str">
        <f>'дод 5'!A38</f>
        <v>1032</v>
      </c>
      <c r="C63" s="26" t="str">
        <f>'дод 5'!B38</f>
        <v>0922</v>
      </c>
      <c r="D63" s="30" t="str">
        <f>'дод 5'!C38</f>
        <v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v>
      </c>
      <c r="E63" s="28">
        <f t="shared" si="30"/>
        <v>12847200</v>
      </c>
      <c r="F63" s="28">
        <f>F64</f>
        <v>12847200</v>
      </c>
      <c r="G63" s="28">
        <f t="shared" ref="G63:O63" si="37">G64</f>
        <v>10530500</v>
      </c>
      <c r="H63" s="28">
        <f t="shared" si="37"/>
        <v>0</v>
      </c>
      <c r="I63" s="28">
        <f t="shared" si="37"/>
        <v>0</v>
      </c>
      <c r="J63" s="28">
        <f t="shared" si="37"/>
        <v>0</v>
      </c>
      <c r="K63" s="28">
        <f t="shared" si="37"/>
        <v>0</v>
      </c>
      <c r="L63" s="28">
        <f t="shared" si="37"/>
        <v>0</v>
      </c>
      <c r="M63" s="28">
        <f t="shared" si="37"/>
        <v>0</v>
      </c>
      <c r="N63" s="28">
        <f t="shared" si="37"/>
        <v>0</v>
      </c>
      <c r="O63" s="28">
        <f t="shared" si="37"/>
        <v>0</v>
      </c>
      <c r="P63" s="28">
        <f t="shared" si="28"/>
        <v>12847200</v>
      </c>
      <c r="Q63" s="128"/>
    </row>
    <row r="64" spans="1:17" s="38" customFormat="1" ht="31.5" x14ac:dyDescent="0.25">
      <c r="A64" s="34"/>
      <c r="B64" s="35">
        <f>'дод 5'!A39</f>
        <v>0</v>
      </c>
      <c r="C64" s="35">
        <f>'дод 5'!B39</f>
        <v>0</v>
      </c>
      <c r="D64" s="36" t="str">
        <f>'дод 5'!C39</f>
        <v>освітньої субвенції з державного бюджету місцевим бюджетам</v>
      </c>
      <c r="E64" s="37">
        <f t="shared" si="30"/>
        <v>12847200</v>
      </c>
      <c r="F64" s="37">
        <v>12847200</v>
      </c>
      <c r="G64" s="37">
        <v>10530500</v>
      </c>
      <c r="H64" s="37"/>
      <c r="I64" s="37"/>
      <c r="J64" s="37">
        <f t="shared" si="32"/>
        <v>0</v>
      </c>
      <c r="K64" s="37"/>
      <c r="L64" s="37"/>
      <c r="M64" s="37"/>
      <c r="N64" s="37"/>
      <c r="O64" s="37"/>
      <c r="P64" s="37">
        <f t="shared" si="28"/>
        <v>12847200</v>
      </c>
      <c r="Q64" s="128"/>
    </row>
    <row r="65" spans="1:17" s="29" customFormat="1" ht="78.75" x14ac:dyDescent="0.25">
      <c r="A65" s="25" t="s">
        <v>413</v>
      </c>
      <c r="B65" s="26">
        <f>'дод 5'!A40</f>
        <v>1035</v>
      </c>
      <c r="C65" s="26" t="str">
        <f>'дод 5'!B40</f>
        <v>0922</v>
      </c>
      <c r="D65" s="30" t="str">
        <f>'дод 5'!C40</f>
        <v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v>
      </c>
      <c r="E65" s="28">
        <f t="shared" ref="E65" si="38">F65+I65</f>
        <v>1068600</v>
      </c>
      <c r="F65" s="28">
        <f>F66</f>
        <v>1068600</v>
      </c>
      <c r="G65" s="28">
        <f t="shared" ref="G65" si="39">G66</f>
        <v>875900</v>
      </c>
      <c r="H65" s="28">
        <f t="shared" ref="H65" si="40">H66</f>
        <v>0</v>
      </c>
      <c r="I65" s="28">
        <f t="shared" ref="I65" si="41">I66</f>
        <v>0</v>
      </c>
      <c r="J65" s="28">
        <f t="shared" ref="J65" si="42">J66</f>
        <v>0</v>
      </c>
      <c r="K65" s="28">
        <f t="shared" ref="K65" si="43">K66</f>
        <v>0</v>
      </c>
      <c r="L65" s="28">
        <f t="shared" ref="L65" si="44">L66</f>
        <v>0</v>
      </c>
      <c r="M65" s="28">
        <f t="shared" ref="M65" si="45">M66</f>
        <v>0</v>
      </c>
      <c r="N65" s="28">
        <f t="shared" ref="N65" si="46">N66</f>
        <v>0</v>
      </c>
      <c r="O65" s="28">
        <f t="shared" ref="O65" si="47">O66</f>
        <v>0</v>
      </c>
      <c r="P65" s="28">
        <f t="shared" si="28"/>
        <v>1068600</v>
      </c>
      <c r="Q65" s="128"/>
    </row>
    <row r="66" spans="1:17" s="38" customFormat="1" ht="31.5" x14ac:dyDescent="0.25">
      <c r="A66" s="34"/>
      <c r="B66" s="35">
        <f>'дод 5'!A41</f>
        <v>0</v>
      </c>
      <c r="C66" s="35">
        <f>'дод 5'!B41</f>
        <v>0</v>
      </c>
      <c r="D66" s="36" t="str">
        <f>'дод 5'!C41</f>
        <v>освітньої субвенції з державного бюджету місцевим бюджетам</v>
      </c>
      <c r="E66" s="37">
        <f t="shared" ref="E66" si="48">F66+I66</f>
        <v>1068600</v>
      </c>
      <c r="F66" s="37">
        <v>1068600</v>
      </c>
      <c r="G66" s="37">
        <v>875900</v>
      </c>
      <c r="H66" s="37"/>
      <c r="I66" s="37"/>
      <c r="J66" s="37"/>
      <c r="K66" s="37"/>
      <c r="L66" s="37"/>
      <c r="M66" s="37"/>
      <c r="N66" s="37"/>
      <c r="O66" s="37"/>
      <c r="P66" s="37">
        <f t="shared" si="28"/>
        <v>1068600</v>
      </c>
      <c r="Q66" s="128"/>
    </row>
    <row r="67" spans="1:17" s="29" customFormat="1" ht="42" customHeight="1" x14ac:dyDescent="0.25">
      <c r="A67" s="25" t="s">
        <v>299</v>
      </c>
      <c r="B67" s="26" t="str">
        <f>'дод 5'!A42</f>
        <v>1070</v>
      </c>
      <c r="C67" s="26" t="str">
        <f>'дод 5'!B42</f>
        <v>0960</v>
      </c>
      <c r="D67" s="30" t="str">
        <f>'дод 5'!C42</f>
        <v>Надання позашкільної освіти закладами позашкільної освіти, заходи із позашкільної роботи з дітьми</v>
      </c>
      <c r="E67" s="28">
        <f t="shared" si="27"/>
        <v>47805900</v>
      </c>
      <c r="F67" s="28">
        <v>47805900</v>
      </c>
      <c r="G67" s="28">
        <v>32550000</v>
      </c>
      <c r="H67" s="28">
        <v>7564900</v>
      </c>
      <c r="I67" s="28"/>
      <c r="J67" s="28">
        <f t="shared" si="29"/>
        <v>0</v>
      </c>
      <c r="K67" s="28"/>
      <c r="L67" s="28"/>
      <c r="M67" s="28"/>
      <c r="N67" s="28"/>
      <c r="O67" s="28"/>
      <c r="P67" s="28">
        <f t="shared" si="28"/>
        <v>47805900</v>
      </c>
      <c r="Q67" s="128"/>
    </row>
    <row r="68" spans="1:17" s="29" customFormat="1" ht="66.75" customHeight="1" x14ac:dyDescent="0.25">
      <c r="A68" s="25" t="s">
        <v>332</v>
      </c>
      <c r="B68" s="26">
        <f>'дод 5'!A44</f>
        <v>1091</v>
      </c>
      <c r="C68" s="26" t="str">
        <f>'дод 5'!B44</f>
        <v>0930</v>
      </c>
      <c r="D68" s="30" t="str">
        <f>'дод 5'!C44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68" s="28">
        <f t="shared" si="27"/>
        <v>154406700</v>
      </c>
      <c r="F68" s="28">
        <v>154406700</v>
      </c>
      <c r="G68" s="28">
        <v>80199400</v>
      </c>
      <c r="H68" s="28">
        <v>24365100</v>
      </c>
      <c r="I68" s="28"/>
      <c r="J68" s="28">
        <f>L68+O68</f>
        <v>32625160</v>
      </c>
      <c r="K68" s="37">
        <f>6210000+4500000</f>
        <v>10710000</v>
      </c>
      <c r="L68" s="28">
        <f>21915160-437000</f>
        <v>21478160</v>
      </c>
      <c r="M68" s="28">
        <v>7258500</v>
      </c>
      <c r="N68" s="28">
        <v>6662500</v>
      </c>
      <c r="O68" s="28">
        <f>437000+6210000+4500000</f>
        <v>11147000</v>
      </c>
      <c r="P68" s="28">
        <f t="shared" si="28"/>
        <v>187031860</v>
      </c>
      <c r="Q68" s="128"/>
    </row>
    <row r="69" spans="1:17" s="38" customFormat="1" ht="115.15" customHeight="1" x14ac:dyDescent="0.25">
      <c r="A69" s="34"/>
      <c r="B69" s="35"/>
      <c r="C69" s="35"/>
      <c r="D69" s="36" t="str">
        <f>'дод 5'!C45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69" s="28">
        <f t="shared" si="27"/>
        <v>0</v>
      </c>
      <c r="F69" s="37"/>
      <c r="G69" s="37"/>
      <c r="H69" s="37"/>
      <c r="I69" s="37"/>
      <c r="J69" s="28">
        <f>L69+O69</f>
        <v>6210000</v>
      </c>
      <c r="K69" s="37">
        <v>6210000</v>
      </c>
      <c r="L69" s="37"/>
      <c r="M69" s="37"/>
      <c r="N69" s="37"/>
      <c r="O69" s="37">
        <v>6210000</v>
      </c>
      <c r="P69" s="28">
        <f t="shared" si="28"/>
        <v>6210000</v>
      </c>
      <c r="Q69" s="128"/>
    </row>
    <row r="70" spans="1:17" s="38" customFormat="1" ht="30.95" customHeight="1" x14ac:dyDescent="0.25">
      <c r="A70" s="34"/>
      <c r="B70" s="35"/>
      <c r="C70" s="35"/>
      <c r="D70" s="36" t="s">
        <v>283</v>
      </c>
      <c r="E70" s="28">
        <f t="shared" ref="E70" si="49">F70+I70</f>
        <v>0</v>
      </c>
      <c r="F70" s="37"/>
      <c r="G70" s="37"/>
      <c r="H70" s="37"/>
      <c r="I70" s="37"/>
      <c r="J70" s="28">
        <f>L70+O70</f>
        <v>4500000</v>
      </c>
      <c r="K70" s="37">
        <v>4500000</v>
      </c>
      <c r="L70" s="37"/>
      <c r="M70" s="37"/>
      <c r="N70" s="37"/>
      <c r="O70" s="37">
        <v>4500000</v>
      </c>
      <c r="P70" s="28">
        <f t="shared" ref="P70" si="50">E70+J70</f>
        <v>4500000</v>
      </c>
      <c r="Q70" s="128"/>
    </row>
    <row r="71" spans="1:17" s="29" customFormat="1" ht="63" x14ac:dyDescent="0.25">
      <c r="A71" s="25" t="s">
        <v>415</v>
      </c>
      <c r="B71" s="26">
        <f>'дод 5'!A47</f>
        <v>1092</v>
      </c>
      <c r="C71" s="26" t="str">
        <f>'дод 5'!B47</f>
        <v>0930</v>
      </c>
      <c r="D71" s="30" t="str">
        <f>'дод 5'!C47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71" s="28">
        <f t="shared" si="27"/>
        <v>13420000</v>
      </c>
      <c r="F71" s="28">
        <f>F72</f>
        <v>13420000</v>
      </c>
      <c r="G71" s="28">
        <f t="shared" ref="G71" si="51">G72</f>
        <v>11000000</v>
      </c>
      <c r="H71" s="28">
        <f t="shared" ref="H71" si="52">H72</f>
        <v>0</v>
      </c>
      <c r="I71" s="28">
        <f t="shared" ref="I71" si="53">I72</f>
        <v>0</v>
      </c>
      <c r="J71" s="28">
        <f t="shared" ref="J71" si="54">J72</f>
        <v>0</v>
      </c>
      <c r="K71" s="28">
        <f t="shared" ref="K71" si="55">K72</f>
        <v>0</v>
      </c>
      <c r="L71" s="28">
        <f t="shared" ref="L71" si="56">L72</f>
        <v>0</v>
      </c>
      <c r="M71" s="28">
        <f t="shared" ref="M71" si="57">M72</f>
        <v>0</v>
      </c>
      <c r="N71" s="28">
        <f t="shared" ref="N71" si="58">N72</f>
        <v>0</v>
      </c>
      <c r="O71" s="28">
        <f t="shared" ref="O71" si="59">O72</f>
        <v>0</v>
      </c>
      <c r="P71" s="28">
        <f t="shared" ref="P71" si="60">E71+J71</f>
        <v>13420000</v>
      </c>
      <c r="Q71" s="128"/>
    </row>
    <row r="72" spans="1:17" s="38" customFormat="1" ht="31.5" x14ac:dyDescent="0.25">
      <c r="A72" s="34"/>
      <c r="B72" s="35">
        <f>'дод 5'!A48</f>
        <v>0</v>
      </c>
      <c r="C72" s="35">
        <f>'дод 5'!B48</f>
        <v>0</v>
      </c>
      <c r="D72" s="36" t="str">
        <f>'дод 5'!C48</f>
        <v>освітньої субвенції з державного бюджету місцевим бюджетам</v>
      </c>
      <c r="E72" s="28">
        <f t="shared" si="27"/>
        <v>13420000</v>
      </c>
      <c r="F72" s="37">
        <v>13420000</v>
      </c>
      <c r="G72" s="37">
        <v>11000000</v>
      </c>
      <c r="H72" s="37"/>
      <c r="I72" s="37"/>
      <c r="J72" s="37"/>
      <c r="K72" s="37"/>
      <c r="L72" s="37"/>
      <c r="M72" s="37"/>
      <c r="N72" s="37"/>
      <c r="O72" s="37"/>
      <c r="P72" s="28">
        <f t="shared" si="28"/>
        <v>13420000</v>
      </c>
      <c r="Q72" s="128"/>
    </row>
    <row r="73" spans="1:17" s="29" customFormat="1" ht="34.5" customHeight="1" x14ac:dyDescent="0.25">
      <c r="A73" s="25" t="s">
        <v>300</v>
      </c>
      <c r="B73" s="26" t="str">
        <f>'дод 5'!A49</f>
        <v>1141</v>
      </c>
      <c r="C73" s="26" t="str">
        <f>'дод 5'!B49</f>
        <v>0990</v>
      </c>
      <c r="D73" s="30" t="str">
        <f>'дод 5'!C49</f>
        <v>Забезпечення діяльності інших закладів у сфері освіти</v>
      </c>
      <c r="E73" s="28">
        <f t="shared" si="27"/>
        <v>14119800</v>
      </c>
      <c r="F73" s="28">
        <v>14119800</v>
      </c>
      <c r="G73" s="28">
        <v>9824000</v>
      </c>
      <c r="H73" s="28">
        <v>1318500</v>
      </c>
      <c r="I73" s="28"/>
      <c r="J73" s="28">
        <f t="shared" si="29"/>
        <v>0</v>
      </c>
      <c r="K73" s="28"/>
      <c r="L73" s="28"/>
      <c r="M73" s="28"/>
      <c r="N73" s="28"/>
      <c r="O73" s="28"/>
      <c r="P73" s="28">
        <f t="shared" si="28"/>
        <v>14119800</v>
      </c>
      <c r="Q73" s="128"/>
    </row>
    <row r="74" spans="1:17" s="29" customFormat="1" ht="27.75" customHeight="1" x14ac:dyDescent="0.25">
      <c r="A74" s="25" t="s">
        <v>302</v>
      </c>
      <c r="B74" s="26" t="str">
        <f>'дод 5'!A50</f>
        <v>1142</v>
      </c>
      <c r="C74" s="26" t="str">
        <f>'дод 5'!B50</f>
        <v>0990</v>
      </c>
      <c r="D74" s="30" t="str">
        <f>'дод 5'!C50</f>
        <v>Інші програми та заходи у сфері освіти</v>
      </c>
      <c r="E74" s="28">
        <f t="shared" si="27"/>
        <v>134000</v>
      </c>
      <c r="F74" s="28">
        <v>134000</v>
      </c>
      <c r="G74" s="28"/>
      <c r="H74" s="28"/>
      <c r="I74" s="28"/>
      <c r="J74" s="28">
        <f t="shared" ref="J74" si="61">L74+O74</f>
        <v>0</v>
      </c>
      <c r="K74" s="28"/>
      <c r="L74" s="28"/>
      <c r="M74" s="28"/>
      <c r="N74" s="28"/>
      <c r="O74" s="28"/>
      <c r="P74" s="28">
        <f t="shared" ref="P74" si="62">E74+J74</f>
        <v>134000</v>
      </c>
      <c r="Q74" s="128"/>
    </row>
    <row r="75" spans="1:17" s="29" customFormat="1" ht="35.25" customHeight="1" x14ac:dyDescent="0.25">
      <c r="A75" s="25" t="s">
        <v>304</v>
      </c>
      <c r="B75" s="26" t="str">
        <f>'дод 5'!A51</f>
        <v>1151</v>
      </c>
      <c r="C75" s="26" t="str">
        <f>'дод 5'!B51</f>
        <v>0990</v>
      </c>
      <c r="D75" s="30" t="str">
        <f>'дод 5'!C51</f>
        <v>Забезпечення діяльності інклюзивно-ресурсних центрів за рахунок коштів місцевого бюджету</v>
      </c>
      <c r="E75" s="28">
        <f t="shared" si="27"/>
        <v>173400</v>
      </c>
      <c r="F75" s="28">
        <v>173400</v>
      </c>
      <c r="G75" s="28"/>
      <c r="H75" s="28">
        <v>129400</v>
      </c>
      <c r="I75" s="28"/>
      <c r="J75" s="28">
        <f t="shared" si="29"/>
        <v>0</v>
      </c>
      <c r="K75" s="28"/>
      <c r="L75" s="28"/>
      <c r="M75" s="28"/>
      <c r="N75" s="28"/>
      <c r="O75" s="28"/>
      <c r="P75" s="28">
        <f t="shared" si="28"/>
        <v>173400</v>
      </c>
      <c r="Q75" s="128"/>
    </row>
    <row r="76" spans="1:17" s="29" customFormat="1" ht="47.25" x14ac:dyDescent="0.25">
      <c r="A76" s="25" t="s">
        <v>407</v>
      </c>
      <c r="B76" s="26" t="str">
        <f>'дод 5'!A52</f>
        <v>1152</v>
      </c>
      <c r="C76" s="26" t="str">
        <f>'дод 5'!B52</f>
        <v>0990</v>
      </c>
      <c r="D76" s="30" t="str">
        <f>'дод 5'!C52</f>
        <v>Забезпечення діяльності інклюзивно-ресурсних центрів за рахунок освітньої субвенції, у т. ч. за рахунок:</v>
      </c>
      <c r="E76" s="28">
        <f t="shared" ref="E76:E77" si="63">F76+I76</f>
        <v>1434970</v>
      </c>
      <c r="F76" s="28">
        <v>1434970</v>
      </c>
      <c r="G76" s="28">
        <v>1176210</v>
      </c>
      <c r="H76" s="28"/>
      <c r="I76" s="28"/>
      <c r="J76" s="28">
        <f t="shared" ref="J76:J77" si="64">L76+O76</f>
        <v>0</v>
      </c>
      <c r="K76" s="28"/>
      <c r="L76" s="28"/>
      <c r="M76" s="28"/>
      <c r="N76" s="28"/>
      <c r="O76" s="28"/>
      <c r="P76" s="28">
        <f t="shared" ref="P76:P77" si="65">E76+J76</f>
        <v>1434970</v>
      </c>
      <c r="Q76" s="128"/>
    </row>
    <row r="77" spans="1:17" s="38" customFormat="1" ht="47.25" x14ac:dyDescent="0.25">
      <c r="A77" s="34"/>
      <c r="B77" s="35"/>
      <c r="C77" s="35"/>
      <c r="D77" s="36" t="str">
        <f>'дод 5'!C53</f>
        <v>субвенції з місцевого бюджету на здійснення переданих видатків у сфері освіти за рахунок коштів освітньої субвенції</v>
      </c>
      <c r="E77" s="37">
        <f t="shared" si="63"/>
        <v>1434970</v>
      </c>
      <c r="F77" s="37">
        <v>1434970</v>
      </c>
      <c r="G77" s="37">
        <v>1176210</v>
      </c>
      <c r="H77" s="37"/>
      <c r="I77" s="37"/>
      <c r="J77" s="37">
        <f t="shared" si="64"/>
        <v>0</v>
      </c>
      <c r="K77" s="37"/>
      <c r="L77" s="37"/>
      <c r="M77" s="37"/>
      <c r="N77" s="37"/>
      <c r="O77" s="37"/>
      <c r="P77" s="37">
        <f t="shared" si="65"/>
        <v>1434970</v>
      </c>
      <c r="Q77" s="128">
        <v>4</v>
      </c>
    </row>
    <row r="78" spans="1:17" s="29" customFormat="1" ht="36" customHeight="1" x14ac:dyDescent="0.25">
      <c r="A78" s="25" t="s">
        <v>307</v>
      </c>
      <c r="B78" s="26" t="str">
        <f>'дод 5'!A54</f>
        <v>1160</v>
      </c>
      <c r="C78" s="26" t="str">
        <f>'дод 5'!B54</f>
        <v>0990</v>
      </c>
      <c r="D78" s="30" t="str">
        <f>'дод 5'!C54</f>
        <v>Забезпечення діяльності центрів професійного розвитку педагогічних працівників</v>
      </c>
      <c r="E78" s="28">
        <f t="shared" si="27"/>
        <v>3763400</v>
      </c>
      <c r="F78" s="28">
        <v>3763400</v>
      </c>
      <c r="G78" s="28">
        <v>2713000</v>
      </c>
      <c r="H78" s="28">
        <v>315500</v>
      </c>
      <c r="I78" s="28"/>
      <c r="J78" s="28">
        <f t="shared" si="29"/>
        <v>0</v>
      </c>
      <c r="K78" s="28"/>
      <c r="L78" s="28"/>
      <c r="M78" s="28"/>
      <c r="N78" s="28"/>
      <c r="O78" s="28"/>
      <c r="P78" s="28">
        <f t="shared" si="28"/>
        <v>3763400</v>
      </c>
      <c r="Q78" s="128"/>
    </row>
    <row r="79" spans="1:17" s="29" customFormat="1" ht="86.45" customHeight="1" x14ac:dyDescent="0.25">
      <c r="A79" s="25" t="s">
        <v>429</v>
      </c>
      <c r="B79" s="26" t="str">
        <f>'дод 5'!A55</f>
        <v>1183</v>
      </c>
      <c r="C79" s="26" t="str">
        <f>'дод 5'!B55</f>
        <v>0990</v>
      </c>
      <c r="D79" s="30" t="str">
        <f>'дод 5'!C55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v>
      </c>
      <c r="E79" s="28">
        <f t="shared" si="27"/>
        <v>1125107</v>
      </c>
      <c r="F79" s="28">
        <v>1125107</v>
      </c>
      <c r="G79" s="28"/>
      <c r="H79" s="28"/>
      <c r="I79" s="28"/>
      <c r="J79" s="28">
        <f t="shared" si="29"/>
        <v>3290393</v>
      </c>
      <c r="K79" s="28">
        <f>4415500-1125107</f>
        <v>3290393</v>
      </c>
      <c r="L79" s="28"/>
      <c r="M79" s="28"/>
      <c r="N79" s="28"/>
      <c r="O79" s="28">
        <f>4415500-1125107</f>
        <v>3290393</v>
      </c>
      <c r="P79" s="28">
        <f t="shared" si="28"/>
        <v>4415500</v>
      </c>
      <c r="Q79" s="128"/>
    </row>
    <row r="80" spans="1:17" s="29" customFormat="1" ht="82.5" customHeight="1" x14ac:dyDescent="0.25">
      <c r="A80" s="25" t="s">
        <v>435</v>
      </c>
      <c r="B80" s="26" t="str">
        <f>'дод 5'!A56</f>
        <v>1184</v>
      </c>
      <c r="C80" s="26" t="str">
        <f>'дод 5'!B56</f>
        <v>0990</v>
      </c>
      <c r="D80" s="30" t="str">
        <f>'дод 5'!C56</f>
        <v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v>
      </c>
      <c r="E80" s="28">
        <f t="shared" si="27"/>
        <v>2625231</v>
      </c>
      <c r="F80" s="28">
        <v>2625231</v>
      </c>
      <c r="G80" s="28"/>
      <c r="H80" s="28"/>
      <c r="I80" s="28"/>
      <c r="J80" s="28">
        <f t="shared" si="29"/>
        <v>7677569</v>
      </c>
      <c r="K80" s="28">
        <f>10302800-2625231</f>
        <v>7677569</v>
      </c>
      <c r="L80" s="28"/>
      <c r="M80" s="28"/>
      <c r="N80" s="28"/>
      <c r="O80" s="28">
        <f>10302800-2625231</f>
        <v>7677569</v>
      </c>
      <c r="P80" s="28">
        <f t="shared" si="28"/>
        <v>10302800</v>
      </c>
      <c r="Q80" s="128"/>
    </row>
    <row r="81" spans="1:17" s="38" customFormat="1" ht="78.400000000000006" customHeight="1" x14ac:dyDescent="0.25">
      <c r="A81" s="34"/>
      <c r="B81" s="35"/>
      <c r="C81" s="35"/>
      <c r="D81" s="36" t="str">
        <f>'дод 5'!C57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81" s="28">
        <f t="shared" si="27"/>
        <v>2625231</v>
      </c>
      <c r="F81" s="37">
        <v>2625231</v>
      </c>
      <c r="G81" s="37"/>
      <c r="H81" s="37"/>
      <c r="I81" s="37"/>
      <c r="J81" s="37">
        <f t="shared" si="29"/>
        <v>7677569</v>
      </c>
      <c r="K81" s="37">
        <f>10302800-2625231</f>
        <v>7677569</v>
      </c>
      <c r="L81" s="37"/>
      <c r="M81" s="37"/>
      <c r="N81" s="37"/>
      <c r="O81" s="37">
        <f>10302800-2625231</f>
        <v>7677569</v>
      </c>
      <c r="P81" s="37">
        <f t="shared" si="28"/>
        <v>10302800</v>
      </c>
      <c r="Q81" s="128"/>
    </row>
    <row r="82" spans="1:17" s="29" customFormat="1" ht="78.400000000000006" customHeight="1" x14ac:dyDescent="0.25">
      <c r="A82" s="25" t="s">
        <v>436</v>
      </c>
      <c r="B82" s="26" t="str">
        <f>'дод 5'!A58</f>
        <v>1200</v>
      </c>
      <c r="C82" s="26" t="str">
        <f>'дод 5'!B58</f>
        <v>0990</v>
      </c>
      <c r="D82" s="30" t="str">
        <f>'дод 5'!C58</f>
        <v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v>
      </c>
      <c r="E82" s="28">
        <f t="shared" si="27"/>
        <v>891200</v>
      </c>
      <c r="F82" s="28">
        <v>891200</v>
      </c>
      <c r="G82" s="28">
        <v>730490</v>
      </c>
      <c r="H82" s="28"/>
      <c r="I82" s="28"/>
      <c r="J82" s="37">
        <f t="shared" si="29"/>
        <v>0</v>
      </c>
      <c r="K82" s="28"/>
      <c r="L82" s="28"/>
      <c r="M82" s="28"/>
      <c r="N82" s="28"/>
      <c r="O82" s="28"/>
      <c r="P82" s="28">
        <f t="shared" si="28"/>
        <v>891200</v>
      </c>
      <c r="Q82" s="128"/>
    </row>
    <row r="83" spans="1:17" s="38" customFormat="1" ht="60.75" customHeight="1" x14ac:dyDescent="0.25">
      <c r="A83" s="34"/>
      <c r="B83" s="35">
        <f>'дод 5'!A59</f>
        <v>0</v>
      </c>
      <c r="C83" s="35">
        <f>'дод 5'!B59</f>
        <v>0</v>
      </c>
      <c r="D83" s="36" t="str">
        <f>'дод 5'!C59</f>
        <v>субвенції з державного бюджету місцевим бюджетам на надання державної пітримки особам з особливими освітніми потребами</v>
      </c>
      <c r="E83" s="37">
        <f t="shared" si="27"/>
        <v>891200</v>
      </c>
      <c r="F83" s="37">
        <v>891200</v>
      </c>
      <c r="G83" s="37">
        <v>730490</v>
      </c>
      <c r="H83" s="37"/>
      <c r="I83" s="37"/>
      <c r="J83" s="37">
        <f t="shared" si="29"/>
        <v>0</v>
      </c>
      <c r="K83" s="37"/>
      <c r="L83" s="37"/>
      <c r="M83" s="37"/>
      <c r="N83" s="37"/>
      <c r="O83" s="37"/>
      <c r="P83" s="37">
        <f t="shared" si="28"/>
        <v>891200</v>
      </c>
      <c r="Q83" s="128"/>
    </row>
    <row r="84" spans="1:17" s="29" customFormat="1" ht="50.65" customHeight="1" x14ac:dyDescent="0.25">
      <c r="A84" s="25" t="s">
        <v>509</v>
      </c>
      <c r="B84" s="26" t="str">
        <f>'дод 5'!A63</f>
        <v>1271</v>
      </c>
      <c r="C84" s="26" t="str">
        <f>'дод 5'!B63</f>
        <v>0990</v>
      </c>
      <c r="D84" s="30" t="str">
        <f>'дод 5'!C63</f>
        <v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v>
      </c>
      <c r="E84" s="37">
        <f t="shared" ref="E84" si="66">F84+I84</f>
        <v>0</v>
      </c>
      <c r="F84" s="28"/>
      <c r="G84" s="28"/>
      <c r="H84" s="28"/>
      <c r="I84" s="28"/>
      <c r="J84" s="28">
        <f t="shared" ref="J84" si="67">L84+O84</f>
        <v>6615904</v>
      </c>
      <c r="K84" s="28">
        <v>6615904</v>
      </c>
      <c r="L84" s="28"/>
      <c r="M84" s="28"/>
      <c r="N84" s="28"/>
      <c r="O84" s="28">
        <v>6615904</v>
      </c>
      <c r="P84" s="28">
        <f t="shared" ref="P84" si="68">E84+J84</f>
        <v>6615904</v>
      </c>
      <c r="Q84" s="128"/>
    </row>
    <row r="85" spans="1:17" s="29" customFormat="1" ht="50.65" customHeight="1" x14ac:dyDescent="0.25">
      <c r="A85" s="25" t="s">
        <v>510</v>
      </c>
      <c r="B85" s="26" t="str">
        <f>'дод 5'!A64</f>
        <v>1272</v>
      </c>
      <c r="C85" s="26" t="str">
        <f>'дод 5'!B64</f>
        <v>0990</v>
      </c>
      <c r="D85" s="30" t="str">
        <f>'дод 5'!C64</f>
        <v>Реалізація заходів за рахунок освітньої субвенції з державного бюджету місцевим бюджетам (за спеціальним фондом державного бюджету), у т.ч. за рахунок:</v>
      </c>
      <c r="E85" s="28">
        <f t="shared" ref="E85:E86" si="69">F85+I85</f>
        <v>0</v>
      </c>
      <c r="F85" s="28"/>
      <c r="G85" s="28"/>
      <c r="H85" s="28"/>
      <c r="I85" s="28"/>
      <c r="J85" s="28">
        <f t="shared" ref="J85:J86" si="70">L85+O85</f>
        <v>15081700</v>
      </c>
      <c r="K85" s="28"/>
      <c r="L85" s="28"/>
      <c r="M85" s="28"/>
      <c r="N85" s="28"/>
      <c r="O85" s="28">
        <v>15081700</v>
      </c>
      <c r="P85" s="28">
        <f t="shared" ref="P85:P86" si="71">E85+J85</f>
        <v>15081700</v>
      </c>
      <c r="Q85" s="128"/>
    </row>
    <row r="86" spans="1:17" s="38" customFormat="1" ht="40.15" customHeight="1" x14ac:dyDescent="0.25">
      <c r="A86" s="34"/>
      <c r="B86" s="35">
        <f>'дод 5'!A65</f>
        <v>0</v>
      </c>
      <c r="C86" s="35">
        <f>'дод 5'!B65</f>
        <v>0</v>
      </c>
      <c r="D86" s="36" t="str">
        <f>'дод 5'!C65</f>
        <v>освітньої субвенції з державного бюджету місцевим бюджетам</v>
      </c>
      <c r="E86" s="37">
        <f t="shared" si="69"/>
        <v>0</v>
      </c>
      <c r="F86" s="37"/>
      <c r="G86" s="37"/>
      <c r="H86" s="37"/>
      <c r="I86" s="37"/>
      <c r="J86" s="37">
        <f t="shared" si="70"/>
        <v>15081700</v>
      </c>
      <c r="K86" s="37"/>
      <c r="L86" s="37"/>
      <c r="M86" s="37"/>
      <c r="N86" s="37"/>
      <c r="O86" s="37">
        <v>15081700</v>
      </c>
      <c r="P86" s="37">
        <f t="shared" si="71"/>
        <v>15081700</v>
      </c>
      <c r="Q86" s="128"/>
    </row>
    <row r="87" spans="1:17" s="29" customFormat="1" ht="33.75" customHeight="1" x14ac:dyDescent="0.25">
      <c r="A87" s="25" t="s">
        <v>468</v>
      </c>
      <c r="B87" s="26" t="str">
        <f>'дод 5'!A66</f>
        <v>1300</v>
      </c>
      <c r="C87" s="26" t="str">
        <f>'дод 5'!B66</f>
        <v>0990</v>
      </c>
      <c r="D87" s="30" t="s">
        <v>475</v>
      </c>
      <c r="E87" s="37">
        <f t="shared" si="27"/>
        <v>0</v>
      </c>
      <c r="F87" s="28"/>
      <c r="G87" s="28"/>
      <c r="H87" s="28"/>
      <c r="I87" s="28"/>
      <c r="J87" s="28">
        <f t="shared" si="29"/>
        <v>29713973.670000002</v>
      </c>
      <c r="K87" s="28">
        <f>29463973.67+250000</f>
        <v>29713973.670000002</v>
      </c>
      <c r="L87" s="28"/>
      <c r="M87" s="28"/>
      <c r="N87" s="28"/>
      <c r="O87" s="28">
        <f>29463973.67+250000</f>
        <v>29713973.670000002</v>
      </c>
      <c r="P87" s="28">
        <f t="shared" si="28"/>
        <v>29713973.670000002</v>
      </c>
      <c r="Q87" s="128"/>
    </row>
    <row r="88" spans="1:17" s="38" customFormat="1" ht="141.75" x14ac:dyDescent="0.25">
      <c r="A88" s="34"/>
      <c r="B88" s="35"/>
      <c r="C88" s="35"/>
      <c r="D88" s="36" t="s">
        <v>454</v>
      </c>
      <c r="E88" s="37">
        <f t="shared" si="27"/>
        <v>0</v>
      </c>
      <c r="F88" s="37"/>
      <c r="G88" s="37"/>
      <c r="H88" s="37"/>
      <c r="I88" s="37"/>
      <c r="J88" s="37">
        <f t="shared" si="29"/>
        <v>29463973.670000002</v>
      </c>
      <c r="K88" s="37">
        <v>29463973.670000002</v>
      </c>
      <c r="L88" s="37"/>
      <c r="M88" s="37"/>
      <c r="N88" s="37"/>
      <c r="O88" s="37">
        <v>29463973.670000002</v>
      </c>
      <c r="P88" s="37">
        <f t="shared" si="28"/>
        <v>29463973.670000002</v>
      </c>
      <c r="Q88" s="128"/>
    </row>
    <row r="89" spans="1:17" s="29" customFormat="1" ht="60.75" customHeight="1" x14ac:dyDescent="0.25">
      <c r="A89" s="25" t="s">
        <v>446</v>
      </c>
      <c r="B89" s="26" t="str">
        <f>'дод 5'!A68</f>
        <v>1403</v>
      </c>
      <c r="C89" s="26" t="str">
        <f>'дод 5'!B68</f>
        <v>0990</v>
      </c>
      <c r="D89" s="30" t="str">
        <f>'дод 5'!C68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89" s="28">
        <f t="shared" ref="E89:E90" si="72">F89+I89</f>
        <v>0</v>
      </c>
      <c r="F89" s="28"/>
      <c r="G89" s="28"/>
      <c r="H89" s="28"/>
      <c r="I89" s="28"/>
      <c r="J89" s="37">
        <f t="shared" ref="J89:J90" si="73">L89+O89</f>
        <v>22533600</v>
      </c>
      <c r="K89" s="28"/>
      <c r="L89" s="28">
        <v>22533600</v>
      </c>
      <c r="M89" s="28"/>
      <c r="N89" s="28"/>
      <c r="O89" s="28"/>
      <c r="P89" s="28">
        <f t="shared" ref="P89:P90" si="74">E89+J89</f>
        <v>22533600</v>
      </c>
      <c r="Q89" s="128"/>
    </row>
    <row r="90" spans="1:17" s="38" customFormat="1" ht="60.75" customHeight="1" x14ac:dyDescent="0.25">
      <c r="A90" s="34"/>
      <c r="B90" s="35">
        <f>'дод 5'!A69</f>
        <v>0</v>
      </c>
      <c r="C90" s="35">
        <f>'дод 5'!B69</f>
        <v>0</v>
      </c>
      <c r="D90" s="36" t="str">
        <f>'дод 5'!C69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90" s="37">
        <f t="shared" si="72"/>
        <v>0</v>
      </c>
      <c r="F90" s="37"/>
      <c r="G90" s="37"/>
      <c r="H90" s="37"/>
      <c r="I90" s="37"/>
      <c r="J90" s="37">
        <f t="shared" si="73"/>
        <v>22533600</v>
      </c>
      <c r="K90" s="37"/>
      <c r="L90" s="37">
        <v>22533600</v>
      </c>
      <c r="M90" s="37"/>
      <c r="N90" s="37"/>
      <c r="O90" s="37"/>
      <c r="P90" s="37">
        <f t="shared" si="74"/>
        <v>22533600</v>
      </c>
      <c r="Q90" s="128"/>
    </row>
    <row r="91" spans="1:17" s="29" customFormat="1" ht="54.4" customHeight="1" x14ac:dyDescent="0.25">
      <c r="A91" s="25" t="s">
        <v>443</v>
      </c>
      <c r="B91" s="26" t="str">
        <f>'дод 5'!A70</f>
        <v>1600</v>
      </c>
      <c r="C91" s="26" t="str">
        <f>'дод 5'!B70</f>
        <v>0990</v>
      </c>
      <c r="D91" s="30" t="str">
        <f>'дод 5'!C70</f>
        <v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v>
      </c>
      <c r="E91" s="28">
        <f t="shared" si="27"/>
        <v>24742100</v>
      </c>
      <c r="F91" s="28">
        <v>24742100</v>
      </c>
      <c r="G91" s="28">
        <v>20280410</v>
      </c>
      <c r="H91" s="28"/>
      <c r="I91" s="28"/>
      <c r="J91" s="28">
        <f t="shared" si="29"/>
        <v>0</v>
      </c>
      <c r="K91" s="28"/>
      <c r="L91" s="28"/>
      <c r="M91" s="28"/>
      <c r="N91" s="28"/>
      <c r="O91" s="28"/>
      <c r="P91" s="28">
        <f t="shared" si="28"/>
        <v>24742100</v>
      </c>
      <c r="Q91" s="128"/>
    </row>
    <row r="92" spans="1:17" s="38" customFormat="1" ht="65.25" customHeight="1" x14ac:dyDescent="0.25">
      <c r="A92" s="34"/>
      <c r="B92" s="35">
        <f>'дод 5'!A71</f>
        <v>0</v>
      </c>
      <c r="C92" s="35">
        <f>'дод 5'!B71</f>
        <v>0</v>
      </c>
      <c r="D92" s="36" t="str">
        <f>'дод 5'!C71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92" s="37">
        <f t="shared" si="27"/>
        <v>24742100</v>
      </c>
      <c r="F92" s="37">
        <v>24742100</v>
      </c>
      <c r="G92" s="37">
        <v>20280410</v>
      </c>
      <c r="H92" s="37"/>
      <c r="I92" s="37"/>
      <c r="J92" s="37">
        <f t="shared" si="29"/>
        <v>0</v>
      </c>
      <c r="K92" s="37"/>
      <c r="L92" s="37"/>
      <c r="M92" s="37"/>
      <c r="N92" s="37"/>
      <c r="O92" s="37"/>
      <c r="P92" s="37">
        <f t="shared" si="28"/>
        <v>24742100</v>
      </c>
      <c r="Q92" s="128"/>
    </row>
    <row r="93" spans="1:17" s="38" customFormat="1" ht="65.25" customHeight="1" x14ac:dyDescent="0.25">
      <c r="A93" s="25" t="s">
        <v>453</v>
      </c>
      <c r="B93" s="26" t="str">
        <f>'дод 5'!A72</f>
        <v>1700</v>
      </c>
      <c r="C93" s="26" t="str">
        <f>'дод 5'!B72</f>
        <v>0990</v>
      </c>
      <c r="D93" s="30" t="str">
        <f>'дод 5'!C72</f>
        <v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v>
      </c>
      <c r="E93" s="28">
        <f t="shared" ref="E93" si="75">F93+I93</f>
        <v>0</v>
      </c>
      <c r="F93" s="28"/>
      <c r="G93" s="28"/>
      <c r="H93" s="28"/>
      <c r="I93" s="28"/>
      <c r="J93" s="28">
        <f t="shared" ref="J93" si="76">L93+O93</f>
        <v>5785800</v>
      </c>
      <c r="K93" s="28"/>
      <c r="L93" s="28">
        <f>2892900+2892900</f>
        <v>5785800</v>
      </c>
      <c r="M93" s="28"/>
      <c r="N93" s="28"/>
      <c r="O93" s="28"/>
      <c r="P93" s="28">
        <f t="shared" ref="P93:P94" si="77">E93+J93</f>
        <v>5785800</v>
      </c>
      <c r="Q93" s="128"/>
    </row>
    <row r="94" spans="1:17" s="38" customFormat="1" ht="82.9" customHeight="1" x14ac:dyDescent="0.25">
      <c r="A94" s="34"/>
      <c r="B94" s="35">
        <f>'дод 5'!A73</f>
        <v>0</v>
      </c>
      <c r="C94" s="35">
        <f>'дод 5'!B73</f>
        <v>0</v>
      </c>
      <c r="D94" s="36" t="str">
        <f>'дод 5'!C73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94" s="37">
        <f>F94+I94</f>
        <v>0</v>
      </c>
      <c r="F94" s="37"/>
      <c r="G94" s="37"/>
      <c r="H94" s="37"/>
      <c r="I94" s="37"/>
      <c r="J94" s="37">
        <f>L94+O94</f>
        <v>2892900</v>
      </c>
      <c r="K94" s="37"/>
      <c r="L94" s="37">
        <v>2892900</v>
      </c>
      <c r="M94" s="37"/>
      <c r="N94" s="37"/>
      <c r="O94" s="37"/>
      <c r="P94" s="37">
        <f t="shared" si="77"/>
        <v>2892900</v>
      </c>
      <c r="Q94" s="128">
        <v>5</v>
      </c>
    </row>
    <row r="95" spans="1:17" s="38" customFormat="1" ht="61.5" customHeight="1" x14ac:dyDescent="0.25">
      <c r="A95" s="34"/>
      <c r="B95" s="35"/>
      <c r="C95" s="35"/>
      <c r="D95" s="36" t="s">
        <v>490</v>
      </c>
      <c r="E95" s="37">
        <f>F95+I95</f>
        <v>0</v>
      </c>
      <c r="F95" s="37"/>
      <c r="G95" s="37"/>
      <c r="H95" s="37"/>
      <c r="I95" s="37"/>
      <c r="J95" s="37">
        <f>L95+O95</f>
        <v>2892900</v>
      </c>
      <c r="K95" s="37"/>
      <c r="L95" s="37">
        <v>2892900</v>
      </c>
      <c r="M95" s="37"/>
      <c r="N95" s="37"/>
      <c r="O95" s="37"/>
      <c r="P95" s="37">
        <f t="shared" ref="P95" si="78">E95+J95</f>
        <v>2892900</v>
      </c>
      <c r="Q95" s="128"/>
    </row>
    <row r="96" spans="1:17" s="38" customFormat="1" ht="39.75" customHeight="1" x14ac:dyDescent="0.25">
      <c r="A96" s="25" t="s">
        <v>310</v>
      </c>
      <c r="B96" s="26" t="str">
        <f>'дод 5'!A116</f>
        <v>3242</v>
      </c>
      <c r="C96" s="26">
        <v>1090</v>
      </c>
      <c r="D96" s="27" t="s">
        <v>286</v>
      </c>
      <c r="E96" s="28">
        <f t="shared" si="27"/>
        <v>61600</v>
      </c>
      <c r="F96" s="28">
        <v>61600</v>
      </c>
      <c r="G96" s="28"/>
      <c r="H96" s="28"/>
      <c r="I96" s="28"/>
      <c r="J96" s="28">
        <f t="shared" si="29"/>
        <v>0</v>
      </c>
      <c r="K96" s="37"/>
      <c r="L96" s="37"/>
      <c r="M96" s="37"/>
      <c r="N96" s="37"/>
      <c r="O96" s="37"/>
      <c r="P96" s="28">
        <f t="shared" si="28"/>
        <v>61600</v>
      </c>
      <c r="Q96" s="128"/>
    </row>
    <row r="97" spans="1:17" s="38" customFormat="1" ht="49.5" customHeight="1" x14ac:dyDescent="0.25">
      <c r="A97" s="25" t="s">
        <v>311</v>
      </c>
      <c r="B97" s="26" t="str">
        <f>'дод 5'!A128</f>
        <v>5031</v>
      </c>
      <c r="C97" s="26" t="str">
        <f>'дод 5'!B128</f>
        <v>0810</v>
      </c>
      <c r="D97" s="30" t="str">
        <f>'дод 5'!C128</f>
        <v>Розвиток здібностей у дітей та молоді з фізичної
культури та спорту комунальними дитячо-юнацькими спортивними школами</v>
      </c>
      <c r="E97" s="28">
        <f t="shared" si="27"/>
        <v>12802100</v>
      </c>
      <c r="F97" s="28">
        <v>12802100</v>
      </c>
      <c r="G97" s="28">
        <v>9623600</v>
      </c>
      <c r="H97" s="28">
        <v>508400</v>
      </c>
      <c r="I97" s="28"/>
      <c r="J97" s="28">
        <f t="shared" si="29"/>
        <v>0</v>
      </c>
      <c r="K97" s="28"/>
      <c r="L97" s="37"/>
      <c r="M97" s="37"/>
      <c r="N97" s="37"/>
      <c r="O97" s="28"/>
      <c r="P97" s="28">
        <f t="shared" si="28"/>
        <v>12802100</v>
      </c>
      <c r="Q97" s="128"/>
    </row>
    <row r="98" spans="1:17" s="38" customFormat="1" ht="31.5" customHeight="1" x14ac:dyDescent="0.25">
      <c r="A98" s="25" t="s">
        <v>312</v>
      </c>
      <c r="B98" s="26" t="str">
        <f>'дод 5'!A170</f>
        <v>7640</v>
      </c>
      <c r="C98" s="26" t="str">
        <f>'дод 5'!B170</f>
        <v>0470</v>
      </c>
      <c r="D98" s="40" t="s">
        <v>291</v>
      </c>
      <c r="E98" s="28">
        <f t="shared" si="27"/>
        <v>585000</v>
      </c>
      <c r="F98" s="28">
        <v>585000</v>
      </c>
      <c r="G98" s="28"/>
      <c r="H98" s="28"/>
      <c r="I98" s="28"/>
      <c r="J98" s="28">
        <f>L98+O98</f>
        <v>1803891</v>
      </c>
      <c r="K98" s="28">
        <f>1230864+573027</f>
        <v>1803891</v>
      </c>
      <c r="L98" s="28"/>
      <c r="M98" s="28"/>
      <c r="N98" s="28"/>
      <c r="O98" s="28">
        <f>1230864+573027</f>
        <v>1803891</v>
      </c>
      <c r="P98" s="28">
        <f t="shared" si="28"/>
        <v>2388891</v>
      </c>
      <c r="Q98" s="128"/>
    </row>
    <row r="99" spans="1:17" s="38" customFormat="1" ht="37.9" customHeight="1" x14ac:dyDescent="0.25">
      <c r="A99" s="25" t="s">
        <v>356</v>
      </c>
      <c r="B99" s="26">
        <f>'дод 5'!A188</f>
        <v>8240</v>
      </c>
      <c r="C99" s="26" t="str">
        <f>'дод 5'!B188</f>
        <v>0380</v>
      </c>
      <c r="D99" s="30" t="str">
        <f>'дод 5'!C188</f>
        <v>Заходи та роботи з територіальної оборони</v>
      </c>
      <c r="E99" s="28">
        <f t="shared" si="27"/>
        <v>7482000</v>
      </c>
      <c r="F99" s="106">
        <f>3741000+3741000</f>
        <v>7482000</v>
      </c>
      <c r="G99" s="28"/>
      <c r="H99" s="28">
        <f>465000+465000</f>
        <v>930000</v>
      </c>
      <c r="I99" s="28"/>
      <c r="J99" s="28">
        <f t="shared" si="29"/>
        <v>0</v>
      </c>
      <c r="K99" s="28"/>
      <c r="L99" s="28"/>
      <c r="M99" s="28"/>
      <c r="N99" s="28"/>
      <c r="O99" s="28"/>
      <c r="P99" s="28">
        <f t="shared" si="28"/>
        <v>7482000</v>
      </c>
      <c r="Q99" s="128"/>
    </row>
    <row r="100" spans="1:17" s="38" customFormat="1" ht="36" customHeight="1" x14ac:dyDescent="0.25">
      <c r="A100" s="25" t="s">
        <v>313</v>
      </c>
      <c r="B100" s="26" t="str">
        <f>'дод 5'!A191</f>
        <v>8340</v>
      </c>
      <c r="C100" s="26" t="str">
        <f>'дод 5'!B191</f>
        <v>0540</v>
      </c>
      <c r="D100" s="30" t="str">
        <f>'дод 5'!C191</f>
        <v>Природоохоронні заходи за рахунок цільових фондів</v>
      </c>
      <c r="E100" s="28">
        <f t="shared" si="27"/>
        <v>0</v>
      </c>
      <c r="F100" s="28"/>
      <c r="G100" s="28"/>
      <c r="H100" s="28"/>
      <c r="I100" s="28"/>
      <c r="J100" s="28">
        <f t="shared" si="29"/>
        <v>415000</v>
      </c>
      <c r="K100" s="28"/>
      <c r="L100" s="28">
        <v>415000</v>
      </c>
      <c r="M100" s="28"/>
      <c r="N100" s="28"/>
      <c r="O100" s="28"/>
      <c r="P100" s="28">
        <f t="shared" si="28"/>
        <v>415000</v>
      </c>
      <c r="Q100" s="128"/>
    </row>
    <row r="101" spans="1:17" s="19" customFormat="1" ht="33.75" customHeight="1" x14ac:dyDescent="0.25">
      <c r="A101" s="16" t="s">
        <v>138</v>
      </c>
      <c r="B101" s="31"/>
      <c r="C101" s="31"/>
      <c r="D101" s="17" t="s">
        <v>293</v>
      </c>
      <c r="E101" s="18">
        <f>E102</f>
        <v>137026312</v>
      </c>
      <c r="F101" s="18">
        <f t="shared" ref="F101:P101" si="79">F102</f>
        <v>136561312</v>
      </c>
      <c r="G101" s="18">
        <f t="shared" si="79"/>
        <v>5789700</v>
      </c>
      <c r="H101" s="18">
        <f t="shared" si="79"/>
        <v>249200</v>
      </c>
      <c r="I101" s="18">
        <f t="shared" si="79"/>
        <v>465000</v>
      </c>
      <c r="J101" s="18">
        <f t="shared" si="79"/>
        <v>13424310</v>
      </c>
      <c r="K101" s="18">
        <f t="shared" si="79"/>
        <v>13424310</v>
      </c>
      <c r="L101" s="18">
        <f t="shared" si="79"/>
        <v>0</v>
      </c>
      <c r="M101" s="18">
        <f t="shared" si="79"/>
        <v>0</v>
      </c>
      <c r="N101" s="18">
        <f t="shared" si="79"/>
        <v>0</v>
      </c>
      <c r="O101" s="18">
        <f t="shared" si="79"/>
        <v>13424310</v>
      </c>
      <c r="P101" s="18">
        <f t="shared" si="79"/>
        <v>150450622</v>
      </c>
      <c r="Q101" s="128"/>
    </row>
    <row r="102" spans="1:17" s="24" customFormat="1" ht="33" customHeight="1" x14ac:dyDescent="0.25">
      <c r="A102" s="20" t="s">
        <v>139</v>
      </c>
      <c r="B102" s="32"/>
      <c r="C102" s="32"/>
      <c r="D102" s="22" t="s">
        <v>381</v>
      </c>
      <c r="E102" s="23">
        <f>E103+E104+E105+E106+E107+E108+E109+E111+E110</f>
        <v>137026312</v>
      </c>
      <c r="F102" s="23">
        <f t="shared" ref="F102:P102" si="80">F103+F104+F105+F106+F107+F108+F109+F111+F110</f>
        <v>136561312</v>
      </c>
      <c r="G102" s="23">
        <f t="shared" si="80"/>
        <v>5789700</v>
      </c>
      <c r="H102" s="23">
        <f t="shared" si="80"/>
        <v>249200</v>
      </c>
      <c r="I102" s="23">
        <f t="shared" si="80"/>
        <v>465000</v>
      </c>
      <c r="J102" s="23">
        <f t="shared" si="80"/>
        <v>13424310</v>
      </c>
      <c r="K102" s="23">
        <f t="shared" si="80"/>
        <v>13424310</v>
      </c>
      <c r="L102" s="23">
        <f t="shared" si="80"/>
        <v>0</v>
      </c>
      <c r="M102" s="23">
        <f t="shared" si="80"/>
        <v>0</v>
      </c>
      <c r="N102" s="23">
        <f t="shared" si="80"/>
        <v>0</v>
      </c>
      <c r="O102" s="23">
        <f t="shared" si="80"/>
        <v>13424310</v>
      </c>
      <c r="P102" s="23">
        <f t="shared" si="80"/>
        <v>150450622</v>
      </c>
      <c r="Q102" s="128"/>
    </row>
    <row r="103" spans="1:17" s="29" customFormat="1" ht="39" customHeight="1" x14ac:dyDescent="0.25">
      <c r="A103" s="25" t="s">
        <v>140</v>
      </c>
      <c r="B103" s="26" t="str">
        <f>'дод 5'!A17</f>
        <v>0160</v>
      </c>
      <c r="C103" s="26" t="str">
        <f>'дод 5'!B17</f>
        <v>0111</v>
      </c>
      <c r="D103" s="2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103" s="28">
        <f t="shared" ref="E103:E108" si="81">F103+I103</f>
        <v>3451700</v>
      </c>
      <c r="F103" s="28">
        <v>3451700</v>
      </c>
      <c r="G103" s="28">
        <v>2537500</v>
      </c>
      <c r="H103" s="28">
        <v>79200</v>
      </c>
      <c r="I103" s="28"/>
      <c r="J103" s="28">
        <f>L103+O103</f>
        <v>0</v>
      </c>
      <c r="K103" s="28"/>
      <c r="L103" s="28"/>
      <c r="M103" s="28"/>
      <c r="N103" s="28"/>
      <c r="O103" s="28"/>
      <c r="P103" s="28">
        <f t="shared" ref="P103:P111" si="82">E103+J103</f>
        <v>3451700</v>
      </c>
      <c r="Q103" s="128"/>
    </row>
    <row r="104" spans="1:17" s="29" customFormat="1" ht="33" customHeight="1" x14ac:dyDescent="0.25">
      <c r="A104" s="25" t="s">
        <v>141</v>
      </c>
      <c r="B104" s="26" t="str">
        <f>'дод 5'!A76</f>
        <v>2010</v>
      </c>
      <c r="C104" s="26" t="str">
        <f>'дод 5'!B76</f>
        <v>0731</v>
      </c>
      <c r="D104" s="40" t="str">
        <f>'дод 5'!C76</f>
        <v>Багатопрофільна стаціонарна медична допомога населенню</v>
      </c>
      <c r="E104" s="28">
        <f>F104+I104</f>
        <v>79224812</v>
      </c>
      <c r="F104" s="28">
        <f>79145600+79212</f>
        <v>79224812</v>
      </c>
      <c r="G104" s="28"/>
      <c r="H104" s="28"/>
      <c r="I104" s="28"/>
      <c r="J104" s="28">
        <f t="shared" ref="J104:J111" si="83">L104+O104</f>
        <v>7780000</v>
      </c>
      <c r="K104" s="28">
        <f>7966974-1466974+1280000</f>
        <v>7780000</v>
      </c>
      <c r="L104" s="28"/>
      <c r="M104" s="28"/>
      <c r="N104" s="28"/>
      <c r="O104" s="28">
        <f>7966974-1466974+1280000</f>
        <v>7780000</v>
      </c>
      <c r="P104" s="28">
        <f t="shared" si="82"/>
        <v>87004812</v>
      </c>
      <c r="Q104" s="128"/>
    </row>
    <row r="105" spans="1:17" s="29" customFormat="1" ht="31.5" x14ac:dyDescent="0.25">
      <c r="A105" s="25" t="s">
        <v>145</v>
      </c>
      <c r="B105" s="26" t="str">
        <f>'дод 5'!A77</f>
        <v>2030</v>
      </c>
      <c r="C105" s="26" t="str">
        <f>'дод 5'!B77</f>
        <v>0733</v>
      </c>
      <c r="D105" s="27" t="str">
        <f>'дод 5'!C77</f>
        <v>Лікарсько-акушерська допомога вагітним, породіллям та новонародженим</v>
      </c>
      <c r="E105" s="28">
        <f t="shared" si="81"/>
        <v>6632300</v>
      </c>
      <c r="F105" s="28">
        <v>6632300</v>
      </c>
      <c r="G105" s="28"/>
      <c r="H105" s="28"/>
      <c r="I105" s="28"/>
      <c r="J105" s="28">
        <f t="shared" si="83"/>
        <v>0</v>
      </c>
      <c r="K105" s="28"/>
      <c r="L105" s="28"/>
      <c r="M105" s="28"/>
      <c r="N105" s="28"/>
      <c r="O105" s="28"/>
      <c r="P105" s="28">
        <f t="shared" si="82"/>
        <v>6632300</v>
      </c>
      <c r="Q105" s="128"/>
    </row>
    <row r="106" spans="1:17" s="29" customFormat="1" ht="24" customHeight="1" x14ac:dyDescent="0.25">
      <c r="A106" s="25" t="s">
        <v>144</v>
      </c>
      <c r="B106" s="26" t="str">
        <f>'дод 5'!A78</f>
        <v>2100</v>
      </c>
      <c r="C106" s="26" t="str">
        <f>'дод 5'!B78</f>
        <v>0722</v>
      </c>
      <c r="D106" s="27" t="str">
        <f>'дод 5'!C78</f>
        <v>Стоматологічна допомога населенню</v>
      </c>
      <c r="E106" s="28">
        <f t="shared" si="81"/>
        <v>3005800</v>
      </c>
      <c r="F106" s="28">
        <f>1295800+1710000</f>
        <v>3005800</v>
      </c>
      <c r="G106" s="28"/>
      <c r="H106" s="28"/>
      <c r="I106" s="28"/>
      <c r="J106" s="28">
        <f t="shared" si="83"/>
        <v>0</v>
      </c>
      <c r="K106" s="28"/>
      <c r="L106" s="28"/>
      <c r="M106" s="28"/>
      <c r="N106" s="28"/>
      <c r="O106" s="28"/>
      <c r="P106" s="28">
        <f t="shared" si="82"/>
        <v>3005800</v>
      </c>
      <c r="Q106" s="128"/>
    </row>
    <row r="107" spans="1:17" s="29" customFormat="1" ht="48" customHeight="1" x14ac:dyDescent="0.25">
      <c r="A107" s="25" t="s">
        <v>143</v>
      </c>
      <c r="B107" s="26" t="str">
        <f>'дод 5'!A79</f>
        <v>2111</v>
      </c>
      <c r="C107" s="26" t="str">
        <f>'дод 5'!B79</f>
        <v>0726</v>
      </c>
      <c r="D107" s="27" t="str">
        <f>'дод 5'!C79</f>
        <v>Первинна медична допомога населенню, що надається центрами первинної медичної (медико-санітарної) допомоги</v>
      </c>
      <c r="E107" s="28">
        <f t="shared" si="81"/>
        <v>6034800</v>
      </c>
      <c r="F107" s="28">
        <v>6034800</v>
      </c>
      <c r="G107" s="28"/>
      <c r="H107" s="28"/>
      <c r="I107" s="28"/>
      <c r="J107" s="28">
        <f t="shared" si="83"/>
        <v>0</v>
      </c>
      <c r="K107" s="28"/>
      <c r="L107" s="28"/>
      <c r="M107" s="28"/>
      <c r="N107" s="28"/>
      <c r="O107" s="28"/>
      <c r="P107" s="28">
        <f t="shared" si="82"/>
        <v>6034800</v>
      </c>
      <c r="Q107" s="128"/>
    </row>
    <row r="108" spans="1:17" s="29" customFormat="1" ht="43.5" customHeight="1" x14ac:dyDescent="0.25">
      <c r="A108" s="25" t="s">
        <v>251</v>
      </c>
      <c r="B108" s="26" t="str">
        <f>'дод 5'!A80</f>
        <v>2151</v>
      </c>
      <c r="C108" s="26" t="str">
        <f>'дод 5'!B80</f>
        <v>0763</v>
      </c>
      <c r="D108" s="27" t="str">
        <f>'дод 5'!C80</f>
        <v>Забезпечення діяльності інших закладів у сфері охорони здоров'я</v>
      </c>
      <c r="E108" s="28">
        <f t="shared" si="81"/>
        <v>4355200</v>
      </c>
      <c r="F108" s="28">
        <v>4355200</v>
      </c>
      <c r="G108" s="28">
        <v>3252200</v>
      </c>
      <c r="H108" s="28">
        <v>170000</v>
      </c>
      <c r="I108" s="28"/>
      <c r="J108" s="28">
        <f t="shared" si="83"/>
        <v>0</v>
      </c>
      <c r="K108" s="28"/>
      <c r="L108" s="28"/>
      <c r="M108" s="28"/>
      <c r="N108" s="28"/>
      <c r="O108" s="28"/>
      <c r="P108" s="28">
        <f t="shared" si="82"/>
        <v>4355200</v>
      </c>
      <c r="Q108" s="128"/>
    </row>
    <row r="109" spans="1:17" s="29" customFormat="1" ht="28.5" customHeight="1" x14ac:dyDescent="0.25">
      <c r="A109" s="25" t="s">
        <v>252</v>
      </c>
      <c r="B109" s="26" t="str">
        <f>'дод 5'!A81</f>
        <v>2152</v>
      </c>
      <c r="C109" s="26" t="str">
        <f>'дод 5'!B81</f>
        <v>0763</v>
      </c>
      <c r="D109" s="27" t="str">
        <f>'дод 5'!C81</f>
        <v>Інші програми та заходи у сфері охорони здоров'я</v>
      </c>
      <c r="E109" s="28">
        <f>F109+I109</f>
        <v>33856700</v>
      </c>
      <c r="F109" s="28">
        <f>35566700-1710000</f>
        <v>33856700</v>
      </c>
      <c r="G109" s="28"/>
      <c r="H109" s="28"/>
      <c r="I109" s="28"/>
      <c r="J109" s="28">
        <f t="shared" si="83"/>
        <v>0</v>
      </c>
      <c r="K109" s="28"/>
      <c r="L109" s="28"/>
      <c r="M109" s="28"/>
      <c r="N109" s="28"/>
      <c r="O109" s="28"/>
      <c r="P109" s="28">
        <f t="shared" si="82"/>
        <v>33856700</v>
      </c>
      <c r="Q109" s="128"/>
    </row>
    <row r="110" spans="1:17" s="29" customFormat="1" ht="28.5" customHeight="1" x14ac:dyDescent="0.25">
      <c r="A110" s="25" t="s">
        <v>472</v>
      </c>
      <c r="B110" s="26">
        <f>'дод 5'!A82</f>
        <v>2170</v>
      </c>
      <c r="C110" s="26" t="str">
        <f>'дод 5'!B82</f>
        <v>0763</v>
      </c>
      <c r="D110" s="30" t="str">
        <f>'дод 5'!C82</f>
        <v>Будівництво1 закладів охорони здоров'я</v>
      </c>
      <c r="E110" s="28">
        <f t="shared" ref="E110:E111" si="84">F110+I110</f>
        <v>0</v>
      </c>
      <c r="F110" s="28"/>
      <c r="G110" s="28"/>
      <c r="H110" s="28"/>
      <c r="I110" s="28"/>
      <c r="J110" s="28">
        <f t="shared" si="83"/>
        <v>3645220</v>
      </c>
      <c r="K110" s="28">
        <f>2178246+1466974</f>
        <v>3645220</v>
      </c>
      <c r="L110" s="28"/>
      <c r="M110" s="28"/>
      <c r="N110" s="28"/>
      <c r="O110" s="28">
        <f>2178246+1466974</f>
        <v>3645220</v>
      </c>
      <c r="P110" s="28">
        <f t="shared" si="82"/>
        <v>3645220</v>
      </c>
      <c r="Q110" s="128"/>
    </row>
    <row r="111" spans="1:17" s="29" customFormat="1" ht="23.25" customHeight="1" x14ac:dyDescent="0.25">
      <c r="A111" s="25" t="s">
        <v>142</v>
      </c>
      <c r="B111" s="26" t="str">
        <f>'дод 5'!A170</f>
        <v>7640</v>
      </c>
      <c r="C111" s="26" t="str">
        <f>'дод 5'!B170</f>
        <v>0470</v>
      </c>
      <c r="D111" s="27" t="s">
        <v>291</v>
      </c>
      <c r="E111" s="28">
        <f t="shared" si="84"/>
        <v>465000</v>
      </c>
      <c r="F111" s="28"/>
      <c r="G111" s="28"/>
      <c r="H111" s="28"/>
      <c r="I111" s="28">
        <v>465000</v>
      </c>
      <c r="J111" s="28">
        <f t="shared" si="83"/>
        <v>1999090</v>
      </c>
      <c r="K111" s="28">
        <v>1999090</v>
      </c>
      <c r="L111" s="28"/>
      <c r="M111" s="28"/>
      <c r="N111" s="28"/>
      <c r="O111" s="28">
        <v>1999090</v>
      </c>
      <c r="P111" s="28">
        <f t="shared" si="82"/>
        <v>2464090</v>
      </c>
      <c r="Q111" s="128"/>
    </row>
    <row r="112" spans="1:17" s="19" customFormat="1" ht="36" customHeight="1" x14ac:dyDescent="0.25">
      <c r="A112" s="16" t="s">
        <v>146</v>
      </c>
      <c r="B112" s="31"/>
      <c r="C112" s="31"/>
      <c r="D112" s="17" t="s">
        <v>32</v>
      </c>
      <c r="E112" s="18">
        <f>E113</f>
        <v>374904021</v>
      </c>
      <c r="F112" s="18">
        <f t="shared" ref="F112:P112" si="85">F113</f>
        <v>374904021</v>
      </c>
      <c r="G112" s="18">
        <f t="shared" si="85"/>
        <v>86602065</v>
      </c>
      <c r="H112" s="18">
        <f t="shared" si="85"/>
        <v>4235300</v>
      </c>
      <c r="I112" s="18">
        <f t="shared" si="85"/>
        <v>0</v>
      </c>
      <c r="J112" s="18">
        <f t="shared" si="85"/>
        <v>58600</v>
      </c>
      <c r="K112" s="18">
        <f t="shared" si="85"/>
        <v>0</v>
      </c>
      <c r="L112" s="18">
        <f t="shared" si="85"/>
        <v>58600</v>
      </c>
      <c r="M112" s="18">
        <f t="shared" si="85"/>
        <v>48000</v>
      </c>
      <c r="N112" s="18">
        <f t="shared" si="85"/>
        <v>0</v>
      </c>
      <c r="O112" s="18">
        <f t="shared" si="85"/>
        <v>0</v>
      </c>
      <c r="P112" s="18">
        <f t="shared" si="85"/>
        <v>374962621</v>
      </c>
      <c r="Q112" s="128"/>
    </row>
    <row r="113" spans="1:17" s="24" customFormat="1" ht="32.25" customHeight="1" x14ac:dyDescent="0.25">
      <c r="A113" s="20" t="s">
        <v>147</v>
      </c>
      <c r="B113" s="32"/>
      <c r="C113" s="32"/>
      <c r="D113" s="22" t="s">
        <v>350</v>
      </c>
      <c r="E113" s="23">
        <f t="shared" ref="E113:P113" si="86">E118+E119+E120+E121+E122+E123+E128+E131+E135+E136+E139+E140+E141+E145+E130+E129+E124+E126+E133+E137</f>
        <v>374904021</v>
      </c>
      <c r="F113" s="23">
        <f t="shared" si="86"/>
        <v>374904021</v>
      </c>
      <c r="G113" s="23">
        <f t="shared" si="86"/>
        <v>86602065</v>
      </c>
      <c r="H113" s="23">
        <f t="shared" si="86"/>
        <v>4235300</v>
      </c>
      <c r="I113" s="23">
        <f t="shared" si="86"/>
        <v>0</v>
      </c>
      <c r="J113" s="23">
        <f t="shared" si="86"/>
        <v>58600</v>
      </c>
      <c r="K113" s="23">
        <f t="shared" si="86"/>
        <v>0</v>
      </c>
      <c r="L113" s="23">
        <f t="shared" si="86"/>
        <v>58600</v>
      </c>
      <c r="M113" s="23">
        <f t="shared" si="86"/>
        <v>48000</v>
      </c>
      <c r="N113" s="23">
        <f t="shared" si="86"/>
        <v>0</v>
      </c>
      <c r="O113" s="23">
        <f t="shared" si="86"/>
        <v>0</v>
      </c>
      <c r="P113" s="23">
        <f t="shared" si="86"/>
        <v>374962621</v>
      </c>
      <c r="Q113" s="128"/>
    </row>
    <row r="114" spans="1:17" s="24" customFormat="1" ht="32.25" customHeight="1" x14ac:dyDescent="0.25">
      <c r="A114" s="20"/>
      <c r="B114" s="32"/>
      <c r="C114" s="32"/>
      <c r="D114" s="22" t="s">
        <v>416</v>
      </c>
      <c r="E114" s="23">
        <f t="shared" ref="E114:P114" si="87">E142+E125+E127+E134</f>
        <v>1422057</v>
      </c>
      <c r="F114" s="23">
        <f t="shared" si="87"/>
        <v>1422057</v>
      </c>
      <c r="G114" s="23">
        <f t="shared" si="87"/>
        <v>0</v>
      </c>
      <c r="H114" s="23">
        <f t="shared" si="87"/>
        <v>0</v>
      </c>
      <c r="I114" s="23">
        <f t="shared" si="87"/>
        <v>0</v>
      </c>
      <c r="J114" s="23">
        <f t="shared" si="87"/>
        <v>0</v>
      </c>
      <c r="K114" s="23">
        <f t="shared" si="87"/>
        <v>0</v>
      </c>
      <c r="L114" s="23">
        <f t="shared" si="87"/>
        <v>0</v>
      </c>
      <c r="M114" s="23">
        <f t="shared" si="87"/>
        <v>0</v>
      </c>
      <c r="N114" s="23">
        <f t="shared" si="87"/>
        <v>0</v>
      </c>
      <c r="O114" s="23">
        <f t="shared" si="87"/>
        <v>0</v>
      </c>
      <c r="P114" s="23">
        <f t="shared" si="87"/>
        <v>1422057</v>
      </c>
      <c r="Q114" s="128"/>
    </row>
    <row r="115" spans="1:17" s="24" customFormat="1" ht="94.5" x14ac:dyDescent="0.25">
      <c r="A115" s="20"/>
      <c r="B115" s="32"/>
      <c r="C115" s="32"/>
      <c r="D115" s="22" t="s">
        <v>399</v>
      </c>
      <c r="E115" s="23">
        <f t="shared" ref="E115:P115" si="88">E143+E132</f>
        <v>71303000</v>
      </c>
      <c r="F115" s="23">
        <f t="shared" si="88"/>
        <v>71303000</v>
      </c>
      <c r="G115" s="23">
        <f t="shared" si="88"/>
        <v>0</v>
      </c>
      <c r="H115" s="23">
        <f t="shared" si="88"/>
        <v>0</v>
      </c>
      <c r="I115" s="23">
        <f t="shared" si="88"/>
        <v>0</v>
      </c>
      <c r="J115" s="23">
        <f t="shared" si="88"/>
        <v>0</v>
      </c>
      <c r="K115" s="23">
        <f t="shared" si="88"/>
        <v>0</v>
      </c>
      <c r="L115" s="23">
        <f t="shared" si="88"/>
        <v>0</v>
      </c>
      <c r="M115" s="23">
        <f t="shared" si="88"/>
        <v>0</v>
      </c>
      <c r="N115" s="23">
        <f t="shared" si="88"/>
        <v>0</v>
      </c>
      <c r="O115" s="23">
        <f t="shared" si="88"/>
        <v>0</v>
      </c>
      <c r="P115" s="23">
        <f t="shared" si="88"/>
        <v>71303000</v>
      </c>
      <c r="Q115" s="128"/>
    </row>
    <row r="116" spans="1:17" s="24" customFormat="1" ht="141.75" x14ac:dyDescent="0.25">
      <c r="A116" s="20"/>
      <c r="B116" s="32"/>
      <c r="C116" s="32"/>
      <c r="D116" s="22" t="str">
        <f>D144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116" s="23">
        <f>E144</f>
        <v>2868232.83</v>
      </c>
      <c r="F116" s="23">
        <f t="shared" ref="F116:P116" si="89">F144</f>
        <v>2868232.83</v>
      </c>
      <c r="G116" s="23">
        <f t="shared" si="89"/>
        <v>0</v>
      </c>
      <c r="H116" s="23">
        <f t="shared" si="89"/>
        <v>0</v>
      </c>
      <c r="I116" s="23">
        <f t="shared" si="89"/>
        <v>0</v>
      </c>
      <c r="J116" s="23">
        <f t="shared" si="89"/>
        <v>0</v>
      </c>
      <c r="K116" s="23">
        <f t="shared" si="89"/>
        <v>0</v>
      </c>
      <c r="L116" s="23">
        <f t="shared" si="89"/>
        <v>0</v>
      </c>
      <c r="M116" s="23">
        <f t="shared" si="89"/>
        <v>0</v>
      </c>
      <c r="N116" s="23">
        <f t="shared" si="89"/>
        <v>0</v>
      </c>
      <c r="O116" s="23">
        <f t="shared" si="89"/>
        <v>0</v>
      </c>
      <c r="P116" s="23">
        <f t="shared" si="89"/>
        <v>2868232.83</v>
      </c>
      <c r="Q116" s="128"/>
    </row>
    <row r="117" spans="1:17" s="24" customFormat="1" ht="110.25" x14ac:dyDescent="0.25">
      <c r="A117" s="20"/>
      <c r="B117" s="32"/>
      <c r="C117" s="32"/>
      <c r="D117" s="22" t="str">
        <f>D138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17" s="23">
        <f>E138</f>
        <v>430007</v>
      </c>
      <c r="F117" s="23">
        <f t="shared" ref="F117:P117" si="90">F138</f>
        <v>430007</v>
      </c>
      <c r="G117" s="23">
        <f t="shared" si="90"/>
        <v>352465</v>
      </c>
      <c r="H117" s="23">
        <f t="shared" si="90"/>
        <v>0</v>
      </c>
      <c r="I117" s="23">
        <f t="shared" si="90"/>
        <v>0</v>
      </c>
      <c r="J117" s="23">
        <f t="shared" si="90"/>
        <v>0</v>
      </c>
      <c r="K117" s="23">
        <f t="shared" si="90"/>
        <v>0</v>
      </c>
      <c r="L117" s="23">
        <f t="shared" si="90"/>
        <v>0</v>
      </c>
      <c r="M117" s="23">
        <f t="shared" si="90"/>
        <v>0</v>
      </c>
      <c r="N117" s="23">
        <f t="shared" si="90"/>
        <v>0</v>
      </c>
      <c r="O117" s="23">
        <f t="shared" si="90"/>
        <v>0</v>
      </c>
      <c r="P117" s="23">
        <f t="shared" si="90"/>
        <v>430007</v>
      </c>
      <c r="Q117" s="128">
        <v>6</v>
      </c>
    </row>
    <row r="118" spans="1:17" s="29" customFormat="1" ht="36" customHeight="1" x14ac:dyDescent="0.25">
      <c r="A118" s="25" t="s">
        <v>148</v>
      </c>
      <c r="B118" s="26" t="str">
        <f>'дод 5'!A17</f>
        <v>0160</v>
      </c>
      <c r="C118" s="26" t="str">
        <f>'дод 5'!B17</f>
        <v>0111</v>
      </c>
      <c r="D118" s="41" t="str">
        <f>'дод 5'!C17</f>
        <v>Керівництво і управління у відповідній сфері у містах (місті Києві), селищах, селах, територіальних громадах</v>
      </c>
      <c r="E118" s="28">
        <f t="shared" ref="E118:E145" si="91">F118+I118</f>
        <v>74639800</v>
      </c>
      <c r="F118" s="28">
        <f>74544600+178800-83600</f>
        <v>74639800</v>
      </c>
      <c r="G118" s="28">
        <f>57433400+146500-68500</f>
        <v>57511400</v>
      </c>
      <c r="H118" s="28">
        <v>1952800</v>
      </c>
      <c r="I118" s="28"/>
      <c r="J118" s="28">
        <f>L118+O118</f>
        <v>0</v>
      </c>
      <c r="K118" s="28"/>
      <c r="L118" s="28"/>
      <c r="M118" s="28"/>
      <c r="N118" s="28"/>
      <c r="O118" s="28"/>
      <c r="P118" s="28">
        <f t="shared" ref="P118:P145" si="92">E118+J118</f>
        <v>74639800</v>
      </c>
      <c r="Q118" s="128"/>
    </row>
    <row r="119" spans="1:17" s="29" customFormat="1" ht="36" customHeight="1" x14ac:dyDescent="0.25">
      <c r="A119" s="25" t="s">
        <v>149</v>
      </c>
      <c r="B119" s="26" t="str">
        <f>'дод 5'!A88</f>
        <v>3031</v>
      </c>
      <c r="C119" s="26" t="str">
        <f>'дод 5'!B88</f>
        <v>1030</v>
      </c>
      <c r="D119" s="27" t="str">
        <f>'дод 5'!C88</f>
        <v>Надання інших пільг окремим категоріям громадян відповідно до законодавства</v>
      </c>
      <c r="E119" s="28">
        <f t="shared" si="91"/>
        <v>438760</v>
      </c>
      <c r="F119" s="28">
        <v>438760</v>
      </c>
      <c r="G119" s="28"/>
      <c r="H119" s="28"/>
      <c r="I119" s="28"/>
      <c r="J119" s="28">
        <f t="shared" ref="J119:J139" si="93">L119+O119</f>
        <v>0</v>
      </c>
      <c r="K119" s="28"/>
      <c r="L119" s="28"/>
      <c r="M119" s="28"/>
      <c r="N119" s="28"/>
      <c r="O119" s="28"/>
      <c r="P119" s="28">
        <f t="shared" si="92"/>
        <v>438760</v>
      </c>
      <c r="Q119" s="128"/>
    </row>
    <row r="120" spans="1:17" s="29" customFormat="1" ht="33" customHeight="1" x14ac:dyDescent="0.25">
      <c r="A120" s="25" t="s">
        <v>150</v>
      </c>
      <c r="B120" s="26" t="str">
        <f>'дод 5'!A89</f>
        <v>3032</v>
      </c>
      <c r="C120" s="26" t="str">
        <f>'дод 5'!B89</f>
        <v>1070</v>
      </c>
      <c r="D120" s="27" t="str">
        <f>'дод 5'!C89</f>
        <v>Надання пільг окремим категоріям громадян з оплати послуг зв'язку</v>
      </c>
      <c r="E120" s="28">
        <f t="shared" si="91"/>
        <v>700000</v>
      </c>
      <c r="F120" s="28">
        <v>700000</v>
      </c>
      <c r="G120" s="28"/>
      <c r="H120" s="28"/>
      <c r="I120" s="28"/>
      <c r="J120" s="28">
        <f t="shared" si="93"/>
        <v>0</v>
      </c>
      <c r="K120" s="28"/>
      <c r="L120" s="28"/>
      <c r="M120" s="28"/>
      <c r="N120" s="28"/>
      <c r="O120" s="28"/>
      <c r="P120" s="28">
        <f t="shared" si="92"/>
        <v>700000</v>
      </c>
      <c r="Q120" s="128"/>
    </row>
    <row r="121" spans="1:17" s="29" customFormat="1" ht="48.75" customHeight="1" x14ac:dyDescent="0.25">
      <c r="A121" s="25" t="s">
        <v>273</v>
      </c>
      <c r="B121" s="26" t="str">
        <f>'дод 5'!A90</f>
        <v>3033</v>
      </c>
      <c r="C121" s="26" t="str">
        <f>'дод 5'!B90</f>
        <v>1070</v>
      </c>
      <c r="D121" s="27" t="str">
        <f>'дод 5'!C90</f>
        <v>Компенсаційні виплати на пільговий проїзд автомобільним транспортом окремим категоріям громадян, у т.ч. за рахунок:</v>
      </c>
      <c r="E121" s="28">
        <f t="shared" si="91"/>
        <v>21385300</v>
      </c>
      <c r="F121" s="28">
        <v>21385300</v>
      </c>
      <c r="G121" s="28"/>
      <c r="H121" s="28"/>
      <c r="I121" s="28"/>
      <c r="J121" s="28">
        <f t="shared" si="93"/>
        <v>0</v>
      </c>
      <c r="K121" s="28"/>
      <c r="L121" s="28"/>
      <c r="M121" s="28"/>
      <c r="N121" s="28"/>
      <c r="O121" s="28"/>
      <c r="P121" s="28">
        <f t="shared" si="92"/>
        <v>21385300</v>
      </c>
      <c r="Q121" s="128"/>
    </row>
    <row r="122" spans="1:17" s="29" customFormat="1" ht="42" customHeight="1" x14ac:dyDescent="0.25">
      <c r="A122" s="25" t="s">
        <v>250</v>
      </c>
      <c r="B122" s="26" t="str">
        <f>'дод 5'!A91</f>
        <v>3035</v>
      </c>
      <c r="C122" s="26" t="str">
        <f>'дод 5'!B91</f>
        <v>1070</v>
      </c>
      <c r="D122" s="27" t="str">
        <f>'дод 5'!C91</f>
        <v>Компенсаційні виплати за пільговий проїзд окремих категорій громадян на залізничному транспорті</v>
      </c>
      <c r="E122" s="28">
        <f t="shared" si="91"/>
        <v>1000000</v>
      </c>
      <c r="F122" s="28">
        <v>1000000</v>
      </c>
      <c r="G122" s="28"/>
      <c r="H122" s="28"/>
      <c r="I122" s="28"/>
      <c r="J122" s="28">
        <f t="shared" si="93"/>
        <v>0</v>
      </c>
      <c r="K122" s="28"/>
      <c r="L122" s="28"/>
      <c r="M122" s="28"/>
      <c r="N122" s="28"/>
      <c r="O122" s="28"/>
      <c r="P122" s="28">
        <f t="shared" si="92"/>
        <v>1000000</v>
      </c>
      <c r="Q122" s="128"/>
    </row>
    <row r="123" spans="1:17" s="29" customFormat="1" ht="36.75" customHeight="1" x14ac:dyDescent="0.25">
      <c r="A123" s="25" t="s">
        <v>151</v>
      </c>
      <c r="B123" s="26" t="str">
        <f>'дод 5'!A92</f>
        <v>3036</v>
      </c>
      <c r="C123" s="26" t="str">
        <f>'дод 5'!B92</f>
        <v>1070</v>
      </c>
      <c r="D123" s="27" t="str">
        <f>'дод 5'!C92</f>
        <v>Компенсаційні виплати на пільговий проїзд електротранспортом окремим категоріям громадян</v>
      </c>
      <c r="E123" s="28">
        <f t="shared" si="91"/>
        <v>43231400</v>
      </c>
      <c r="F123" s="28">
        <v>43231400</v>
      </c>
      <c r="G123" s="28"/>
      <c r="H123" s="28"/>
      <c r="I123" s="28"/>
      <c r="J123" s="28">
        <f t="shared" si="93"/>
        <v>0</v>
      </c>
      <c r="K123" s="28"/>
      <c r="L123" s="28"/>
      <c r="M123" s="28"/>
      <c r="N123" s="28"/>
      <c r="O123" s="28"/>
      <c r="P123" s="28">
        <f t="shared" si="92"/>
        <v>43231400</v>
      </c>
      <c r="Q123" s="128"/>
    </row>
    <row r="124" spans="1:17" s="29" customFormat="1" ht="52.5" customHeight="1" x14ac:dyDescent="0.25">
      <c r="A124" s="25" t="s">
        <v>417</v>
      </c>
      <c r="B124" s="26" t="str">
        <f>'дод 5'!A93</f>
        <v>3050</v>
      </c>
      <c r="C124" s="26" t="str">
        <f>'дод 5'!B93</f>
        <v>1070</v>
      </c>
      <c r="D124" s="30" t="str">
        <f>'дод 5'!C93</f>
        <v>Пільгове медичне обслуговування осіб, які постраждали внаслідок Чорнобильської катастрофи, у т.ч. за рахунок:</v>
      </c>
      <c r="E124" s="28">
        <f t="shared" si="91"/>
        <v>856600</v>
      </c>
      <c r="F124" s="28">
        <v>856600</v>
      </c>
      <c r="G124" s="28"/>
      <c r="H124" s="28"/>
      <c r="I124" s="28"/>
      <c r="J124" s="28"/>
      <c r="K124" s="28"/>
      <c r="L124" s="28"/>
      <c r="M124" s="28"/>
      <c r="N124" s="28"/>
      <c r="O124" s="28"/>
      <c r="P124" s="28">
        <f t="shared" si="92"/>
        <v>856600</v>
      </c>
      <c r="Q124" s="128"/>
    </row>
    <row r="125" spans="1:17" s="38" customFormat="1" ht="15.75" x14ac:dyDescent="0.25">
      <c r="A125" s="34"/>
      <c r="B125" s="35">
        <f>'дод 5'!A94</f>
        <v>0</v>
      </c>
      <c r="C125" s="35">
        <f>'дод 5'!B94</f>
        <v>0</v>
      </c>
      <c r="D125" s="36" t="str">
        <f>'дод 5'!C94</f>
        <v>іншої субвенції з місцевого бюджету</v>
      </c>
      <c r="E125" s="37">
        <f t="shared" si="91"/>
        <v>856600</v>
      </c>
      <c r="F125" s="37">
        <v>856600</v>
      </c>
      <c r="G125" s="37"/>
      <c r="H125" s="37"/>
      <c r="I125" s="37"/>
      <c r="J125" s="37"/>
      <c r="K125" s="37"/>
      <c r="L125" s="37"/>
      <c r="M125" s="37"/>
      <c r="N125" s="37"/>
      <c r="O125" s="37"/>
      <c r="P125" s="37">
        <f t="shared" si="92"/>
        <v>856600</v>
      </c>
      <c r="Q125" s="128"/>
    </row>
    <row r="126" spans="1:17" s="29" customFormat="1" ht="42" customHeight="1" x14ac:dyDescent="0.25">
      <c r="A126" s="25" t="s">
        <v>418</v>
      </c>
      <c r="B126" s="26" t="str">
        <f>'дод 5'!A95</f>
        <v>3090</v>
      </c>
      <c r="C126" s="26" t="str">
        <f>'дод 5'!B95</f>
        <v>1030</v>
      </c>
      <c r="D126" s="30" t="str">
        <f>'дод 5'!C95</f>
        <v>Видатки на поховання учасників бойових дій та осіб з інвалідністю внаслідок війни, у т.ч. за рахунок:</v>
      </c>
      <c r="E126" s="28">
        <f t="shared" si="91"/>
        <v>124000</v>
      </c>
      <c r="F126" s="28">
        <v>124000</v>
      </c>
      <c r="G126" s="28"/>
      <c r="H126" s="28"/>
      <c r="I126" s="28"/>
      <c r="J126" s="28"/>
      <c r="K126" s="28"/>
      <c r="L126" s="28"/>
      <c r="M126" s="28"/>
      <c r="N126" s="28"/>
      <c r="O126" s="28"/>
      <c r="P126" s="28">
        <f t="shared" si="92"/>
        <v>124000</v>
      </c>
      <c r="Q126" s="128"/>
    </row>
    <row r="127" spans="1:17" s="38" customFormat="1" ht="15.75" x14ac:dyDescent="0.25">
      <c r="A127" s="34"/>
      <c r="B127" s="35">
        <f>'дод 5'!A96</f>
        <v>0</v>
      </c>
      <c r="C127" s="35">
        <f>'дод 5'!B96</f>
        <v>0</v>
      </c>
      <c r="D127" s="36" t="str">
        <f>'дод 5'!C96</f>
        <v>іншої субвенції з місцевого бюджету</v>
      </c>
      <c r="E127" s="37">
        <f t="shared" si="91"/>
        <v>124000</v>
      </c>
      <c r="F127" s="37">
        <v>124000</v>
      </c>
      <c r="G127" s="37"/>
      <c r="H127" s="37"/>
      <c r="I127" s="37"/>
      <c r="J127" s="37"/>
      <c r="K127" s="37"/>
      <c r="L127" s="37"/>
      <c r="M127" s="37"/>
      <c r="N127" s="37"/>
      <c r="O127" s="37"/>
      <c r="P127" s="37">
        <f t="shared" si="92"/>
        <v>124000</v>
      </c>
      <c r="Q127" s="128"/>
    </row>
    <row r="128" spans="1:17" s="29" customFormat="1" ht="64.5" customHeight="1" x14ac:dyDescent="0.25">
      <c r="A128" s="25" t="s">
        <v>152</v>
      </c>
      <c r="B128" s="26" t="str">
        <f>'дод 5'!A97</f>
        <v>3104</v>
      </c>
      <c r="C128" s="26" t="str">
        <f>'дод 5'!B97</f>
        <v>1020</v>
      </c>
      <c r="D128" s="27" t="str">
        <f>'дод 5'!C97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128" s="28">
        <f>F128+I128</f>
        <v>27074900</v>
      </c>
      <c r="F128" s="28">
        <v>27074900</v>
      </c>
      <c r="G128" s="28">
        <v>20066500</v>
      </c>
      <c r="H128" s="28">
        <v>1317500</v>
      </c>
      <c r="I128" s="28"/>
      <c r="J128" s="28">
        <f t="shared" si="93"/>
        <v>58600</v>
      </c>
      <c r="K128" s="28"/>
      <c r="L128" s="28">
        <v>58600</v>
      </c>
      <c r="M128" s="28">
        <v>48000</v>
      </c>
      <c r="N128" s="28"/>
      <c r="O128" s="28"/>
      <c r="P128" s="28">
        <f t="shared" si="92"/>
        <v>27133500</v>
      </c>
      <c r="Q128" s="128"/>
    </row>
    <row r="129" spans="1:17" s="29" customFormat="1" ht="99.75" customHeight="1" x14ac:dyDescent="0.25">
      <c r="A129" s="25" t="s">
        <v>397</v>
      </c>
      <c r="B129" s="26" t="str">
        <f>'дод 5'!A101</f>
        <v>3121</v>
      </c>
      <c r="C129" s="26" t="str">
        <f>'дод 5'!B101</f>
        <v>1040</v>
      </c>
      <c r="D129" s="89" t="str">
        <f>'дод 5'!C101</f>
        <v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v>
      </c>
      <c r="E129" s="28">
        <f t="shared" ref="E129" si="94">F129+I129</f>
        <v>6159000</v>
      </c>
      <c r="F129" s="28">
        <f>4261800+1897200</f>
        <v>6159000</v>
      </c>
      <c r="G129" s="28">
        <f>3095700+1260800</f>
        <v>4356500</v>
      </c>
      <c r="H129" s="28">
        <f>114600+287500</f>
        <v>402100</v>
      </c>
      <c r="I129" s="28"/>
      <c r="J129" s="28">
        <f t="shared" si="93"/>
        <v>0</v>
      </c>
      <c r="K129" s="28"/>
      <c r="L129" s="28"/>
      <c r="M129" s="28"/>
      <c r="N129" s="28"/>
      <c r="O129" s="28"/>
      <c r="P129" s="28">
        <f t="shared" si="92"/>
        <v>6159000</v>
      </c>
      <c r="Q129" s="128"/>
    </row>
    <row r="130" spans="1:17" s="29" customFormat="1" ht="69.75" customHeight="1" x14ac:dyDescent="0.25">
      <c r="A130" s="25" t="s">
        <v>383</v>
      </c>
      <c r="B130" s="26">
        <f>'дод 5'!A104</f>
        <v>3140</v>
      </c>
      <c r="C130" s="26">
        <f>'дод 5'!B104</f>
        <v>1040</v>
      </c>
      <c r="D130" s="30" t="str">
        <f>'дод 5'!C104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30" s="28">
        <f t="shared" ref="E130" si="95">F130+I130</f>
        <v>2000000</v>
      </c>
      <c r="F130" s="28">
        <v>2000000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28">
        <f t="shared" ref="P130" si="96">E130+J130</f>
        <v>2000000</v>
      </c>
      <c r="Q130" s="128"/>
    </row>
    <row r="131" spans="1:17" s="29" customFormat="1" ht="96.75" customHeight="1" x14ac:dyDescent="0.25">
      <c r="A131" s="25" t="s">
        <v>153</v>
      </c>
      <c r="B131" s="26" t="str">
        <f>'дод 5'!A105</f>
        <v>3160</v>
      </c>
      <c r="C131" s="26">
        <f>'дод 5'!B105</f>
        <v>1010</v>
      </c>
      <c r="D131" s="27" t="str">
        <f>'дод 5'!C105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E131" s="28">
        <f>F131+I131</f>
        <v>22228000</v>
      </c>
      <c r="F131" s="28">
        <v>22228000</v>
      </c>
      <c r="G131" s="28"/>
      <c r="H131" s="28"/>
      <c r="I131" s="28"/>
      <c r="J131" s="28">
        <f t="shared" si="93"/>
        <v>0</v>
      </c>
      <c r="K131" s="28"/>
      <c r="L131" s="28"/>
      <c r="M131" s="28"/>
      <c r="N131" s="28"/>
      <c r="O131" s="28"/>
      <c r="P131" s="28">
        <f t="shared" si="92"/>
        <v>22228000</v>
      </c>
      <c r="Q131" s="128"/>
    </row>
    <row r="132" spans="1:17" s="38" customFormat="1" ht="94.5" x14ac:dyDescent="0.25">
      <c r="A132" s="34"/>
      <c r="B132" s="35"/>
      <c r="C132" s="35"/>
      <c r="D132" s="39" t="s">
        <v>399</v>
      </c>
      <c r="E132" s="37">
        <f t="shared" ref="E132:E134" si="97">F132+I132</f>
        <v>20000000</v>
      </c>
      <c r="F132" s="37">
        <v>20000000</v>
      </c>
      <c r="G132" s="37"/>
      <c r="H132" s="37"/>
      <c r="I132" s="37"/>
      <c r="J132" s="37">
        <f t="shared" si="93"/>
        <v>0</v>
      </c>
      <c r="K132" s="37"/>
      <c r="L132" s="37"/>
      <c r="M132" s="37"/>
      <c r="N132" s="37"/>
      <c r="O132" s="37"/>
      <c r="P132" s="37">
        <f t="shared" si="92"/>
        <v>20000000</v>
      </c>
      <c r="Q132" s="128"/>
    </row>
    <row r="133" spans="1:17" s="29" customFormat="1" ht="63" x14ac:dyDescent="0.25">
      <c r="A133" s="25" t="s">
        <v>419</v>
      </c>
      <c r="B133" s="26" t="str">
        <f>'дод 5'!A107</f>
        <v>3171</v>
      </c>
      <c r="C133" s="26">
        <f>'дод 5'!B107</f>
        <v>1010</v>
      </c>
      <c r="D133" s="30" t="str">
        <f>'дод 5'!C107</f>
        <v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v>
      </c>
      <c r="E133" s="28">
        <f t="shared" si="97"/>
        <v>203057</v>
      </c>
      <c r="F133" s="28">
        <v>203057</v>
      </c>
      <c r="G133" s="28"/>
      <c r="H133" s="28"/>
      <c r="I133" s="28"/>
      <c r="J133" s="28"/>
      <c r="K133" s="28"/>
      <c r="L133" s="28"/>
      <c r="M133" s="28"/>
      <c r="N133" s="28"/>
      <c r="O133" s="28"/>
      <c r="P133" s="28">
        <f t="shared" si="92"/>
        <v>203057</v>
      </c>
      <c r="Q133" s="128"/>
    </row>
    <row r="134" spans="1:17" s="38" customFormat="1" ht="21" customHeight="1" x14ac:dyDescent="0.25">
      <c r="A134" s="34"/>
      <c r="B134" s="35">
        <f>'дод 5'!A108</f>
        <v>0</v>
      </c>
      <c r="C134" s="35">
        <f>'дод 5'!B108</f>
        <v>0</v>
      </c>
      <c r="D134" s="36" t="str">
        <f>'дод 5'!C108</f>
        <v>іншої субвенції з місцевого бюджету</v>
      </c>
      <c r="E134" s="37">
        <f t="shared" si="97"/>
        <v>203057</v>
      </c>
      <c r="F134" s="37">
        <v>203057</v>
      </c>
      <c r="G134" s="37"/>
      <c r="H134" s="37"/>
      <c r="I134" s="37"/>
      <c r="J134" s="37"/>
      <c r="K134" s="37"/>
      <c r="L134" s="37"/>
      <c r="M134" s="37"/>
      <c r="N134" s="37"/>
      <c r="O134" s="37"/>
      <c r="P134" s="37">
        <f t="shared" si="92"/>
        <v>203057</v>
      </c>
      <c r="Q134" s="128"/>
    </row>
    <row r="135" spans="1:17" s="29" customFormat="1" ht="40.5" customHeight="1" x14ac:dyDescent="0.25">
      <c r="A135" s="25" t="s">
        <v>240</v>
      </c>
      <c r="B135" s="26" t="str">
        <f>'дод 5'!A109</f>
        <v>3191</v>
      </c>
      <c r="C135" s="26" t="str">
        <f>'дод 5'!B109</f>
        <v>1030</v>
      </c>
      <c r="D135" s="27" t="str">
        <f>'дод 5'!C109</f>
        <v>Інші видатки на соціальний захист ветеранів війни та праці</v>
      </c>
      <c r="E135" s="28">
        <f t="shared" si="91"/>
        <v>29337700</v>
      </c>
      <c r="F135" s="28">
        <f>28137700+1200000</f>
        <v>29337700</v>
      </c>
      <c r="G135" s="28"/>
      <c r="H135" s="28"/>
      <c r="I135" s="28"/>
      <c r="J135" s="28">
        <f t="shared" si="93"/>
        <v>0</v>
      </c>
      <c r="K135" s="28"/>
      <c r="L135" s="28"/>
      <c r="M135" s="28"/>
      <c r="N135" s="28"/>
      <c r="O135" s="28"/>
      <c r="P135" s="28">
        <f t="shared" si="92"/>
        <v>29337700</v>
      </c>
      <c r="Q135" s="128"/>
    </row>
    <row r="136" spans="1:17" s="29" customFormat="1" ht="60.75" customHeight="1" x14ac:dyDescent="0.25">
      <c r="A136" s="25" t="s">
        <v>241</v>
      </c>
      <c r="B136" s="26" t="str">
        <f>'дод 5'!A110</f>
        <v>3192</v>
      </c>
      <c r="C136" s="26" t="str">
        <f>'дод 5'!B110</f>
        <v>1030</v>
      </c>
      <c r="D136" s="27" t="str">
        <f>'дод 5'!C110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136" s="28">
        <f t="shared" si="91"/>
        <v>2042540</v>
      </c>
      <c r="F136" s="28">
        <v>2042540</v>
      </c>
      <c r="G136" s="28"/>
      <c r="H136" s="28"/>
      <c r="I136" s="28"/>
      <c r="J136" s="28">
        <f t="shared" si="93"/>
        <v>0</v>
      </c>
      <c r="K136" s="28"/>
      <c r="L136" s="28"/>
      <c r="M136" s="28"/>
      <c r="N136" s="28"/>
      <c r="O136" s="28"/>
      <c r="P136" s="28">
        <f t="shared" si="92"/>
        <v>2042540</v>
      </c>
      <c r="Q136" s="128"/>
    </row>
    <row r="137" spans="1:17" s="29" customFormat="1" ht="85.5" customHeight="1" x14ac:dyDescent="0.25">
      <c r="A137" s="25" t="s">
        <v>478</v>
      </c>
      <c r="B137" s="26">
        <f>'дод 5'!A111</f>
        <v>3193</v>
      </c>
      <c r="C137" s="26">
        <f>'дод 5'!B111</f>
        <v>1030</v>
      </c>
      <c r="D137" s="30" t="str">
        <f>'дод 5'!C111</f>
        <v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v>
      </c>
      <c r="E137" s="28">
        <f t="shared" si="91"/>
        <v>430007</v>
      </c>
      <c r="F137" s="28">
        <v>430007</v>
      </c>
      <c r="G137" s="28">
        <v>352465</v>
      </c>
      <c r="H137" s="28"/>
      <c r="I137" s="28"/>
      <c r="J137" s="28">
        <f t="shared" si="93"/>
        <v>0</v>
      </c>
      <c r="K137" s="28"/>
      <c r="L137" s="28"/>
      <c r="M137" s="28"/>
      <c r="N137" s="28"/>
      <c r="O137" s="28"/>
      <c r="P137" s="28">
        <f t="shared" si="92"/>
        <v>430007</v>
      </c>
      <c r="Q137" s="128">
        <v>7</v>
      </c>
    </row>
    <row r="138" spans="1:17" s="38" customFormat="1" ht="96.4" customHeight="1" x14ac:dyDescent="0.25">
      <c r="A138" s="34"/>
      <c r="B138" s="35">
        <f>'дод 5'!A112</f>
        <v>0</v>
      </c>
      <c r="C138" s="35">
        <f>'дод 5'!B112</f>
        <v>0</v>
      </c>
      <c r="D138" s="36" t="str">
        <f>'дод 5'!C112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38" s="37">
        <f t="shared" si="91"/>
        <v>430007</v>
      </c>
      <c r="F138" s="37">
        <v>430007</v>
      </c>
      <c r="G138" s="37">
        <v>352465</v>
      </c>
      <c r="H138" s="37"/>
      <c r="I138" s="37"/>
      <c r="J138" s="28">
        <f t="shared" si="93"/>
        <v>0</v>
      </c>
      <c r="K138" s="37"/>
      <c r="L138" s="37"/>
      <c r="M138" s="37"/>
      <c r="N138" s="37"/>
      <c r="O138" s="37"/>
      <c r="P138" s="28">
        <f t="shared" si="92"/>
        <v>430007</v>
      </c>
      <c r="Q138" s="128"/>
    </row>
    <row r="139" spans="1:17" s="29" customFormat="1" ht="42.75" customHeight="1" x14ac:dyDescent="0.25">
      <c r="A139" s="25" t="s">
        <v>154</v>
      </c>
      <c r="B139" s="26" t="str">
        <f>'дод 5'!A113</f>
        <v>3200</v>
      </c>
      <c r="C139" s="26" t="str">
        <f>'дод 5'!B113</f>
        <v>1090</v>
      </c>
      <c r="D139" s="27" t="str">
        <f>'дод 5'!C113</f>
        <v>Забезпечення обробки інформації з нарахування та виплати допомог і компенсацій</v>
      </c>
      <c r="E139" s="28">
        <f t="shared" si="91"/>
        <v>107000</v>
      </c>
      <c r="F139" s="28">
        <v>107000</v>
      </c>
      <c r="G139" s="28"/>
      <c r="H139" s="28"/>
      <c r="I139" s="28"/>
      <c r="J139" s="28">
        <f t="shared" si="93"/>
        <v>0</v>
      </c>
      <c r="K139" s="28"/>
      <c r="L139" s="28"/>
      <c r="M139" s="28"/>
      <c r="N139" s="28"/>
      <c r="O139" s="28"/>
      <c r="P139" s="28">
        <f t="shared" si="92"/>
        <v>107000</v>
      </c>
      <c r="Q139" s="128"/>
    </row>
    <row r="140" spans="1:17" s="29" customFormat="1" ht="57" customHeight="1" x14ac:dyDescent="0.25">
      <c r="A140" s="25" t="s">
        <v>239</v>
      </c>
      <c r="B140" s="26" t="str">
        <f>'дод 5'!A115</f>
        <v>3241</v>
      </c>
      <c r="C140" s="26" t="str">
        <f>'дод 5'!B115</f>
        <v>1090</v>
      </c>
      <c r="D140" s="27" t="str">
        <f>'дод 5'!C115</f>
        <v>Надання комплексу послуг особам/сім’ям у сфері соціального захисту та соціального забезпечення іншими надавачами соціальних послуг</v>
      </c>
      <c r="E140" s="28">
        <f t="shared" si="91"/>
        <v>7634300</v>
      </c>
      <c r="F140" s="28">
        <f>7634300+1897200-1897200</f>
        <v>7634300</v>
      </c>
      <c r="G140" s="28">
        <f>4315200+1260800-1260800</f>
        <v>4315200</v>
      </c>
      <c r="H140" s="28">
        <f>562900+287500-287500</f>
        <v>562900</v>
      </c>
      <c r="I140" s="28"/>
      <c r="J140" s="28">
        <f t="shared" ref="J140:J145" si="98">L140+O140</f>
        <v>0</v>
      </c>
      <c r="K140" s="28"/>
      <c r="L140" s="28"/>
      <c r="M140" s="28"/>
      <c r="N140" s="28"/>
      <c r="O140" s="28"/>
      <c r="P140" s="28">
        <f t="shared" si="92"/>
        <v>7634300</v>
      </c>
      <c r="Q140" s="128"/>
    </row>
    <row r="141" spans="1:17" s="29" customFormat="1" ht="39.75" customHeight="1" x14ac:dyDescent="0.25">
      <c r="A141" s="25" t="s">
        <v>274</v>
      </c>
      <c r="B141" s="26" t="str">
        <f>'дод 5'!A116</f>
        <v>3242</v>
      </c>
      <c r="C141" s="26" t="str">
        <f>'дод 5'!B116</f>
        <v>1090</v>
      </c>
      <c r="D141" s="27" t="str">
        <f>'дод 5'!C116</f>
        <v>Інші заходи у сфері соціального захисту і соціального забезпечення,    у т. ч. за рахунок:</v>
      </c>
      <c r="E141" s="28">
        <f t="shared" si="91"/>
        <v>135156007</v>
      </c>
      <c r="F141" s="28">
        <f>72756307+238400+6000000+207800+41235267.17+1750000+2868232.83+500000+600000+9000000</f>
        <v>135156007</v>
      </c>
      <c r="G141" s="28"/>
      <c r="H141" s="28"/>
      <c r="I141" s="28"/>
      <c r="J141" s="28">
        <f t="shared" si="98"/>
        <v>0</v>
      </c>
      <c r="K141" s="28"/>
      <c r="L141" s="28"/>
      <c r="M141" s="28"/>
      <c r="N141" s="28"/>
      <c r="O141" s="28"/>
      <c r="P141" s="28">
        <f t="shared" si="92"/>
        <v>135156007</v>
      </c>
      <c r="Q141" s="128"/>
    </row>
    <row r="142" spans="1:17" s="38" customFormat="1" ht="27.75" customHeight="1" x14ac:dyDescent="0.25">
      <c r="A142" s="34"/>
      <c r="B142" s="35"/>
      <c r="C142" s="35"/>
      <c r="D142" s="39" t="str">
        <f>'дод 5'!C117</f>
        <v>іншої субвенції з місцевого бюджету</v>
      </c>
      <c r="E142" s="37">
        <f t="shared" ref="E142:E144" si="99">F142+I142</f>
        <v>238400</v>
      </c>
      <c r="F142" s="37">
        <f>201600+24000+12800</f>
        <v>238400</v>
      </c>
      <c r="G142" s="28"/>
      <c r="H142" s="37"/>
      <c r="I142" s="37"/>
      <c r="J142" s="28">
        <f t="shared" si="98"/>
        <v>0</v>
      </c>
      <c r="K142" s="37"/>
      <c r="L142" s="37"/>
      <c r="M142" s="37"/>
      <c r="N142" s="37"/>
      <c r="O142" s="37"/>
      <c r="P142" s="37">
        <f t="shared" ref="P142:P143" si="100">E142+J142</f>
        <v>238400</v>
      </c>
      <c r="Q142" s="128"/>
    </row>
    <row r="143" spans="1:17" s="38" customFormat="1" ht="94.5" x14ac:dyDescent="0.25">
      <c r="A143" s="34"/>
      <c r="B143" s="35"/>
      <c r="C143" s="35"/>
      <c r="D143" s="39" t="s">
        <v>399</v>
      </c>
      <c r="E143" s="37">
        <f t="shared" si="99"/>
        <v>51303000</v>
      </c>
      <c r="F143" s="37">
        <v>51303000</v>
      </c>
      <c r="G143" s="37"/>
      <c r="H143" s="37"/>
      <c r="I143" s="37"/>
      <c r="J143" s="28">
        <f t="shared" si="98"/>
        <v>0</v>
      </c>
      <c r="K143" s="37"/>
      <c r="L143" s="37"/>
      <c r="M143" s="37"/>
      <c r="N143" s="37"/>
      <c r="O143" s="37"/>
      <c r="P143" s="37">
        <f t="shared" si="100"/>
        <v>51303000</v>
      </c>
      <c r="Q143" s="128"/>
    </row>
    <row r="144" spans="1:17" s="38" customFormat="1" ht="112.5" customHeight="1" x14ac:dyDescent="0.25">
      <c r="A144" s="34"/>
      <c r="B144" s="35"/>
      <c r="C144" s="35"/>
      <c r="D144" s="36" t="s">
        <v>454</v>
      </c>
      <c r="E144" s="37">
        <f t="shared" si="99"/>
        <v>2868232.83</v>
      </c>
      <c r="F144" s="37">
        <v>2868232.83</v>
      </c>
      <c r="G144" s="37"/>
      <c r="H144" s="37"/>
      <c r="I144" s="37"/>
      <c r="J144" s="28">
        <f t="shared" si="98"/>
        <v>0</v>
      </c>
      <c r="K144" s="37"/>
      <c r="L144" s="37"/>
      <c r="M144" s="37"/>
      <c r="N144" s="37"/>
      <c r="O144" s="37"/>
      <c r="P144" s="28">
        <f t="shared" si="92"/>
        <v>2868232.83</v>
      </c>
      <c r="Q144" s="128"/>
    </row>
    <row r="145" spans="1:18" s="29" customFormat="1" ht="27" customHeight="1" x14ac:dyDescent="0.25">
      <c r="A145" s="25" t="s">
        <v>216</v>
      </c>
      <c r="B145" s="26" t="str">
        <f>'дод 5'!A197</f>
        <v>9770</v>
      </c>
      <c r="C145" s="26" t="str">
        <f>'дод 5'!B197</f>
        <v>0180</v>
      </c>
      <c r="D145" s="30" t="str">
        <f>'дод 5'!C197</f>
        <v>Інші субвенції з місцевого бюджету</v>
      </c>
      <c r="E145" s="28">
        <f t="shared" si="91"/>
        <v>155650</v>
      </c>
      <c r="F145" s="28">
        <v>155650</v>
      </c>
      <c r="G145" s="28"/>
      <c r="H145" s="28"/>
      <c r="I145" s="28"/>
      <c r="J145" s="28">
        <f t="shared" si="98"/>
        <v>0</v>
      </c>
      <c r="K145" s="28"/>
      <c r="L145" s="28"/>
      <c r="M145" s="28"/>
      <c r="N145" s="28"/>
      <c r="O145" s="28"/>
      <c r="P145" s="28">
        <f t="shared" si="92"/>
        <v>155650</v>
      </c>
      <c r="Q145" s="128"/>
    </row>
    <row r="146" spans="1:18" s="19" customFormat="1" ht="31.5" x14ac:dyDescent="0.25">
      <c r="A146" s="16" t="s">
        <v>155</v>
      </c>
      <c r="B146" s="31"/>
      <c r="C146" s="31"/>
      <c r="D146" s="17" t="s">
        <v>279</v>
      </c>
      <c r="E146" s="18">
        <f>E147</f>
        <v>9438000</v>
      </c>
      <c r="F146" s="18">
        <f t="shared" ref="F146:J146" si="101">F147</f>
        <v>9438000</v>
      </c>
      <c r="G146" s="18">
        <f t="shared" si="101"/>
        <v>7109300</v>
      </c>
      <c r="H146" s="18">
        <f t="shared" si="101"/>
        <v>159900</v>
      </c>
      <c r="I146" s="18">
        <f t="shared" si="101"/>
        <v>0</v>
      </c>
      <c r="J146" s="18">
        <f t="shared" si="101"/>
        <v>0</v>
      </c>
      <c r="K146" s="18">
        <f t="shared" ref="K146" si="102">K147</f>
        <v>0</v>
      </c>
      <c r="L146" s="18">
        <f t="shared" ref="L146" si="103">L147</f>
        <v>0</v>
      </c>
      <c r="M146" s="18">
        <f t="shared" ref="M146" si="104">M147</f>
        <v>0</v>
      </c>
      <c r="N146" s="18">
        <f t="shared" ref="N146" si="105">N147</f>
        <v>0</v>
      </c>
      <c r="O146" s="18">
        <f t="shared" ref="O146:P146" si="106">O147</f>
        <v>0</v>
      </c>
      <c r="P146" s="18">
        <f t="shared" si="106"/>
        <v>9438000</v>
      </c>
      <c r="Q146" s="128"/>
    </row>
    <row r="147" spans="1:18" s="24" customFormat="1" ht="31.5" x14ac:dyDescent="0.25">
      <c r="A147" s="20" t="s">
        <v>156</v>
      </c>
      <c r="B147" s="32"/>
      <c r="C147" s="32"/>
      <c r="D147" s="22" t="s">
        <v>279</v>
      </c>
      <c r="E147" s="23">
        <f>E148+E149+E150+E151</f>
        <v>9438000</v>
      </c>
      <c r="F147" s="23">
        <f t="shared" ref="F147:P147" si="107">F148+F149+F150+F151</f>
        <v>9438000</v>
      </c>
      <c r="G147" s="23">
        <f t="shared" si="107"/>
        <v>7109300</v>
      </c>
      <c r="H147" s="23">
        <f t="shared" si="107"/>
        <v>159900</v>
      </c>
      <c r="I147" s="23">
        <f t="shared" si="107"/>
        <v>0</v>
      </c>
      <c r="J147" s="23">
        <f t="shared" si="107"/>
        <v>0</v>
      </c>
      <c r="K147" s="23">
        <f t="shared" si="107"/>
        <v>0</v>
      </c>
      <c r="L147" s="23">
        <f t="shared" si="107"/>
        <v>0</v>
      </c>
      <c r="M147" s="23">
        <f t="shared" si="107"/>
        <v>0</v>
      </c>
      <c r="N147" s="23">
        <f t="shared" si="107"/>
        <v>0</v>
      </c>
      <c r="O147" s="23">
        <f t="shared" si="107"/>
        <v>0</v>
      </c>
      <c r="P147" s="23">
        <f t="shared" si="107"/>
        <v>9438000</v>
      </c>
      <c r="Q147" s="128"/>
    </row>
    <row r="148" spans="1:18" s="29" customFormat="1" ht="47.25" x14ac:dyDescent="0.25">
      <c r="A148" s="25" t="s">
        <v>157</v>
      </c>
      <c r="B148" s="26" t="str">
        <f>'дод 5'!A17</f>
        <v>0160</v>
      </c>
      <c r="C148" s="26" t="str">
        <f>'дод 5'!B17</f>
        <v>0111</v>
      </c>
      <c r="D148" s="2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148" s="28">
        <f t="shared" ref="E148:E151" si="108">F148+I148</f>
        <v>9145800</v>
      </c>
      <c r="F148" s="28">
        <f>8891300+254500</f>
        <v>9145800</v>
      </c>
      <c r="G148" s="28">
        <f>6900700+208600</f>
        <v>7109300</v>
      </c>
      <c r="H148" s="28">
        <v>159900</v>
      </c>
      <c r="I148" s="28"/>
      <c r="J148" s="28">
        <f>L148+O148</f>
        <v>0</v>
      </c>
      <c r="K148" s="28">
        <f>12000-12000</f>
        <v>0</v>
      </c>
      <c r="L148" s="28"/>
      <c r="M148" s="28"/>
      <c r="N148" s="28"/>
      <c r="O148" s="28">
        <f>12000-12000</f>
        <v>0</v>
      </c>
      <c r="P148" s="28">
        <f t="shared" ref="P148:P151" si="109">E148+J148</f>
        <v>9145800</v>
      </c>
      <c r="Q148" s="128"/>
    </row>
    <row r="149" spans="1:18" s="29" customFormat="1" ht="84.75" hidden="1" customHeight="1" x14ac:dyDescent="0.25">
      <c r="A149" s="25" t="s">
        <v>258</v>
      </c>
      <c r="B149" s="26" t="str">
        <f>'дод 5'!A98</f>
        <v>3111</v>
      </c>
      <c r="C149" s="26" t="str">
        <f>'дод 5'!B98</f>
        <v>1040</v>
      </c>
      <c r="D149" s="30" t="str">
        <f>'дод 5'!C98</f>
        <v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v>
      </c>
      <c r="E149" s="28">
        <f t="shared" si="108"/>
        <v>0</v>
      </c>
      <c r="F149" s="28">
        <f>100000-100000</f>
        <v>0</v>
      </c>
      <c r="G149" s="28"/>
      <c r="H149" s="28"/>
      <c r="I149" s="28"/>
      <c r="J149" s="28">
        <f t="shared" ref="J149:J150" si="110">L149+O149</f>
        <v>0</v>
      </c>
      <c r="K149" s="28">
        <f>21140-21140</f>
        <v>0</v>
      </c>
      <c r="L149" s="28"/>
      <c r="M149" s="28"/>
      <c r="N149" s="28"/>
      <c r="O149" s="28">
        <f>21140-21140</f>
        <v>0</v>
      </c>
      <c r="P149" s="28">
        <f t="shared" si="109"/>
        <v>0</v>
      </c>
      <c r="Q149" s="128"/>
    </row>
    <row r="150" spans="1:18" s="29" customFormat="1" ht="31.5" customHeight="1" x14ac:dyDescent="0.25">
      <c r="A150" s="25" t="s">
        <v>158</v>
      </c>
      <c r="B150" s="26" t="str">
        <f>'дод 5'!A99</f>
        <v>3112</v>
      </c>
      <c r="C150" s="26" t="str">
        <f>'дод 5'!B99</f>
        <v>1040</v>
      </c>
      <c r="D150" s="30" t="str">
        <f>'дод 5'!C99</f>
        <v>Заходи державної політики з питань дітей та їх соціального захисту</v>
      </c>
      <c r="E150" s="28">
        <f t="shared" si="108"/>
        <v>141200</v>
      </c>
      <c r="F150" s="28">
        <f>192200-51000</f>
        <v>141200</v>
      </c>
      <c r="G150" s="28"/>
      <c r="H150" s="28"/>
      <c r="I150" s="28"/>
      <c r="J150" s="28">
        <f t="shared" si="110"/>
        <v>0</v>
      </c>
      <c r="K150" s="28"/>
      <c r="L150" s="28"/>
      <c r="M150" s="28"/>
      <c r="N150" s="28"/>
      <c r="O150" s="28"/>
      <c r="P150" s="28">
        <f t="shared" si="109"/>
        <v>141200</v>
      </c>
      <c r="Q150" s="128"/>
    </row>
    <row r="151" spans="1:18" s="29" customFormat="1" ht="63" x14ac:dyDescent="0.25">
      <c r="A151" s="25" t="s">
        <v>444</v>
      </c>
      <c r="B151" s="26">
        <f>'дод 5'!A100</f>
        <v>3114</v>
      </c>
      <c r="C151" s="26">
        <f>'дод 5'!B100</f>
        <v>1040</v>
      </c>
      <c r="D151" s="30" t="str">
        <f>'дод 5'!C100</f>
        <v>Забезпечення умов для догляду та виховання дітей і молоді в дитячих будинках сімейного типу, прийомних сім’ях та сім’ях патронатних вихователів</v>
      </c>
      <c r="E151" s="28">
        <f t="shared" si="108"/>
        <v>151000</v>
      </c>
      <c r="F151" s="28">
        <v>151000</v>
      </c>
      <c r="G151" s="28"/>
      <c r="H151" s="28"/>
      <c r="I151" s="28"/>
      <c r="J151" s="28"/>
      <c r="K151" s="28"/>
      <c r="L151" s="28"/>
      <c r="M151" s="28"/>
      <c r="N151" s="28"/>
      <c r="O151" s="28"/>
      <c r="P151" s="28">
        <f t="shared" si="109"/>
        <v>151000</v>
      </c>
      <c r="Q151" s="128"/>
    </row>
    <row r="152" spans="1:18" s="19" customFormat="1" ht="22.5" customHeight="1" x14ac:dyDescent="0.25">
      <c r="A152" s="16" t="s">
        <v>22</v>
      </c>
      <c r="B152" s="31"/>
      <c r="C152" s="31"/>
      <c r="D152" s="17" t="s">
        <v>259</v>
      </c>
      <c r="E152" s="18">
        <f>E153</f>
        <v>98534800</v>
      </c>
      <c r="F152" s="18">
        <f t="shared" ref="F152:J152" si="111">F153</f>
        <v>98534800</v>
      </c>
      <c r="G152" s="18">
        <f t="shared" si="111"/>
        <v>73705800</v>
      </c>
      <c r="H152" s="18">
        <f t="shared" si="111"/>
        <v>5133000</v>
      </c>
      <c r="I152" s="18">
        <f t="shared" si="111"/>
        <v>0</v>
      </c>
      <c r="J152" s="18">
        <f t="shared" si="111"/>
        <v>4820700</v>
      </c>
      <c r="K152" s="18">
        <f t="shared" ref="K152" si="112">K153</f>
        <v>1060000</v>
      </c>
      <c r="L152" s="18">
        <f t="shared" ref="L152" si="113">L153</f>
        <v>3758500</v>
      </c>
      <c r="M152" s="18">
        <f t="shared" ref="M152" si="114">M153</f>
        <v>3029160</v>
      </c>
      <c r="N152" s="18">
        <f t="shared" ref="N152" si="115">N153</f>
        <v>0</v>
      </c>
      <c r="O152" s="18">
        <f t="shared" ref="O152:P152" si="116">O153</f>
        <v>1062200</v>
      </c>
      <c r="P152" s="18">
        <f t="shared" si="116"/>
        <v>103355500</v>
      </c>
      <c r="Q152" s="128"/>
      <c r="R152" s="19">
        <f>J153-K153-L160</f>
        <v>3713600</v>
      </c>
    </row>
    <row r="153" spans="1:18" s="24" customFormat="1" ht="21.75" customHeight="1" x14ac:dyDescent="0.25">
      <c r="A153" s="20" t="s">
        <v>159</v>
      </c>
      <c r="B153" s="32"/>
      <c r="C153" s="32"/>
      <c r="D153" s="22" t="s">
        <v>259</v>
      </c>
      <c r="E153" s="23">
        <f>E154+E155+E156+E158+E159+E157+E160</f>
        <v>98534800</v>
      </c>
      <c r="F153" s="23">
        <f t="shared" ref="F153:P153" si="117">F154+F155+F156+F158+F159+F157+F160</f>
        <v>98534800</v>
      </c>
      <c r="G153" s="23">
        <f t="shared" si="117"/>
        <v>73705800</v>
      </c>
      <c r="H153" s="23">
        <f t="shared" si="117"/>
        <v>5133000</v>
      </c>
      <c r="I153" s="23">
        <f t="shared" si="117"/>
        <v>0</v>
      </c>
      <c r="J153" s="23">
        <f t="shared" si="117"/>
        <v>4820700</v>
      </c>
      <c r="K153" s="23">
        <f t="shared" si="117"/>
        <v>1060000</v>
      </c>
      <c r="L153" s="23">
        <f t="shared" si="117"/>
        <v>3758500</v>
      </c>
      <c r="M153" s="23">
        <f t="shared" si="117"/>
        <v>3029160</v>
      </c>
      <c r="N153" s="23">
        <f t="shared" si="117"/>
        <v>0</v>
      </c>
      <c r="O153" s="23">
        <f t="shared" si="117"/>
        <v>1062200</v>
      </c>
      <c r="P153" s="23">
        <f t="shared" si="117"/>
        <v>103355500</v>
      </c>
      <c r="Q153" s="128"/>
    </row>
    <row r="154" spans="1:18" s="29" customFormat="1" ht="47.25" x14ac:dyDescent="0.25">
      <c r="A154" s="25" t="s">
        <v>114</v>
      </c>
      <c r="B154" s="26" t="str">
        <f>'дод 5'!A17</f>
        <v>0160</v>
      </c>
      <c r="C154" s="26" t="str">
        <f>'дод 5'!B17</f>
        <v>0111</v>
      </c>
      <c r="D154" s="2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154" s="28">
        <f t="shared" ref="E154:E160" si="118">F154+I154</f>
        <v>3286900</v>
      </c>
      <c r="F154" s="28">
        <f>3280300+6600</f>
        <v>3286900</v>
      </c>
      <c r="G154" s="28">
        <f>2536800+5400</f>
        <v>2542200</v>
      </c>
      <c r="H154" s="28">
        <v>93300</v>
      </c>
      <c r="I154" s="28"/>
      <c r="J154" s="28">
        <f>L154+O154</f>
        <v>0</v>
      </c>
      <c r="K154" s="28"/>
      <c r="L154" s="28"/>
      <c r="M154" s="28"/>
      <c r="N154" s="28"/>
      <c r="O154" s="28"/>
      <c r="P154" s="28">
        <f t="shared" ref="P154:P160" si="119">E154+J154</f>
        <v>3286900</v>
      </c>
      <c r="Q154" s="128"/>
    </row>
    <row r="155" spans="1:18" s="29" customFormat="1" ht="34.9" customHeight="1" x14ac:dyDescent="0.25">
      <c r="A155" s="25" t="s">
        <v>316</v>
      </c>
      <c r="B155" s="26">
        <f>'дод 5'!A43</f>
        <v>1080</v>
      </c>
      <c r="C155" s="26" t="str">
        <f>'дод 5'!B43</f>
        <v>0960</v>
      </c>
      <c r="D155" s="30" t="str">
        <f>'дод 5'!C43</f>
        <v>Надання спеціалізованої освіти мистецькими школами</v>
      </c>
      <c r="E155" s="28">
        <f t="shared" si="118"/>
        <v>58762400</v>
      </c>
      <c r="F155" s="28">
        <v>58762400</v>
      </c>
      <c r="G155" s="28">
        <v>46330300</v>
      </c>
      <c r="H155" s="28">
        <v>1616300</v>
      </c>
      <c r="I155" s="28"/>
      <c r="J155" s="28">
        <f>L155+O155</f>
        <v>3703600</v>
      </c>
      <c r="K155" s="28"/>
      <c r="L155" s="28">
        <v>3701400</v>
      </c>
      <c r="M155" s="28">
        <v>3029160</v>
      </c>
      <c r="N155" s="28"/>
      <c r="O155" s="28">
        <v>2200</v>
      </c>
      <c r="P155" s="28">
        <f t="shared" si="119"/>
        <v>62466000</v>
      </c>
      <c r="Q155" s="128"/>
    </row>
    <row r="156" spans="1:18" s="29" customFormat="1" ht="21" customHeight="1" x14ac:dyDescent="0.25">
      <c r="A156" s="25" t="s">
        <v>160</v>
      </c>
      <c r="B156" s="26" t="str">
        <f>'дод 5'!A121</f>
        <v>4030</v>
      </c>
      <c r="C156" s="26" t="str">
        <f>'дод 5'!B121</f>
        <v>0824</v>
      </c>
      <c r="D156" s="27" t="str">
        <f>'дод 5'!C121</f>
        <v>Забезпечення діяльності бібліотек</v>
      </c>
      <c r="E156" s="28">
        <f t="shared" si="118"/>
        <v>26641500</v>
      </c>
      <c r="F156" s="28">
        <f>26555900+85600</f>
        <v>26641500</v>
      </c>
      <c r="G156" s="28">
        <v>18518800</v>
      </c>
      <c r="H156" s="28">
        <v>2877800</v>
      </c>
      <c r="I156" s="28"/>
      <c r="J156" s="28">
        <f t="shared" ref="J156:J160" si="120">L156+O156</f>
        <v>670000</v>
      </c>
      <c r="K156" s="28">
        <f>500000+160000</f>
        <v>660000</v>
      </c>
      <c r="L156" s="28">
        <v>10000</v>
      </c>
      <c r="M156" s="28"/>
      <c r="N156" s="28"/>
      <c r="O156" s="28">
        <f>500000+160000</f>
        <v>660000</v>
      </c>
      <c r="P156" s="28">
        <f t="shared" si="119"/>
        <v>27311500</v>
      </c>
      <c r="Q156" s="128"/>
    </row>
    <row r="157" spans="1:18" s="29" customFormat="1" ht="54.75" customHeight="1" x14ac:dyDescent="0.25">
      <c r="A157" s="25">
        <v>1014060</v>
      </c>
      <c r="B157" s="26" t="str">
        <f>'дод 5'!A122</f>
        <v>4060</v>
      </c>
      <c r="C157" s="26" t="str">
        <f>'дод 5'!B122</f>
        <v>0828</v>
      </c>
      <c r="D157" s="27" t="str">
        <f>'дод 5'!C122</f>
        <v>Забезпечення діяльності палаців i будинків культури, клубів, центрів дозвілля та iнших клубних закладів</v>
      </c>
      <c r="E157" s="28">
        <f t="shared" si="118"/>
        <v>5950000</v>
      </c>
      <c r="F157" s="28">
        <v>5950000</v>
      </c>
      <c r="G157" s="28">
        <v>3831000</v>
      </c>
      <c r="H157" s="28">
        <v>413000</v>
      </c>
      <c r="I157" s="28"/>
      <c r="J157" s="28">
        <f t="shared" si="120"/>
        <v>400000</v>
      </c>
      <c r="K157" s="28">
        <v>400000</v>
      </c>
      <c r="L157" s="28"/>
      <c r="M157" s="28"/>
      <c r="N157" s="28"/>
      <c r="O157" s="28">
        <v>400000</v>
      </c>
      <c r="P157" s="28">
        <f t="shared" si="119"/>
        <v>6350000</v>
      </c>
      <c r="Q157" s="128"/>
    </row>
    <row r="158" spans="1:18" s="38" customFormat="1" ht="33.75" customHeight="1" x14ac:dyDescent="0.25">
      <c r="A158" s="25">
        <v>1014081</v>
      </c>
      <c r="B158" s="26" t="str">
        <f>'дод 5'!A123</f>
        <v>4081</v>
      </c>
      <c r="C158" s="26" t="str">
        <f>'дод 5'!B123</f>
        <v>0829</v>
      </c>
      <c r="D158" s="27" t="str">
        <f>'дод 5'!C123</f>
        <v>Забезпечення діяльності інших закладів в галузі культури і мистецтва</v>
      </c>
      <c r="E158" s="28">
        <f t="shared" si="118"/>
        <v>3394000</v>
      </c>
      <c r="F158" s="28">
        <v>3394000</v>
      </c>
      <c r="G158" s="28">
        <v>2483500</v>
      </c>
      <c r="H158" s="28">
        <v>132600</v>
      </c>
      <c r="I158" s="28"/>
      <c r="J158" s="28">
        <f t="shared" si="120"/>
        <v>0</v>
      </c>
      <c r="K158" s="28"/>
      <c r="L158" s="28"/>
      <c r="M158" s="28"/>
      <c r="N158" s="28"/>
      <c r="O158" s="28"/>
      <c r="P158" s="28">
        <f t="shared" si="119"/>
        <v>3394000</v>
      </c>
      <c r="Q158" s="128"/>
    </row>
    <row r="159" spans="1:18" s="38" customFormat="1" ht="25.5" customHeight="1" x14ac:dyDescent="0.25">
      <c r="A159" s="25">
        <v>1014082</v>
      </c>
      <c r="B159" s="26" t="str">
        <f>'дод 5'!A124</f>
        <v>4082</v>
      </c>
      <c r="C159" s="26" t="str">
        <f>'дод 5'!B124</f>
        <v>0829</v>
      </c>
      <c r="D159" s="27" t="str">
        <f>'дод 5'!C124</f>
        <v>Інші заходи в галузі культури і мистецтва</v>
      </c>
      <c r="E159" s="28">
        <f t="shared" si="118"/>
        <v>500000</v>
      </c>
      <c r="F159" s="28">
        <v>500000</v>
      </c>
      <c r="G159" s="28"/>
      <c r="H159" s="28"/>
      <c r="I159" s="28"/>
      <c r="J159" s="28">
        <f t="shared" si="120"/>
        <v>0</v>
      </c>
      <c r="K159" s="28"/>
      <c r="L159" s="28"/>
      <c r="M159" s="28"/>
      <c r="N159" s="28"/>
      <c r="O159" s="28"/>
      <c r="P159" s="28">
        <f t="shared" si="119"/>
        <v>500000</v>
      </c>
      <c r="Q159" s="128"/>
    </row>
    <row r="160" spans="1:18" s="29" customFormat="1" ht="40.5" customHeight="1" x14ac:dyDescent="0.25">
      <c r="A160" s="25">
        <v>1018340</v>
      </c>
      <c r="B160" s="26" t="str">
        <f>'дод 5'!A191</f>
        <v>8340</v>
      </c>
      <c r="C160" s="26" t="str">
        <f>'дод 5'!B191</f>
        <v>0540</v>
      </c>
      <c r="D160" s="30" t="str">
        <f>'дод 5'!C191</f>
        <v>Природоохоронні заходи за рахунок цільових фондів</v>
      </c>
      <c r="E160" s="28">
        <f t="shared" si="118"/>
        <v>0</v>
      </c>
      <c r="F160" s="28"/>
      <c r="G160" s="28"/>
      <c r="H160" s="28"/>
      <c r="I160" s="28"/>
      <c r="J160" s="28">
        <f t="shared" si="120"/>
        <v>47100</v>
      </c>
      <c r="K160" s="28"/>
      <c r="L160" s="28">
        <v>47100</v>
      </c>
      <c r="M160" s="28"/>
      <c r="N160" s="28"/>
      <c r="O160" s="28"/>
      <c r="P160" s="28">
        <f t="shared" si="119"/>
        <v>47100</v>
      </c>
      <c r="Q160" s="128"/>
    </row>
    <row r="161" spans="1:17" s="19" customFormat="1" ht="34.5" customHeight="1" x14ac:dyDescent="0.25">
      <c r="A161" s="16" t="s">
        <v>161</v>
      </c>
      <c r="B161" s="31"/>
      <c r="C161" s="31"/>
      <c r="D161" s="17" t="s">
        <v>27</v>
      </c>
      <c r="E161" s="18">
        <f>E162</f>
        <v>534538919</v>
      </c>
      <c r="F161" s="18">
        <f t="shared" ref="F161:H161" si="121">F162</f>
        <v>374295510</v>
      </c>
      <c r="G161" s="18">
        <f t="shared" si="121"/>
        <v>23787200</v>
      </c>
      <c r="H161" s="18">
        <f t="shared" si="121"/>
        <v>55799100</v>
      </c>
      <c r="I161" s="18">
        <f>I162</f>
        <v>160243409</v>
      </c>
      <c r="J161" s="18">
        <f>J162</f>
        <v>166184616.90000001</v>
      </c>
      <c r="K161" s="18">
        <f t="shared" ref="K161:P161" si="122">K162</f>
        <v>68222947</v>
      </c>
      <c r="L161" s="18">
        <f t="shared" si="122"/>
        <v>1612200</v>
      </c>
      <c r="M161" s="18">
        <f t="shared" si="122"/>
        <v>0</v>
      </c>
      <c r="N161" s="18">
        <f t="shared" si="122"/>
        <v>0</v>
      </c>
      <c r="O161" s="18">
        <f t="shared" si="122"/>
        <v>164572416.90000001</v>
      </c>
      <c r="P161" s="18">
        <f t="shared" si="122"/>
        <v>700723535.89999998</v>
      </c>
      <c r="Q161" s="128">
        <v>8</v>
      </c>
    </row>
    <row r="162" spans="1:17" s="24" customFormat="1" ht="35.65" customHeight="1" x14ac:dyDescent="0.25">
      <c r="A162" s="20" t="s">
        <v>162</v>
      </c>
      <c r="B162" s="32"/>
      <c r="C162" s="32"/>
      <c r="D162" s="22" t="s">
        <v>482</v>
      </c>
      <c r="E162" s="23">
        <f>E166+E167+E168+E169+E171+E172+E173+E174+E180+E187+E188+E189+E192+E193+E190+E191+E176+E183+E185+E186+E175+E170+E184+E181+E178</f>
        <v>534538919</v>
      </c>
      <c r="F162" s="23">
        <f t="shared" ref="F162:P162" si="123">F166+F167+F168+F169+F171+F172+F173+F174+F180+F187+F188+F189+F192+F193+F190+F191+F176+F183+F185+F186+F175+F170+F184+F181+F178</f>
        <v>374295510</v>
      </c>
      <c r="G162" s="23">
        <f t="shared" si="123"/>
        <v>23787200</v>
      </c>
      <c r="H162" s="23">
        <f t="shared" si="123"/>
        <v>55799100</v>
      </c>
      <c r="I162" s="23">
        <f t="shared" si="123"/>
        <v>160243409</v>
      </c>
      <c r="J162" s="23">
        <f t="shared" si="123"/>
        <v>166184616.90000001</v>
      </c>
      <c r="K162" s="23">
        <f t="shared" si="123"/>
        <v>68222947</v>
      </c>
      <c r="L162" s="23">
        <f t="shared" si="123"/>
        <v>1612200</v>
      </c>
      <c r="M162" s="23">
        <f t="shared" si="123"/>
        <v>0</v>
      </c>
      <c r="N162" s="23">
        <f t="shared" si="123"/>
        <v>0</v>
      </c>
      <c r="O162" s="23">
        <f t="shared" si="123"/>
        <v>164572416.90000001</v>
      </c>
      <c r="P162" s="23">
        <f t="shared" si="123"/>
        <v>700723535.89999998</v>
      </c>
      <c r="Q162" s="128"/>
    </row>
    <row r="163" spans="1:17" s="24" customFormat="1" ht="94.5" x14ac:dyDescent="0.25">
      <c r="A163" s="20"/>
      <c r="B163" s="32"/>
      <c r="C163" s="32"/>
      <c r="D163" s="22" t="str">
        <f>D179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163" s="23">
        <f>E179</f>
        <v>0</v>
      </c>
      <c r="F163" s="23">
        <f t="shared" ref="F163:P163" si="124">F179</f>
        <v>0</v>
      </c>
      <c r="G163" s="23">
        <f t="shared" si="124"/>
        <v>0</v>
      </c>
      <c r="H163" s="23">
        <f t="shared" si="124"/>
        <v>0</v>
      </c>
      <c r="I163" s="23">
        <f t="shared" si="124"/>
        <v>0</v>
      </c>
      <c r="J163" s="23">
        <f t="shared" si="124"/>
        <v>89775000</v>
      </c>
      <c r="K163" s="23">
        <f t="shared" si="124"/>
        <v>0</v>
      </c>
      <c r="L163" s="23">
        <f t="shared" si="124"/>
        <v>0</v>
      </c>
      <c r="M163" s="23">
        <f t="shared" si="124"/>
        <v>0</v>
      </c>
      <c r="N163" s="23">
        <f t="shared" si="124"/>
        <v>0</v>
      </c>
      <c r="O163" s="23">
        <f t="shared" si="124"/>
        <v>89775000</v>
      </c>
      <c r="P163" s="23">
        <f t="shared" si="124"/>
        <v>89775000</v>
      </c>
      <c r="Q163" s="128"/>
    </row>
    <row r="164" spans="1:17" s="24" customFormat="1" ht="141.75" x14ac:dyDescent="0.25">
      <c r="A164" s="20"/>
      <c r="B164" s="32"/>
      <c r="C164" s="32"/>
      <c r="D164" s="22" t="str">
        <f>D182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164" s="23">
        <f>E182</f>
        <v>0</v>
      </c>
      <c r="F164" s="23">
        <f t="shared" ref="F164:P164" si="125">F182</f>
        <v>0</v>
      </c>
      <c r="G164" s="23">
        <f t="shared" si="125"/>
        <v>0</v>
      </c>
      <c r="H164" s="23">
        <f t="shared" si="125"/>
        <v>0</v>
      </c>
      <c r="I164" s="23">
        <f t="shared" si="125"/>
        <v>0</v>
      </c>
      <c r="J164" s="23">
        <f t="shared" si="125"/>
        <v>6564069.9000000004</v>
      </c>
      <c r="K164" s="23">
        <f t="shared" si="125"/>
        <v>0</v>
      </c>
      <c r="L164" s="23">
        <f t="shared" si="125"/>
        <v>0</v>
      </c>
      <c r="M164" s="23">
        <f t="shared" si="125"/>
        <v>0</v>
      </c>
      <c r="N164" s="23">
        <f t="shared" si="125"/>
        <v>0</v>
      </c>
      <c r="O164" s="23">
        <f t="shared" si="125"/>
        <v>6564069.9000000004</v>
      </c>
      <c r="P164" s="23">
        <f t="shared" si="125"/>
        <v>6564069.9000000004</v>
      </c>
      <c r="Q164" s="128"/>
    </row>
    <row r="165" spans="1:17" s="24" customFormat="1" ht="39.4" hidden="1" customHeight="1" x14ac:dyDescent="0.25">
      <c r="A165" s="20"/>
      <c r="B165" s="32"/>
      <c r="C165" s="32"/>
      <c r="D165" s="22" t="str">
        <f>D177</f>
        <v>залишку коштів, що склався станом на 01.01.2025 року, за іншою субвенцією з місцевого бюджету</v>
      </c>
      <c r="E165" s="23">
        <f>E177</f>
        <v>0</v>
      </c>
      <c r="F165" s="23">
        <f t="shared" ref="F165:P165" si="126">F177</f>
        <v>0</v>
      </c>
      <c r="G165" s="23">
        <f t="shared" si="126"/>
        <v>0</v>
      </c>
      <c r="H165" s="23">
        <f t="shared" si="126"/>
        <v>0</v>
      </c>
      <c r="I165" s="23">
        <f t="shared" si="126"/>
        <v>0</v>
      </c>
      <c r="J165" s="23">
        <f t="shared" si="126"/>
        <v>0</v>
      </c>
      <c r="K165" s="23">
        <f t="shared" si="126"/>
        <v>0</v>
      </c>
      <c r="L165" s="23">
        <f t="shared" si="126"/>
        <v>0</v>
      </c>
      <c r="M165" s="23">
        <f t="shared" si="126"/>
        <v>0</v>
      </c>
      <c r="N165" s="23">
        <f t="shared" si="126"/>
        <v>0</v>
      </c>
      <c r="O165" s="23">
        <f t="shared" si="126"/>
        <v>0</v>
      </c>
      <c r="P165" s="23">
        <f t="shared" si="126"/>
        <v>0</v>
      </c>
      <c r="Q165" s="128"/>
    </row>
    <row r="166" spans="1:17" s="29" customFormat="1" ht="47.25" x14ac:dyDescent="0.25">
      <c r="A166" s="25" t="s">
        <v>163</v>
      </c>
      <c r="B166" s="25" t="str">
        <f>'дод 5'!A17</f>
        <v>0160</v>
      </c>
      <c r="C166" s="25" t="str">
        <f>'дод 5'!B17</f>
        <v>0111</v>
      </c>
      <c r="D166" s="2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166" s="28">
        <f t="shared" ref="E166:E193" si="127">F166+I166</f>
        <v>30674300</v>
      </c>
      <c r="F166" s="28">
        <f>30800100+367200-100000-393000</f>
        <v>30674300</v>
      </c>
      <c r="G166" s="28">
        <f>24109300-322100</f>
        <v>23787200</v>
      </c>
      <c r="H166" s="28">
        <v>593100</v>
      </c>
      <c r="I166" s="28"/>
      <c r="J166" s="28">
        <f>L166+O166</f>
        <v>0</v>
      </c>
      <c r="K166" s="28"/>
      <c r="L166" s="28"/>
      <c r="M166" s="28"/>
      <c r="N166" s="28"/>
      <c r="O166" s="28"/>
      <c r="P166" s="28">
        <f t="shared" ref="P166:P193" si="128">E166+J166</f>
        <v>30674300</v>
      </c>
      <c r="Q166" s="128"/>
    </row>
    <row r="167" spans="1:17" s="29" customFormat="1" ht="23.25" hidden="1" customHeight="1" x14ac:dyDescent="0.25">
      <c r="A167" s="25" t="s">
        <v>320</v>
      </c>
      <c r="B167" s="25" t="str">
        <f>'дод 5'!A18</f>
        <v>0180</v>
      </c>
      <c r="C167" s="25" t="str">
        <f>'дод 5'!B18</f>
        <v>0133</v>
      </c>
      <c r="D167" s="42" t="str">
        <f>'дод 5'!C18</f>
        <v>Інша діяльність у сфері державного управління</v>
      </c>
      <c r="E167" s="28">
        <f t="shared" si="127"/>
        <v>0</v>
      </c>
      <c r="F167" s="28"/>
      <c r="G167" s="28"/>
      <c r="H167" s="28"/>
      <c r="I167" s="28"/>
      <c r="J167" s="28">
        <f>L167+O167</f>
        <v>0</v>
      </c>
      <c r="K167" s="28"/>
      <c r="L167" s="28"/>
      <c r="M167" s="28"/>
      <c r="N167" s="28"/>
      <c r="O167" s="28"/>
      <c r="P167" s="28">
        <f t="shared" si="128"/>
        <v>0</v>
      </c>
      <c r="Q167" s="128"/>
    </row>
    <row r="168" spans="1:17" s="29" customFormat="1" ht="19.5" customHeight="1" x14ac:dyDescent="0.25">
      <c r="A168" s="25" t="s">
        <v>236</v>
      </c>
      <c r="B168" s="26" t="str">
        <f>'дод 5'!A114</f>
        <v>3210</v>
      </c>
      <c r="C168" s="26" t="str">
        <f>'дод 5'!B114</f>
        <v>1050</v>
      </c>
      <c r="D168" s="27" t="str">
        <f>'дод 5'!C114</f>
        <v>Організація та проведення громадських робіт</v>
      </c>
      <c r="E168" s="28">
        <f t="shared" si="127"/>
        <v>100000</v>
      </c>
      <c r="F168" s="28">
        <v>100000</v>
      </c>
      <c r="G168" s="28"/>
      <c r="H168" s="28"/>
      <c r="I168" s="28"/>
      <c r="J168" s="28">
        <f t="shared" ref="J168:J193" si="129">L168+O168</f>
        <v>0</v>
      </c>
      <c r="K168" s="28"/>
      <c r="L168" s="28"/>
      <c r="M168" s="28"/>
      <c r="N168" s="28"/>
      <c r="O168" s="28"/>
      <c r="P168" s="28">
        <f t="shared" si="128"/>
        <v>100000</v>
      </c>
      <c r="Q168" s="128"/>
    </row>
    <row r="169" spans="1:17" s="29" customFormat="1" ht="31.5" x14ac:dyDescent="0.25">
      <c r="A169" s="25" t="s">
        <v>164</v>
      </c>
      <c r="B169" s="26" t="str">
        <f>'дод 5'!A135</f>
        <v>6013</v>
      </c>
      <c r="C169" s="26" t="str">
        <f>'дод 5'!B135</f>
        <v>0620</v>
      </c>
      <c r="D169" s="27" t="str">
        <f>'дод 5'!C135</f>
        <v>Забезпечення діяльності водопровідно-каналізаційного господарства</v>
      </c>
      <c r="E169" s="28">
        <f t="shared" si="127"/>
        <v>61034773</v>
      </c>
      <c r="F169" s="28">
        <f>1005000+29773</f>
        <v>1034773</v>
      </c>
      <c r="G169" s="28"/>
      <c r="H169" s="28"/>
      <c r="I169" s="28">
        <v>60000000</v>
      </c>
      <c r="J169" s="28">
        <f t="shared" si="129"/>
        <v>8583307</v>
      </c>
      <c r="K169" s="28">
        <v>8583307</v>
      </c>
      <c r="L169" s="28"/>
      <c r="M169" s="28"/>
      <c r="N169" s="28"/>
      <c r="O169" s="28">
        <v>8583307</v>
      </c>
      <c r="P169" s="28">
        <f t="shared" si="128"/>
        <v>69618080</v>
      </c>
      <c r="Q169" s="128"/>
    </row>
    <row r="170" spans="1:17" s="29" customFormat="1" ht="15.75" x14ac:dyDescent="0.25">
      <c r="A170" s="25" t="s">
        <v>386</v>
      </c>
      <c r="B170" s="26">
        <f>'дод 5'!A136</f>
        <v>6014</v>
      </c>
      <c r="C170" s="26" t="str">
        <f>'дод 5'!B136</f>
        <v>0620</v>
      </c>
      <c r="D170" s="30" t="str">
        <f>'дод 5'!C136</f>
        <v>Забезпечення збору та вивезення сміття і відходів</v>
      </c>
      <c r="E170" s="28">
        <f t="shared" ref="E170" si="130">F170+I170</f>
        <v>6500000</v>
      </c>
      <c r="F170" s="28">
        <v>6500000</v>
      </c>
      <c r="G170" s="28"/>
      <c r="H170" s="28"/>
      <c r="I170" s="28"/>
      <c r="J170" s="28">
        <f t="shared" ref="J170" si="131">L170+O170</f>
        <v>0</v>
      </c>
      <c r="K170" s="28"/>
      <c r="L170" s="28"/>
      <c r="M170" s="28"/>
      <c r="N170" s="28"/>
      <c r="O170" s="28"/>
      <c r="P170" s="28">
        <f t="shared" ref="P170" si="132">E170+J170</f>
        <v>6500000</v>
      </c>
      <c r="Q170" s="128"/>
    </row>
    <row r="171" spans="1:17" s="29" customFormat="1" ht="32.25" customHeight="1" x14ac:dyDescent="0.25">
      <c r="A171" s="25" t="s">
        <v>213</v>
      </c>
      <c r="B171" s="26" t="str">
        <f>'дод 5'!A137</f>
        <v>6017</v>
      </c>
      <c r="C171" s="26" t="str">
        <f>'дод 5'!B137</f>
        <v>0620</v>
      </c>
      <c r="D171" s="27" t="str">
        <f>'дод 5'!C137</f>
        <v>Інша діяльність, пов’язана з експлуатацією об’єктів житлово-комунального господарства</v>
      </c>
      <c r="E171" s="28">
        <f t="shared" si="127"/>
        <v>600000</v>
      </c>
      <c r="F171" s="28">
        <f>400000+200000</f>
        <v>600000</v>
      </c>
      <c r="G171" s="28"/>
      <c r="H171" s="28"/>
      <c r="I171" s="28"/>
      <c r="J171" s="28">
        <f t="shared" si="129"/>
        <v>0</v>
      </c>
      <c r="K171" s="28"/>
      <c r="L171" s="28"/>
      <c r="M171" s="28"/>
      <c r="N171" s="28"/>
      <c r="O171" s="28"/>
      <c r="P171" s="28">
        <f t="shared" si="128"/>
        <v>600000</v>
      </c>
      <c r="Q171" s="128"/>
    </row>
    <row r="172" spans="1:17" s="29" customFormat="1" ht="63.75" customHeight="1" x14ac:dyDescent="0.25">
      <c r="A172" s="25" t="s">
        <v>165</v>
      </c>
      <c r="B172" s="26" t="str">
        <f>'дод 5'!A138</f>
        <v>6020</v>
      </c>
      <c r="C172" s="26" t="str">
        <f>'дод 5'!B138</f>
        <v>0620</v>
      </c>
      <c r="D172" s="27" t="str">
        <f>'дод 5'!C138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E172" s="28">
        <f t="shared" si="127"/>
        <v>2991209</v>
      </c>
      <c r="F172" s="28"/>
      <c r="G172" s="28"/>
      <c r="H172" s="28"/>
      <c r="I172" s="28">
        <f>2785000+200000+6209</f>
        <v>2991209</v>
      </c>
      <c r="J172" s="28">
        <f t="shared" si="129"/>
        <v>0</v>
      </c>
      <c r="K172" s="28"/>
      <c r="L172" s="28"/>
      <c r="M172" s="28"/>
      <c r="N172" s="28"/>
      <c r="O172" s="28"/>
      <c r="P172" s="28">
        <f t="shared" si="128"/>
        <v>2991209</v>
      </c>
      <c r="Q172" s="128"/>
    </row>
    <row r="173" spans="1:17" s="29" customFormat="1" ht="24.75" customHeight="1" x14ac:dyDescent="0.25">
      <c r="A173" s="25" t="s">
        <v>166</v>
      </c>
      <c r="B173" s="26" t="str">
        <f>'дод 5'!A139</f>
        <v>6030</v>
      </c>
      <c r="C173" s="26" t="str">
        <f>'дод 5'!B139</f>
        <v>0620</v>
      </c>
      <c r="D173" s="27" t="str">
        <f>'дод 5'!C139</f>
        <v>Організація благоустрою населених пунктів</v>
      </c>
      <c r="E173" s="28">
        <f t="shared" si="127"/>
        <v>295423600</v>
      </c>
      <c r="F173" s="28">
        <f>294490800+1000000-1000000-367200+100000</f>
        <v>294223600</v>
      </c>
      <c r="G173" s="28"/>
      <c r="H173" s="28">
        <f>60350000-5000000-150000</f>
        <v>55200000</v>
      </c>
      <c r="I173" s="28">
        <f>200000+1000000</f>
        <v>1200000</v>
      </c>
      <c r="J173" s="28">
        <f t="shared" si="129"/>
        <v>0</v>
      </c>
      <c r="K173" s="28"/>
      <c r="L173" s="28"/>
      <c r="M173" s="28"/>
      <c r="N173" s="28"/>
      <c r="O173" s="28"/>
      <c r="P173" s="28">
        <f t="shared" si="128"/>
        <v>295423600</v>
      </c>
      <c r="Q173" s="128"/>
    </row>
    <row r="174" spans="1:17" s="29" customFormat="1" ht="28.5" customHeight="1" x14ac:dyDescent="0.25">
      <c r="A174" s="25" t="s">
        <v>210</v>
      </c>
      <c r="B174" s="26" t="str">
        <f>'дод 5'!A141</f>
        <v>6090</v>
      </c>
      <c r="C174" s="26" t="str">
        <f>'дод 5'!B141</f>
        <v>0640</v>
      </c>
      <c r="D174" s="27" t="str">
        <f>'дод 5'!C141</f>
        <v>Інша діяльність у сфері житлово-комунального господарства</v>
      </c>
      <c r="E174" s="28">
        <f t="shared" si="127"/>
        <v>2723087</v>
      </c>
      <c r="F174" s="28">
        <f>1590360-29773</f>
        <v>1560587</v>
      </c>
      <c r="G174" s="28"/>
      <c r="H174" s="28">
        <v>6000</v>
      </c>
      <c r="I174" s="28">
        <v>1162500</v>
      </c>
      <c r="J174" s="28">
        <f t="shared" ref="J174" si="133">L174+O174</f>
        <v>0</v>
      </c>
      <c r="K174" s="28"/>
      <c r="L174" s="28"/>
      <c r="M174" s="28"/>
      <c r="N174" s="28"/>
      <c r="O174" s="28"/>
      <c r="P174" s="28">
        <f t="shared" si="128"/>
        <v>2723087</v>
      </c>
      <c r="Q174" s="128"/>
    </row>
    <row r="175" spans="1:17" s="29" customFormat="1" ht="28.5" customHeight="1" x14ac:dyDescent="0.25">
      <c r="A175" s="25" t="s">
        <v>396</v>
      </c>
      <c r="B175" s="26">
        <f>'дод 5'!A142</f>
        <v>6091</v>
      </c>
      <c r="C175" s="26" t="str">
        <f>'дод 5'!B142</f>
        <v>0640</v>
      </c>
      <c r="D175" s="27" t="str">
        <f>'дод 5'!C142</f>
        <v>Будівництво1 об'єктів житлово-комунального господарства</v>
      </c>
      <c r="E175" s="28">
        <f>F175+I175</f>
        <v>0</v>
      </c>
      <c r="F175" s="28"/>
      <c r="G175" s="28"/>
      <c r="H175" s="28"/>
      <c r="I175" s="28"/>
      <c r="J175" s="28">
        <f t="shared" ref="J175" si="134">L175+O175</f>
        <v>5647000</v>
      </c>
      <c r="K175" s="28">
        <f>14083307+147000-8583307</f>
        <v>5647000</v>
      </c>
      <c r="L175" s="28"/>
      <c r="M175" s="28"/>
      <c r="N175" s="28"/>
      <c r="O175" s="28">
        <f>14083307+147000-8583307</f>
        <v>5647000</v>
      </c>
      <c r="P175" s="28">
        <f t="shared" ref="P175" si="135">E175+J175</f>
        <v>5647000</v>
      </c>
      <c r="Q175" s="128"/>
    </row>
    <row r="176" spans="1:17" s="29" customFormat="1" ht="60.75" customHeight="1" x14ac:dyDescent="0.25">
      <c r="A176" s="25" t="s">
        <v>387</v>
      </c>
      <c r="B176" s="26">
        <f>'дод 5'!A143</f>
        <v>6092</v>
      </c>
      <c r="C176" s="26" t="str">
        <f>'дод 5'!B143</f>
        <v>0610</v>
      </c>
      <c r="D176" s="30" t="str">
        <f>'дод 5'!C143</f>
        <v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</v>
      </c>
      <c r="E176" s="28">
        <f t="shared" ref="E176:E182" si="136">F176+I176</f>
        <v>4000000</v>
      </c>
      <c r="F176" s="28">
        <f>10000000-6000000</f>
        <v>4000000</v>
      </c>
      <c r="G176" s="28"/>
      <c r="H176" s="28"/>
      <c r="I176" s="28"/>
      <c r="J176" s="28">
        <f t="shared" ref="J176:J179" si="137">L176+O176</f>
        <v>16000000</v>
      </c>
      <c r="K176" s="28">
        <f>6000000+10000000</f>
        <v>16000000</v>
      </c>
      <c r="L176" s="28"/>
      <c r="M176" s="28"/>
      <c r="N176" s="28"/>
      <c r="O176" s="28">
        <f>6000000+10000000</f>
        <v>16000000</v>
      </c>
      <c r="P176" s="28">
        <f t="shared" ref="P176:P179" si="138">E176+J176</f>
        <v>20000000</v>
      </c>
      <c r="Q176" s="128"/>
    </row>
    <row r="177" spans="1:18" s="38" customFormat="1" ht="43.9" hidden="1" customHeight="1" x14ac:dyDescent="0.25">
      <c r="A177" s="34"/>
      <c r="B177" s="35"/>
      <c r="C177" s="35"/>
      <c r="D177" s="36" t="str">
        <f>'дод 5'!C144</f>
        <v>залишку коштів, що склався станом на 01.01.2025 року, за іншою субвенцією з місцевого бюджету</v>
      </c>
      <c r="E177" s="28">
        <f t="shared" si="136"/>
        <v>0</v>
      </c>
      <c r="F177" s="37"/>
      <c r="G177" s="37"/>
      <c r="H177" s="37"/>
      <c r="I177" s="37"/>
      <c r="J177" s="28">
        <f t="shared" si="137"/>
        <v>0</v>
      </c>
      <c r="K177" s="37"/>
      <c r="L177" s="37"/>
      <c r="M177" s="37"/>
      <c r="N177" s="37"/>
      <c r="O177" s="37"/>
      <c r="P177" s="37">
        <f t="shared" si="138"/>
        <v>0</v>
      </c>
      <c r="Q177" s="128"/>
    </row>
    <row r="178" spans="1:18" s="29" customFormat="1" ht="73.150000000000006" customHeight="1" x14ac:dyDescent="0.25">
      <c r="A178" s="25" t="s">
        <v>491</v>
      </c>
      <c r="B178" s="26">
        <f>'дод 5'!A145</f>
        <v>6094</v>
      </c>
      <c r="C178" s="26" t="str">
        <f>'дод 5'!B145</f>
        <v>0620</v>
      </c>
      <c r="D178" s="107" t="str">
        <f>'дод 5'!C145</f>
        <v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v>
      </c>
      <c r="E178" s="28">
        <f t="shared" si="136"/>
        <v>0</v>
      </c>
      <c r="F178" s="28"/>
      <c r="G178" s="28"/>
      <c r="H178" s="28"/>
      <c r="I178" s="28"/>
      <c r="J178" s="28">
        <f t="shared" si="137"/>
        <v>89775000</v>
      </c>
      <c r="K178" s="28"/>
      <c r="L178" s="28"/>
      <c r="M178" s="28"/>
      <c r="N178" s="28"/>
      <c r="O178" s="28">
        <v>89775000</v>
      </c>
      <c r="P178" s="28">
        <f t="shared" si="138"/>
        <v>89775000</v>
      </c>
      <c r="Q178" s="128"/>
    </row>
    <row r="179" spans="1:18" s="38" customFormat="1" ht="66.400000000000006" customHeight="1" x14ac:dyDescent="0.25">
      <c r="A179" s="34"/>
      <c r="B179" s="35">
        <f>'дод 5'!A146</f>
        <v>0</v>
      </c>
      <c r="C179" s="35">
        <f>'дод 5'!B146</f>
        <v>0</v>
      </c>
      <c r="D179" s="108" t="str">
        <f>'дод 5'!C146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179" s="28">
        <f t="shared" si="136"/>
        <v>0</v>
      </c>
      <c r="F179" s="37"/>
      <c r="G179" s="37"/>
      <c r="H179" s="37"/>
      <c r="I179" s="37"/>
      <c r="J179" s="37">
        <f t="shared" si="137"/>
        <v>89775000</v>
      </c>
      <c r="K179" s="37"/>
      <c r="L179" s="37"/>
      <c r="M179" s="37"/>
      <c r="N179" s="37"/>
      <c r="O179" s="37">
        <v>89775000</v>
      </c>
      <c r="P179" s="28">
        <f t="shared" si="138"/>
        <v>89775000</v>
      </c>
      <c r="Q179" s="128"/>
    </row>
    <row r="180" spans="1:18" s="29" customFormat="1" ht="30.75" customHeight="1" x14ac:dyDescent="0.25">
      <c r="A180" s="25" t="s">
        <v>220</v>
      </c>
      <c r="B180" s="26" t="str">
        <f>'дод 5'!A155</f>
        <v>7330</v>
      </c>
      <c r="C180" s="26" t="str">
        <f>'дод 5'!B155</f>
        <v>0443</v>
      </c>
      <c r="D180" s="40" t="s">
        <v>466</v>
      </c>
      <c r="E180" s="28">
        <f t="shared" si="136"/>
        <v>0</v>
      </c>
      <c r="F180" s="28"/>
      <c r="G180" s="28"/>
      <c r="H180" s="28"/>
      <c r="I180" s="28"/>
      <c r="J180" s="28">
        <f>L180+O180</f>
        <v>22006551</v>
      </c>
      <c r="K180" s="28">
        <f>10000000+8034503+2500000+1472048</f>
        <v>22006551</v>
      </c>
      <c r="L180" s="28"/>
      <c r="M180" s="28"/>
      <c r="N180" s="28"/>
      <c r="O180" s="28">
        <f>10000000+8034503+2500000+1472048</f>
        <v>22006551</v>
      </c>
      <c r="P180" s="28">
        <f t="shared" si="128"/>
        <v>22006551</v>
      </c>
      <c r="Q180" s="128"/>
    </row>
    <row r="181" spans="1:18" s="29" customFormat="1" ht="94.5" x14ac:dyDescent="0.25">
      <c r="A181" s="25" t="s">
        <v>481</v>
      </c>
      <c r="B181" s="26">
        <f>'дод 5'!A157</f>
        <v>7384</v>
      </c>
      <c r="C181" s="26" t="str">
        <f>'дод 5'!B157</f>
        <v>0490</v>
      </c>
      <c r="D181" s="30" t="str">
        <f>'дод 5'!C157</f>
        <v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v>
      </c>
      <c r="E181" s="28">
        <f t="shared" si="136"/>
        <v>0</v>
      </c>
      <c r="F181" s="28"/>
      <c r="G181" s="28"/>
      <c r="H181" s="28"/>
      <c r="I181" s="28"/>
      <c r="J181" s="28">
        <f t="shared" ref="J181:J182" si="139">L181+O181</f>
        <v>6564069.9000000004</v>
      </c>
      <c r="K181" s="28"/>
      <c r="L181" s="28"/>
      <c r="M181" s="28"/>
      <c r="N181" s="28"/>
      <c r="O181" s="28">
        <v>6564069.9000000004</v>
      </c>
      <c r="P181" s="28">
        <f t="shared" si="128"/>
        <v>6564069.9000000004</v>
      </c>
      <c r="Q181" s="128"/>
    </row>
    <row r="182" spans="1:18" s="38" customFormat="1" ht="126" x14ac:dyDescent="0.25">
      <c r="A182" s="34"/>
      <c r="B182" s="35"/>
      <c r="C182" s="35"/>
      <c r="D182" s="36" t="str">
        <f>'дод 5'!C158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182" s="37">
        <f t="shared" si="136"/>
        <v>0</v>
      </c>
      <c r="F182" s="37"/>
      <c r="G182" s="37"/>
      <c r="H182" s="37"/>
      <c r="I182" s="37"/>
      <c r="J182" s="37">
        <f t="shared" si="139"/>
        <v>6564069.9000000004</v>
      </c>
      <c r="K182" s="37"/>
      <c r="L182" s="37"/>
      <c r="M182" s="37"/>
      <c r="N182" s="37"/>
      <c r="O182" s="37">
        <v>6564069.9000000004</v>
      </c>
      <c r="P182" s="37">
        <f t="shared" si="128"/>
        <v>6564069.9000000004</v>
      </c>
      <c r="Q182" s="128"/>
    </row>
    <row r="183" spans="1:18" s="38" customFormat="1" ht="39" customHeight="1" x14ac:dyDescent="0.25">
      <c r="A183" s="25" t="s">
        <v>388</v>
      </c>
      <c r="B183" s="26" t="str">
        <f>'дод 5'!A160</f>
        <v>7412</v>
      </c>
      <c r="C183" s="26" t="str">
        <f>'дод 5'!B160</f>
        <v>0451</v>
      </c>
      <c r="D183" s="30" t="str">
        <f>'дод 5'!C160</f>
        <v>Регулювання цін на послуги місцевого автотранспорту</v>
      </c>
      <c r="E183" s="28">
        <f t="shared" ref="E183:E184" si="140">F183+I183</f>
        <v>29059700</v>
      </c>
      <c r="F183" s="28"/>
      <c r="G183" s="37"/>
      <c r="H183" s="37"/>
      <c r="I183" s="28">
        <v>29059700</v>
      </c>
      <c r="J183" s="28">
        <f t="shared" ref="J183:J184" si="141">L183+O183</f>
        <v>0</v>
      </c>
      <c r="K183" s="28"/>
      <c r="L183" s="28"/>
      <c r="M183" s="28"/>
      <c r="N183" s="28"/>
      <c r="O183" s="28"/>
      <c r="P183" s="28">
        <f t="shared" ref="P183:P184" si="142">E183+J183</f>
        <v>29059700</v>
      </c>
      <c r="Q183" s="128">
        <v>9</v>
      </c>
    </row>
    <row r="184" spans="1:18" s="38" customFormat="1" ht="31.5" customHeight="1" x14ac:dyDescent="0.25">
      <c r="A184" s="25" t="s">
        <v>464</v>
      </c>
      <c r="B184" s="26">
        <f>'дод 5'!A161</f>
        <v>7422</v>
      </c>
      <c r="C184" s="26" t="str">
        <f>'дод 5'!B161</f>
        <v>0453</v>
      </c>
      <c r="D184" s="30" t="str">
        <f>'дод 5'!C161</f>
        <v>Регулювання цін на послуги місцевого наземного електротранспорту</v>
      </c>
      <c r="E184" s="28">
        <f t="shared" si="140"/>
        <v>65000000</v>
      </c>
      <c r="F184" s="28"/>
      <c r="G184" s="37"/>
      <c r="H184" s="37"/>
      <c r="I184" s="28">
        <v>65000000</v>
      </c>
      <c r="J184" s="28">
        <f t="shared" si="141"/>
        <v>0</v>
      </c>
      <c r="K184" s="28"/>
      <c r="L184" s="28"/>
      <c r="M184" s="28"/>
      <c r="N184" s="28"/>
      <c r="O184" s="28"/>
      <c r="P184" s="28">
        <f t="shared" si="142"/>
        <v>65000000</v>
      </c>
      <c r="Q184" s="128"/>
    </row>
    <row r="185" spans="1:18" s="38" customFormat="1" ht="3.75" hidden="1" customHeight="1" x14ac:dyDescent="0.25">
      <c r="A185" s="25" t="s">
        <v>392</v>
      </c>
      <c r="B185" s="26">
        <f>'дод 5'!A162</f>
        <v>7426</v>
      </c>
      <c r="C185" s="26" t="str">
        <f>'дод 5'!B162</f>
        <v>0455</v>
      </c>
      <c r="D185" s="30" t="str">
        <f>'дод 5'!C162</f>
        <v>Інші заходи у сфері електротранспорту</v>
      </c>
      <c r="E185" s="28">
        <f t="shared" ref="E185:E186" si="143">F185+I185</f>
        <v>0</v>
      </c>
      <c r="F185" s="28">
        <f>65000000-65000000</f>
        <v>0</v>
      </c>
      <c r="G185" s="37"/>
      <c r="H185" s="37"/>
      <c r="I185" s="28"/>
      <c r="J185" s="28">
        <f t="shared" ref="J185:J186" si="144">L185+O185</f>
        <v>0</v>
      </c>
      <c r="K185" s="28"/>
      <c r="L185" s="28"/>
      <c r="M185" s="28"/>
      <c r="N185" s="28"/>
      <c r="O185" s="28"/>
      <c r="P185" s="28">
        <f t="shared" ref="P185:P186" si="145">E185+J185</f>
        <v>0</v>
      </c>
      <c r="Q185" s="128"/>
    </row>
    <row r="186" spans="1:18" s="38" customFormat="1" ht="27" customHeight="1" x14ac:dyDescent="0.25">
      <c r="A186" s="25" t="s">
        <v>389</v>
      </c>
      <c r="B186" s="26">
        <f>'дод 5'!A163</f>
        <v>7450</v>
      </c>
      <c r="C186" s="26" t="str">
        <f>'дод 5'!B163</f>
        <v>0456</v>
      </c>
      <c r="D186" s="30" t="str">
        <f>'дод 5'!C163</f>
        <v>Інша діяльність у сфері транспорту</v>
      </c>
      <c r="E186" s="28">
        <f t="shared" si="143"/>
        <v>984000</v>
      </c>
      <c r="F186" s="28">
        <v>984000</v>
      </c>
      <c r="G186" s="37"/>
      <c r="H186" s="37"/>
      <c r="I186" s="37"/>
      <c r="J186" s="28">
        <f t="shared" si="144"/>
        <v>0</v>
      </c>
      <c r="K186" s="28"/>
      <c r="L186" s="28"/>
      <c r="M186" s="28"/>
      <c r="N186" s="28"/>
      <c r="O186" s="28"/>
      <c r="P186" s="28">
        <f t="shared" si="145"/>
        <v>984000</v>
      </c>
      <c r="Q186" s="128"/>
      <c r="R186" s="37"/>
    </row>
    <row r="187" spans="1:18" s="29" customFormat="1" ht="20.25" customHeight="1" x14ac:dyDescent="0.25">
      <c r="A187" s="25" t="s">
        <v>167</v>
      </c>
      <c r="B187" s="26" t="str">
        <f>'дод 5'!A170</f>
        <v>7640</v>
      </c>
      <c r="C187" s="25" t="str">
        <f>'дод 5'!B170</f>
        <v>0470</v>
      </c>
      <c r="D187" s="27" t="s">
        <v>291</v>
      </c>
      <c r="E187" s="28">
        <f t="shared" si="127"/>
        <v>835000</v>
      </c>
      <c r="F187" s="28">
        <v>5000</v>
      </c>
      <c r="G187" s="28"/>
      <c r="H187" s="28"/>
      <c r="I187" s="28">
        <v>830000</v>
      </c>
      <c r="J187" s="28">
        <f t="shared" si="129"/>
        <v>0</v>
      </c>
      <c r="K187" s="28"/>
      <c r="L187" s="28"/>
      <c r="M187" s="28"/>
      <c r="N187" s="28"/>
      <c r="O187" s="28"/>
      <c r="P187" s="28">
        <f t="shared" si="128"/>
        <v>835000</v>
      </c>
      <c r="Q187" s="128"/>
    </row>
    <row r="188" spans="1:18" s="29" customFormat="1" ht="36.75" customHeight="1" x14ac:dyDescent="0.25">
      <c r="A188" s="25" t="s">
        <v>256</v>
      </c>
      <c r="B188" s="26" t="str">
        <f>'дод 5'!A175</f>
        <v>7670</v>
      </c>
      <c r="C188" s="25" t="str">
        <f>'дод 5'!B175</f>
        <v>0490</v>
      </c>
      <c r="D188" s="27" t="str">
        <f>'дод 5'!C175</f>
        <v>Внески до статутного капіталу суб'єктів господарювання</v>
      </c>
      <c r="E188" s="28">
        <f>F188+I188</f>
        <v>0</v>
      </c>
      <c r="F188" s="28"/>
      <c r="G188" s="28"/>
      <c r="H188" s="28"/>
      <c r="I188" s="28"/>
      <c r="J188" s="28">
        <f>L188+O188</f>
        <v>15386089</v>
      </c>
      <c r="K188" s="28">
        <f>4930625+2773202+3015602+2333330+2333330</f>
        <v>15386089</v>
      </c>
      <c r="L188" s="28"/>
      <c r="M188" s="28"/>
      <c r="N188" s="28"/>
      <c r="O188" s="28">
        <f>4930625+2773202+3015602+2333330+2333330</f>
        <v>15386089</v>
      </c>
      <c r="P188" s="28">
        <f>E188+J188</f>
        <v>15386089</v>
      </c>
      <c r="Q188" s="128"/>
    </row>
    <row r="189" spans="1:18" s="29" customFormat="1" ht="124.5" customHeight="1" x14ac:dyDescent="0.25">
      <c r="A189" s="25" t="s">
        <v>234</v>
      </c>
      <c r="B189" s="26" t="str">
        <f>'дод 5'!A177</f>
        <v>7691</v>
      </c>
      <c r="C189" s="26" t="str">
        <f>'дод 5'!B177</f>
        <v>0490</v>
      </c>
      <c r="D189" s="30" t="str">
        <f>'дод 5'!C177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189" s="28">
        <f t="shared" si="127"/>
        <v>0</v>
      </c>
      <c r="F189" s="28"/>
      <c r="G189" s="28"/>
      <c r="H189" s="28"/>
      <c r="I189" s="28"/>
      <c r="J189" s="28">
        <f t="shared" si="129"/>
        <v>65000</v>
      </c>
      <c r="K189" s="28"/>
      <c r="L189" s="28">
        <v>65000</v>
      </c>
      <c r="M189" s="28"/>
      <c r="N189" s="28"/>
      <c r="O189" s="28"/>
      <c r="P189" s="28">
        <f t="shared" si="128"/>
        <v>65000</v>
      </c>
      <c r="Q189" s="128"/>
    </row>
    <row r="190" spans="1:18" s="29" customFormat="1" ht="39" customHeight="1" x14ac:dyDescent="0.25">
      <c r="A190" s="25" t="s">
        <v>281</v>
      </c>
      <c r="B190" s="26" t="str">
        <f>'дод 5'!A183</f>
        <v>8110</v>
      </c>
      <c r="C190" s="26" t="str">
        <f>'дод 5'!B183</f>
        <v>0320</v>
      </c>
      <c r="D190" s="30" t="str">
        <f>'дод 5'!C183</f>
        <v>Заходи із запобігання та ліквідації надзвичайних ситуацій та наслідків стихійного лиха</v>
      </c>
      <c r="E190" s="28">
        <f t="shared" ref="E190:E192" si="146">F190+I190</f>
        <v>15213250</v>
      </c>
      <c r="F190" s="28">
        <f>14494000+719250</f>
        <v>15213250</v>
      </c>
      <c r="G190" s="28"/>
      <c r="H190" s="28"/>
      <c r="I190" s="28"/>
      <c r="J190" s="28">
        <f>L190+O190</f>
        <v>0</v>
      </c>
      <c r="K190" s="28"/>
      <c r="L190" s="28"/>
      <c r="M190" s="28"/>
      <c r="N190" s="28"/>
      <c r="O190" s="28"/>
      <c r="P190" s="28">
        <f t="shared" ref="P190:P191" si="147">E190+J190</f>
        <v>15213250</v>
      </c>
      <c r="Q190" s="128"/>
    </row>
    <row r="191" spans="1:18" s="29" customFormat="1" ht="27" customHeight="1" x14ac:dyDescent="0.25">
      <c r="A191" s="25" t="s">
        <v>355</v>
      </c>
      <c r="B191" s="26">
        <f>'дод 5'!A188</f>
        <v>8240</v>
      </c>
      <c r="C191" s="26" t="str">
        <f>'дод 5'!B188</f>
        <v>0380</v>
      </c>
      <c r="D191" s="30" t="str">
        <f>'дод 5'!C188</f>
        <v>Заходи та роботи з територіальної оборони</v>
      </c>
      <c r="E191" s="28">
        <f>F191+I191</f>
        <v>6000000</v>
      </c>
      <c r="F191" s="28">
        <f>3000000+3000000</f>
        <v>6000000</v>
      </c>
      <c r="G191" s="28"/>
      <c r="H191" s="28"/>
      <c r="I191" s="28"/>
      <c r="J191" s="28">
        <f>L191+O191</f>
        <v>0</v>
      </c>
      <c r="K191" s="28"/>
      <c r="L191" s="28"/>
      <c r="M191" s="28"/>
      <c r="N191" s="28"/>
      <c r="O191" s="28"/>
      <c r="P191" s="28">
        <f t="shared" si="147"/>
        <v>6000000</v>
      </c>
      <c r="Q191" s="128"/>
    </row>
    <row r="192" spans="1:18" s="29" customFormat="1" ht="31.5" customHeight="1" x14ac:dyDescent="0.25">
      <c r="A192" s="25" t="s">
        <v>168</v>
      </c>
      <c r="B192" s="26" t="str">
        <f>'дод 5'!A191</f>
        <v>8340</v>
      </c>
      <c r="C192" s="26" t="str">
        <f>'дод 5'!B191</f>
        <v>0540</v>
      </c>
      <c r="D192" s="27" t="str">
        <f>'дод 5'!C191</f>
        <v>Природоохоронні заходи за рахунок цільових фондів</v>
      </c>
      <c r="E192" s="28">
        <f t="shared" si="146"/>
        <v>0</v>
      </c>
      <c r="F192" s="28"/>
      <c r="G192" s="28"/>
      <c r="H192" s="28"/>
      <c r="I192" s="28"/>
      <c r="J192" s="28">
        <f t="shared" ref="J192" si="148">L192+O192</f>
        <v>1557600</v>
      </c>
      <c r="K192" s="28"/>
      <c r="L192" s="28">
        <f>1557600-10400</f>
        <v>1547200</v>
      </c>
      <c r="M192" s="28"/>
      <c r="N192" s="28"/>
      <c r="O192" s="28">
        <v>10400</v>
      </c>
      <c r="P192" s="28">
        <f t="shared" si="128"/>
        <v>1557600</v>
      </c>
      <c r="Q192" s="128"/>
    </row>
    <row r="193" spans="1:17" s="29" customFormat="1" ht="26.25" customHeight="1" x14ac:dyDescent="0.25">
      <c r="A193" s="25" t="s">
        <v>169</v>
      </c>
      <c r="B193" s="26" t="str">
        <f>'дод 5'!A197</f>
        <v>9770</v>
      </c>
      <c r="C193" s="26" t="str">
        <f>'дод 5'!B197</f>
        <v>0180</v>
      </c>
      <c r="D193" s="27" t="str">
        <f>'дод 5'!C197</f>
        <v>Інші субвенції з місцевого бюджету</v>
      </c>
      <c r="E193" s="28">
        <f t="shared" si="127"/>
        <v>13400000</v>
      </c>
      <c r="F193" s="28">
        <f>14000000-600000</f>
        <v>13400000</v>
      </c>
      <c r="G193" s="28"/>
      <c r="H193" s="28"/>
      <c r="I193" s="28"/>
      <c r="J193" s="28">
        <f t="shared" si="129"/>
        <v>600000</v>
      </c>
      <c r="K193" s="28">
        <v>600000</v>
      </c>
      <c r="L193" s="28"/>
      <c r="M193" s="28"/>
      <c r="N193" s="28"/>
      <c r="O193" s="28">
        <v>600000</v>
      </c>
      <c r="P193" s="28">
        <f t="shared" si="128"/>
        <v>14000000</v>
      </c>
      <c r="Q193" s="128"/>
    </row>
    <row r="194" spans="1:17" s="19" customFormat="1" ht="47.25" customHeight="1" x14ac:dyDescent="0.25">
      <c r="A194" s="16" t="s">
        <v>23</v>
      </c>
      <c r="B194" s="31"/>
      <c r="C194" s="31"/>
      <c r="D194" s="17" t="s">
        <v>28</v>
      </c>
      <c r="E194" s="18">
        <f>E195</f>
        <v>6993534</v>
      </c>
      <c r="F194" s="18">
        <f t="shared" ref="F194:J194" si="149">F195</f>
        <v>6993534</v>
      </c>
      <c r="G194" s="18">
        <f t="shared" si="149"/>
        <v>5309700</v>
      </c>
      <c r="H194" s="18">
        <f t="shared" si="149"/>
        <v>0</v>
      </c>
      <c r="I194" s="18">
        <f t="shared" si="149"/>
        <v>0</v>
      </c>
      <c r="J194" s="18">
        <f t="shared" si="149"/>
        <v>629527391.38999999</v>
      </c>
      <c r="K194" s="18">
        <f t="shared" ref="K194" si="150">K195</f>
        <v>628785391.38999999</v>
      </c>
      <c r="L194" s="18">
        <f t="shared" ref="L194" si="151">L195</f>
        <v>400000</v>
      </c>
      <c r="M194" s="18">
        <f t="shared" ref="M194" si="152">M195</f>
        <v>0</v>
      </c>
      <c r="N194" s="18">
        <f t="shared" ref="N194" si="153">N195</f>
        <v>228200</v>
      </c>
      <c r="O194" s="18">
        <f t="shared" ref="O194:P194" si="154">O195</f>
        <v>629127391.38999999</v>
      </c>
      <c r="P194" s="18">
        <f t="shared" si="154"/>
        <v>636520925.38999999</v>
      </c>
      <c r="Q194" s="128"/>
    </row>
    <row r="195" spans="1:17" s="24" customFormat="1" ht="47.25" x14ac:dyDescent="0.25">
      <c r="A195" s="20" t="s">
        <v>24</v>
      </c>
      <c r="B195" s="32"/>
      <c r="C195" s="32"/>
      <c r="D195" s="22" t="s">
        <v>289</v>
      </c>
      <c r="E195" s="23">
        <f>E199+E210+E213+E206+E208+E211+E212+E203+E204+E207+E209+E200+E201+E202</f>
        <v>6993534</v>
      </c>
      <c r="F195" s="23">
        <f t="shared" ref="F195:P195" si="155">F199+F210+F213+F206+F208+F211+F212+F203+F204+F207+F209+F200+F201+F202</f>
        <v>6993534</v>
      </c>
      <c r="G195" s="23">
        <f t="shared" si="155"/>
        <v>5309700</v>
      </c>
      <c r="H195" s="23">
        <f t="shared" si="155"/>
        <v>0</v>
      </c>
      <c r="I195" s="23">
        <f t="shared" si="155"/>
        <v>0</v>
      </c>
      <c r="J195" s="23">
        <f t="shared" si="155"/>
        <v>629527391.38999999</v>
      </c>
      <c r="K195" s="23">
        <f t="shared" si="155"/>
        <v>628785391.38999999</v>
      </c>
      <c r="L195" s="23">
        <f t="shared" si="155"/>
        <v>400000</v>
      </c>
      <c r="M195" s="23">
        <f t="shared" si="155"/>
        <v>0</v>
      </c>
      <c r="N195" s="23">
        <f t="shared" si="155"/>
        <v>228200</v>
      </c>
      <c r="O195" s="23">
        <f t="shared" si="155"/>
        <v>629127391.38999999</v>
      </c>
      <c r="P195" s="23">
        <f t="shared" si="155"/>
        <v>636520925.38999999</v>
      </c>
      <c r="Q195" s="128"/>
    </row>
    <row r="196" spans="1:17" s="24" customFormat="1" ht="135.75" customHeight="1" x14ac:dyDescent="0.25">
      <c r="A196" s="20"/>
      <c r="B196" s="32"/>
      <c r="C196" s="32"/>
      <c r="D196" s="22" t="str">
        <f>D205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196" s="23">
        <f>E205</f>
        <v>0</v>
      </c>
      <c r="F196" s="23">
        <f t="shared" ref="F196:P196" si="156">F205</f>
        <v>0</v>
      </c>
      <c r="G196" s="23">
        <f t="shared" si="156"/>
        <v>0</v>
      </c>
      <c r="H196" s="23">
        <f t="shared" si="156"/>
        <v>0</v>
      </c>
      <c r="I196" s="23">
        <f t="shared" si="156"/>
        <v>0</v>
      </c>
      <c r="J196" s="23">
        <f t="shared" si="156"/>
        <v>213902286</v>
      </c>
      <c r="K196" s="23">
        <f t="shared" si="156"/>
        <v>213902286</v>
      </c>
      <c r="L196" s="23">
        <f t="shared" si="156"/>
        <v>0</v>
      </c>
      <c r="M196" s="23">
        <f t="shared" si="156"/>
        <v>0</v>
      </c>
      <c r="N196" s="23">
        <f t="shared" si="156"/>
        <v>0</v>
      </c>
      <c r="O196" s="23">
        <f t="shared" si="156"/>
        <v>213902286</v>
      </c>
      <c r="P196" s="23">
        <f t="shared" si="156"/>
        <v>213902286</v>
      </c>
      <c r="Q196" s="128"/>
    </row>
    <row r="197" spans="1:17" s="24" customFormat="1" ht="24.75" customHeight="1" x14ac:dyDescent="0.25">
      <c r="A197" s="20"/>
      <c r="B197" s="32"/>
      <c r="C197" s="32"/>
      <c r="D197" s="22" t="s">
        <v>288</v>
      </c>
      <c r="E197" s="23">
        <f>E214</f>
        <v>0</v>
      </c>
      <c r="F197" s="23">
        <f t="shared" ref="F197:P197" si="157">F214</f>
        <v>0</v>
      </c>
      <c r="G197" s="23">
        <f t="shared" si="157"/>
        <v>0</v>
      </c>
      <c r="H197" s="23">
        <f t="shared" si="157"/>
        <v>0</v>
      </c>
      <c r="I197" s="23">
        <f t="shared" si="157"/>
        <v>0</v>
      </c>
      <c r="J197" s="23">
        <f>J214</f>
        <v>209249640</v>
      </c>
      <c r="K197" s="23">
        <f t="shared" si="157"/>
        <v>209249640</v>
      </c>
      <c r="L197" s="23">
        <f t="shared" si="157"/>
        <v>0</v>
      </c>
      <c r="M197" s="23">
        <f t="shared" si="157"/>
        <v>0</v>
      </c>
      <c r="N197" s="23">
        <f t="shared" si="157"/>
        <v>0</v>
      </c>
      <c r="O197" s="23">
        <f t="shared" si="157"/>
        <v>209249640</v>
      </c>
      <c r="P197" s="23">
        <f t="shared" si="157"/>
        <v>209249640</v>
      </c>
      <c r="Q197" s="128"/>
    </row>
    <row r="198" spans="1:17" s="24" customFormat="1" ht="80.25" customHeight="1" x14ac:dyDescent="0.25">
      <c r="A198" s="20"/>
      <c r="B198" s="32"/>
      <c r="C198" s="32"/>
      <c r="D198" s="22" t="str">
        <f>D215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198" s="23">
        <f>E215</f>
        <v>0</v>
      </c>
      <c r="F198" s="23">
        <f t="shared" ref="F198:P198" si="158">F215</f>
        <v>0</v>
      </c>
      <c r="G198" s="23">
        <f t="shared" si="158"/>
        <v>0</v>
      </c>
      <c r="H198" s="23">
        <f t="shared" si="158"/>
        <v>0</v>
      </c>
      <c r="I198" s="23">
        <f t="shared" si="158"/>
        <v>0</v>
      </c>
      <c r="J198" s="23">
        <f t="shared" si="158"/>
        <v>42813357.390000001</v>
      </c>
      <c r="K198" s="23">
        <f t="shared" si="158"/>
        <v>42813357.390000001</v>
      </c>
      <c r="L198" s="23">
        <f t="shared" si="158"/>
        <v>0</v>
      </c>
      <c r="M198" s="23">
        <f t="shared" si="158"/>
        <v>0</v>
      </c>
      <c r="N198" s="23">
        <f t="shared" si="158"/>
        <v>0</v>
      </c>
      <c r="O198" s="23">
        <f t="shared" si="158"/>
        <v>42813357.390000001</v>
      </c>
      <c r="P198" s="23">
        <f t="shared" si="158"/>
        <v>42813357.390000001</v>
      </c>
      <c r="Q198" s="128"/>
    </row>
    <row r="199" spans="1:17" s="29" customFormat="1" ht="46.5" customHeight="1" x14ac:dyDescent="0.25">
      <c r="A199" s="25" t="s">
        <v>115</v>
      </c>
      <c r="B199" s="26" t="str">
        <f>'дод 5'!A17</f>
        <v>0160</v>
      </c>
      <c r="C199" s="26" t="str">
        <f>'дод 5'!B17</f>
        <v>0111</v>
      </c>
      <c r="D199" s="2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199" s="28">
        <f t="shared" ref="E199:E214" si="159">F199+I199</f>
        <v>6477800</v>
      </c>
      <c r="F199" s="28">
        <v>6477800</v>
      </c>
      <c r="G199" s="28">
        <v>5309700</v>
      </c>
      <c r="H199" s="28"/>
      <c r="I199" s="28"/>
      <c r="J199" s="28">
        <f>L199+O199</f>
        <v>400000</v>
      </c>
      <c r="K199" s="28"/>
      <c r="L199" s="28">
        <v>400000</v>
      </c>
      <c r="M199" s="28"/>
      <c r="N199" s="28">
        <v>228200</v>
      </c>
      <c r="O199" s="28"/>
      <c r="P199" s="28">
        <f t="shared" ref="P199:P215" si="160">E199+J199</f>
        <v>6877800</v>
      </c>
      <c r="Q199" s="128"/>
    </row>
    <row r="200" spans="1:17" s="29" customFormat="1" ht="32.25" customHeight="1" x14ac:dyDescent="0.25">
      <c r="A200" s="25" t="s">
        <v>519</v>
      </c>
      <c r="B200" s="26" t="str">
        <f>'дод 5'!A31</f>
        <v>1010</v>
      </c>
      <c r="C200" s="26" t="str">
        <f>'дод 5'!B31</f>
        <v>0910</v>
      </c>
      <c r="D200" s="30" t="str">
        <f>'дод 5'!C31</f>
        <v>Надання дошкільної освіти</v>
      </c>
      <c r="E200" s="28">
        <f t="shared" si="159"/>
        <v>0</v>
      </c>
      <c r="F200" s="28"/>
      <c r="G200" s="28"/>
      <c r="H200" s="28"/>
      <c r="I200" s="28"/>
      <c r="J200" s="28">
        <f t="shared" ref="J200:J202" si="161">L200+O200</f>
        <v>120000</v>
      </c>
      <c r="K200" s="28">
        <v>120000</v>
      </c>
      <c r="L200" s="28"/>
      <c r="M200" s="28"/>
      <c r="N200" s="28"/>
      <c r="O200" s="28">
        <v>120000</v>
      </c>
      <c r="P200" s="28">
        <f t="shared" si="160"/>
        <v>120000</v>
      </c>
      <c r="Q200" s="128"/>
    </row>
    <row r="201" spans="1:17" s="29" customFormat="1" ht="46.5" customHeight="1" x14ac:dyDescent="0.25">
      <c r="A201" s="25" t="s">
        <v>520</v>
      </c>
      <c r="B201" s="26">
        <f>'дод 5'!A32</f>
        <v>1021</v>
      </c>
      <c r="C201" s="26" t="str">
        <f>'дод 5'!B32</f>
        <v>0921</v>
      </c>
      <c r="D201" s="30" t="str">
        <f>'дод 5'!C32</f>
        <v>Надання загальної середньої освіти закладами загальної середньої освіти за рахунок коштів місцевого бюджету</v>
      </c>
      <c r="E201" s="28">
        <f t="shared" si="159"/>
        <v>0</v>
      </c>
      <c r="F201" s="28"/>
      <c r="G201" s="28"/>
      <c r="H201" s="28"/>
      <c r="I201" s="28"/>
      <c r="J201" s="28">
        <f t="shared" si="161"/>
        <v>340000</v>
      </c>
      <c r="K201" s="28">
        <f>220000+120000</f>
        <v>340000</v>
      </c>
      <c r="L201" s="28"/>
      <c r="M201" s="28"/>
      <c r="N201" s="28"/>
      <c r="O201" s="28">
        <f>220000+120000</f>
        <v>340000</v>
      </c>
      <c r="P201" s="28">
        <f t="shared" si="160"/>
        <v>340000</v>
      </c>
      <c r="Q201" s="128"/>
    </row>
    <row r="202" spans="1:17" s="29" customFormat="1" ht="46.5" customHeight="1" x14ac:dyDescent="0.25">
      <c r="A202" s="25" t="s">
        <v>521</v>
      </c>
      <c r="B202" s="26" t="str">
        <f>'дод 5'!A49</f>
        <v>1141</v>
      </c>
      <c r="C202" s="26" t="str">
        <f>'дод 5'!B49</f>
        <v>0990</v>
      </c>
      <c r="D202" s="30" t="str">
        <f>'дод 5'!C49</f>
        <v>Забезпечення діяльності інших закладів у сфері освіти</v>
      </c>
      <c r="E202" s="28">
        <f t="shared" si="159"/>
        <v>0</v>
      </c>
      <c r="F202" s="28"/>
      <c r="G202" s="28"/>
      <c r="H202" s="28"/>
      <c r="I202" s="28"/>
      <c r="J202" s="28">
        <f t="shared" si="161"/>
        <v>120000</v>
      </c>
      <c r="K202" s="28">
        <v>120000</v>
      </c>
      <c r="L202" s="28"/>
      <c r="M202" s="28"/>
      <c r="N202" s="28"/>
      <c r="O202" s="28">
        <v>120000</v>
      </c>
      <c r="P202" s="28">
        <f t="shared" si="160"/>
        <v>120000</v>
      </c>
      <c r="Q202" s="128"/>
    </row>
    <row r="203" spans="1:17" s="29" customFormat="1" ht="141.75" x14ac:dyDescent="0.25">
      <c r="A203" s="25" t="s">
        <v>485</v>
      </c>
      <c r="B203" s="26" t="str">
        <f>'дод 5'!A60</f>
        <v>1261</v>
      </c>
      <c r="C203" s="26" t="str">
        <f>'дод 5'!B60</f>
        <v>0990</v>
      </c>
      <c r="D203" s="30" t="str">
        <f>'дод 5'!C60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03" s="28">
        <f t="shared" si="159"/>
        <v>0</v>
      </c>
      <c r="F203" s="28"/>
      <c r="G203" s="28"/>
      <c r="H203" s="28"/>
      <c r="I203" s="28"/>
      <c r="J203" s="28">
        <f>L203+O203</f>
        <v>112284866</v>
      </c>
      <c r="K203" s="28">
        <f>13800000+5000+5000+5000+130000+34890978+21854049+18172002+21922837+1500000</f>
        <v>112284866</v>
      </c>
      <c r="L203" s="28"/>
      <c r="M203" s="28"/>
      <c r="N203" s="28"/>
      <c r="O203" s="28">
        <f>13800000+5000+5000+5000+130000+34890978+21854049+18172002+21922837+1500000</f>
        <v>112284866</v>
      </c>
      <c r="P203" s="28">
        <f t="shared" si="160"/>
        <v>112284866</v>
      </c>
      <c r="Q203" s="128"/>
    </row>
    <row r="204" spans="1:17" s="29" customFormat="1" ht="159.75" customHeight="1" x14ac:dyDescent="0.25">
      <c r="A204" s="25" t="s">
        <v>486</v>
      </c>
      <c r="B204" s="26" t="str">
        <f>'дод 5'!A61</f>
        <v>1262</v>
      </c>
      <c r="C204" s="26" t="str">
        <f>'дод 5'!B61</f>
        <v>0990</v>
      </c>
      <c r="D204" s="30" t="str">
        <f>'дод 5'!C61</f>
        <v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v>
      </c>
      <c r="E204" s="28">
        <f t="shared" si="159"/>
        <v>0</v>
      </c>
      <c r="F204" s="28"/>
      <c r="G204" s="28"/>
      <c r="H204" s="28"/>
      <c r="I204" s="28"/>
      <c r="J204" s="28">
        <f t="shared" ref="J204:J205" si="162">L204+O204</f>
        <v>213902286</v>
      </c>
      <c r="K204" s="28">
        <f>7809449+206092837</f>
        <v>213902286</v>
      </c>
      <c r="L204" s="28"/>
      <c r="M204" s="28"/>
      <c r="N204" s="28"/>
      <c r="O204" s="28">
        <f>7809449+206092837</f>
        <v>213902286</v>
      </c>
      <c r="P204" s="28">
        <f t="shared" si="160"/>
        <v>213902286</v>
      </c>
      <c r="Q204" s="128">
        <v>10</v>
      </c>
    </row>
    <row r="205" spans="1:17" s="38" customFormat="1" ht="135.75" customHeight="1" x14ac:dyDescent="0.25">
      <c r="A205" s="34"/>
      <c r="B205" s="35"/>
      <c r="C205" s="35"/>
      <c r="D205" s="36" t="str">
        <f>'дод 5'!C62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05" s="37">
        <f t="shared" si="159"/>
        <v>0</v>
      </c>
      <c r="F205" s="37"/>
      <c r="G205" s="37"/>
      <c r="H205" s="37"/>
      <c r="I205" s="37"/>
      <c r="J205" s="37">
        <f t="shared" si="162"/>
        <v>213902286</v>
      </c>
      <c r="K205" s="37">
        <f>7809449+206092837</f>
        <v>213902286</v>
      </c>
      <c r="L205" s="37"/>
      <c r="M205" s="37"/>
      <c r="N205" s="37"/>
      <c r="O205" s="37">
        <f>7809449+206092837</f>
        <v>213902286</v>
      </c>
      <c r="P205" s="37">
        <f t="shared" si="160"/>
        <v>213902286</v>
      </c>
      <c r="Q205" s="128"/>
    </row>
    <row r="206" spans="1:17" s="29" customFormat="1" ht="28.9" customHeight="1" x14ac:dyDescent="0.25">
      <c r="A206" s="25" t="s">
        <v>458</v>
      </c>
      <c r="B206" s="26" t="str">
        <f>'дод 5'!A66</f>
        <v>1300</v>
      </c>
      <c r="C206" s="26" t="str">
        <f>'дод 5'!B66</f>
        <v>0990</v>
      </c>
      <c r="D206" s="30" t="s">
        <v>457</v>
      </c>
      <c r="E206" s="28">
        <f t="shared" si="159"/>
        <v>0</v>
      </c>
      <c r="F206" s="28"/>
      <c r="G206" s="28"/>
      <c r="H206" s="28"/>
      <c r="I206" s="28"/>
      <c r="J206" s="28">
        <f>L206+O206</f>
        <v>1640621</v>
      </c>
      <c r="K206" s="28">
        <f>1050000+500000+50000+130000+5000+5000+5000+5000+30000-5000-5000-5000-130000+5621</f>
        <v>1640621</v>
      </c>
      <c r="L206" s="28"/>
      <c r="M206" s="28"/>
      <c r="N206" s="28"/>
      <c r="O206" s="28">
        <f>1050000+500000+50000+130000+5000+5000+5000+5000+30000-5000-5000-5000-130000+5621</f>
        <v>1640621</v>
      </c>
      <c r="P206" s="28">
        <f t="shared" si="160"/>
        <v>1640621</v>
      </c>
      <c r="Q206" s="128"/>
    </row>
    <row r="207" spans="1:17" s="29" customFormat="1" ht="38.25" customHeight="1" x14ac:dyDescent="0.25">
      <c r="A207" s="25" t="s">
        <v>511</v>
      </c>
      <c r="B207" s="26" t="str">
        <f>'дод 5'!A76</f>
        <v>2010</v>
      </c>
      <c r="C207" s="26" t="str">
        <f>'дод 5'!B76</f>
        <v>0731</v>
      </c>
      <c r="D207" s="30" t="str">
        <f>'дод 5'!C76</f>
        <v>Багатопрофільна стаціонарна медична допомога населенню</v>
      </c>
      <c r="E207" s="28">
        <f t="shared" si="159"/>
        <v>0</v>
      </c>
      <c r="F207" s="28"/>
      <c r="G207" s="28"/>
      <c r="H207" s="28"/>
      <c r="I207" s="28"/>
      <c r="J207" s="28">
        <f>L207+O207</f>
        <v>1799000</v>
      </c>
      <c r="K207" s="28">
        <f>299000+1500000</f>
        <v>1799000</v>
      </c>
      <c r="L207" s="28"/>
      <c r="M207" s="28"/>
      <c r="N207" s="28"/>
      <c r="O207" s="28">
        <f>299000+1500000</f>
        <v>1799000</v>
      </c>
      <c r="P207" s="28">
        <f t="shared" si="160"/>
        <v>1799000</v>
      </c>
      <c r="Q207" s="128"/>
    </row>
    <row r="208" spans="1:17" s="29" customFormat="1" ht="24" customHeight="1" x14ac:dyDescent="0.25">
      <c r="A208" s="25" t="s">
        <v>459</v>
      </c>
      <c r="B208" s="26">
        <f>'дод 5'!A82</f>
        <v>2170</v>
      </c>
      <c r="C208" s="26" t="str">
        <f>'дод 5'!B82</f>
        <v>0763</v>
      </c>
      <c r="D208" s="30" t="str">
        <f>'дод 5'!C82</f>
        <v>Будівництво1 закладів охорони здоров'я</v>
      </c>
      <c r="E208" s="28">
        <f t="shared" ref="E208:E209" si="163">F208+I208</f>
        <v>0</v>
      </c>
      <c r="F208" s="28"/>
      <c r="G208" s="28"/>
      <c r="H208" s="28"/>
      <c r="I208" s="28"/>
      <c r="J208" s="28">
        <f t="shared" ref="J208:J209" si="164">L208+O208</f>
        <v>900000</v>
      </c>
      <c r="K208" s="28">
        <f>900000+1500000-1500000</f>
        <v>900000</v>
      </c>
      <c r="L208" s="28"/>
      <c r="M208" s="28"/>
      <c r="N208" s="28"/>
      <c r="O208" s="28">
        <f>900000+1500000-1500000</f>
        <v>900000</v>
      </c>
      <c r="P208" s="28">
        <f t="shared" ref="P208:P209" si="165">E208+J208</f>
        <v>900000</v>
      </c>
      <c r="Q208" s="128"/>
    </row>
    <row r="209" spans="1:17" s="29" customFormat="1" ht="24" customHeight="1" x14ac:dyDescent="0.25">
      <c r="A209" s="25" t="s">
        <v>517</v>
      </c>
      <c r="B209" s="26" t="str">
        <f>'дод 5'!A139</f>
        <v>6030</v>
      </c>
      <c r="C209" s="26" t="str">
        <f>'дод 5'!B139</f>
        <v>0620</v>
      </c>
      <c r="D209" s="30" t="str">
        <f>'дод 5'!C139</f>
        <v>Організація благоустрою населених пунктів</v>
      </c>
      <c r="E209" s="28">
        <f t="shared" si="163"/>
        <v>0</v>
      </c>
      <c r="F209" s="28"/>
      <c r="G209" s="28"/>
      <c r="H209" s="28"/>
      <c r="I209" s="28"/>
      <c r="J209" s="28">
        <f t="shared" si="164"/>
        <v>80000</v>
      </c>
      <c r="K209" s="28">
        <v>80000</v>
      </c>
      <c r="L209" s="28"/>
      <c r="M209" s="28"/>
      <c r="N209" s="28"/>
      <c r="O209" s="28">
        <v>80000</v>
      </c>
      <c r="P209" s="28">
        <f t="shared" si="165"/>
        <v>80000</v>
      </c>
      <c r="Q209" s="128"/>
    </row>
    <row r="210" spans="1:17" s="29" customFormat="1" ht="65.25" customHeight="1" x14ac:dyDescent="0.25">
      <c r="A210" s="25" t="s">
        <v>170</v>
      </c>
      <c r="B210" s="26">
        <f>'дод 5'!A140</f>
        <v>6084</v>
      </c>
      <c r="C210" s="26" t="str">
        <f>'дод 5'!B140</f>
        <v>0610</v>
      </c>
      <c r="D210" s="30" t="str">
        <f>'дод 5'!C140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210" s="28">
        <f t="shared" si="159"/>
        <v>0</v>
      </c>
      <c r="F210" s="28"/>
      <c r="G210" s="28"/>
      <c r="H210" s="28"/>
      <c r="I210" s="28"/>
      <c r="J210" s="28">
        <f t="shared" ref="J210:J215" si="166">L210+O210</f>
        <v>342000</v>
      </c>
      <c r="K210" s="28"/>
      <c r="L210" s="28"/>
      <c r="M210" s="28"/>
      <c r="N210" s="28"/>
      <c r="O210" s="28">
        <v>342000</v>
      </c>
      <c r="P210" s="28">
        <f t="shared" si="160"/>
        <v>342000</v>
      </c>
      <c r="Q210" s="128"/>
    </row>
    <row r="211" spans="1:17" s="29" customFormat="1" ht="37.5" customHeight="1" x14ac:dyDescent="0.25">
      <c r="A211" s="25" t="s">
        <v>460</v>
      </c>
      <c r="B211" s="26">
        <f>'дод 5'!A142</f>
        <v>6091</v>
      </c>
      <c r="C211" s="26" t="str">
        <f>'дод 5'!B142</f>
        <v>0640</v>
      </c>
      <c r="D211" s="30" t="str">
        <f>'дод 5'!C142</f>
        <v>Будівництво1 об'єктів житлово-комунального господарства</v>
      </c>
      <c r="E211" s="28">
        <f t="shared" ref="E211:E212" si="167">F211+I211</f>
        <v>0</v>
      </c>
      <c r="F211" s="28"/>
      <c r="G211" s="28"/>
      <c r="H211" s="28"/>
      <c r="I211" s="28"/>
      <c r="J211" s="28">
        <f t="shared" ref="J211:J212" si="168">L211+O211</f>
        <v>2505621</v>
      </c>
      <c r="K211" s="28">
        <f>2500000+5621</f>
        <v>2505621</v>
      </c>
      <c r="L211" s="28"/>
      <c r="M211" s="28"/>
      <c r="N211" s="28"/>
      <c r="O211" s="28">
        <f>2500000+5621</f>
        <v>2505621</v>
      </c>
      <c r="P211" s="28">
        <f t="shared" ref="P211:P212" si="169">E211+J211</f>
        <v>2505621</v>
      </c>
      <c r="Q211" s="128"/>
    </row>
    <row r="212" spans="1:17" s="29" customFormat="1" ht="37.5" customHeight="1" x14ac:dyDescent="0.25">
      <c r="A212" s="25" t="s">
        <v>461</v>
      </c>
      <c r="B212" s="26" t="str">
        <f>'дод 5'!A155</f>
        <v>7330</v>
      </c>
      <c r="C212" s="26" t="str">
        <f>'дод 5'!B155</f>
        <v>0443</v>
      </c>
      <c r="D212" s="30" t="s">
        <v>466</v>
      </c>
      <c r="E212" s="28">
        <f t="shared" si="167"/>
        <v>0</v>
      </c>
      <c r="F212" s="28"/>
      <c r="G212" s="28"/>
      <c r="H212" s="28"/>
      <c r="I212" s="28"/>
      <c r="J212" s="28">
        <f t="shared" si="168"/>
        <v>1180000</v>
      </c>
      <c r="K212" s="28">
        <f>1040000+140000</f>
        <v>1180000</v>
      </c>
      <c r="L212" s="28"/>
      <c r="M212" s="28"/>
      <c r="N212" s="28"/>
      <c r="O212" s="28">
        <f>1040000+140000</f>
        <v>1180000</v>
      </c>
      <c r="P212" s="28">
        <f t="shared" si="169"/>
        <v>1180000</v>
      </c>
      <c r="Q212" s="128"/>
    </row>
    <row r="213" spans="1:17" s="29" customFormat="1" ht="21" customHeight="1" x14ac:dyDescent="0.25">
      <c r="A213" s="25" t="s">
        <v>120</v>
      </c>
      <c r="B213" s="26" t="str">
        <f>'дод 5'!A170</f>
        <v>7640</v>
      </c>
      <c r="C213" s="26" t="str">
        <f>'дод 5'!B170</f>
        <v>0470</v>
      </c>
      <c r="D213" s="27" t="str">
        <f>'дод 5'!C170</f>
        <v>Заходи з енергозбереження, у т. ч. за рахунок:</v>
      </c>
      <c r="E213" s="28">
        <f t="shared" si="159"/>
        <v>515734</v>
      </c>
      <c r="F213" s="28">
        <v>515734</v>
      </c>
      <c r="G213" s="28"/>
      <c r="H213" s="28"/>
      <c r="I213" s="28"/>
      <c r="J213" s="28">
        <f t="shared" si="166"/>
        <v>293912997.38999999</v>
      </c>
      <c r="K213" s="28">
        <f>251099640+42813357.39</f>
        <v>293912997.38999999</v>
      </c>
      <c r="L213" s="28"/>
      <c r="M213" s="28"/>
      <c r="N213" s="28"/>
      <c r="O213" s="28">
        <f>251099640+42813357.39</f>
        <v>293912997.38999999</v>
      </c>
      <c r="P213" s="28">
        <f t="shared" si="160"/>
        <v>294428731.38999999</v>
      </c>
      <c r="Q213" s="128"/>
    </row>
    <row r="214" spans="1:17" s="38" customFormat="1" ht="17.25" customHeight="1" x14ac:dyDescent="0.25">
      <c r="A214" s="34"/>
      <c r="B214" s="35"/>
      <c r="C214" s="35"/>
      <c r="D214" s="39" t="s">
        <v>288</v>
      </c>
      <c r="E214" s="37">
        <f t="shared" si="159"/>
        <v>0</v>
      </c>
      <c r="F214" s="37"/>
      <c r="G214" s="37"/>
      <c r="H214" s="37"/>
      <c r="I214" s="37"/>
      <c r="J214" s="37">
        <f t="shared" si="166"/>
        <v>209249640</v>
      </c>
      <c r="K214" s="37">
        <v>209249640</v>
      </c>
      <c r="L214" s="37"/>
      <c r="M214" s="37"/>
      <c r="N214" s="37"/>
      <c r="O214" s="37">
        <v>209249640</v>
      </c>
      <c r="P214" s="37">
        <f t="shared" si="160"/>
        <v>209249640</v>
      </c>
      <c r="Q214" s="128"/>
    </row>
    <row r="215" spans="1:17" s="38" customFormat="1" ht="78" customHeight="1" x14ac:dyDescent="0.25">
      <c r="A215" s="34"/>
      <c r="B215" s="35"/>
      <c r="C215" s="35"/>
      <c r="D215" s="39" t="str">
        <f>'дод 5'!C172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215" s="37"/>
      <c r="F215" s="37"/>
      <c r="G215" s="37"/>
      <c r="H215" s="37"/>
      <c r="I215" s="37"/>
      <c r="J215" s="37">
        <f t="shared" si="166"/>
        <v>42813357.390000001</v>
      </c>
      <c r="K215" s="37">
        <v>42813357.390000001</v>
      </c>
      <c r="L215" s="37"/>
      <c r="M215" s="37"/>
      <c r="N215" s="37"/>
      <c r="O215" s="37">
        <v>42813357.390000001</v>
      </c>
      <c r="P215" s="37">
        <f t="shared" si="160"/>
        <v>42813357.390000001</v>
      </c>
      <c r="Q215" s="128"/>
    </row>
    <row r="216" spans="1:17" s="19" customFormat="1" ht="40.5" customHeight="1" x14ac:dyDescent="0.25">
      <c r="A216" s="16" t="s">
        <v>173</v>
      </c>
      <c r="B216" s="31"/>
      <c r="C216" s="31"/>
      <c r="D216" s="17" t="s">
        <v>35</v>
      </c>
      <c r="E216" s="18">
        <f>E217</f>
        <v>6723100</v>
      </c>
      <c r="F216" s="18">
        <f t="shared" ref="F216:P216" si="170">F217</f>
        <v>6723100</v>
      </c>
      <c r="G216" s="18">
        <f t="shared" si="170"/>
        <v>5268800</v>
      </c>
      <c r="H216" s="18">
        <f t="shared" si="170"/>
        <v>113900</v>
      </c>
      <c r="I216" s="18">
        <f t="shared" si="170"/>
        <v>0</v>
      </c>
      <c r="J216" s="18">
        <f t="shared" si="170"/>
        <v>0</v>
      </c>
      <c r="K216" s="18">
        <f t="shared" si="170"/>
        <v>0</v>
      </c>
      <c r="L216" s="18">
        <f t="shared" si="170"/>
        <v>0</v>
      </c>
      <c r="M216" s="18">
        <f t="shared" si="170"/>
        <v>0</v>
      </c>
      <c r="N216" s="18">
        <f t="shared" si="170"/>
        <v>0</v>
      </c>
      <c r="O216" s="18">
        <f t="shared" si="170"/>
        <v>0</v>
      </c>
      <c r="P216" s="18">
        <f t="shared" si="170"/>
        <v>6723100</v>
      </c>
      <c r="Q216" s="128"/>
    </row>
    <row r="217" spans="1:17" s="24" customFormat="1" ht="40.5" customHeight="1" x14ac:dyDescent="0.25">
      <c r="A217" s="20" t="s">
        <v>171</v>
      </c>
      <c r="B217" s="32"/>
      <c r="C217" s="32"/>
      <c r="D217" s="22" t="s">
        <v>35</v>
      </c>
      <c r="E217" s="23">
        <f>E218</f>
        <v>6723100</v>
      </c>
      <c r="F217" s="23">
        <f t="shared" ref="F217:J217" si="171">F218</f>
        <v>6723100</v>
      </c>
      <c r="G217" s="23">
        <f t="shared" si="171"/>
        <v>5268800</v>
      </c>
      <c r="H217" s="23">
        <f t="shared" si="171"/>
        <v>113900</v>
      </c>
      <c r="I217" s="23">
        <f t="shared" si="171"/>
        <v>0</v>
      </c>
      <c r="J217" s="23">
        <f t="shared" si="171"/>
        <v>0</v>
      </c>
      <c r="K217" s="23">
        <f t="shared" ref="K217" si="172">K218</f>
        <v>0</v>
      </c>
      <c r="L217" s="23">
        <f t="shared" ref="L217" si="173">L218</f>
        <v>0</v>
      </c>
      <c r="M217" s="23">
        <f t="shared" ref="M217" si="174">M218</f>
        <v>0</v>
      </c>
      <c r="N217" s="23">
        <f t="shared" ref="N217" si="175">N218</f>
        <v>0</v>
      </c>
      <c r="O217" s="23">
        <f t="shared" ref="O217:P217" si="176">O218</f>
        <v>0</v>
      </c>
      <c r="P217" s="23">
        <f t="shared" si="176"/>
        <v>6723100</v>
      </c>
      <c r="Q217" s="128"/>
    </row>
    <row r="218" spans="1:17" s="29" customFormat="1" ht="49.5" customHeight="1" x14ac:dyDescent="0.25">
      <c r="A218" s="25" t="s">
        <v>172</v>
      </c>
      <c r="B218" s="26" t="str">
        <f>'дод 5'!A17</f>
        <v>0160</v>
      </c>
      <c r="C218" s="26" t="str">
        <f>'дод 5'!B17</f>
        <v>0111</v>
      </c>
      <c r="D218" s="2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218" s="28">
        <f>F218+I218</f>
        <v>6723100</v>
      </c>
      <c r="F218" s="28">
        <f>6573400+149700</f>
        <v>6723100</v>
      </c>
      <c r="G218" s="28">
        <f>5146100+122700</f>
        <v>5268800</v>
      </c>
      <c r="H218" s="28">
        <v>113900</v>
      </c>
      <c r="I218" s="28"/>
      <c r="J218" s="28">
        <f>L218+O218</f>
        <v>0</v>
      </c>
      <c r="K218" s="28"/>
      <c r="L218" s="28"/>
      <c r="M218" s="28"/>
      <c r="N218" s="28"/>
      <c r="O218" s="28"/>
      <c r="P218" s="28">
        <f>E218+J218</f>
        <v>6723100</v>
      </c>
      <c r="Q218" s="128"/>
    </row>
    <row r="219" spans="1:17" s="19" customFormat="1" ht="41.25" customHeight="1" x14ac:dyDescent="0.25">
      <c r="A219" s="16" t="s">
        <v>351</v>
      </c>
      <c r="B219" s="31"/>
      <c r="C219" s="31"/>
      <c r="D219" s="17" t="s">
        <v>338</v>
      </c>
      <c r="E219" s="18">
        <f>E220</f>
        <v>19501400</v>
      </c>
      <c r="F219" s="18">
        <f t="shared" ref="F219:P219" si="177">F220</f>
        <v>18901400</v>
      </c>
      <c r="G219" s="18">
        <f t="shared" si="177"/>
        <v>15010700</v>
      </c>
      <c r="H219" s="18">
        <f t="shared" si="177"/>
        <v>236900</v>
      </c>
      <c r="I219" s="18">
        <f t="shared" si="177"/>
        <v>600000</v>
      </c>
      <c r="J219" s="18">
        <f t="shared" si="177"/>
        <v>0</v>
      </c>
      <c r="K219" s="18">
        <f t="shared" si="177"/>
        <v>0</v>
      </c>
      <c r="L219" s="18">
        <f t="shared" si="177"/>
        <v>0</v>
      </c>
      <c r="M219" s="18">
        <f t="shared" si="177"/>
        <v>0</v>
      </c>
      <c r="N219" s="18">
        <f t="shared" si="177"/>
        <v>0</v>
      </c>
      <c r="O219" s="18">
        <f t="shared" si="177"/>
        <v>0</v>
      </c>
      <c r="P219" s="18">
        <f t="shared" si="177"/>
        <v>19501400</v>
      </c>
      <c r="Q219" s="128"/>
    </row>
    <row r="220" spans="1:17" s="24" customFormat="1" ht="45.75" customHeight="1" x14ac:dyDescent="0.25">
      <c r="A220" s="20" t="s">
        <v>353</v>
      </c>
      <c r="B220" s="32"/>
      <c r="C220" s="32"/>
      <c r="D220" s="22" t="s">
        <v>338</v>
      </c>
      <c r="E220" s="23">
        <f>E221+E222</f>
        <v>19501400</v>
      </c>
      <c r="F220" s="23">
        <f t="shared" ref="F220:P220" si="178">F221+F222</f>
        <v>18901400</v>
      </c>
      <c r="G220" s="23">
        <f t="shared" si="178"/>
        <v>15010700</v>
      </c>
      <c r="H220" s="23">
        <f t="shared" si="178"/>
        <v>236900</v>
      </c>
      <c r="I220" s="23">
        <f t="shared" si="178"/>
        <v>600000</v>
      </c>
      <c r="J220" s="23">
        <f t="shared" si="178"/>
        <v>0</v>
      </c>
      <c r="K220" s="23">
        <f t="shared" si="178"/>
        <v>0</v>
      </c>
      <c r="L220" s="23">
        <f t="shared" si="178"/>
        <v>0</v>
      </c>
      <c r="M220" s="23">
        <f t="shared" si="178"/>
        <v>0</v>
      </c>
      <c r="N220" s="23">
        <f t="shared" si="178"/>
        <v>0</v>
      </c>
      <c r="O220" s="23">
        <f t="shared" si="178"/>
        <v>0</v>
      </c>
      <c r="P220" s="23">
        <f t="shared" si="178"/>
        <v>19501400</v>
      </c>
      <c r="Q220" s="128"/>
    </row>
    <row r="221" spans="1:17" s="29" customFormat="1" ht="45" customHeight="1" x14ac:dyDescent="0.25">
      <c r="A221" s="25" t="s">
        <v>352</v>
      </c>
      <c r="B221" s="26" t="str">
        <f>'дод 5'!A17</f>
        <v>0160</v>
      </c>
      <c r="C221" s="26" t="str">
        <f>'дод 5'!B17</f>
        <v>0111</v>
      </c>
      <c r="D221" s="2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221" s="28">
        <f>F221+I221</f>
        <v>18841400</v>
      </c>
      <c r="F221" s="28">
        <v>18841400</v>
      </c>
      <c r="G221" s="28">
        <v>15010700</v>
      </c>
      <c r="H221" s="28">
        <v>236900</v>
      </c>
      <c r="I221" s="28"/>
      <c r="J221" s="28">
        <f>L221+O221</f>
        <v>0</v>
      </c>
      <c r="K221" s="28">
        <f>8000-8000</f>
        <v>0</v>
      </c>
      <c r="L221" s="28"/>
      <c r="M221" s="28"/>
      <c r="N221" s="28"/>
      <c r="O221" s="28">
        <f>8000-8000</f>
        <v>0</v>
      </c>
      <c r="P221" s="28">
        <f>E221+J221</f>
        <v>18841400</v>
      </c>
      <c r="Q221" s="128"/>
    </row>
    <row r="222" spans="1:17" s="29" customFormat="1" ht="31.5" customHeight="1" x14ac:dyDescent="0.25">
      <c r="A222" s="25" t="s">
        <v>354</v>
      </c>
      <c r="B222" s="26" t="str">
        <f>'дод 5'!A169</f>
        <v>7610</v>
      </c>
      <c r="C222" s="26" t="str">
        <f>'дод 5'!B169</f>
        <v>0411</v>
      </c>
      <c r="D222" s="30" t="str">
        <f>'дод 5'!C169</f>
        <v>Сприяння розвитку малого та середнього підприємництва</v>
      </c>
      <c r="E222" s="28">
        <f>F222+I222</f>
        <v>660000</v>
      </c>
      <c r="F222" s="28">
        <v>60000</v>
      </c>
      <c r="G222" s="28"/>
      <c r="H222" s="28"/>
      <c r="I222" s="28">
        <v>600000</v>
      </c>
      <c r="J222" s="28">
        <f>L222+O222</f>
        <v>0</v>
      </c>
      <c r="K222" s="28">
        <f>8000-8000</f>
        <v>0</v>
      </c>
      <c r="L222" s="28"/>
      <c r="M222" s="28"/>
      <c r="N222" s="28"/>
      <c r="O222" s="28">
        <f>8000-8000</f>
        <v>0</v>
      </c>
      <c r="P222" s="28">
        <f>E222+J222</f>
        <v>660000</v>
      </c>
      <c r="Q222" s="128"/>
    </row>
    <row r="223" spans="1:17" s="19" customFormat="1" ht="33" customHeight="1" x14ac:dyDescent="0.25">
      <c r="A223" s="16" t="s">
        <v>174</v>
      </c>
      <c r="B223" s="31"/>
      <c r="C223" s="31"/>
      <c r="D223" s="17" t="s">
        <v>342</v>
      </c>
      <c r="E223" s="18">
        <f>E224</f>
        <v>16177100</v>
      </c>
      <c r="F223" s="18">
        <f t="shared" ref="F223:O223" si="179">F224</f>
        <v>16177100</v>
      </c>
      <c r="G223" s="18">
        <f t="shared" si="179"/>
        <v>12289400</v>
      </c>
      <c r="H223" s="18">
        <f t="shared" si="179"/>
        <v>226900</v>
      </c>
      <c r="I223" s="18">
        <f t="shared" si="179"/>
        <v>0</v>
      </c>
      <c r="J223" s="18">
        <f t="shared" si="179"/>
        <v>300000</v>
      </c>
      <c r="K223" s="18">
        <f t="shared" si="179"/>
        <v>300000</v>
      </c>
      <c r="L223" s="18">
        <f t="shared" si="179"/>
        <v>0</v>
      </c>
      <c r="M223" s="18">
        <f t="shared" si="179"/>
        <v>0</v>
      </c>
      <c r="N223" s="18">
        <f t="shared" si="179"/>
        <v>0</v>
      </c>
      <c r="O223" s="18">
        <f t="shared" si="179"/>
        <v>300000</v>
      </c>
      <c r="P223" s="18">
        <f>P224</f>
        <v>16477100</v>
      </c>
      <c r="Q223" s="128"/>
    </row>
    <row r="224" spans="1:17" s="24" customFormat="1" ht="32.25" customHeight="1" x14ac:dyDescent="0.25">
      <c r="A224" s="20" t="s">
        <v>175</v>
      </c>
      <c r="B224" s="32"/>
      <c r="C224" s="32"/>
      <c r="D224" s="22" t="s">
        <v>342</v>
      </c>
      <c r="E224" s="23">
        <f>E225+E226</f>
        <v>16177100</v>
      </c>
      <c r="F224" s="23">
        <f t="shared" ref="F224:P224" si="180">F225+F226</f>
        <v>16177100</v>
      </c>
      <c r="G224" s="23">
        <f t="shared" si="180"/>
        <v>12289400</v>
      </c>
      <c r="H224" s="23">
        <f t="shared" si="180"/>
        <v>226900</v>
      </c>
      <c r="I224" s="23">
        <f t="shared" si="180"/>
        <v>0</v>
      </c>
      <c r="J224" s="23">
        <f t="shared" si="180"/>
        <v>300000</v>
      </c>
      <c r="K224" s="23">
        <f t="shared" si="180"/>
        <v>300000</v>
      </c>
      <c r="L224" s="23">
        <f t="shared" si="180"/>
        <v>0</v>
      </c>
      <c r="M224" s="23">
        <f t="shared" si="180"/>
        <v>0</v>
      </c>
      <c r="N224" s="23">
        <f t="shared" si="180"/>
        <v>0</v>
      </c>
      <c r="O224" s="23">
        <f t="shared" si="180"/>
        <v>300000</v>
      </c>
      <c r="P224" s="23">
        <f t="shared" si="180"/>
        <v>16477100</v>
      </c>
      <c r="Q224" s="128"/>
    </row>
    <row r="225" spans="1:17" s="29" customFormat="1" ht="50.25" customHeight="1" x14ac:dyDescent="0.25">
      <c r="A225" s="25" t="s">
        <v>176</v>
      </c>
      <c r="B225" s="26" t="str">
        <f>'дод 5'!A17</f>
        <v>0160</v>
      </c>
      <c r="C225" s="26" t="str">
        <f>'дод 5'!B17</f>
        <v>0111</v>
      </c>
      <c r="D225" s="2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225" s="28">
        <f t="shared" ref="E225:E226" si="181">F225+I225</f>
        <v>15692100</v>
      </c>
      <c r="F225" s="28">
        <v>15692100</v>
      </c>
      <c r="G225" s="28">
        <v>12289400</v>
      </c>
      <c r="H225" s="28">
        <v>226900</v>
      </c>
      <c r="I225" s="28"/>
      <c r="J225" s="28">
        <f>L225+O225</f>
        <v>300000</v>
      </c>
      <c r="K225" s="28">
        <v>300000</v>
      </c>
      <c r="L225" s="28"/>
      <c r="M225" s="28"/>
      <c r="N225" s="28"/>
      <c r="O225" s="28">
        <v>300000</v>
      </c>
      <c r="P225" s="28">
        <f t="shared" ref="P225:P226" si="182">E225+J225</f>
        <v>15992100</v>
      </c>
      <c r="Q225" s="128"/>
    </row>
    <row r="226" spans="1:17" s="29" customFormat="1" ht="22.5" customHeight="1" x14ac:dyDescent="0.25">
      <c r="A226" s="25" t="s">
        <v>215</v>
      </c>
      <c r="B226" s="26" t="str">
        <f>'дод 5'!A178</f>
        <v>7693</v>
      </c>
      <c r="C226" s="26" t="str">
        <f>'дод 5'!B178</f>
        <v>0490</v>
      </c>
      <c r="D226" s="27" t="str">
        <f>'дод 5'!C178</f>
        <v>Інші заходи, пов'язані з економічною діяльністю</v>
      </c>
      <c r="E226" s="28">
        <f t="shared" si="181"/>
        <v>485000</v>
      </c>
      <c r="F226" s="28">
        <v>485000</v>
      </c>
      <c r="G226" s="28"/>
      <c r="H226" s="28"/>
      <c r="I226" s="28"/>
      <c r="J226" s="28">
        <f t="shared" ref="J226" si="183">L226+O226</f>
        <v>0</v>
      </c>
      <c r="K226" s="28"/>
      <c r="L226" s="28"/>
      <c r="M226" s="28"/>
      <c r="N226" s="28"/>
      <c r="O226" s="28"/>
      <c r="P226" s="28">
        <f t="shared" si="182"/>
        <v>485000</v>
      </c>
      <c r="Q226" s="128"/>
    </row>
    <row r="227" spans="1:17" s="19" customFormat="1" ht="52.5" customHeight="1" x14ac:dyDescent="0.25">
      <c r="A227" s="16" t="s">
        <v>339</v>
      </c>
      <c r="B227" s="31"/>
      <c r="C227" s="31"/>
      <c r="D227" s="17" t="s">
        <v>33</v>
      </c>
      <c r="E227" s="18">
        <f>E228</f>
        <v>31526500</v>
      </c>
      <c r="F227" s="18">
        <f t="shared" ref="F227:P227" si="184">F228</f>
        <v>31526500</v>
      </c>
      <c r="G227" s="18">
        <f t="shared" si="184"/>
        <v>22678000</v>
      </c>
      <c r="H227" s="18">
        <f t="shared" si="184"/>
        <v>839200</v>
      </c>
      <c r="I227" s="18">
        <f t="shared" si="184"/>
        <v>0</v>
      </c>
      <c r="J227" s="18">
        <f t="shared" si="184"/>
        <v>1280000</v>
      </c>
      <c r="K227" s="18">
        <f t="shared" si="184"/>
        <v>180000</v>
      </c>
      <c r="L227" s="18">
        <f t="shared" si="184"/>
        <v>971000</v>
      </c>
      <c r="M227" s="18">
        <f t="shared" si="184"/>
        <v>0</v>
      </c>
      <c r="N227" s="18">
        <f t="shared" si="184"/>
        <v>0</v>
      </c>
      <c r="O227" s="18">
        <f t="shared" si="184"/>
        <v>309000</v>
      </c>
      <c r="P227" s="18">
        <f t="shared" si="184"/>
        <v>32806500</v>
      </c>
      <c r="Q227" s="128">
        <v>11</v>
      </c>
    </row>
    <row r="228" spans="1:17" s="24" customFormat="1" ht="52.5" customHeight="1" x14ac:dyDescent="0.25">
      <c r="A228" s="20" t="s">
        <v>340</v>
      </c>
      <c r="B228" s="32"/>
      <c r="C228" s="32"/>
      <c r="D228" s="22" t="s">
        <v>33</v>
      </c>
      <c r="E228" s="23">
        <f>E229+E230+E231+E232+E233+E235+E234</f>
        <v>31526500</v>
      </c>
      <c r="F228" s="23">
        <f t="shared" ref="F228:P228" si="185">F229+F230+F231+F232+F233+F235+F234</f>
        <v>31526500</v>
      </c>
      <c r="G228" s="23">
        <f t="shared" si="185"/>
        <v>22678000</v>
      </c>
      <c r="H228" s="23">
        <f t="shared" si="185"/>
        <v>839200</v>
      </c>
      <c r="I228" s="23">
        <f t="shared" si="185"/>
        <v>0</v>
      </c>
      <c r="J228" s="23">
        <f t="shared" si="185"/>
        <v>1280000</v>
      </c>
      <c r="K228" s="23">
        <f t="shared" si="185"/>
        <v>180000</v>
      </c>
      <c r="L228" s="23">
        <f t="shared" si="185"/>
        <v>971000</v>
      </c>
      <c r="M228" s="23">
        <f t="shared" si="185"/>
        <v>0</v>
      </c>
      <c r="N228" s="23">
        <f t="shared" si="185"/>
        <v>0</v>
      </c>
      <c r="O228" s="23">
        <f t="shared" si="185"/>
        <v>309000</v>
      </c>
      <c r="P228" s="23">
        <f t="shared" si="185"/>
        <v>32806500</v>
      </c>
      <c r="Q228" s="128"/>
    </row>
    <row r="229" spans="1:17" s="29" customFormat="1" ht="61.5" customHeight="1" x14ac:dyDescent="0.25">
      <c r="A229" s="25" t="s">
        <v>341</v>
      </c>
      <c r="B229" s="26" t="str">
        <f>'дод 5'!A17</f>
        <v>0160</v>
      </c>
      <c r="C229" s="26" t="str">
        <f>'дод 5'!B17</f>
        <v>0111</v>
      </c>
      <c r="D229" s="2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229" s="28">
        <f>F229+I229</f>
        <v>29480500</v>
      </c>
      <c r="F229" s="28">
        <f>29873500-393000</f>
        <v>29480500</v>
      </c>
      <c r="G229" s="28">
        <f>23000100-322100</f>
        <v>22678000</v>
      </c>
      <c r="H229" s="28">
        <v>839200</v>
      </c>
      <c r="I229" s="28"/>
      <c r="J229" s="28">
        <f>L229+O229</f>
        <v>0</v>
      </c>
      <c r="K229" s="28"/>
      <c r="L229" s="28"/>
      <c r="M229" s="28"/>
      <c r="N229" s="28"/>
      <c r="O229" s="28"/>
      <c r="P229" s="28">
        <f>E229+J229</f>
        <v>29480500</v>
      </c>
      <c r="Q229" s="128"/>
    </row>
    <row r="230" spans="1:17" s="29" customFormat="1" ht="27.75" customHeight="1" x14ac:dyDescent="0.25">
      <c r="A230" s="25" t="s">
        <v>344</v>
      </c>
      <c r="B230" s="26" t="str">
        <f>'дод 5'!A152</f>
        <v>7130</v>
      </c>
      <c r="C230" s="26" t="str">
        <f>'дод 5'!B152</f>
        <v>0421</v>
      </c>
      <c r="D230" s="30" t="str">
        <f>'дод 5'!C152</f>
        <v>Здійснення заходів із землеустрою</v>
      </c>
      <c r="E230" s="28">
        <f t="shared" ref="E230:E235" si="186">F230+I230</f>
        <v>1400000</v>
      </c>
      <c r="F230" s="28">
        <v>1400000</v>
      </c>
      <c r="G230" s="28"/>
      <c r="H230" s="28"/>
      <c r="I230" s="28"/>
      <c r="J230" s="28">
        <f t="shared" ref="J230:J235" si="187">L230+O230</f>
        <v>0</v>
      </c>
      <c r="K230" s="28"/>
      <c r="L230" s="28"/>
      <c r="M230" s="28"/>
      <c r="N230" s="28"/>
      <c r="O230" s="28"/>
      <c r="P230" s="28">
        <f t="shared" ref="P230:P235" si="188">E230+J230</f>
        <v>1400000</v>
      </c>
      <c r="Q230" s="128"/>
    </row>
    <row r="231" spans="1:17" s="29" customFormat="1" ht="45.75" customHeight="1" x14ac:dyDescent="0.25">
      <c r="A231" s="25" t="s">
        <v>343</v>
      </c>
      <c r="B231" s="26">
        <f>'дод 5'!A156</f>
        <v>7370</v>
      </c>
      <c r="C231" s="26" t="str">
        <f>'дод 5'!B156</f>
        <v>0490</v>
      </c>
      <c r="D231" s="30" t="str">
        <f>'дод 5'!C156</f>
        <v>Реалізація інших заходів щодо соціально-економічного розвитку територій</v>
      </c>
      <c r="E231" s="28">
        <f t="shared" si="186"/>
        <v>46000</v>
      </c>
      <c r="F231" s="28">
        <v>46000</v>
      </c>
      <c r="G231" s="28"/>
      <c r="H231" s="28"/>
      <c r="I231" s="28"/>
      <c r="J231" s="28">
        <f t="shared" si="187"/>
        <v>100000</v>
      </c>
      <c r="K231" s="28">
        <v>100000</v>
      </c>
      <c r="L231" s="28"/>
      <c r="M231" s="28"/>
      <c r="N231" s="28"/>
      <c r="O231" s="28">
        <v>100000</v>
      </c>
      <c r="P231" s="28">
        <f t="shared" si="188"/>
        <v>146000</v>
      </c>
      <c r="Q231" s="128"/>
    </row>
    <row r="232" spans="1:17" s="29" customFormat="1" ht="45.75" customHeight="1" x14ac:dyDescent="0.25">
      <c r="A232" s="25" t="s">
        <v>345</v>
      </c>
      <c r="B232" s="26" t="str">
        <f>'дод 5'!A173</f>
        <v>7650</v>
      </c>
      <c r="C232" s="26" t="str">
        <f>'дод 5'!B173</f>
        <v>0490</v>
      </c>
      <c r="D232" s="30" t="str">
        <f>'дод 5'!C173</f>
        <v>Проведення експертної грошової оцінки земельної ділянки чи права на неї</v>
      </c>
      <c r="E232" s="28">
        <f t="shared" si="186"/>
        <v>0</v>
      </c>
      <c r="F232" s="28"/>
      <c r="G232" s="28"/>
      <c r="H232" s="28"/>
      <c r="I232" s="28"/>
      <c r="J232" s="28">
        <f t="shared" si="187"/>
        <v>30000</v>
      </c>
      <c r="K232" s="28">
        <v>30000</v>
      </c>
      <c r="L232" s="28"/>
      <c r="M232" s="28"/>
      <c r="N232" s="28"/>
      <c r="O232" s="28">
        <v>30000</v>
      </c>
      <c r="P232" s="28">
        <f t="shared" si="188"/>
        <v>30000</v>
      </c>
      <c r="Q232" s="128"/>
    </row>
    <row r="233" spans="1:17" s="29" customFormat="1" ht="55.9" customHeight="1" x14ac:dyDescent="0.25">
      <c r="A233" s="25" t="s">
        <v>346</v>
      </c>
      <c r="B233" s="26" t="str">
        <f>'дод 5'!A174</f>
        <v>7660</v>
      </c>
      <c r="C233" s="26" t="str">
        <f>'дод 5'!B174</f>
        <v>0490</v>
      </c>
      <c r="D233" s="30" t="str">
        <f>'дод 5'!C174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233" s="28">
        <f t="shared" si="186"/>
        <v>0</v>
      </c>
      <c r="F233" s="28"/>
      <c r="G233" s="28"/>
      <c r="H233" s="28"/>
      <c r="I233" s="28"/>
      <c r="J233" s="28">
        <f t="shared" si="187"/>
        <v>50000</v>
      </c>
      <c r="K233" s="28">
        <v>50000</v>
      </c>
      <c r="L233" s="28"/>
      <c r="M233" s="28"/>
      <c r="N233" s="28"/>
      <c r="O233" s="28">
        <v>50000</v>
      </c>
      <c r="P233" s="28">
        <f t="shared" si="188"/>
        <v>50000</v>
      </c>
      <c r="Q233" s="128"/>
    </row>
    <row r="234" spans="1:17" s="29" customFormat="1" ht="122.25" customHeight="1" x14ac:dyDescent="0.25">
      <c r="A234" s="25" t="s">
        <v>398</v>
      </c>
      <c r="B234" s="26" t="str">
        <f>'дод 5'!A177</f>
        <v>7691</v>
      </c>
      <c r="C234" s="26" t="str">
        <f>'дод 5'!B177</f>
        <v>0490</v>
      </c>
      <c r="D234" s="30" t="str">
        <f>'дод 5'!C177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234" s="28">
        <f t="shared" ref="E234" si="189">F234+I234</f>
        <v>0</v>
      </c>
      <c r="F234" s="28"/>
      <c r="G234" s="28"/>
      <c r="H234" s="28"/>
      <c r="I234" s="28"/>
      <c r="J234" s="28">
        <f t="shared" ref="J234" si="190">L234+O234</f>
        <v>1100000</v>
      </c>
      <c r="K234" s="28"/>
      <c r="L234" s="28">
        <v>971000</v>
      </c>
      <c r="M234" s="28"/>
      <c r="N234" s="28"/>
      <c r="O234" s="28">
        <v>129000</v>
      </c>
      <c r="P234" s="28">
        <f t="shared" ref="P234" si="191">E234+J234</f>
        <v>1100000</v>
      </c>
      <c r="Q234" s="128"/>
    </row>
    <row r="235" spans="1:17" s="29" customFormat="1" ht="27.75" customHeight="1" x14ac:dyDescent="0.25">
      <c r="A235" s="25" t="s">
        <v>347</v>
      </c>
      <c r="B235" s="26" t="str">
        <f>'дод 5'!A178</f>
        <v>7693</v>
      </c>
      <c r="C235" s="26" t="str">
        <f>'дод 5'!B178</f>
        <v>0490</v>
      </c>
      <c r="D235" s="30" t="str">
        <f>'дод 5'!C178</f>
        <v>Інші заходи, пов'язані з економічною діяльністю</v>
      </c>
      <c r="E235" s="28">
        <f t="shared" si="186"/>
        <v>600000</v>
      </c>
      <c r="F235" s="28">
        <v>600000</v>
      </c>
      <c r="G235" s="28"/>
      <c r="H235" s="28"/>
      <c r="I235" s="28"/>
      <c r="J235" s="28">
        <f t="shared" si="187"/>
        <v>0</v>
      </c>
      <c r="K235" s="28"/>
      <c r="L235" s="28"/>
      <c r="M235" s="28"/>
      <c r="N235" s="28"/>
      <c r="O235" s="28"/>
      <c r="P235" s="28">
        <f t="shared" si="188"/>
        <v>600000</v>
      </c>
      <c r="Q235" s="128"/>
    </row>
    <row r="236" spans="1:17" s="19" customFormat="1" ht="42" customHeight="1" x14ac:dyDescent="0.25">
      <c r="A236" s="16" t="s">
        <v>177</v>
      </c>
      <c r="B236" s="31"/>
      <c r="C236" s="31"/>
      <c r="D236" s="17" t="s">
        <v>34</v>
      </c>
      <c r="E236" s="18">
        <f>E237</f>
        <v>462447722</v>
      </c>
      <c r="F236" s="18">
        <f t="shared" ref="F236:J236" si="192">F237</f>
        <v>37973159</v>
      </c>
      <c r="G236" s="18">
        <f t="shared" si="192"/>
        <v>23445000</v>
      </c>
      <c r="H236" s="18">
        <f t="shared" si="192"/>
        <v>593000</v>
      </c>
      <c r="I236" s="18">
        <f t="shared" si="192"/>
        <v>0</v>
      </c>
      <c r="J236" s="18">
        <f t="shared" si="192"/>
        <v>357000</v>
      </c>
      <c r="K236" s="18">
        <f t="shared" ref="K236" si="193">K237</f>
        <v>0</v>
      </c>
      <c r="L236" s="18">
        <f t="shared" ref="L236" si="194">L237</f>
        <v>357000</v>
      </c>
      <c r="M236" s="18">
        <f t="shared" ref="M236" si="195">M237</f>
        <v>0</v>
      </c>
      <c r="N236" s="18">
        <f t="shared" ref="N236" si="196">N237</f>
        <v>0</v>
      </c>
      <c r="O236" s="18">
        <f t="shared" ref="O236:P236" si="197">O237</f>
        <v>0</v>
      </c>
      <c r="P236" s="18">
        <f t="shared" si="197"/>
        <v>462804722</v>
      </c>
      <c r="Q236" s="128"/>
    </row>
    <row r="237" spans="1:17" s="24" customFormat="1" ht="42" customHeight="1" x14ac:dyDescent="0.25">
      <c r="A237" s="20" t="s">
        <v>178</v>
      </c>
      <c r="B237" s="32"/>
      <c r="C237" s="32"/>
      <c r="D237" s="22" t="s">
        <v>34</v>
      </c>
      <c r="E237" s="23">
        <f>E238+E239+E240+E241+E242+E243+E244</f>
        <v>462447722</v>
      </c>
      <c r="F237" s="23">
        <f t="shared" ref="F237:P237" si="198">F238+F239+F240+F241+F242+F243+F244</f>
        <v>37973159</v>
      </c>
      <c r="G237" s="23">
        <f t="shared" si="198"/>
        <v>23445000</v>
      </c>
      <c r="H237" s="23">
        <f t="shared" si="198"/>
        <v>593000</v>
      </c>
      <c r="I237" s="23">
        <f t="shared" si="198"/>
        <v>0</v>
      </c>
      <c r="J237" s="23">
        <f t="shared" si="198"/>
        <v>357000</v>
      </c>
      <c r="K237" s="23">
        <f t="shared" si="198"/>
        <v>0</v>
      </c>
      <c r="L237" s="23">
        <f t="shared" si="198"/>
        <v>357000</v>
      </c>
      <c r="M237" s="23">
        <f t="shared" si="198"/>
        <v>0</v>
      </c>
      <c r="N237" s="23">
        <f t="shared" si="198"/>
        <v>0</v>
      </c>
      <c r="O237" s="23">
        <f t="shared" si="198"/>
        <v>0</v>
      </c>
      <c r="P237" s="23">
        <f t="shared" si="198"/>
        <v>462804722</v>
      </c>
      <c r="Q237" s="128"/>
    </row>
    <row r="238" spans="1:17" s="29" customFormat="1" ht="47.65" customHeight="1" x14ac:dyDescent="0.25">
      <c r="A238" s="25" t="s">
        <v>179</v>
      </c>
      <c r="B238" s="26" t="str">
        <f>'дод 5'!A17</f>
        <v>0160</v>
      </c>
      <c r="C238" s="26" t="str">
        <f>'дод 5'!B17</f>
        <v>0111</v>
      </c>
      <c r="D238" s="2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238" s="28">
        <f t="shared" ref="E238:E243" si="199">F238+I238</f>
        <v>30195900</v>
      </c>
      <c r="F238" s="28">
        <f>30552200-439900+83600</f>
        <v>30195900</v>
      </c>
      <c r="G238" s="28">
        <f>23737000-360500+68500</f>
        <v>23445000</v>
      </c>
      <c r="H238" s="28">
        <v>593000</v>
      </c>
      <c r="I238" s="28"/>
      <c r="J238" s="28">
        <f>L238+O238</f>
        <v>0</v>
      </c>
      <c r="K238" s="28"/>
      <c r="L238" s="28"/>
      <c r="M238" s="28"/>
      <c r="N238" s="28"/>
      <c r="O238" s="28"/>
      <c r="P238" s="28">
        <f t="shared" ref="P238:P244" si="200">E238+J238</f>
        <v>30195900</v>
      </c>
      <c r="Q238" s="128"/>
    </row>
    <row r="239" spans="1:17" s="29" customFormat="1" ht="30.75" customHeight="1" x14ac:dyDescent="0.25">
      <c r="A239" s="25" t="s">
        <v>212</v>
      </c>
      <c r="B239" s="26" t="str">
        <f>'дод 5'!A170</f>
        <v>7640</v>
      </c>
      <c r="C239" s="26" t="str">
        <f>'дод 5'!B170</f>
        <v>0470</v>
      </c>
      <c r="D239" s="27" t="s">
        <v>291</v>
      </c>
      <c r="E239" s="28">
        <f t="shared" si="199"/>
        <v>755000</v>
      </c>
      <c r="F239" s="28">
        <v>755000</v>
      </c>
      <c r="G239" s="28"/>
      <c r="H239" s="28"/>
      <c r="I239" s="28"/>
      <c r="J239" s="28">
        <f t="shared" ref="J239:J244" si="201">L239+O239</f>
        <v>0</v>
      </c>
      <c r="K239" s="28"/>
      <c r="L239" s="28"/>
      <c r="M239" s="28"/>
      <c r="N239" s="28"/>
      <c r="O239" s="28"/>
      <c r="P239" s="28">
        <f t="shared" si="200"/>
        <v>755000</v>
      </c>
      <c r="Q239" s="128"/>
    </row>
    <row r="240" spans="1:17" s="29" customFormat="1" ht="42.75" customHeight="1" x14ac:dyDescent="0.25">
      <c r="A240" s="25" t="s">
        <v>255</v>
      </c>
      <c r="B240" s="26" t="str">
        <f>'дод 5'!A178</f>
        <v>7693</v>
      </c>
      <c r="C240" s="26" t="str">
        <f>'дод 5'!B178</f>
        <v>0490</v>
      </c>
      <c r="D240" s="27" t="str">
        <f>'дод 5'!C178</f>
        <v>Інші заходи, пов'язані з економічною діяльністю</v>
      </c>
      <c r="E240" s="28">
        <f>F240+I240</f>
        <v>154630</v>
      </c>
      <c r="F240" s="28">
        <v>154630</v>
      </c>
      <c r="G240" s="28"/>
      <c r="H240" s="28"/>
      <c r="I240" s="28"/>
      <c r="J240" s="28">
        <f t="shared" si="201"/>
        <v>0</v>
      </c>
      <c r="K240" s="28"/>
      <c r="L240" s="28"/>
      <c r="M240" s="28"/>
      <c r="N240" s="28"/>
      <c r="O240" s="28"/>
      <c r="P240" s="28">
        <f t="shared" si="200"/>
        <v>154630</v>
      </c>
      <c r="Q240" s="128"/>
    </row>
    <row r="241" spans="1:17" s="29" customFormat="1" ht="31.5" customHeight="1" x14ac:dyDescent="0.25">
      <c r="A241" s="25">
        <v>3718330</v>
      </c>
      <c r="B241" s="26">
        <f>'дод 5'!A190</f>
        <v>8330</v>
      </c>
      <c r="C241" s="26" t="str">
        <f>'дод 5'!B190</f>
        <v>0540</v>
      </c>
      <c r="D241" s="27" t="str">
        <f>'дод 5'!C190</f>
        <v xml:space="preserve">Інша діяльність у сфері екології та охорони природних ресурсів </v>
      </c>
      <c r="E241" s="28">
        <f t="shared" si="199"/>
        <v>75000</v>
      </c>
      <c r="F241" s="28">
        <v>75000</v>
      </c>
      <c r="G241" s="28"/>
      <c r="H241" s="28"/>
      <c r="I241" s="28"/>
      <c r="J241" s="28">
        <f t="shared" si="201"/>
        <v>0</v>
      </c>
      <c r="K241" s="28"/>
      <c r="L241" s="28"/>
      <c r="M241" s="28"/>
      <c r="N241" s="28"/>
      <c r="O241" s="28"/>
      <c r="P241" s="28">
        <f t="shared" si="200"/>
        <v>75000</v>
      </c>
      <c r="Q241" s="128"/>
    </row>
    <row r="242" spans="1:17" s="29" customFormat="1" ht="39.75" customHeight="1" x14ac:dyDescent="0.25">
      <c r="A242" s="25" t="s">
        <v>180</v>
      </c>
      <c r="B242" s="26" t="str">
        <f>'дод 5'!A191</f>
        <v>8340</v>
      </c>
      <c r="C242" s="25" t="str">
        <f>'дод 5'!B191</f>
        <v>0540</v>
      </c>
      <c r="D242" s="27" t="str">
        <f>'дод 5'!C191</f>
        <v>Природоохоронні заходи за рахунок цільових фондів</v>
      </c>
      <c r="E242" s="28">
        <f t="shared" si="199"/>
        <v>0</v>
      </c>
      <c r="F242" s="28"/>
      <c r="G242" s="28"/>
      <c r="H242" s="28"/>
      <c r="I242" s="28"/>
      <c r="J242" s="28">
        <f t="shared" si="201"/>
        <v>357000</v>
      </c>
      <c r="K242" s="28"/>
      <c r="L242" s="28">
        <f>190000+20000+50000+97000</f>
        <v>357000</v>
      </c>
      <c r="M242" s="28"/>
      <c r="N242" s="28"/>
      <c r="O242" s="28"/>
      <c r="P242" s="28">
        <f t="shared" si="200"/>
        <v>357000</v>
      </c>
      <c r="Q242" s="128"/>
    </row>
    <row r="243" spans="1:17" s="29" customFormat="1" ht="35.25" customHeight="1" x14ac:dyDescent="0.25">
      <c r="A243" s="25" t="s">
        <v>181</v>
      </c>
      <c r="B243" s="26" t="str">
        <f>'дод 5'!A192</f>
        <v>8600</v>
      </c>
      <c r="C243" s="26" t="str">
        <f>'дод 5'!B192</f>
        <v>0170</v>
      </c>
      <c r="D243" s="27" t="str">
        <f>'дод 5'!C192</f>
        <v>Обслуговування місцевого боргу</v>
      </c>
      <c r="E243" s="28">
        <f t="shared" si="199"/>
        <v>6792629</v>
      </c>
      <c r="F243" s="28">
        <v>6792629</v>
      </c>
      <c r="G243" s="28"/>
      <c r="H243" s="28"/>
      <c r="I243" s="28"/>
      <c r="J243" s="28">
        <f t="shared" si="201"/>
        <v>0</v>
      </c>
      <c r="K243" s="28"/>
      <c r="L243" s="28"/>
      <c r="M243" s="28"/>
      <c r="N243" s="28"/>
      <c r="O243" s="28"/>
      <c r="P243" s="28">
        <f t="shared" si="200"/>
        <v>6792629</v>
      </c>
      <c r="Q243" s="128"/>
    </row>
    <row r="244" spans="1:17" s="29" customFormat="1" ht="34.5" customHeight="1" x14ac:dyDescent="0.25">
      <c r="A244" s="25" t="s">
        <v>318</v>
      </c>
      <c r="B244" s="26">
        <f>'дод 5'!A194</f>
        <v>8710</v>
      </c>
      <c r="C244" s="26" t="str">
        <f>'дод 5'!B194</f>
        <v>0133</v>
      </c>
      <c r="D244" s="30" t="str">
        <f>'дод 5'!C194</f>
        <v>Резервний фонд місцевого бюджету</v>
      </c>
      <c r="E244" s="28">
        <f>456176551+2000000+11496964-149700-1000000-100000-21599237+380000-750000+514900-2280181-10748623-1173416+1000000-3000000-2500000-584359-36288-1472048-1700000</f>
        <v>424474563</v>
      </c>
      <c r="F244" s="28"/>
      <c r="G244" s="28"/>
      <c r="H244" s="28"/>
      <c r="I244" s="28"/>
      <c r="J244" s="28">
        <f t="shared" si="201"/>
        <v>0</v>
      </c>
      <c r="K244" s="28"/>
      <c r="L244" s="28"/>
      <c r="M244" s="28"/>
      <c r="N244" s="28"/>
      <c r="O244" s="28"/>
      <c r="P244" s="28">
        <f t="shared" si="200"/>
        <v>424474563</v>
      </c>
      <c r="Q244" s="128"/>
    </row>
    <row r="245" spans="1:17" s="29" customFormat="1" ht="54.75" customHeight="1" x14ac:dyDescent="0.25">
      <c r="A245" s="16" t="s">
        <v>358</v>
      </c>
      <c r="B245" s="26"/>
      <c r="C245" s="26"/>
      <c r="D245" s="17" t="s">
        <v>364</v>
      </c>
      <c r="E245" s="18">
        <f>E246</f>
        <v>21637188</v>
      </c>
      <c r="F245" s="18">
        <f t="shared" ref="F245:O245" si="202">F246</f>
        <v>21637188</v>
      </c>
      <c r="G245" s="18">
        <f t="shared" si="202"/>
        <v>16869800</v>
      </c>
      <c r="H245" s="18">
        <f t="shared" si="202"/>
        <v>167500</v>
      </c>
      <c r="I245" s="18">
        <f t="shared" si="202"/>
        <v>0</v>
      </c>
      <c r="J245" s="18">
        <f t="shared" si="202"/>
        <v>313800</v>
      </c>
      <c r="K245" s="18">
        <f t="shared" si="202"/>
        <v>313800</v>
      </c>
      <c r="L245" s="18">
        <f t="shared" si="202"/>
        <v>0</v>
      </c>
      <c r="M245" s="18">
        <f t="shared" si="202"/>
        <v>0</v>
      </c>
      <c r="N245" s="18">
        <f t="shared" si="202"/>
        <v>0</v>
      </c>
      <c r="O245" s="18">
        <f t="shared" si="202"/>
        <v>313800</v>
      </c>
      <c r="P245" s="18">
        <f t="shared" ref="P245:P247" si="203">E245+J245</f>
        <v>21950988</v>
      </c>
      <c r="Q245" s="128"/>
    </row>
    <row r="246" spans="1:17" s="29" customFormat="1" ht="46.5" customHeight="1" x14ac:dyDescent="0.25">
      <c r="A246" s="20" t="s">
        <v>358</v>
      </c>
      <c r="B246" s="26"/>
      <c r="C246" s="26"/>
      <c r="D246" s="22" t="s">
        <v>364</v>
      </c>
      <c r="E246" s="23">
        <f t="shared" ref="E246:O246" si="204">E247</f>
        <v>21637188</v>
      </c>
      <c r="F246" s="23">
        <f t="shared" si="204"/>
        <v>21637188</v>
      </c>
      <c r="G246" s="23">
        <f t="shared" si="204"/>
        <v>16869800</v>
      </c>
      <c r="H246" s="23">
        <f t="shared" si="204"/>
        <v>167500</v>
      </c>
      <c r="I246" s="23">
        <f t="shared" si="204"/>
        <v>0</v>
      </c>
      <c r="J246" s="23">
        <f t="shared" si="204"/>
        <v>313800</v>
      </c>
      <c r="K246" s="23">
        <f t="shared" si="204"/>
        <v>313800</v>
      </c>
      <c r="L246" s="23">
        <f t="shared" si="204"/>
        <v>0</v>
      </c>
      <c r="M246" s="23">
        <f t="shared" si="204"/>
        <v>0</v>
      </c>
      <c r="N246" s="23">
        <f t="shared" si="204"/>
        <v>0</v>
      </c>
      <c r="O246" s="23">
        <f t="shared" si="204"/>
        <v>313800</v>
      </c>
      <c r="P246" s="23">
        <f t="shared" si="203"/>
        <v>21950988</v>
      </c>
      <c r="Q246" s="128"/>
    </row>
    <row r="247" spans="1:17" s="29" customFormat="1" ht="63.75" customHeight="1" x14ac:dyDescent="0.25">
      <c r="A247" s="25" t="s">
        <v>359</v>
      </c>
      <c r="B247" s="26" t="str">
        <f>'дод 5'!A17</f>
        <v>0160</v>
      </c>
      <c r="C247" s="26" t="str">
        <f>'дод 5'!B17</f>
        <v>0111</v>
      </c>
      <c r="D247" s="30" t="str">
        <f>'дод 5'!C17</f>
        <v>Керівництво і управління у відповідній сфері у містах (місті Києві), селищах, селах, територіальних громадах</v>
      </c>
      <c r="E247" s="28">
        <f t="shared" ref="E247" si="205">F247+I247</f>
        <v>21637188</v>
      </c>
      <c r="F247" s="28">
        <f>21483700+98000+19200+36288</f>
        <v>21637188</v>
      </c>
      <c r="G247" s="28">
        <v>16869800</v>
      </c>
      <c r="H247" s="28">
        <v>167500</v>
      </c>
      <c r="I247" s="28"/>
      <c r="J247" s="28">
        <f t="shared" ref="J247" si="206">L247+O247</f>
        <v>313800</v>
      </c>
      <c r="K247" s="28">
        <f>333000-19200</f>
        <v>313800</v>
      </c>
      <c r="L247" s="28"/>
      <c r="M247" s="28"/>
      <c r="N247" s="28"/>
      <c r="O247" s="28">
        <f>333000-19200</f>
        <v>313800</v>
      </c>
      <c r="P247" s="28">
        <f t="shared" si="203"/>
        <v>21950988</v>
      </c>
      <c r="Q247" s="128"/>
    </row>
    <row r="248" spans="1:17" s="19" customFormat="1" ht="22.5" customHeight="1" x14ac:dyDescent="0.25">
      <c r="A248" s="16"/>
      <c r="B248" s="31"/>
      <c r="C248" s="123"/>
      <c r="D248" s="17" t="s">
        <v>512</v>
      </c>
      <c r="E248" s="18">
        <f t="shared" ref="E248:P248" si="207">E15+E43+E101+E112+E146+E152+E161+E194+E216+E236+E227+E223+E219+E245</f>
        <v>3313688641</v>
      </c>
      <c r="F248" s="18">
        <f t="shared" si="207"/>
        <v>2727905669</v>
      </c>
      <c r="G248" s="18">
        <f t="shared" si="207"/>
        <v>1309227275</v>
      </c>
      <c r="H248" s="18">
        <f t="shared" si="207"/>
        <v>233106458</v>
      </c>
      <c r="I248" s="18">
        <f t="shared" si="207"/>
        <v>161308409</v>
      </c>
      <c r="J248" s="18">
        <f t="shared" si="207"/>
        <v>996702909.55999994</v>
      </c>
      <c r="K248" s="18">
        <f t="shared" si="207"/>
        <v>788939163.05999994</v>
      </c>
      <c r="L248" s="18">
        <f t="shared" si="207"/>
        <v>95328200</v>
      </c>
      <c r="M248" s="18">
        <f t="shared" si="207"/>
        <v>13318380</v>
      </c>
      <c r="N248" s="18">
        <f t="shared" si="207"/>
        <v>7188778</v>
      </c>
      <c r="O248" s="18">
        <f t="shared" si="207"/>
        <v>901374709.55999994</v>
      </c>
      <c r="P248" s="18">
        <f t="shared" si="207"/>
        <v>4310391550.5599995</v>
      </c>
      <c r="Q248" s="88"/>
    </row>
    <row r="249" spans="1:17" s="24" customFormat="1" ht="26.45" customHeight="1" x14ac:dyDescent="0.25">
      <c r="A249" s="20"/>
      <c r="B249" s="32"/>
      <c r="C249" s="21"/>
      <c r="D249" s="22" t="s">
        <v>395</v>
      </c>
      <c r="E249" s="23">
        <f t="shared" ref="E249:P249" si="208">E115+E45+E46+E47+E48+E49+E50+E52+E116+E196+E51+E163</f>
        <v>439407063.82999998</v>
      </c>
      <c r="F249" s="23">
        <f t="shared" si="208"/>
        <v>439407063.82999998</v>
      </c>
      <c r="G249" s="23">
        <f t="shared" si="208"/>
        <v>297223700</v>
      </c>
      <c r="H249" s="23">
        <f t="shared" si="208"/>
        <v>0</v>
      </c>
      <c r="I249" s="23">
        <f t="shared" si="208"/>
        <v>0</v>
      </c>
      <c r="J249" s="23">
        <f t="shared" si="208"/>
        <v>390429928.67000002</v>
      </c>
      <c r="K249" s="23">
        <f t="shared" si="208"/>
        <v>257253828.67000002</v>
      </c>
      <c r="L249" s="23">
        <f t="shared" si="208"/>
        <v>28319400</v>
      </c>
      <c r="M249" s="23">
        <f t="shared" si="208"/>
        <v>0</v>
      </c>
      <c r="N249" s="23">
        <f t="shared" si="208"/>
        <v>0</v>
      </c>
      <c r="O249" s="23">
        <f t="shared" si="208"/>
        <v>362110528.67000002</v>
      </c>
      <c r="P249" s="23">
        <f t="shared" si="208"/>
        <v>829836992.5</v>
      </c>
      <c r="Q249" s="88"/>
    </row>
    <row r="250" spans="1:17" s="24" customFormat="1" ht="88.15" customHeight="1" x14ac:dyDescent="0.25">
      <c r="A250" s="20"/>
      <c r="B250" s="32"/>
      <c r="C250" s="21"/>
      <c r="D250" s="22" t="s">
        <v>399</v>
      </c>
      <c r="E250" s="23">
        <f t="shared" ref="E250:P250" si="209">E115</f>
        <v>71303000</v>
      </c>
      <c r="F250" s="23">
        <f t="shared" si="209"/>
        <v>71303000</v>
      </c>
      <c r="G250" s="23">
        <f t="shared" si="209"/>
        <v>0</v>
      </c>
      <c r="H250" s="23">
        <f t="shared" si="209"/>
        <v>0</v>
      </c>
      <c r="I250" s="23">
        <f t="shared" si="209"/>
        <v>0</v>
      </c>
      <c r="J250" s="23">
        <f t="shared" si="209"/>
        <v>0</v>
      </c>
      <c r="K250" s="23">
        <f t="shared" si="209"/>
        <v>0</v>
      </c>
      <c r="L250" s="23">
        <f t="shared" si="209"/>
        <v>0</v>
      </c>
      <c r="M250" s="23">
        <f t="shared" si="209"/>
        <v>0</v>
      </c>
      <c r="N250" s="23">
        <f t="shared" si="209"/>
        <v>0</v>
      </c>
      <c r="O250" s="23">
        <f t="shared" si="209"/>
        <v>0</v>
      </c>
      <c r="P250" s="23">
        <f t="shared" si="209"/>
        <v>71303000</v>
      </c>
      <c r="Q250" s="88"/>
    </row>
    <row r="251" spans="1:17" s="24" customFormat="1" ht="45.75" customHeight="1" x14ac:dyDescent="0.25">
      <c r="A251" s="20"/>
      <c r="B251" s="32"/>
      <c r="C251" s="21"/>
      <c r="D251" s="22" t="s">
        <v>366</v>
      </c>
      <c r="E251" s="23">
        <f t="shared" ref="E251:P251" si="210">E53+E164+E117</f>
        <v>3966124</v>
      </c>
      <c r="F251" s="23">
        <f t="shared" si="210"/>
        <v>3966124</v>
      </c>
      <c r="G251" s="23">
        <f t="shared" si="210"/>
        <v>1528675</v>
      </c>
      <c r="H251" s="23">
        <f t="shared" si="210"/>
        <v>0</v>
      </c>
      <c r="I251" s="23">
        <f t="shared" si="210"/>
        <v>0</v>
      </c>
      <c r="J251" s="23">
        <f t="shared" si="210"/>
        <v>6564069.9000000004</v>
      </c>
      <c r="K251" s="23">
        <f t="shared" si="210"/>
        <v>0</v>
      </c>
      <c r="L251" s="23">
        <f t="shared" si="210"/>
        <v>0</v>
      </c>
      <c r="M251" s="23">
        <f t="shared" si="210"/>
        <v>0</v>
      </c>
      <c r="N251" s="23">
        <f t="shared" si="210"/>
        <v>0</v>
      </c>
      <c r="O251" s="23">
        <f t="shared" si="210"/>
        <v>6564069.9000000004</v>
      </c>
      <c r="P251" s="23">
        <f t="shared" si="210"/>
        <v>10530193.9</v>
      </c>
      <c r="Q251" s="88"/>
    </row>
    <row r="252" spans="1:17" s="24" customFormat="1" ht="15.75" x14ac:dyDescent="0.25">
      <c r="A252" s="20"/>
      <c r="B252" s="32"/>
      <c r="C252" s="21"/>
      <c r="D252" s="22" t="s">
        <v>367</v>
      </c>
      <c r="E252" s="23">
        <f t="shared" ref="E252:P252" si="211">E114+E54+E17+E165</f>
        <v>1936957</v>
      </c>
      <c r="F252" s="23">
        <f t="shared" si="211"/>
        <v>1936957</v>
      </c>
      <c r="G252" s="23">
        <f t="shared" si="211"/>
        <v>422100</v>
      </c>
      <c r="H252" s="23">
        <f t="shared" si="211"/>
        <v>0</v>
      </c>
      <c r="I252" s="23">
        <f t="shared" si="211"/>
        <v>0</v>
      </c>
      <c r="J252" s="23">
        <f t="shared" si="211"/>
        <v>4500000</v>
      </c>
      <c r="K252" s="23">
        <f t="shared" si="211"/>
        <v>4500000</v>
      </c>
      <c r="L252" s="23">
        <f t="shared" si="211"/>
        <v>0</v>
      </c>
      <c r="M252" s="23">
        <f t="shared" si="211"/>
        <v>0</v>
      </c>
      <c r="N252" s="23">
        <f t="shared" si="211"/>
        <v>0</v>
      </c>
      <c r="O252" s="23">
        <f t="shared" si="211"/>
        <v>4500000</v>
      </c>
      <c r="P252" s="23">
        <f t="shared" si="211"/>
        <v>6436957</v>
      </c>
      <c r="Q252" s="88"/>
    </row>
    <row r="253" spans="1:17" s="24" customFormat="1" ht="20.25" customHeight="1" x14ac:dyDescent="0.25">
      <c r="A253" s="20"/>
      <c r="B253" s="32"/>
      <c r="C253" s="32"/>
      <c r="D253" s="22" t="s">
        <v>288</v>
      </c>
      <c r="E253" s="23">
        <f>E197+E198</f>
        <v>0</v>
      </c>
      <c r="F253" s="23">
        <f t="shared" ref="F253:P253" si="212">F197+F198</f>
        <v>0</v>
      </c>
      <c r="G253" s="23">
        <f t="shared" si="212"/>
        <v>0</v>
      </c>
      <c r="H253" s="23">
        <f t="shared" si="212"/>
        <v>0</v>
      </c>
      <c r="I253" s="23">
        <f t="shared" si="212"/>
        <v>0</v>
      </c>
      <c r="J253" s="23">
        <f t="shared" si="212"/>
        <v>252062997.38999999</v>
      </c>
      <c r="K253" s="23">
        <f t="shared" si="212"/>
        <v>252062997.38999999</v>
      </c>
      <c r="L253" s="23">
        <f t="shared" si="212"/>
        <v>0</v>
      </c>
      <c r="M253" s="23">
        <f t="shared" si="212"/>
        <v>0</v>
      </c>
      <c r="N253" s="23">
        <f t="shared" si="212"/>
        <v>0</v>
      </c>
      <c r="O253" s="23">
        <f t="shared" si="212"/>
        <v>252062997.38999999</v>
      </c>
      <c r="P253" s="23">
        <f t="shared" si="212"/>
        <v>252062997.38999999</v>
      </c>
      <c r="Q253" s="88"/>
    </row>
    <row r="254" spans="1:17" s="24" customFormat="1" ht="20.25" customHeight="1" x14ac:dyDescent="0.25">
      <c r="A254" s="43"/>
      <c r="B254" s="44"/>
      <c r="C254" s="44"/>
      <c r="D254" s="45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88"/>
    </row>
    <row r="255" spans="1:17" s="24" customFormat="1" ht="20.25" hidden="1" customHeight="1" x14ac:dyDescent="0.25">
      <c r="A255" s="43"/>
      <c r="B255" s="44"/>
      <c r="C255" s="44"/>
      <c r="D255" s="45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88"/>
    </row>
    <row r="256" spans="1:17" s="24" customFormat="1" ht="72.75" customHeight="1" x14ac:dyDescent="0.25">
      <c r="A256" s="43"/>
      <c r="B256" s="44"/>
      <c r="C256" s="44"/>
      <c r="D256" s="45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88"/>
    </row>
    <row r="257" spans="1:17" s="105" customFormat="1" ht="175.5" customHeight="1" x14ac:dyDescent="0.4">
      <c r="A257" s="131" t="s">
        <v>500</v>
      </c>
      <c r="B257" s="131"/>
      <c r="C257" s="131"/>
      <c r="D257" s="131"/>
      <c r="E257" s="131"/>
      <c r="F257" s="125"/>
      <c r="G257" s="126"/>
      <c r="H257" s="126"/>
      <c r="I257" s="126"/>
      <c r="J257" s="126"/>
      <c r="K257" s="126"/>
      <c r="L257" s="129" t="s">
        <v>501</v>
      </c>
      <c r="M257" s="129"/>
      <c r="N257" s="129"/>
      <c r="O257" s="129"/>
      <c r="P257" s="129"/>
      <c r="Q257" s="127">
        <v>12</v>
      </c>
    </row>
    <row r="258" spans="1:17" s="47" customFormat="1" ht="16.5" customHeight="1" x14ac:dyDescent="0.45">
      <c r="A258" s="131"/>
      <c r="B258" s="131"/>
      <c r="C258" s="131"/>
      <c r="D258" s="131"/>
      <c r="E258" s="131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88"/>
    </row>
    <row r="259" spans="1:17" s="51" customFormat="1" ht="23.65" hidden="1" customHeight="1" x14ac:dyDescent="0.4">
      <c r="A259" s="48"/>
      <c r="B259" s="49"/>
      <c r="C259" s="49"/>
      <c r="D259" s="17" t="s">
        <v>284</v>
      </c>
      <c r="E259" s="50">
        <f>E248-'дод 5'!D199</f>
        <v>0</v>
      </c>
      <c r="F259" s="50"/>
      <c r="G259" s="50"/>
      <c r="H259" s="50"/>
      <c r="I259" s="50">
        <f>I248-'дод 5'!H199</f>
        <v>0</v>
      </c>
      <c r="J259" s="50">
        <f>J248-'дод 5'!I199</f>
        <v>0</v>
      </c>
      <c r="K259" s="50">
        <f>K248-'дод 5'!J199</f>
        <v>0</v>
      </c>
      <c r="L259" s="50">
        <f>L248-'дод 5'!K199</f>
        <v>0</v>
      </c>
      <c r="M259" s="50">
        <f>M248-'дод 5'!L199</f>
        <v>0</v>
      </c>
      <c r="N259" s="50">
        <f>N248-'дод 5'!M199</f>
        <v>0</v>
      </c>
      <c r="O259" s="50">
        <f>O248-'дод 5'!N199</f>
        <v>0</v>
      </c>
      <c r="P259" s="50">
        <f>P248-'дод 5'!O199</f>
        <v>0</v>
      </c>
      <c r="Q259" s="88"/>
    </row>
    <row r="260" spans="1:17" ht="15.75" hidden="1" customHeight="1" x14ac:dyDescent="0.25">
      <c r="D260" s="22" t="s">
        <v>365</v>
      </c>
      <c r="E260" s="52">
        <f>E249-'дод 5'!D200</f>
        <v>0</v>
      </c>
      <c r="F260" s="52"/>
      <c r="G260" s="52"/>
      <c r="H260" s="52"/>
      <c r="I260" s="52">
        <f>I249-'дод 5'!H200</f>
        <v>0</v>
      </c>
      <c r="J260" s="52">
        <f>J249-'дод 5'!I200</f>
        <v>0</v>
      </c>
      <c r="K260" s="52">
        <f>K249-'дод 5'!J200</f>
        <v>0</v>
      </c>
      <c r="L260" s="52">
        <f>L249-'дод 5'!K200</f>
        <v>0</v>
      </c>
      <c r="M260" s="52">
        <f>M249-'дод 5'!L200</f>
        <v>0</v>
      </c>
      <c r="N260" s="52">
        <f>N249-'дод 5'!M200</f>
        <v>0</v>
      </c>
      <c r="O260" s="52">
        <f>O249-'дод 5'!N200</f>
        <v>0</v>
      </c>
      <c r="P260" s="52">
        <f>P249-'дод 5'!O200</f>
        <v>0</v>
      </c>
      <c r="Q260" s="88"/>
    </row>
    <row r="261" spans="1:17" ht="47.25" hidden="1" customHeight="1" x14ac:dyDescent="0.25">
      <c r="D261" s="22" t="s">
        <v>366</v>
      </c>
      <c r="E261" s="52" t="e">
        <f>#REF!-'дод 5'!#REF!</f>
        <v>#REF!</v>
      </c>
      <c r="F261" s="52"/>
      <c r="G261" s="52"/>
      <c r="H261" s="52"/>
      <c r="I261" s="52" t="e">
        <f>#REF!-'дод 5'!#REF!</f>
        <v>#REF!</v>
      </c>
      <c r="J261" s="52" t="e">
        <f>#REF!-'дод 5'!#REF!</f>
        <v>#REF!</v>
      </c>
      <c r="K261" s="52" t="e">
        <f>#REF!-'дод 5'!#REF!</f>
        <v>#REF!</v>
      </c>
      <c r="L261" s="52" t="e">
        <f>#REF!-'дод 5'!#REF!</f>
        <v>#REF!</v>
      </c>
      <c r="M261" s="52" t="e">
        <f>#REF!-'дод 5'!#REF!</f>
        <v>#REF!</v>
      </c>
      <c r="N261" s="52" t="e">
        <f>#REF!-'дод 5'!#REF!</f>
        <v>#REF!</v>
      </c>
      <c r="O261" s="52" t="e">
        <f>#REF!-'дод 5'!#REF!</f>
        <v>#REF!</v>
      </c>
      <c r="P261" s="52" t="e">
        <f>#REF!-'дод 5'!#REF!</f>
        <v>#REF!</v>
      </c>
      <c r="Q261" s="88"/>
    </row>
    <row r="262" spans="1:17" ht="15.75" hidden="1" customHeight="1" x14ac:dyDescent="0.25">
      <c r="D262" s="22" t="s">
        <v>367</v>
      </c>
      <c r="E262" s="52" t="e">
        <f>#REF!-'дод 5'!#REF!</f>
        <v>#REF!</v>
      </c>
      <c r="F262" s="52"/>
      <c r="G262" s="52"/>
      <c r="H262" s="52"/>
      <c r="I262" s="52" t="e">
        <f>#REF!-'дод 5'!#REF!</f>
        <v>#REF!</v>
      </c>
      <c r="J262" s="52" t="e">
        <f>#REF!-'дод 5'!#REF!</f>
        <v>#REF!</v>
      </c>
      <c r="K262" s="52" t="e">
        <f>#REF!-'дод 5'!#REF!</f>
        <v>#REF!</v>
      </c>
      <c r="L262" s="52" t="e">
        <f>#REF!-'дод 5'!#REF!</f>
        <v>#REF!</v>
      </c>
      <c r="M262" s="52" t="e">
        <f>#REF!-'дод 5'!#REF!</f>
        <v>#REF!</v>
      </c>
      <c r="N262" s="52" t="e">
        <f>#REF!-'дод 5'!#REF!</f>
        <v>#REF!</v>
      </c>
      <c r="O262" s="52" t="e">
        <f>#REF!-'дод 5'!#REF!</f>
        <v>#REF!</v>
      </c>
      <c r="P262" s="52" t="e">
        <f>#REF!-'дод 5'!#REF!</f>
        <v>#REF!</v>
      </c>
      <c r="Q262" s="88"/>
    </row>
    <row r="263" spans="1:17" ht="15.75" hidden="1" customHeight="1" x14ac:dyDescent="0.25">
      <c r="D263" s="22" t="s">
        <v>288</v>
      </c>
      <c r="E263" s="52">
        <f>E253-'дод 5'!D204</f>
        <v>0</v>
      </c>
      <c r="F263" s="52"/>
      <c r="G263" s="52"/>
      <c r="H263" s="52"/>
      <c r="I263" s="52">
        <f>I253-'дод 5'!H204</f>
        <v>0</v>
      </c>
      <c r="J263" s="52">
        <f>J253-'дод 5'!I204</f>
        <v>0</v>
      </c>
      <c r="K263" s="52">
        <f>K253-'дод 5'!J204</f>
        <v>0</v>
      </c>
      <c r="L263" s="52">
        <f>L253-'дод 5'!K204</f>
        <v>0</v>
      </c>
      <c r="M263" s="52">
        <f>M253-'дод 5'!L204</f>
        <v>0</v>
      </c>
      <c r="N263" s="52">
        <f>N253-'дод 5'!M204</f>
        <v>0</v>
      </c>
      <c r="O263" s="52">
        <f>O253-'дод 5'!N204</f>
        <v>0</v>
      </c>
      <c r="P263" s="52">
        <f>P253-'дод 5'!O204</f>
        <v>0</v>
      </c>
      <c r="Q263" s="88"/>
    </row>
    <row r="264" spans="1:17" ht="15" hidden="1" customHeight="1" x14ac:dyDescent="0.25">
      <c r="P264" s="4"/>
      <c r="Q264" s="88"/>
    </row>
    <row r="265" spans="1:17" ht="15" hidden="1" customHeight="1" x14ac:dyDescent="0.25">
      <c r="P265" s="4"/>
      <c r="Q265" s="88"/>
    </row>
    <row r="266" spans="1:17" ht="15" hidden="1" customHeight="1" x14ac:dyDescent="0.25">
      <c r="P266" s="4"/>
      <c r="Q266" s="88"/>
    </row>
    <row r="267" spans="1:17" ht="15" hidden="1" customHeight="1" x14ac:dyDescent="0.25">
      <c r="P267" s="4"/>
      <c r="Q267" s="88"/>
    </row>
    <row r="268" spans="1:17" ht="15" hidden="1" customHeight="1" x14ac:dyDescent="0.25">
      <c r="P268" s="4"/>
      <c r="Q268" s="88"/>
    </row>
    <row r="269" spans="1:17" x14ac:dyDescent="0.25">
      <c r="P269" s="4"/>
      <c r="Q269" s="88"/>
    </row>
    <row r="270" spans="1:17" x14ac:dyDescent="0.25">
      <c r="P270" s="4"/>
      <c r="Q270" s="88"/>
    </row>
    <row r="271" spans="1:17" ht="15.75" x14ac:dyDescent="0.25">
      <c r="D271" s="17" t="s">
        <v>504</v>
      </c>
      <c r="E271" s="18">
        <f>E248-'дод 5'!D199</f>
        <v>0</v>
      </c>
      <c r="F271" s="18">
        <f>F248-'дод 5'!E199</f>
        <v>0</v>
      </c>
      <c r="G271" s="18">
        <f>G248-'дод 5'!F199</f>
        <v>0</v>
      </c>
      <c r="H271" s="18">
        <f>H248-'дод 5'!G199</f>
        <v>0</v>
      </c>
      <c r="I271" s="18">
        <f>I248-'дод 5'!H199</f>
        <v>0</v>
      </c>
      <c r="J271" s="18">
        <f>J248-'дод 5'!I199</f>
        <v>0</v>
      </c>
      <c r="K271" s="18">
        <f>K248-'дод 5'!J199</f>
        <v>0</v>
      </c>
      <c r="L271" s="18">
        <f>L248-'дод 5'!K199</f>
        <v>0</v>
      </c>
      <c r="M271" s="18">
        <f>M248-'дод 5'!L199</f>
        <v>0</v>
      </c>
      <c r="N271" s="18">
        <f>N248-'дод 5'!M199</f>
        <v>0</v>
      </c>
      <c r="O271" s="18">
        <f>O248-'дод 5'!N199</f>
        <v>0</v>
      </c>
      <c r="P271" s="18">
        <f>P248-'дод 5'!O199</f>
        <v>0</v>
      </c>
    </row>
    <row r="272" spans="1:17" ht="15.75" x14ac:dyDescent="0.25">
      <c r="D272" s="22" t="s">
        <v>395</v>
      </c>
      <c r="E272" s="23">
        <f>E249-'дод 5'!D200</f>
        <v>0</v>
      </c>
      <c r="F272" s="23">
        <f>F249-'дод 5'!E200</f>
        <v>0</v>
      </c>
      <c r="G272" s="23">
        <f>G249-'дод 5'!F200</f>
        <v>0</v>
      </c>
      <c r="H272" s="23">
        <f>H249-'дод 5'!G200</f>
        <v>0</v>
      </c>
      <c r="I272" s="23">
        <f>I249-'дод 5'!H200</f>
        <v>0</v>
      </c>
      <c r="J272" s="23">
        <f>J249-'дод 5'!I200</f>
        <v>0</v>
      </c>
      <c r="K272" s="23">
        <f>K249-'дод 5'!J200</f>
        <v>0</v>
      </c>
      <c r="L272" s="23">
        <f>L249-'дод 5'!K200</f>
        <v>0</v>
      </c>
      <c r="M272" s="23">
        <f>M249-'дод 5'!L200</f>
        <v>0</v>
      </c>
      <c r="N272" s="23">
        <f>N249-'дод 5'!M200</f>
        <v>0</v>
      </c>
      <c r="O272" s="23">
        <f>O249-'дод 5'!N200</f>
        <v>0</v>
      </c>
      <c r="P272" s="23">
        <f>P249-'дод 5'!O200</f>
        <v>0</v>
      </c>
    </row>
    <row r="273" spans="4:16" ht="94.5" x14ac:dyDescent="0.25">
      <c r="D273" s="22" t="s">
        <v>399</v>
      </c>
      <c r="E273" s="23">
        <f>E250-'дод 5'!D201</f>
        <v>0</v>
      </c>
      <c r="F273" s="23">
        <f>F250-'дод 5'!E201</f>
        <v>0</v>
      </c>
      <c r="G273" s="23">
        <f>G250-'дод 5'!F201</f>
        <v>0</v>
      </c>
      <c r="H273" s="23">
        <f>H250-'дод 5'!G201</f>
        <v>0</v>
      </c>
      <c r="I273" s="23">
        <f>I250-'дод 5'!H201</f>
        <v>0</v>
      </c>
      <c r="J273" s="23">
        <f>J250-'дод 5'!I201</f>
        <v>0</v>
      </c>
      <c r="K273" s="23">
        <f>K250-'дод 5'!J201</f>
        <v>0</v>
      </c>
      <c r="L273" s="23">
        <f>L250-'дод 5'!K201</f>
        <v>0</v>
      </c>
      <c r="M273" s="23">
        <f>M250-'дод 5'!L201</f>
        <v>0</v>
      </c>
      <c r="N273" s="23">
        <f>N250-'дод 5'!M201</f>
        <v>0</v>
      </c>
      <c r="O273" s="23">
        <f>O250-'дод 5'!N201</f>
        <v>0</v>
      </c>
      <c r="P273" s="23">
        <f>P250-'дод 5'!O201</f>
        <v>0</v>
      </c>
    </row>
    <row r="274" spans="4:16" ht="47.25" x14ac:dyDescent="0.25">
      <c r="D274" s="22" t="s">
        <v>366</v>
      </c>
      <c r="E274" s="23">
        <f>E251-'дод 5'!D202</f>
        <v>0</v>
      </c>
      <c r="F274" s="23">
        <f>F251-'дод 5'!E202</f>
        <v>0</v>
      </c>
      <c r="G274" s="23">
        <f>G251-'дод 5'!F202</f>
        <v>0</v>
      </c>
      <c r="H274" s="23">
        <f>H251-'дод 5'!G202</f>
        <v>0</v>
      </c>
      <c r="I274" s="23">
        <f>I251-'дод 5'!H202</f>
        <v>0</v>
      </c>
      <c r="J274" s="23">
        <f>J251-'дод 5'!I202</f>
        <v>0</v>
      </c>
      <c r="K274" s="23">
        <f>K251-'дод 5'!J202</f>
        <v>0</v>
      </c>
      <c r="L274" s="23">
        <f>L251-'дод 5'!K202</f>
        <v>0</v>
      </c>
      <c r="M274" s="23">
        <f>M251-'дод 5'!L202</f>
        <v>0</v>
      </c>
      <c r="N274" s="23">
        <f>N251-'дод 5'!M202</f>
        <v>0</v>
      </c>
      <c r="O274" s="23">
        <f>O251-'дод 5'!N202</f>
        <v>0</v>
      </c>
      <c r="P274" s="23">
        <f>P251-'дод 5'!O202</f>
        <v>0</v>
      </c>
    </row>
    <row r="275" spans="4:16" ht="15.75" x14ac:dyDescent="0.25">
      <c r="D275" s="22" t="s">
        <v>367</v>
      </c>
      <c r="E275" s="23">
        <f>E252-'дод 5'!D203</f>
        <v>0</v>
      </c>
      <c r="F275" s="23">
        <f>F252-'дод 5'!E203</f>
        <v>0</v>
      </c>
      <c r="G275" s="23">
        <f>G252-'дод 5'!F203</f>
        <v>0</v>
      </c>
      <c r="H275" s="23">
        <f>H252-'дод 5'!G203</f>
        <v>0</v>
      </c>
      <c r="I275" s="23">
        <f>I252-'дод 5'!H203</f>
        <v>0</v>
      </c>
      <c r="J275" s="23">
        <f>J252-'дод 5'!I203</f>
        <v>0</v>
      </c>
      <c r="K275" s="23">
        <f>K252-'дод 5'!J203</f>
        <v>0</v>
      </c>
      <c r="L275" s="23">
        <f>L252-'дод 5'!K203</f>
        <v>0</v>
      </c>
      <c r="M275" s="23">
        <f>M252-'дод 5'!L203</f>
        <v>0</v>
      </c>
      <c r="N275" s="23">
        <f>N252-'дод 5'!M203</f>
        <v>0</v>
      </c>
      <c r="O275" s="23">
        <f>O252-'дод 5'!N203</f>
        <v>0</v>
      </c>
      <c r="P275" s="23">
        <f>P252-'дод 5'!O203</f>
        <v>0</v>
      </c>
    </row>
    <row r="276" spans="4:16" ht="15.75" x14ac:dyDescent="0.25">
      <c r="D276" s="22" t="s">
        <v>288</v>
      </c>
      <c r="E276" s="23">
        <f>E253-'дод 5'!D204</f>
        <v>0</v>
      </c>
      <c r="F276" s="23">
        <f>F253-'дод 5'!E204</f>
        <v>0</v>
      </c>
      <c r="G276" s="23">
        <f>G253-'дод 5'!F204</f>
        <v>0</v>
      </c>
      <c r="H276" s="23">
        <f>H253-'дод 5'!G204</f>
        <v>0</v>
      </c>
      <c r="I276" s="23">
        <f>I253-'дод 5'!H204</f>
        <v>0</v>
      </c>
      <c r="J276" s="23">
        <f>J253-'дод 5'!I204</f>
        <v>0</v>
      </c>
      <c r="K276" s="23">
        <f>K253-'дод 5'!J204</f>
        <v>0</v>
      </c>
      <c r="L276" s="23">
        <f>L253-'дод 5'!K204</f>
        <v>0</v>
      </c>
      <c r="M276" s="23">
        <f>M253-'дод 5'!L204</f>
        <v>0</v>
      </c>
      <c r="N276" s="23">
        <f>N253-'дод 5'!M204</f>
        <v>0</v>
      </c>
      <c r="O276" s="23">
        <f>O253-'дод 5'!N204</f>
        <v>0</v>
      </c>
      <c r="P276" s="23">
        <f>P253-'дод 5'!O204</f>
        <v>0</v>
      </c>
    </row>
    <row r="277" spans="4:16" x14ac:dyDescent="0.25">
      <c r="P277" s="4"/>
    </row>
    <row r="278" spans="4:16" x14ac:dyDescent="0.25">
      <c r="P278" s="4"/>
    </row>
    <row r="279" spans="4:16" x14ac:dyDescent="0.25">
      <c r="P279" s="4"/>
    </row>
    <row r="280" spans="4:16" x14ac:dyDescent="0.25">
      <c r="P280" s="4"/>
    </row>
    <row r="281" spans="4:16" x14ac:dyDescent="0.25">
      <c r="P281" s="4"/>
    </row>
    <row r="282" spans="4:16" x14ac:dyDescent="0.25">
      <c r="P282" s="4"/>
    </row>
    <row r="283" spans="4:16" x14ac:dyDescent="0.25">
      <c r="P283" s="4"/>
    </row>
    <row r="284" spans="4:16" x14ac:dyDescent="0.25">
      <c r="P284" s="4"/>
    </row>
    <row r="285" spans="4:16" x14ac:dyDescent="0.25">
      <c r="P285" s="4"/>
    </row>
    <row r="286" spans="4:16" x14ac:dyDescent="0.25">
      <c r="P286" s="4"/>
    </row>
    <row r="287" spans="4:16" x14ac:dyDescent="0.25">
      <c r="P287" s="4"/>
    </row>
    <row r="288" spans="4:16" x14ac:dyDescent="0.25">
      <c r="P288" s="4"/>
    </row>
    <row r="289" spans="16:16" x14ac:dyDescent="0.25">
      <c r="P289" s="4"/>
    </row>
    <row r="290" spans="16:16" x14ac:dyDescent="0.25">
      <c r="P290" s="4"/>
    </row>
    <row r="291" spans="16:16" x14ac:dyDescent="0.25">
      <c r="P291" s="4"/>
    </row>
    <row r="292" spans="16:16" x14ac:dyDescent="0.25">
      <c r="P292" s="4"/>
    </row>
    <row r="293" spans="16:16" x14ac:dyDescent="0.25">
      <c r="P293" s="4"/>
    </row>
    <row r="294" spans="16:16" x14ac:dyDescent="0.25">
      <c r="P294" s="4"/>
    </row>
    <row r="295" spans="16:16" x14ac:dyDescent="0.25">
      <c r="P295" s="4"/>
    </row>
    <row r="296" spans="16:16" x14ac:dyDescent="0.25">
      <c r="P296" s="4"/>
    </row>
    <row r="297" spans="16:16" x14ac:dyDescent="0.25">
      <c r="P297" s="4"/>
    </row>
    <row r="298" spans="16:16" x14ac:dyDescent="0.25">
      <c r="P298" s="4"/>
    </row>
    <row r="299" spans="16:16" x14ac:dyDescent="0.25">
      <c r="P299" s="4"/>
    </row>
    <row r="300" spans="16:16" x14ac:dyDescent="0.25">
      <c r="P300" s="4"/>
    </row>
    <row r="301" spans="16:16" x14ac:dyDescent="0.25">
      <c r="P301" s="4"/>
    </row>
    <row r="302" spans="16:16" x14ac:dyDescent="0.25">
      <c r="P302" s="4"/>
    </row>
    <row r="303" spans="16:16" x14ac:dyDescent="0.25">
      <c r="P303" s="4"/>
    </row>
    <row r="304" spans="16:16" x14ac:dyDescent="0.25">
      <c r="P304" s="4"/>
    </row>
    <row r="305" spans="16:16" x14ac:dyDescent="0.25">
      <c r="P305" s="4"/>
    </row>
    <row r="306" spans="16:16" x14ac:dyDescent="0.25">
      <c r="P306" s="4"/>
    </row>
    <row r="307" spans="16:16" x14ac:dyDescent="0.25">
      <c r="P307" s="4"/>
    </row>
    <row r="308" spans="16:16" x14ac:dyDescent="0.25">
      <c r="P308" s="4"/>
    </row>
    <row r="309" spans="16:16" x14ac:dyDescent="0.25">
      <c r="P309" s="4"/>
    </row>
    <row r="310" spans="16:16" x14ac:dyDescent="0.25">
      <c r="P310" s="4"/>
    </row>
    <row r="311" spans="16:16" x14ac:dyDescent="0.25">
      <c r="P311" s="4"/>
    </row>
    <row r="312" spans="16:16" x14ac:dyDescent="0.25">
      <c r="P312" s="4"/>
    </row>
    <row r="313" spans="16:16" x14ac:dyDescent="0.25">
      <c r="P313" s="4"/>
    </row>
    <row r="314" spans="16:16" x14ac:dyDescent="0.25">
      <c r="P314" s="4"/>
    </row>
    <row r="315" spans="16:16" x14ac:dyDescent="0.25">
      <c r="P315" s="4"/>
    </row>
    <row r="316" spans="16:16" x14ac:dyDescent="0.25">
      <c r="P316" s="4"/>
    </row>
    <row r="317" spans="16:16" x14ac:dyDescent="0.25">
      <c r="P317" s="4"/>
    </row>
    <row r="318" spans="16:16" x14ac:dyDescent="0.25">
      <c r="P318" s="4"/>
    </row>
    <row r="319" spans="16:16" x14ac:dyDescent="0.25">
      <c r="P319" s="4"/>
    </row>
    <row r="320" spans="16:16" x14ac:dyDescent="0.25">
      <c r="P320" s="4"/>
    </row>
    <row r="321" spans="16:16" x14ac:dyDescent="0.25">
      <c r="P321" s="4"/>
    </row>
    <row r="322" spans="16:16" x14ac:dyDescent="0.25">
      <c r="P322" s="4"/>
    </row>
    <row r="323" spans="16:16" x14ac:dyDescent="0.25">
      <c r="P323" s="4"/>
    </row>
    <row r="324" spans="16:16" x14ac:dyDescent="0.25">
      <c r="P324" s="4"/>
    </row>
    <row r="325" spans="16:16" x14ac:dyDescent="0.25">
      <c r="P325" s="4"/>
    </row>
    <row r="326" spans="16:16" x14ac:dyDescent="0.25">
      <c r="P326" s="4"/>
    </row>
    <row r="327" spans="16:16" x14ac:dyDescent="0.25">
      <c r="P327" s="4"/>
    </row>
    <row r="328" spans="16:16" x14ac:dyDescent="0.25">
      <c r="P328" s="4"/>
    </row>
    <row r="329" spans="16:16" x14ac:dyDescent="0.25">
      <c r="P329" s="4"/>
    </row>
    <row r="330" spans="16:16" x14ac:dyDescent="0.25">
      <c r="P330" s="4"/>
    </row>
    <row r="331" spans="16:16" x14ac:dyDescent="0.25">
      <c r="P331" s="4"/>
    </row>
    <row r="332" spans="16:16" x14ac:dyDescent="0.25">
      <c r="P332" s="4"/>
    </row>
    <row r="333" spans="16:16" x14ac:dyDescent="0.25">
      <c r="P333" s="4"/>
    </row>
    <row r="334" spans="16:16" x14ac:dyDescent="0.25">
      <c r="P334" s="4"/>
    </row>
    <row r="335" spans="16:16" x14ac:dyDescent="0.25">
      <c r="P335" s="4"/>
    </row>
    <row r="336" spans="16:16" x14ac:dyDescent="0.25">
      <c r="P336" s="4"/>
    </row>
    <row r="337" spans="16:16" x14ac:dyDescent="0.25">
      <c r="P337" s="4"/>
    </row>
    <row r="338" spans="16:16" x14ac:dyDescent="0.25">
      <c r="P338" s="4"/>
    </row>
    <row r="339" spans="16:16" x14ac:dyDescent="0.25">
      <c r="P339" s="4"/>
    </row>
    <row r="340" spans="16:16" x14ac:dyDescent="0.25">
      <c r="P340" s="4"/>
    </row>
    <row r="341" spans="16:16" x14ac:dyDescent="0.25">
      <c r="P341" s="4"/>
    </row>
    <row r="342" spans="16:16" x14ac:dyDescent="0.25">
      <c r="P342" s="4"/>
    </row>
    <row r="343" spans="16:16" x14ac:dyDescent="0.25">
      <c r="P343" s="4"/>
    </row>
    <row r="344" spans="16:16" x14ac:dyDescent="0.25">
      <c r="P344" s="4"/>
    </row>
    <row r="345" spans="16:16" x14ac:dyDescent="0.25">
      <c r="P345" s="4"/>
    </row>
    <row r="346" spans="16:16" x14ac:dyDescent="0.25">
      <c r="P346" s="4"/>
    </row>
    <row r="347" spans="16:16" x14ac:dyDescent="0.25">
      <c r="P347" s="4"/>
    </row>
    <row r="348" spans="16:16" x14ac:dyDescent="0.25">
      <c r="P348" s="4"/>
    </row>
    <row r="349" spans="16:16" x14ac:dyDescent="0.25">
      <c r="P349" s="4"/>
    </row>
    <row r="350" spans="16:16" x14ac:dyDescent="0.25">
      <c r="P350" s="4"/>
    </row>
    <row r="351" spans="16:16" x14ac:dyDescent="0.25">
      <c r="P351" s="4"/>
    </row>
    <row r="352" spans="16:16" x14ac:dyDescent="0.25">
      <c r="P352" s="4"/>
    </row>
    <row r="353" spans="16:16" x14ac:dyDescent="0.25">
      <c r="P353" s="4"/>
    </row>
    <row r="354" spans="16:16" x14ac:dyDescent="0.25">
      <c r="P354" s="4"/>
    </row>
    <row r="355" spans="16:16" x14ac:dyDescent="0.25">
      <c r="P355" s="4"/>
    </row>
    <row r="356" spans="16:16" x14ac:dyDescent="0.25">
      <c r="P356" s="4"/>
    </row>
    <row r="357" spans="16:16" x14ac:dyDescent="0.25">
      <c r="P357" s="4"/>
    </row>
    <row r="358" spans="16:16" x14ac:dyDescent="0.25">
      <c r="P358" s="4"/>
    </row>
    <row r="359" spans="16:16" x14ac:dyDescent="0.25">
      <c r="P359" s="4"/>
    </row>
    <row r="360" spans="16:16" x14ac:dyDescent="0.25">
      <c r="P360" s="4"/>
    </row>
    <row r="361" spans="16:16" x14ac:dyDescent="0.25">
      <c r="P361" s="4"/>
    </row>
    <row r="362" spans="16:16" x14ac:dyDescent="0.25">
      <c r="P362" s="4"/>
    </row>
    <row r="363" spans="16:16" x14ac:dyDescent="0.25">
      <c r="P363" s="4"/>
    </row>
    <row r="364" spans="16:16" x14ac:dyDescent="0.25">
      <c r="P364" s="4"/>
    </row>
    <row r="365" spans="16:16" x14ac:dyDescent="0.25">
      <c r="P365" s="4"/>
    </row>
    <row r="366" spans="16:16" x14ac:dyDescent="0.25">
      <c r="P366" s="4"/>
    </row>
    <row r="367" spans="16:16" x14ac:dyDescent="0.25">
      <c r="P367" s="4"/>
    </row>
    <row r="368" spans="16:16" x14ac:dyDescent="0.25">
      <c r="P368" s="4"/>
    </row>
    <row r="369" spans="16:16" x14ac:dyDescent="0.25">
      <c r="P369" s="4"/>
    </row>
    <row r="370" spans="16:16" x14ac:dyDescent="0.25">
      <c r="P370" s="4"/>
    </row>
    <row r="371" spans="16:16" x14ac:dyDescent="0.25">
      <c r="P371" s="4"/>
    </row>
    <row r="372" spans="16:16" x14ac:dyDescent="0.25">
      <c r="P372" s="4"/>
    </row>
    <row r="373" spans="16:16" x14ac:dyDescent="0.25">
      <c r="P373" s="4"/>
    </row>
    <row r="374" spans="16:16" x14ac:dyDescent="0.25">
      <c r="P374" s="4"/>
    </row>
    <row r="375" spans="16:16" x14ac:dyDescent="0.25">
      <c r="P375" s="4"/>
    </row>
    <row r="376" spans="16:16" x14ac:dyDescent="0.25">
      <c r="P376" s="4"/>
    </row>
    <row r="377" spans="16:16" x14ac:dyDescent="0.25">
      <c r="P377" s="4"/>
    </row>
    <row r="378" spans="16:16" x14ac:dyDescent="0.25">
      <c r="P378" s="4"/>
    </row>
    <row r="379" spans="16:16" x14ac:dyDescent="0.25">
      <c r="P379" s="4"/>
    </row>
    <row r="380" spans="16:16" x14ac:dyDescent="0.25">
      <c r="P380" s="4"/>
    </row>
    <row r="381" spans="16:16" x14ac:dyDescent="0.25">
      <c r="P381" s="4"/>
    </row>
    <row r="382" spans="16:16" x14ac:dyDescent="0.25">
      <c r="P382" s="4"/>
    </row>
    <row r="383" spans="16:16" x14ac:dyDescent="0.25">
      <c r="P383" s="4"/>
    </row>
    <row r="384" spans="16:16" x14ac:dyDescent="0.25">
      <c r="P384" s="4"/>
    </row>
    <row r="385" spans="16:16" x14ac:dyDescent="0.25">
      <c r="P385" s="4"/>
    </row>
    <row r="386" spans="16:16" x14ac:dyDescent="0.25">
      <c r="P386" s="4"/>
    </row>
    <row r="387" spans="16:16" x14ac:dyDescent="0.25">
      <c r="P387" s="4"/>
    </row>
    <row r="388" spans="16:16" x14ac:dyDescent="0.25">
      <c r="P388" s="4"/>
    </row>
    <row r="389" spans="16:16" x14ac:dyDescent="0.25">
      <c r="P389" s="4"/>
    </row>
    <row r="390" spans="16:16" x14ac:dyDescent="0.25">
      <c r="P390" s="4"/>
    </row>
    <row r="391" spans="16:16" x14ac:dyDescent="0.25">
      <c r="P391" s="4"/>
    </row>
    <row r="392" spans="16:16" x14ac:dyDescent="0.25">
      <c r="P392" s="4"/>
    </row>
    <row r="393" spans="16:16" x14ac:dyDescent="0.25">
      <c r="P393" s="4"/>
    </row>
    <row r="394" spans="16:16" x14ac:dyDescent="0.25">
      <c r="P394" s="4"/>
    </row>
    <row r="395" spans="16:16" x14ac:dyDescent="0.25">
      <c r="P395" s="4"/>
    </row>
    <row r="396" spans="16:16" x14ac:dyDescent="0.25">
      <c r="P396" s="4"/>
    </row>
    <row r="397" spans="16:16" x14ac:dyDescent="0.25">
      <c r="P397" s="4"/>
    </row>
    <row r="398" spans="16:16" x14ac:dyDescent="0.25">
      <c r="P398" s="4"/>
    </row>
    <row r="399" spans="16:16" x14ac:dyDescent="0.25">
      <c r="P399" s="4"/>
    </row>
    <row r="400" spans="16:16" x14ac:dyDescent="0.25">
      <c r="P400" s="4"/>
    </row>
    <row r="401" spans="16:16" x14ac:dyDescent="0.25">
      <c r="P401" s="4"/>
    </row>
    <row r="402" spans="16:16" x14ac:dyDescent="0.25">
      <c r="P402" s="4"/>
    </row>
    <row r="403" spans="16:16" x14ac:dyDescent="0.25">
      <c r="P403" s="4"/>
    </row>
    <row r="404" spans="16:16" x14ac:dyDescent="0.25">
      <c r="P404" s="4"/>
    </row>
    <row r="405" spans="16:16" x14ac:dyDescent="0.25">
      <c r="P405" s="4"/>
    </row>
    <row r="406" spans="16:16" x14ac:dyDescent="0.25">
      <c r="P406" s="4"/>
    </row>
    <row r="407" spans="16:16" x14ac:dyDescent="0.25">
      <c r="P407" s="4"/>
    </row>
    <row r="408" spans="16:16" x14ac:dyDescent="0.25">
      <c r="P408" s="4"/>
    </row>
    <row r="409" spans="16:16" x14ac:dyDescent="0.25">
      <c r="P409" s="4"/>
    </row>
    <row r="410" spans="16:16" x14ac:dyDescent="0.25">
      <c r="P410" s="4"/>
    </row>
    <row r="411" spans="16:16" x14ac:dyDescent="0.25">
      <c r="P411" s="4"/>
    </row>
    <row r="412" spans="16:16" x14ac:dyDescent="0.25">
      <c r="P412" s="4"/>
    </row>
    <row r="413" spans="16:16" x14ac:dyDescent="0.25">
      <c r="P413" s="4"/>
    </row>
    <row r="414" spans="16:16" x14ac:dyDescent="0.25">
      <c r="P414" s="4"/>
    </row>
    <row r="415" spans="16:16" x14ac:dyDescent="0.25">
      <c r="P415" s="4"/>
    </row>
    <row r="416" spans="16:16" x14ac:dyDescent="0.25">
      <c r="P416" s="4"/>
    </row>
    <row r="417" spans="16:16" x14ac:dyDescent="0.25">
      <c r="P417" s="4"/>
    </row>
    <row r="418" spans="16:16" x14ac:dyDescent="0.25">
      <c r="P418" s="4"/>
    </row>
    <row r="419" spans="16:16" x14ac:dyDescent="0.25">
      <c r="P419" s="4"/>
    </row>
    <row r="420" spans="16:16" x14ac:dyDescent="0.25">
      <c r="P420" s="4"/>
    </row>
    <row r="421" spans="16:16" x14ac:dyDescent="0.25">
      <c r="P421" s="4"/>
    </row>
    <row r="422" spans="16:16" x14ac:dyDescent="0.25">
      <c r="P422" s="4"/>
    </row>
    <row r="423" spans="16:16" x14ac:dyDescent="0.25">
      <c r="P423" s="4"/>
    </row>
    <row r="424" spans="16:16" x14ac:dyDescent="0.25">
      <c r="P424" s="4"/>
    </row>
    <row r="425" spans="16:16" x14ac:dyDescent="0.25">
      <c r="P425" s="4"/>
    </row>
    <row r="426" spans="16:16" x14ac:dyDescent="0.25">
      <c r="P426" s="4"/>
    </row>
    <row r="427" spans="16:16" x14ac:dyDescent="0.25">
      <c r="P427" s="4"/>
    </row>
    <row r="428" spans="16:16" x14ac:dyDescent="0.25">
      <c r="P428" s="4"/>
    </row>
    <row r="429" spans="16:16" x14ac:dyDescent="0.25">
      <c r="P429" s="4"/>
    </row>
    <row r="430" spans="16:16" x14ac:dyDescent="0.25">
      <c r="P430" s="4"/>
    </row>
    <row r="431" spans="16:16" x14ac:dyDescent="0.25">
      <c r="P431" s="4"/>
    </row>
    <row r="432" spans="16:16" x14ac:dyDescent="0.25">
      <c r="P432" s="4"/>
    </row>
    <row r="433" spans="16:16" x14ac:dyDescent="0.25">
      <c r="P433" s="4"/>
    </row>
    <row r="434" spans="16:16" x14ac:dyDescent="0.25">
      <c r="P434" s="4"/>
    </row>
    <row r="435" spans="16:16" x14ac:dyDescent="0.25">
      <c r="P435" s="4"/>
    </row>
    <row r="436" spans="16:16" x14ac:dyDescent="0.25">
      <c r="P436" s="4"/>
    </row>
    <row r="437" spans="16:16" x14ac:dyDescent="0.25">
      <c r="P437" s="4"/>
    </row>
    <row r="438" spans="16:16" x14ac:dyDescent="0.25">
      <c r="P438" s="4"/>
    </row>
    <row r="439" spans="16:16" x14ac:dyDescent="0.25">
      <c r="P439" s="4"/>
    </row>
    <row r="440" spans="16:16" x14ac:dyDescent="0.25">
      <c r="P440" s="4"/>
    </row>
    <row r="441" spans="16:16" x14ac:dyDescent="0.25">
      <c r="P441" s="4"/>
    </row>
    <row r="442" spans="16:16" x14ac:dyDescent="0.25">
      <c r="P442" s="4"/>
    </row>
    <row r="443" spans="16:16" x14ac:dyDescent="0.25">
      <c r="P443" s="4"/>
    </row>
    <row r="444" spans="16:16" x14ac:dyDescent="0.25">
      <c r="P444" s="4"/>
    </row>
    <row r="445" spans="16:16" x14ac:dyDescent="0.25">
      <c r="P445" s="4"/>
    </row>
    <row r="446" spans="16:16" x14ac:dyDescent="0.25">
      <c r="P446" s="4"/>
    </row>
    <row r="447" spans="16:16" x14ac:dyDescent="0.25">
      <c r="P447" s="4"/>
    </row>
    <row r="448" spans="16:16" x14ac:dyDescent="0.25">
      <c r="P448" s="4"/>
    </row>
    <row r="449" spans="16:16" x14ac:dyDescent="0.25">
      <c r="P449" s="4"/>
    </row>
    <row r="450" spans="16:16" x14ac:dyDescent="0.25">
      <c r="P450" s="4"/>
    </row>
    <row r="451" spans="16:16" x14ac:dyDescent="0.25">
      <c r="P451" s="4"/>
    </row>
    <row r="452" spans="16:16" x14ac:dyDescent="0.25">
      <c r="P452" s="4"/>
    </row>
    <row r="453" spans="16:16" x14ac:dyDescent="0.25">
      <c r="P453" s="4"/>
    </row>
    <row r="454" spans="16:16" x14ac:dyDescent="0.25">
      <c r="P454" s="4"/>
    </row>
    <row r="455" spans="16:16" x14ac:dyDescent="0.25">
      <c r="P455" s="4"/>
    </row>
    <row r="456" spans="16:16" x14ac:dyDescent="0.25">
      <c r="P456" s="4"/>
    </row>
    <row r="457" spans="16:16" x14ac:dyDescent="0.25">
      <c r="P457" s="4"/>
    </row>
    <row r="458" spans="16:16" x14ac:dyDescent="0.25">
      <c r="P458" s="4"/>
    </row>
    <row r="459" spans="16:16" x14ac:dyDescent="0.25">
      <c r="P459" s="4"/>
    </row>
    <row r="460" spans="16:16" x14ac:dyDescent="0.25">
      <c r="P460" s="4"/>
    </row>
    <row r="461" spans="16:16" x14ac:dyDescent="0.25">
      <c r="P461" s="4"/>
    </row>
    <row r="462" spans="16:16" x14ac:dyDescent="0.25">
      <c r="P462" s="4"/>
    </row>
    <row r="463" spans="16:16" x14ac:dyDescent="0.25">
      <c r="P463" s="4"/>
    </row>
    <row r="464" spans="16:16" x14ac:dyDescent="0.25">
      <c r="P464" s="4"/>
    </row>
    <row r="465" spans="16:16" x14ac:dyDescent="0.25">
      <c r="P465" s="4"/>
    </row>
    <row r="466" spans="16:16" x14ac:dyDescent="0.25">
      <c r="P466" s="4"/>
    </row>
    <row r="467" spans="16:16" x14ac:dyDescent="0.25">
      <c r="P467" s="4"/>
    </row>
    <row r="468" spans="16:16" x14ac:dyDescent="0.25">
      <c r="P468" s="4"/>
    </row>
    <row r="469" spans="16:16" x14ac:dyDescent="0.25">
      <c r="P469" s="4"/>
    </row>
    <row r="470" spans="16:16" x14ac:dyDescent="0.25">
      <c r="P470" s="4"/>
    </row>
    <row r="471" spans="16:16" x14ac:dyDescent="0.25">
      <c r="P471" s="4"/>
    </row>
    <row r="472" spans="16:16" x14ac:dyDescent="0.25">
      <c r="P472" s="4"/>
    </row>
    <row r="473" spans="16:16" x14ac:dyDescent="0.25">
      <c r="P473" s="4"/>
    </row>
    <row r="474" spans="16:16" x14ac:dyDescent="0.25">
      <c r="P474" s="4"/>
    </row>
    <row r="475" spans="16:16" x14ac:dyDescent="0.25">
      <c r="P475" s="4"/>
    </row>
    <row r="476" spans="16:16" x14ac:dyDescent="0.25">
      <c r="P476" s="4"/>
    </row>
    <row r="477" spans="16:16" x14ac:dyDescent="0.25">
      <c r="P477" s="4"/>
    </row>
    <row r="478" spans="16:16" x14ac:dyDescent="0.25">
      <c r="P478" s="4"/>
    </row>
    <row r="479" spans="16:16" x14ac:dyDescent="0.25">
      <c r="P479" s="4"/>
    </row>
    <row r="480" spans="16:16" x14ac:dyDescent="0.25">
      <c r="P480" s="4"/>
    </row>
    <row r="481" spans="16:16" x14ac:dyDescent="0.25">
      <c r="P481" s="4"/>
    </row>
    <row r="482" spans="16:16" x14ac:dyDescent="0.25">
      <c r="P482" s="4"/>
    </row>
    <row r="483" spans="16:16" x14ac:dyDescent="0.25">
      <c r="P483" s="4"/>
    </row>
    <row r="484" spans="16:16" x14ac:dyDescent="0.25">
      <c r="P484" s="4"/>
    </row>
    <row r="485" spans="16:16" x14ac:dyDescent="0.25">
      <c r="P485" s="4"/>
    </row>
    <row r="486" spans="16:16" x14ac:dyDescent="0.25">
      <c r="P486" s="4"/>
    </row>
    <row r="487" spans="16:16" x14ac:dyDescent="0.25">
      <c r="P487" s="4"/>
    </row>
    <row r="488" spans="16:16" x14ac:dyDescent="0.25">
      <c r="P488" s="4"/>
    </row>
    <row r="489" spans="16:16" x14ac:dyDescent="0.25">
      <c r="P489" s="4"/>
    </row>
    <row r="490" spans="16:16" x14ac:dyDescent="0.25">
      <c r="P490" s="4"/>
    </row>
    <row r="491" spans="16:16" x14ac:dyDescent="0.25">
      <c r="P491" s="4"/>
    </row>
    <row r="492" spans="16:16" x14ac:dyDescent="0.25">
      <c r="P492" s="4"/>
    </row>
    <row r="493" spans="16:16" x14ac:dyDescent="0.25">
      <c r="P493" s="4"/>
    </row>
    <row r="494" spans="16:16" x14ac:dyDescent="0.25">
      <c r="P494" s="4"/>
    </row>
    <row r="495" spans="16:16" x14ac:dyDescent="0.25">
      <c r="P495" s="4"/>
    </row>
    <row r="496" spans="16:16" x14ac:dyDescent="0.25">
      <c r="P496" s="4"/>
    </row>
    <row r="497" spans="16:16" x14ac:dyDescent="0.25">
      <c r="P497" s="4"/>
    </row>
    <row r="498" spans="16:16" x14ac:dyDescent="0.25">
      <c r="P498" s="4"/>
    </row>
    <row r="499" spans="16:16" x14ac:dyDescent="0.25">
      <c r="P499" s="4"/>
    </row>
    <row r="500" spans="16:16" x14ac:dyDescent="0.25">
      <c r="P500" s="4"/>
    </row>
    <row r="501" spans="16:16" x14ac:dyDescent="0.25">
      <c r="P501" s="4"/>
    </row>
    <row r="502" spans="16:16" x14ac:dyDescent="0.25">
      <c r="P502" s="4"/>
    </row>
    <row r="503" spans="16:16" x14ac:dyDescent="0.25">
      <c r="P503" s="4"/>
    </row>
    <row r="504" spans="16:16" x14ac:dyDescent="0.25">
      <c r="P504" s="4"/>
    </row>
    <row r="505" spans="16:16" x14ac:dyDescent="0.25">
      <c r="P505" s="4"/>
    </row>
    <row r="506" spans="16:16" x14ac:dyDescent="0.25">
      <c r="P506" s="4"/>
    </row>
    <row r="507" spans="16:16" x14ac:dyDescent="0.25">
      <c r="P507" s="4"/>
    </row>
    <row r="508" spans="16:16" x14ac:dyDescent="0.25">
      <c r="P508" s="4"/>
    </row>
    <row r="509" spans="16:16" x14ac:dyDescent="0.25">
      <c r="P509" s="4"/>
    </row>
    <row r="510" spans="16:16" x14ac:dyDescent="0.25">
      <c r="P510" s="4"/>
    </row>
    <row r="511" spans="16:16" x14ac:dyDescent="0.25">
      <c r="P511" s="4"/>
    </row>
    <row r="512" spans="16:16" x14ac:dyDescent="0.25">
      <c r="P512" s="4"/>
    </row>
    <row r="513" spans="16:16" x14ac:dyDescent="0.25">
      <c r="P513" s="4"/>
    </row>
    <row r="514" spans="16:16" x14ac:dyDescent="0.25">
      <c r="P514" s="4"/>
    </row>
    <row r="515" spans="16:16" x14ac:dyDescent="0.25">
      <c r="P515" s="4"/>
    </row>
    <row r="516" spans="16:16" x14ac:dyDescent="0.25">
      <c r="P516" s="4"/>
    </row>
    <row r="517" spans="16:16" x14ac:dyDescent="0.25">
      <c r="P517" s="4"/>
    </row>
    <row r="518" spans="16:16" x14ac:dyDescent="0.25">
      <c r="P518" s="4"/>
    </row>
    <row r="519" spans="16:16" x14ac:dyDescent="0.25">
      <c r="P519" s="4"/>
    </row>
    <row r="520" spans="16:16" x14ac:dyDescent="0.25">
      <c r="P520" s="4"/>
    </row>
    <row r="521" spans="16:16" x14ac:dyDescent="0.25">
      <c r="P521" s="4"/>
    </row>
    <row r="522" spans="16:16" x14ac:dyDescent="0.25">
      <c r="P522" s="4"/>
    </row>
    <row r="523" spans="16:16" x14ac:dyDescent="0.25">
      <c r="P523" s="4"/>
    </row>
    <row r="524" spans="16:16" x14ac:dyDescent="0.25">
      <c r="P524" s="4"/>
    </row>
    <row r="525" spans="16:16" x14ac:dyDescent="0.25">
      <c r="P525" s="4"/>
    </row>
    <row r="526" spans="16:16" x14ac:dyDescent="0.25">
      <c r="P526" s="4"/>
    </row>
    <row r="527" spans="16:16" x14ac:dyDescent="0.25">
      <c r="P527" s="4"/>
    </row>
    <row r="528" spans="16:16" x14ac:dyDescent="0.25">
      <c r="P528" s="4"/>
    </row>
    <row r="529" spans="16:16" x14ac:dyDescent="0.25">
      <c r="P529" s="4"/>
    </row>
    <row r="530" spans="16:16" x14ac:dyDescent="0.25">
      <c r="P530" s="4"/>
    </row>
    <row r="531" spans="16:16" x14ac:dyDescent="0.25">
      <c r="P531" s="4"/>
    </row>
    <row r="532" spans="16:16" x14ac:dyDescent="0.25">
      <c r="P532" s="4"/>
    </row>
    <row r="533" spans="16:16" x14ac:dyDescent="0.25">
      <c r="P533" s="4"/>
    </row>
    <row r="534" spans="16:16" x14ac:dyDescent="0.25">
      <c r="P534" s="4"/>
    </row>
    <row r="535" spans="16:16" x14ac:dyDescent="0.25">
      <c r="P535" s="4"/>
    </row>
    <row r="536" spans="16:16" x14ac:dyDescent="0.25">
      <c r="P536" s="4"/>
    </row>
    <row r="537" spans="16:16" x14ac:dyDescent="0.25">
      <c r="P537" s="4"/>
    </row>
    <row r="538" spans="16:16" x14ac:dyDescent="0.25">
      <c r="P538" s="4"/>
    </row>
    <row r="539" spans="16:16" x14ac:dyDescent="0.25">
      <c r="P539" s="4"/>
    </row>
    <row r="540" spans="16:16" x14ac:dyDescent="0.25">
      <c r="P540" s="4"/>
    </row>
    <row r="541" spans="16:16" x14ac:dyDescent="0.25">
      <c r="P541" s="4"/>
    </row>
    <row r="542" spans="16:16" x14ac:dyDescent="0.25">
      <c r="P542" s="4"/>
    </row>
    <row r="543" spans="16:16" x14ac:dyDescent="0.25">
      <c r="P543" s="4"/>
    </row>
    <row r="544" spans="16:16" x14ac:dyDescent="0.25">
      <c r="P544" s="4"/>
    </row>
    <row r="545" spans="16:16" x14ac:dyDescent="0.25">
      <c r="P545" s="4"/>
    </row>
    <row r="546" spans="16:16" x14ac:dyDescent="0.25">
      <c r="P546" s="4"/>
    </row>
    <row r="547" spans="16:16" x14ac:dyDescent="0.25">
      <c r="P547" s="4"/>
    </row>
    <row r="548" spans="16:16" x14ac:dyDescent="0.25">
      <c r="P548" s="4"/>
    </row>
    <row r="549" spans="16:16" x14ac:dyDescent="0.25">
      <c r="P549" s="4"/>
    </row>
    <row r="550" spans="16:16" x14ac:dyDescent="0.25">
      <c r="P550" s="4"/>
    </row>
    <row r="551" spans="16:16" x14ac:dyDescent="0.25">
      <c r="P551" s="4"/>
    </row>
    <row r="552" spans="16:16" x14ac:dyDescent="0.25">
      <c r="P552" s="4"/>
    </row>
    <row r="553" spans="16:16" x14ac:dyDescent="0.25">
      <c r="P553" s="4"/>
    </row>
    <row r="554" spans="16:16" x14ac:dyDescent="0.25">
      <c r="P554" s="4"/>
    </row>
    <row r="555" spans="16:16" x14ac:dyDescent="0.25">
      <c r="P555" s="4"/>
    </row>
    <row r="556" spans="16:16" x14ac:dyDescent="0.25">
      <c r="P556" s="4"/>
    </row>
    <row r="557" spans="16:16" x14ac:dyDescent="0.25">
      <c r="P557" s="4"/>
    </row>
    <row r="558" spans="16:16" x14ac:dyDescent="0.25">
      <c r="P558" s="4"/>
    </row>
    <row r="559" spans="16:16" x14ac:dyDescent="0.25">
      <c r="P559" s="4"/>
    </row>
    <row r="560" spans="16:16" x14ac:dyDescent="0.25">
      <c r="P560" s="4"/>
    </row>
    <row r="561" spans="16:16" x14ac:dyDescent="0.25">
      <c r="P561" s="4"/>
    </row>
    <row r="562" spans="16:16" x14ac:dyDescent="0.25">
      <c r="P562" s="4"/>
    </row>
    <row r="563" spans="16:16" x14ac:dyDescent="0.25">
      <c r="P563" s="4"/>
    </row>
    <row r="564" spans="16:16" x14ac:dyDescent="0.25">
      <c r="P564" s="4"/>
    </row>
    <row r="565" spans="16:16" x14ac:dyDescent="0.25">
      <c r="P565" s="4"/>
    </row>
    <row r="566" spans="16:16" x14ac:dyDescent="0.25">
      <c r="P566" s="4"/>
    </row>
    <row r="567" spans="16:16" x14ac:dyDescent="0.25">
      <c r="P567" s="4"/>
    </row>
    <row r="568" spans="16:16" x14ac:dyDescent="0.25">
      <c r="P568" s="4"/>
    </row>
    <row r="569" spans="16:16" x14ac:dyDescent="0.25">
      <c r="P569" s="4"/>
    </row>
    <row r="570" spans="16:16" x14ac:dyDescent="0.25">
      <c r="P570" s="4"/>
    </row>
    <row r="571" spans="16:16" x14ac:dyDescent="0.25">
      <c r="P571" s="4"/>
    </row>
    <row r="572" spans="16:16" x14ac:dyDescent="0.25">
      <c r="P572" s="4"/>
    </row>
    <row r="573" spans="16:16" x14ac:dyDescent="0.25">
      <c r="P573" s="4"/>
    </row>
    <row r="574" spans="16:16" x14ac:dyDescent="0.25">
      <c r="P574" s="4"/>
    </row>
    <row r="575" spans="16:16" x14ac:dyDescent="0.25">
      <c r="P575" s="4"/>
    </row>
    <row r="576" spans="16:16" x14ac:dyDescent="0.25">
      <c r="P576" s="4"/>
    </row>
    <row r="577" spans="16:16" x14ac:dyDescent="0.25">
      <c r="P577" s="4"/>
    </row>
    <row r="578" spans="16:16" x14ac:dyDescent="0.25">
      <c r="P578" s="4"/>
    </row>
    <row r="579" spans="16:16" x14ac:dyDescent="0.25">
      <c r="P579" s="4"/>
    </row>
    <row r="580" spans="16:16" x14ac:dyDescent="0.25">
      <c r="P580" s="4"/>
    </row>
    <row r="581" spans="16:16" x14ac:dyDescent="0.25">
      <c r="P581" s="4"/>
    </row>
    <row r="582" spans="16:16" x14ac:dyDescent="0.25">
      <c r="P582" s="4"/>
    </row>
    <row r="583" spans="16:16" x14ac:dyDescent="0.25">
      <c r="P583" s="4"/>
    </row>
    <row r="584" spans="16:16" x14ac:dyDescent="0.25">
      <c r="P584" s="4"/>
    </row>
    <row r="585" spans="16:16" x14ac:dyDescent="0.25">
      <c r="P585" s="4"/>
    </row>
    <row r="586" spans="16:16" x14ac:dyDescent="0.25">
      <c r="P586" s="4"/>
    </row>
    <row r="587" spans="16:16" x14ac:dyDescent="0.25">
      <c r="P587" s="4"/>
    </row>
    <row r="588" spans="16:16" x14ac:dyDescent="0.25">
      <c r="P588" s="4"/>
    </row>
    <row r="589" spans="16:16" x14ac:dyDescent="0.25">
      <c r="P589" s="4"/>
    </row>
    <row r="590" spans="16:16" x14ac:dyDescent="0.25">
      <c r="P590" s="4"/>
    </row>
    <row r="591" spans="16:16" x14ac:dyDescent="0.25">
      <c r="P591" s="4"/>
    </row>
    <row r="592" spans="16:16" x14ac:dyDescent="0.25">
      <c r="P592" s="4"/>
    </row>
    <row r="593" spans="16:16" x14ac:dyDescent="0.25">
      <c r="P593" s="4"/>
    </row>
    <row r="594" spans="16:16" x14ac:dyDescent="0.25">
      <c r="P594" s="4"/>
    </row>
    <row r="595" spans="16:16" x14ac:dyDescent="0.25">
      <c r="P595" s="4"/>
    </row>
    <row r="596" spans="16:16" x14ac:dyDescent="0.25">
      <c r="P596" s="4"/>
    </row>
    <row r="597" spans="16:16" x14ac:dyDescent="0.25">
      <c r="P597" s="4"/>
    </row>
    <row r="598" spans="16:16" x14ac:dyDescent="0.25">
      <c r="P598" s="4"/>
    </row>
    <row r="599" spans="16:16" x14ac:dyDescent="0.25">
      <c r="P599" s="4"/>
    </row>
    <row r="600" spans="16:16" x14ac:dyDescent="0.25">
      <c r="P600" s="4"/>
    </row>
    <row r="601" spans="16:16" x14ac:dyDescent="0.25">
      <c r="P601" s="4"/>
    </row>
    <row r="602" spans="16:16" x14ac:dyDescent="0.25">
      <c r="P602" s="4"/>
    </row>
    <row r="603" spans="16:16" x14ac:dyDescent="0.25">
      <c r="P603" s="4"/>
    </row>
    <row r="604" spans="16:16" x14ac:dyDescent="0.25">
      <c r="P604" s="4"/>
    </row>
    <row r="605" spans="16:16" x14ac:dyDescent="0.25">
      <c r="P605" s="4"/>
    </row>
    <row r="606" spans="16:16" x14ac:dyDescent="0.25">
      <c r="P606" s="4"/>
    </row>
    <row r="607" spans="16:16" x14ac:dyDescent="0.25">
      <c r="P607" s="4"/>
    </row>
    <row r="608" spans="16:16" x14ac:dyDescent="0.25">
      <c r="P608" s="4"/>
    </row>
    <row r="609" spans="16:16" x14ac:dyDescent="0.25">
      <c r="P609" s="4"/>
    </row>
    <row r="610" spans="16:16" x14ac:dyDescent="0.25">
      <c r="P610" s="4"/>
    </row>
    <row r="611" spans="16:16" x14ac:dyDescent="0.25">
      <c r="P611" s="4"/>
    </row>
    <row r="612" spans="16:16" x14ac:dyDescent="0.25">
      <c r="P612" s="4"/>
    </row>
    <row r="613" spans="16:16" x14ac:dyDescent="0.25">
      <c r="P613" s="4"/>
    </row>
    <row r="614" spans="16:16" x14ac:dyDescent="0.25">
      <c r="P614" s="4"/>
    </row>
    <row r="615" spans="16:16" x14ac:dyDescent="0.25">
      <c r="P615" s="4"/>
    </row>
    <row r="616" spans="16:16" x14ac:dyDescent="0.25">
      <c r="P616" s="4"/>
    </row>
    <row r="617" spans="16:16" x14ac:dyDescent="0.25">
      <c r="P617" s="4"/>
    </row>
    <row r="618" spans="16:16" x14ac:dyDescent="0.25">
      <c r="P618" s="4"/>
    </row>
    <row r="619" spans="16:16" x14ac:dyDescent="0.25">
      <c r="P619" s="4"/>
    </row>
    <row r="620" spans="16:16" x14ac:dyDescent="0.25">
      <c r="P620" s="4"/>
    </row>
    <row r="621" spans="16:16" x14ac:dyDescent="0.25">
      <c r="P621" s="4"/>
    </row>
    <row r="622" spans="16:16" x14ac:dyDescent="0.25">
      <c r="P622" s="4"/>
    </row>
    <row r="623" spans="16:16" x14ac:dyDescent="0.25">
      <c r="P623" s="4"/>
    </row>
    <row r="624" spans="16:16" x14ac:dyDescent="0.25">
      <c r="P624" s="4"/>
    </row>
    <row r="625" spans="16:16" x14ac:dyDescent="0.25">
      <c r="P625" s="4"/>
    </row>
    <row r="626" spans="16:16" x14ac:dyDescent="0.25">
      <c r="P626" s="4"/>
    </row>
    <row r="627" spans="16:16" x14ac:dyDescent="0.25">
      <c r="P627" s="4"/>
    </row>
    <row r="628" spans="16:16" x14ac:dyDescent="0.25">
      <c r="P628" s="4"/>
    </row>
    <row r="629" spans="16:16" x14ac:dyDescent="0.25">
      <c r="P629" s="4"/>
    </row>
    <row r="630" spans="16:16" x14ac:dyDescent="0.25">
      <c r="P630" s="4"/>
    </row>
    <row r="631" spans="16:16" x14ac:dyDescent="0.25">
      <c r="P631" s="4"/>
    </row>
    <row r="632" spans="16:16" x14ac:dyDescent="0.25">
      <c r="P632" s="4"/>
    </row>
    <row r="633" spans="16:16" x14ac:dyDescent="0.25">
      <c r="P633" s="4"/>
    </row>
    <row r="634" spans="16:16" x14ac:dyDescent="0.25">
      <c r="P634" s="4"/>
    </row>
    <row r="635" spans="16:16" x14ac:dyDescent="0.25">
      <c r="P635" s="4"/>
    </row>
    <row r="636" spans="16:16" x14ac:dyDescent="0.25">
      <c r="P636" s="4"/>
    </row>
    <row r="637" spans="16:16" x14ac:dyDescent="0.25">
      <c r="P637" s="4"/>
    </row>
    <row r="638" spans="16:16" x14ac:dyDescent="0.25">
      <c r="P638" s="4"/>
    </row>
    <row r="639" spans="16:16" x14ac:dyDescent="0.25">
      <c r="P639" s="4"/>
    </row>
    <row r="640" spans="16:16" x14ac:dyDescent="0.25">
      <c r="P640" s="4"/>
    </row>
    <row r="641" spans="16:16" x14ac:dyDescent="0.25">
      <c r="P641" s="4"/>
    </row>
    <row r="642" spans="16:16" x14ac:dyDescent="0.25">
      <c r="P642" s="4"/>
    </row>
    <row r="643" spans="16:16" x14ac:dyDescent="0.25">
      <c r="P643" s="4"/>
    </row>
    <row r="644" spans="16:16" x14ac:dyDescent="0.25">
      <c r="P644" s="4"/>
    </row>
    <row r="645" spans="16:16" x14ac:dyDescent="0.25">
      <c r="P645" s="4"/>
    </row>
    <row r="646" spans="16:16" x14ac:dyDescent="0.25">
      <c r="P646" s="4"/>
    </row>
    <row r="647" spans="16:16" x14ac:dyDescent="0.25">
      <c r="P647" s="4"/>
    </row>
    <row r="648" spans="16:16" x14ac:dyDescent="0.25">
      <c r="P648" s="4"/>
    </row>
    <row r="649" spans="16:16" x14ac:dyDescent="0.25">
      <c r="P649" s="4"/>
    </row>
    <row r="650" spans="16:16" x14ac:dyDescent="0.25">
      <c r="P650" s="4"/>
    </row>
    <row r="651" spans="16:16" x14ac:dyDescent="0.25">
      <c r="P651" s="4"/>
    </row>
    <row r="652" spans="16:16" x14ac:dyDescent="0.25">
      <c r="P652" s="4"/>
    </row>
    <row r="653" spans="16:16" x14ac:dyDescent="0.25">
      <c r="P653" s="4"/>
    </row>
    <row r="654" spans="16:16" x14ac:dyDescent="0.25">
      <c r="P654" s="4"/>
    </row>
    <row r="655" spans="16:16" x14ac:dyDescent="0.25">
      <c r="P655" s="4"/>
    </row>
    <row r="656" spans="16:16" x14ac:dyDescent="0.25">
      <c r="P656" s="4"/>
    </row>
    <row r="657" spans="16:16" x14ac:dyDescent="0.25">
      <c r="P657" s="4"/>
    </row>
    <row r="658" spans="16:16" x14ac:dyDescent="0.25">
      <c r="P658" s="4"/>
    </row>
    <row r="659" spans="16:16" x14ac:dyDescent="0.25">
      <c r="P659" s="4"/>
    </row>
    <row r="660" spans="16:16" x14ac:dyDescent="0.25">
      <c r="P660" s="4"/>
    </row>
    <row r="661" spans="16:16" x14ac:dyDescent="0.25">
      <c r="P661" s="4"/>
    </row>
    <row r="662" spans="16:16" x14ac:dyDescent="0.25">
      <c r="P662" s="4"/>
    </row>
    <row r="663" spans="16:16" x14ac:dyDescent="0.25">
      <c r="P663" s="4"/>
    </row>
    <row r="664" spans="16:16" x14ac:dyDescent="0.25">
      <c r="P664" s="4"/>
    </row>
    <row r="665" spans="16:16" x14ac:dyDescent="0.25">
      <c r="P665" s="4"/>
    </row>
    <row r="666" spans="16:16" x14ac:dyDescent="0.25">
      <c r="P666" s="4"/>
    </row>
    <row r="667" spans="16:16" x14ac:dyDescent="0.25">
      <c r="P667" s="4"/>
    </row>
    <row r="668" spans="16:16" x14ac:dyDescent="0.25">
      <c r="P668" s="4"/>
    </row>
    <row r="669" spans="16:16" x14ac:dyDescent="0.25">
      <c r="P669" s="4"/>
    </row>
    <row r="670" spans="16:16" x14ac:dyDescent="0.25">
      <c r="P670" s="4"/>
    </row>
    <row r="671" spans="16:16" x14ac:dyDescent="0.25">
      <c r="P671" s="4"/>
    </row>
    <row r="672" spans="16:16" x14ac:dyDescent="0.25">
      <c r="P672" s="4"/>
    </row>
    <row r="673" spans="16:16" x14ac:dyDescent="0.25">
      <c r="P673" s="4"/>
    </row>
    <row r="674" spans="16:16" x14ac:dyDescent="0.25">
      <c r="P674" s="4"/>
    </row>
    <row r="675" spans="16:16" x14ac:dyDescent="0.25">
      <c r="P675" s="4"/>
    </row>
    <row r="676" spans="16:16" x14ac:dyDescent="0.25">
      <c r="P676" s="4"/>
    </row>
    <row r="677" spans="16:16" x14ac:dyDescent="0.25">
      <c r="P677" s="4"/>
    </row>
    <row r="678" spans="16:16" x14ac:dyDescent="0.25">
      <c r="P678" s="4"/>
    </row>
    <row r="679" spans="16:16" x14ac:dyDescent="0.25">
      <c r="P679" s="4"/>
    </row>
    <row r="680" spans="16:16" x14ac:dyDescent="0.25">
      <c r="P680" s="4"/>
    </row>
    <row r="681" spans="16:16" x14ac:dyDescent="0.25">
      <c r="P681" s="4"/>
    </row>
    <row r="682" spans="16:16" x14ac:dyDescent="0.25">
      <c r="P682" s="4"/>
    </row>
    <row r="683" spans="16:16" x14ac:dyDescent="0.25">
      <c r="P683" s="4"/>
    </row>
    <row r="684" spans="16:16" x14ac:dyDescent="0.25">
      <c r="P684" s="4"/>
    </row>
    <row r="685" spans="16:16" x14ac:dyDescent="0.25">
      <c r="P685" s="4"/>
    </row>
    <row r="686" spans="16:16" x14ac:dyDescent="0.25">
      <c r="P686" s="4"/>
    </row>
    <row r="687" spans="16:16" x14ac:dyDescent="0.25">
      <c r="P687" s="4"/>
    </row>
    <row r="688" spans="16:16" x14ac:dyDescent="0.25">
      <c r="P688" s="4"/>
    </row>
    <row r="689" spans="16:16" x14ac:dyDescent="0.25">
      <c r="P689" s="4"/>
    </row>
    <row r="690" spans="16:16" x14ac:dyDescent="0.25">
      <c r="P690" s="4"/>
    </row>
    <row r="691" spans="16:16" x14ac:dyDescent="0.25">
      <c r="P691" s="4"/>
    </row>
    <row r="692" spans="16:16" x14ac:dyDescent="0.25">
      <c r="P692" s="4"/>
    </row>
    <row r="693" spans="16:16" x14ac:dyDescent="0.25">
      <c r="P693" s="4"/>
    </row>
    <row r="694" spans="16:16" x14ac:dyDescent="0.25">
      <c r="P694" s="4"/>
    </row>
    <row r="695" spans="16:16" x14ac:dyDescent="0.25">
      <c r="P695" s="4"/>
    </row>
    <row r="696" spans="16:16" x14ac:dyDescent="0.25">
      <c r="P696" s="4"/>
    </row>
    <row r="697" spans="16:16" x14ac:dyDescent="0.25">
      <c r="P697" s="4"/>
    </row>
    <row r="698" spans="16:16" x14ac:dyDescent="0.25">
      <c r="P698" s="4"/>
    </row>
    <row r="699" spans="16:16" x14ac:dyDescent="0.25">
      <c r="P699" s="4"/>
    </row>
    <row r="700" spans="16:16" x14ac:dyDescent="0.25">
      <c r="P700" s="4"/>
    </row>
    <row r="701" spans="16:16" x14ac:dyDescent="0.25">
      <c r="P701" s="4"/>
    </row>
    <row r="702" spans="16:16" x14ac:dyDescent="0.25">
      <c r="P702" s="4"/>
    </row>
    <row r="703" spans="16:16" x14ac:dyDescent="0.25">
      <c r="P703" s="4"/>
    </row>
    <row r="704" spans="16:16" x14ac:dyDescent="0.25">
      <c r="P704" s="4"/>
    </row>
    <row r="705" spans="16:16" x14ac:dyDescent="0.25">
      <c r="P705" s="4"/>
    </row>
    <row r="706" spans="16:16" x14ac:dyDescent="0.25">
      <c r="P706" s="4"/>
    </row>
    <row r="707" spans="16:16" x14ac:dyDescent="0.25">
      <c r="P707" s="4"/>
    </row>
    <row r="708" spans="16:16" x14ac:dyDescent="0.25">
      <c r="P708" s="4"/>
    </row>
    <row r="709" spans="16:16" x14ac:dyDescent="0.25">
      <c r="P709" s="4"/>
    </row>
    <row r="710" spans="16:16" x14ac:dyDescent="0.25">
      <c r="P710" s="4"/>
    </row>
    <row r="711" spans="16:16" x14ac:dyDescent="0.25">
      <c r="P711" s="4"/>
    </row>
    <row r="712" spans="16:16" x14ac:dyDescent="0.25">
      <c r="P712" s="4"/>
    </row>
    <row r="713" spans="16:16" x14ac:dyDescent="0.25">
      <c r="P713" s="4"/>
    </row>
    <row r="714" spans="16:16" x14ac:dyDescent="0.25">
      <c r="P714" s="4"/>
    </row>
    <row r="715" spans="16:16" x14ac:dyDescent="0.25">
      <c r="P715" s="4"/>
    </row>
    <row r="716" spans="16:16" x14ac:dyDescent="0.25">
      <c r="P716" s="4"/>
    </row>
    <row r="717" spans="16:16" x14ac:dyDescent="0.25">
      <c r="P717" s="4"/>
    </row>
    <row r="718" spans="16:16" x14ac:dyDescent="0.25">
      <c r="P718" s="4"/>
    </row>
    <row r="719" spans="16:16" x14ac:dyDescent="0.25">
      <c r="P719" s="4"/>
    </row>
    <row r="720" spans="16:16" x14ac:dyDescent="0.25">
      <c r="P720" s="4"/>
    </row>
    <row r="721" spans="16:16" x14ac:dyDescent="0.25">
      <c r="P721" s="4"/>
    </row>
    <row r="722" spans="16:16" x14ac:dyDescent="0.25">
      <c r="P722" s="4"/>
    </row>
    <row r="723" spans="16:16" x14ac:dyDescent="0.25">
      <c r="P723" s="4"/>
    </row>
    <row r="724" spans="16:16" x14ac:dyDescent="0.25">
      <c r="P724" s="4"/>
    </row>
    <row r="725" spans="16:16" x14ac:dyDescent="0.25">
      <c r="P725" s="4"/>
    </row>
    <row r="726" spans="16:16" x14ac:dyDescent="0.25">
      <c r="P726" s="4"/>
    </row>
    <row r="727" spans="16:16" x14ac:dyDescent="0.25">
      <c r="P727" s="4"/>
    </row>
    <row r="728" spans="16:16" x14ac:dyDescent="0.25">
      <c r="P728" s="4"/>
    </row>
    <row r="729" spans="16:16" x14ac:dyDescent="0.25">
      <c r="P729" s="4"/>
    </row>
    <row r="730" spans="16:16" x14ac:dyDescent="0.25">
      <c r="P730" s="4"/>
    </row>
    <row r="731" spans="16:16" x14ac:dyDescent="0.25">
      <c r="P731" s="4"/>
    </row>
    <row r="732" spans="16:16" x14ac:dyDescent="0.25">
      <c r="P732" s="4"/>
    </row>
    <row r="733" spans="16:16" x14ac:dyDescent="0.25">
      <c r="P733" s="4"/>
    </row>
    <row r="734" spans="16:16" x14ac:dyDescent="0.25">
      <c r="P734" s="4"/>
    </row>
    <row r="735" spans="16:16" x14ac:dyDescent="0.25">
      <c r="P735" s="4"/>
    </row>
    <row r="736" spans="16:16" x14ac:dyDescent="0.25">
      <c r="P736" s="4"/>
    </row>
    <row r="737" spans="16:16" x14ac:dyDescent="0.25">
      <c r="P737" s="4"/>
    </row>
    <row r="738" spans="16:16" x14ac:dyDescent="0.25">
      <c r="P738" s="4"/>
    </row>
    <row r="739" spans="16:16" x14ac:dyDescent="0.25">
      <c r="P739" s="4"/>
    </row>
    <row r="740" spans="16:16" x14ac:dyDescent="0.25">
      <c r="P740" s="4"/>
    </row>
    <row r="741" spans="16:16" x14ac:dyDescent="0.25">
      <c r="P741" s="4"/>
    </row>
    <row r="742" spans="16:16" x14ac:dyDescent="0.25">
      <c r="P742" s="4"/>
    </row>
    <row r="743" spans="16:16" x14ac:dyDescent="0.25">
      <c r="P743" s="4"/>
    </row>
    <row r="744" spans="16:16" x14ac:dyDescent="0.25">
      <c r="P744" s="4"/>
    </row>
    <row r="745" spans="16:16" x14ac:dyDescent="0.25">
      <c r="P745" s="4"/>
    </row>
    <row r="746" spans="16:16" x14ac:dyDescent="0.25">
      <c r="P746" s="4"/>
    </row>
    <row r="747" spans="16:16" x14ac:dyDescent="0.25">
      <c r="P747" s="4"/>
    </row>
    <row r="748" spans="16:16" x14ac:dyDescent="0.25">
      <c r="P748" s="4"/>
    </row>
    <row r="749" spans="16:16" x14ac:dyDescent="0.25">
      <c r="P749" s="4"/>
    </row>
    <row r="750" spans="16:16" x14ac:dyDescent="0.25">
      <c r="P750" s="4"/>
    </row>
    <row r="751" spans="16:16" x14ac:dyDescent="0.25">
      <c r="P751" s="4"/>
    </row>
    <row r="752" spans="16:16" x14ac:dyDescent="0.25">
      <c r="P752" s="4"/>
    </row>
    <row r="753" spans="16:16" x14ac:dyDescent="0.25">
      <c r="P753" s="4"/>
    </row>
    <row r="754" spans="16:16" x14ac:dyDescent="0.25">
      <c r="P754" s="4"/>
    </row>
    <row r="755" spans="16:16" x14ac:dyDescent="0.25">
      <c r="P755" s="4"/>
    </row>
    <row r="756" spans="16:16" x14ac:dyDescent="0.25">
      <c r="P756" s="4"/>
    </row>
    <row r="757" spans="16:16" x14ac:dyDescent="0.25">
      <c r="P757" s="4"/>
    </row>
    <row r="758" spans="16:16" x14ac:dyDescent="0.25">
      <c r="P758" s="4"/>
    </row>
    <row r="759" spans="16:16" x14ac:dyDescent="0.25">
      <c r="P759" s="4"/>
    </row>
    <row r="760" spans="16:16" x14ac:dyDescent="0.25">
      <c r="P760" s="4"/>
    </row>
    <row r="761" spans="16:16" x14ac:dyDescent="0.25">
      <c r="P761" s="4"/>
    </row>
    <row r="762" spans="16:16" x14ac:dyDescent="0.25">
      <c r="P762" s="4"/>
    </row>
    <row r="763" spans="16:16" x14ac:dyDescent="0.25">
      <c r="P763" s="4"/>
    </row>
    <row r="764" spans="16:16" x14ac:dyDescent="0.25">
      <c r="P764" s="4"/>
    </row>
    <row r="765" spans="16:16" x14ac:dyDescent="0.25">
      <c r="P765" s="4"/>
    </row>
    <row r="766" spans="16:16" x14ac:dyDescent="0.25">
      <c r="P766" s="4"/>
    </row>
    <row r="767" spans="16:16" x14ac:dyDescent="0.25">
      <c r="P767" s="4"/>
    </row>
    <row r="768" spans="16:16" x14ac:dyDescent="0.25">
      <c r="P768" s="4"/>
    </row>
    <row r="769" spans="16:16" x14ac:dyDescent="0.25">
      <c r="P769" s="4"/>
    </row>
    <row r="770" spans="16:16" x14ac:dyDescent="0.25">
      <c r="P770" s="4"/>
    </row>
    <row r="771" spans="16:16" x14ac:dyDescent="0.25">
      <c r="P771" s="4"/>
    </row>
    <row r="772" spans="16:16" x14ac:dyDescent="0.25">
      <c r="P772" s="4"/>
    </row>
    <row r="773" spans="16:16" x14ac:dyDescent="0.25">
      <c r="P773" s="4"/>
    </row>
    <row r="774" spans="16:16" x14ac:dyDescent="0.25">
      <c r="P774" s="4"/>
    </row>
    <row r="775" spans="16:16" x14ac:dyDescent="0.25">
      <c r="P775" s="4"/>
    </row>
    <row r="776" spans="16:16" x14ac:dyDescent="0.25">
      <c r="P776" s="4"/>
    </row>
    <row r="777" spans="16:16" x14ac:dyDescent="0.25">
      <c r="P777" s="4"/>
    </row>
    <row r="778" spans="16:16" x14ac:dyDescent="0.25">
      <c r="P778" s="4"/>
    </row>
    <row r="779" spans="16:16" x14ac:dyDescent="0.25">
      <c r="P779" s="4"/>
    </row>
    <row r="780" spans="16:16" x14ac:dyDescent="0.25">
      <c r="P780" s="4"/>
    </row>
    <row r="781" spans="16:16" x14ac:dyDescent="0.25">
      <c r="P781" s="4"/>
    </row>
    <row r="782" spans="16:16" x14ac:dyDescent="0.25">
      <c r="P782" s="4"/>
    </row>
    <row r="783" spans="16:16" x14ac:dyDescent="0.25">
      <c r="P783" s="4"/>
    </row>
    <row r="784" spans="16:16" x14ac:dyDescent="0.25">
      <c r="P784" s="4"/>
    </row>
    <row r="785" spans="16:16" x14ac:dyDescent="0.25">
      <c r="P785" s="4"/>
    </row>
    <row r="786" spans="16:16" x14ac:dyDescent="0.25">
      <c r="P786" s="4"/>
    </row>
    <row r="787" spans="16:16" x14ac:dyDescent="0.25">
      <c r="P787" s="4"/>
    </row>
    <row r="788" spans="16:16" x14ac:dyDescent="0.25">
      <c r="P788" s="4"/>
    </row>
    <row r="789" spans="16:16" x14ac:dyDescent="0.25">
      <c r="P789" s="4"/>
    </row>
    <row r="790" spans="16:16" x14ac:dyDescent="0.25">
      <c r="P790" s="4"/>
    </row>
    <row r="791" spans="16:16" x14ac:dyDescent="0.25">
      <c r="P791" s="4"/>
    </row>
    <row r="792" spans="16:16" x14ac:dyDescent="0.25">
      <c r="P792" s="4"/>
    </row>
    <row r="793" spans="16:16" x14ac:dyDescent="0.25">
      <c r="P793" s="4"/>
    </row>
    <row r="794" spans="16:16" x14ac:dyDescent="0.25">
      <c r="P794" s="4"/>
    </row>
    <row r="795" spans="16:16" x14ac:dyDescent="0.25">
      <c r="P795" s="4"/>
    </row>
    <row r="796" spans="16:16" x14ac:dyDescent="0.25">
      <c r="P796" s="4"/>
    </row>
    <row r="797" spans="16:16" x14ac:dyDescent="0.25">
      <c r="P797" s="4"/>
    </row>
    <row r="798" spans="16:16" x14ac:dyDescent="0.25">
      <c r="P798" s="4"/>
    </row>
    <row r="799" spans="16:16" x14ac:dyDescent="0.25">
      <c r="P799" s="4"/>
    </row>
    <row r="800" spans="16:16" x14ac:dyDescent="0.25">
      <c r="P800" s="4"/>
    </row>
    <row r="801" spans="16:16" x14ac:dyDescent="0.25">
      <c r="P801" s="4"/>
    </row>
    <row r="802" spans="16:16" x14ac:dyDescent="0.25">
      <c r="P802" s="4"/>
    </row>
    <row r="803" spans="16:16" x14ac:dyDescent="0.25">
      <c r="P803" s="4"/>
    </row>
    <row r="804" spans="16:16" x14ac:dyDescent="0.25">
      <c r="P804" s="4"/>
    </row>
    <row r="805" spans="16:16" x14ac:dyDescent="0.25">
      <c r="P805" s="4"/>
    </row>
    <row r="806" spans="16:16" x14ac:dyDescent="0.25">
      <c r="P806" s="4"/>
    </row>
    <row r="807" spans="16:16" x14ac:dyDescent="0.25">
      <c r="P807" s="4"/>
    </row>
    <row r="808" spans="16:16" x14ac:dyDescent="0.25">
      <c r="P808" s="4"/>
    </row>
    <row r="809" spans="16:16" x14ac:dyDescent="0.25">
      <c r="P809" s="4"/>
    </row>
    <row r="810" spans="16:16" x14ac:dyDescent="0.25">
      <c r="P810" s="4"/>
    </row>
    <row r="811" spans="16:16" x14ac:dyDescent="0.25">
      <c r="P811" s="4"/>
    </row>
    <row r="812" spans="16:16" x14ac:dyDescent="0.25">
      <c r="P812" s="4"/>
    </row>
    <row r="813" spans="16:16" x14ac:dyDescent="0.25">
      <c r="P813" s="4"/>
    </row>
    <row r="814" spans="16:16" x14ac:dyDescent="0.25">
      <c r="P814" s="4"/>
    </row>
    <row r="815" spans="16:16" x14ac:dyDescent="0.25">
      <c r="P815" s="4"/>
    </row>
    <row r="816" spans="16:16" x14ac:dyDescent="0.25">
      <c r="P816" s="4"/>
    </row>
    <row r="817" spans="16:16" x14ac:dyDescent="0.25">
      <c r="P817" s="4"/>
    </row>
    <row r="818" spans="16:16" x14ac:dyDescent="0.25">
      <c r="P818" s="4"/>
    </row>
    <row r="819" spans="16:16" x14ac:dyDescent="0.25">
      <c r="P819" s="4"/>
    </row>
    <row r="820" spans="16:16" x14ac:dyDescent="0.25">
      <c r="P820" s="4"/>
    </row>
    <row r="821" spans="16:16" x14ac:dyDescent="0.25">
      <c r="P821" s="4"/>
    </row>
    <row r="822" spans="16:16" x14ac:dyDescent="0.25">
      <c r="P822" s="4"/>
    </row>
    <row r="823" spans="16:16" x14ac:dyDescent="0.25">
      <c r="P823" s="4"/>
    </row>
    <row r="824" spans="16:16" x14ac:dyDescent="0.25">
      <c r="P824" s="4"/>
    </row>
    <row r="825" spans="16:16" x14ac:dyDescent="0.25">
      <c r="P825" s="4"/>
    </row>
    <row r="826" spans="16:16" x14ac:dyDescent="0.25">
      <c r="P826" s="4"/>
    </row>
    <row r="827" spans="16:16" x14ac:dyDescent="0.25">
      <c r="P827" s="4"/>
    </row>
    <row r="828" spans="16:16" x14ac:dyDescent="0.25">
      <c r="P828" s="4"/>
    </row>
    <row r="829" spans="16:16" x14ac:dyDescent="0.25">
      <c r="P829" s="4"/>
    </row>
    <row r="830" spans="16:16" x14ac:dyDescent="0.25">
      <c r="P830" s="4"/>
    </row>
    <row r="831" spans="16:16" x14ac:dyDescent="0.25">
      <c r="P831" s="4"/>
    </row>
    <row r="832" spans="16:16" x14ac:dyDescent="0.25">
      <c r="P832" s="4"/>
    </row>
    <row r="833" spans="16:16" x14ac:dyDescent="0.25">
      <c r="P833" s="4"/>
    </row>
    <row r="834" spans="16:16" x14ac:dyDescent="0.25">
      <c r="P834" s="4"/>
    </row>
    <row r="835" spans="16:16" x14ac:dyDescent="0.25">
      <c r="P835" s="4"/>
    </row>
    <row r="836" spans="16:16" x14ac:dyDescent="0.25">
      <c r="P836" s="4"/>
    </row>
    <row r="837" spans="16:16" x14ac:dyDescent="0.25">
      <c r="P837" s="4"/>
    </row>
    <row r="838" spans="16:16" x14ac:dyDescent="0.25">
      <c r="P838" s="4"/>
    </row>
    <row r="839" spans="16:16" x14ac:dyDescent="0.25">
      <c r="P839" s="4"/>
    </row>
    <row r="840" spans="16:16" x14ac:dyDescent="0.25">
      <c r="P840" s="4"/>
    </row>
    <row r="841" spans="16:16" x14ac:dyDescent="0.25">
      <c r="P841" s="4"/>
    </row>
    <row r="842" spans="16:16" x14ac:dyDescent="0.25">
      <c r="P842" s="4"/>
    </row>
    <row r="843" spans="16:16" x14ac:dyDescent="0.25">
      <c r="P843" s="4"/>
    </row>
    <row r="844" spans="16:16" x14ac:dyDescent="0.25">
      <c r="P844" s="4"/>
    </row>
    <row r="845" spans="16:16" x14ac:dyDescent="0.25">
      <c r="P845" s="4"/>
    </row>
    <row r="846" spans="16:16" x14ac:dyDescent="0.25">
      <c r="P846" s="4"/>
    </row>
    <row r="847" spans="16:16" x14ac:dyDescent="0.25">
      <c r="P847" s="4"/>
    </row>
    <row r="848" spans="16:16" x14ac:dyDescent="0.25">
      <c r="P848" s="4"/>
    </row>
    <row r="849" spans="16:16" x14ac:dyDescent="0.25">
      <c r="P849" s="4"/>
    </row>
    <row r="850" spans="16:16" x14ac:dyDescent="0.25">
      <c r="P850" s="4"/>
    </row>
    <row r="851" spans="16:16" x14ac:dyDescent="0.25">
      <c r="P851" s="4"/>
    </row>
    <row r="852" spans="16:16" x14ac:dyDescent="0.25">
      <c r="P852" s="4"/>
    </row>
    <row r="853" spans="16:16" x14ac:dyDescent="0.25">
      <c r="P853" s="4"/>
    </row>
    <row r="854" spans="16:16" x14ac:dyDescent="0.25">
      <c r="P854" s="4"/>
    </row>
    <row r="855" spans="16:16" x14ac:dyDescent="0.25">
      <c r="P855" s="4"/>
    </row>
    <row r="856" spans="16:16" x14ac:dyDescent="0.25">
      <c r="P856" s="4"/>
    </row>
    <row r="857" spans="16:16" x14ac:dyDescent="0.25">
      <c r="P857" s="4"/>
    </row>
    <row r="858" spans="16:16" x14ac:dyDescent="0.25">
      <c r="P858" s="4"/>
    </row>
    <row r="859" spans="16:16" x14ac:dyDescent="0.25">
      <c r="P859" s="4"/>
    </row>
    <row r="860" spans="16:16" x14ac:dyDescent="0.25">
      <c r="P860" s="4"/>
    </row>
    <row r="861" spans="16:16" x14ac:dyDescent="0.25">
      <c r="P861" s="4"/>
    </row>
    <row r="862" spans="16:16" x14ac:dyDescent="0.25">
      <c r="P862" s="4"/>
    </row>
    <row r="863" spans="16:16" x14ac:dyDescent="0.25">
      <c r="P863" s="4"/>
    </row>
    <row r="864" spans="16:16" x14ac:dyDescent="0.25">
      <c r="P864" s="4"/>
    </row>
    <row r="865" spans="16:16" x14ac:dyDescent="0.25">
      <c r="P865" s="4"/>
    </row>
    <row r="866" spans="16:16" x14ac:dyDescent="0.25">
      <c r="P866" s="4"/>
    </row>
    <row r="867" spans="16:16" x14ac:dyDescent="0.25">
      <c r="P867" s="4"/>
    </row>
    <row r="868" spans="16:16" x14ac:dyDescent="0.25">
      <c r="P868" s="4"/>
    </row>
    <row r="869" spans="16:16" x14ac:dyDescent="0.25">
      <c r="P869" s="4"/>
    </row>
    <row r="870" spans="16:16" x14ac:dyDescent="0.25">
      <c r="P870" s="4"/>
    </row>
    <row r="871" spans="16:16" x14ac:dyDescent="0.25">
      <c r="P871" s="4"/>
    </row>
    <row r="872" spans="16:16" x14ac:dyDescent="0.25">
      <c r="P872" s="4"/>
    </row>
    <row r="873" spans="16:16" x14ac:dyDescent="0.25">
      <c r="P873" s="4"/>
    </row>
    <row r="874" spans="16:16" x14ac:dyDescent="0.25">
      <c r="P874" s="4"/>
    </row>
    <row r="875" spans="16:16" x14ac:dyDescent="0.25">
      <c r="P875" s="4"/>
    </row>
    <row r="876" spans="16:16" x14ac:dyDescent="0.25">
      <c r="P876" s="4"/>
    </row>
    <row r="877" spans="16:16" x14ac:dyDescent="0.25">
      <c r="P877" s="4"/>
    </row>
    <row r="878" spans="16:16" x14ac:dyDescent="0.25">
      <c r="P878" s="4"/>
    </row>
    <row r="879" spans="16:16" x14ac:dyDescent="0.25">
      <c r="P879" s="4"/>
    </row>
    <row r="880" spans="16:16" x14ac:dyDescent="0.25">
      <c r="P880" s="4"/>
    </row>
    <row r="881" spans="16:16" x14ac:dyDescent="0.25">
      <c r="P881" s="4"/>
    </row>
    <row r="882" spans="16:16" x14ac:dyDescent="0.25">
      <c r="P882" s="4"/>
    </row>
    <row r="883" spans="16:16" x14ac:dyDescent="0.25">
      <c r="P883" s="4"/>
    </row>
    <row r="884" spans="16:16" x14ac:dyDescent="0.25">
      <c r="P884" s="4"/>
    </row>
    <row r="885" spans="16:16" x14ac:dyDescent="0.25">
      <c r="P885" s="4"/>
    </row>
    <row r="886" spans="16:16" x14ac:dyDescent="0.25">
      <c r="P886" s="4"/>
    </row>
    <row r="887" spans="16:16" x14ac:dyDescent="0.25">
      <c r="P887" s="4"/>
    </row>
    <row r="888" spans="16:16" x14ac:dyDescent="0.25">
      <c r="P888" s="4"/>
    </row>
    <row r="889" spans="16:16" x14ac:dyDescent="0.25">
      <c r="P889" s="4"/>
    </row>
    <row r="890" spans="16:16" x14ac:dyDescent="0.25">
      <c r="P890" s="4"/>
    </row>
    <row r="891" spans="16:16" x14ac:dyDescent="0.25">
      <c r="P891" s="4"/>
    </row>
    <row r="892" spans="16:16" x14ac:dyDescent="0.25">
      <c r="P892" s="4"/>
    </row>
    <row r="893" spans="16:16" x14ac:dyDescent="0.25">
      <c r="P893" s="4"/>
    </row>
    <row r="894" spans="16:16" x14ac:dyDescent="0.25">
      <c r="P894" s="4"/>
    </row>
    <row r="895" spans="16:16" x14ac:dyDescent="0.25">
      <c r="P895" s="4"/>
    </row>
    <row r="896" spans="16:16" x14ac:dyDescent="0.25">
      <c r="P896" s="4"/>
    </row>
    <row r="897" spans="16:16" x14ac:dyDescent="0.25">
      <c r="P897" s="4"/>
    </row>
    <row r="898" spans="16:16" x14ac:dyDescent="0.25">
      <c r="P898" s="4"/>
    </row>
    <row r="899" spans="16:16" x14ac:dyDescent="0.25">
      <c r="P899" s="4"/>
    </row>
    <row r="900" spans="16:16" x14ac:dyDescent="0.25">
      <c r="P900" s="4"/>
    </row>
    <row r="901" spans="16:16" x14ac:dyDescent="0.25">
      <c r="P901" s="4"/>
    </row>
    <row r="902" spans="16:16" x14ac:dyDescent="0.25">
      <c r="P902" s="4"/>
    </row>
    <row r="903" spans="16:16" x14ac:dyDescent="0.25">
      <c r="P903" s="4"/>
    </row>
    <row r="904" spans="16:16" x14ac:dyDescent="0.25">
      <c r="P904" s="4"/>
    </row>
    <row r="905" spans="16:16" x14ac:dyDescent="0.25">
      <c r="P905" s="4"/>
    </row>
    <row r="906" spans="16:16" x14ac:dyDescent="0.25">
      <c r="P906" s="4"/>
    </row>
    <row r="907" spans="16:16" x14ac:dyDescent="0.25">
      <c r="P907" s="4"/>
    </row>
    <row r="908" spans="16:16" x14ac:dyDescent="0.25">
      <c r="P908" s="4"/>
    </row>
    <row r="909" spans="16:16" x14ac:dyDescent="0.25">
      <c r="P909" s="4"/>
    </row>
    <row r="910" spans="16:16" x14ac:dyDescent="0.25">
      <c r="P910" s="4"/>
    </row>
    <row r="911" spans="16:16" x14ac:dyDescent="0.25">
      <c r="P911" s="4"/>
    </row>
    <row r="912" spans="16:16" x14ac:dyDescent="0.25">
      <c r="P912" s="4"/>
    </row>
    <row r="913" spans="16:16" x14ac:dyDescent="0.25">
      <c r="P913" s="4"/>
    </row>
    <row r="914" spans="16:16" x14ac:dyDescent="0.25">
      <c r="P914" s="4"/>
    </row>
    <row r="915" spans="16:16" x14ac:dyDescent="0.25">
      <c r="P915" s="4"/>
    </row>
    <row r="916" spans="16:16" x14ac:dyDescent="0.25">
      <c r="P916" s="4"/>
    </row>
    <row r="917" spans="16:16" x14ac:dyDescent="0.25">
      <c r="P917" s="4"/>
    </row>
    <row r="918" spans="16:16" x14ac:dyDescent="0.25">
      <c r="P918" s="4"/>
    </row>
    <row r="919" spans="16:16" x14ac:dyDescent="0.25">
      <c r="P919" s="4"/>
    </row>
    <row r="920" spans="16:16" x14ac:dyDescent="0.25">
      <c r="P920" s="4"/>
    </row>
    <row r="921" spans="16:16" x14ac:dyDescent="0.25">
      <c r="P921" s="4"/>
    </row>
    <row r="922" spans="16:16" x14ac:dyDescent="0.25">
      <c r="P922" s="4"/>
    </row>
    <row r="923" spans="16:16" x14ac:dyDescent="0.25">
      <c r="P923" s="4"/>
    </row>
    <row r="924" spans="16:16" x14ac:dyDescent="0.25">
      <c r="P924" s="4"/>
    </row>
    <row r="925" spans="16:16" x14ac:dyDescent="0.25">
      <c r="P925" s="4"/>
    </row>
    <row r="926" spans="16:16" x14ac:dyDescent="0.25">
      <c r="P926" s="4"/>
    </row>
    <row r="927" spans="16:16" x14ac:dyDescent="0.25">
      <c r="P927" s="4"/>
    </row>
    <row r="928" spans="16:16" x14ac:dyDescent="0.25">
      <c r="P928" s="4"/>
    </row>
    <row r="929" spans="16:16" x14ac:dyDescent="0.25">
      <c r="P929" s="4"/>
    </row>
    <row r="930" spans="16:16" x14ac:dyDescent="0.25">
      <c r="P930" s="4"/>
    </row>
    <row r="931" spans="16:16" x14ac:dyDescent="0.25">
      <c r="P931" s="4"/>
    </row>
    <row r="932" spans="16:16" x14ac:dyDescent="0.25">
      <c r="P932" s="4"/>
    </row>
    <row r="933" spans="16:16" x14ac:dyDescent="0.25">
      <c r="P933" s="4"/>
    </row>
    <row r="934" spans="16:16" x14ac:dyDescent="0.25">
      <c r="P934" s="4"/>
    </row>
    <row r="935" spans="16:16" x14ac:dyDescent="0.25">
      <c r="P935" s="4"/>
    </row>
    <row r="936" spans="16:16" x14ac:dyDescent="0.25">
      <c r="P936" s="4"/>
    </row>
    <row r="937" spans="16:16" x14ac:dyDescent="0.25">
      <c r="P937" s="4"/>
    </row>
    <row r="938" spans="16:16" x14ac:dyDescent="0.25">
      <c r="P938" s="4"/>
    </row>
    <row r="939" spans="16:16" x14ac:dyDescent="0.25">
      <c r="P939" s="4"/>
    </row>
    <row r="940" spans="16:16" x14ac:dyDescent="0.25">
      <c r="P940" s="4"/>
    </row>
    <row r="941" spans="16:16" x14ac:dyDescent="0.25">
      <c r="P941" s="4"/>
    </row>
    <row r="942" spans="16:16" x14ac:dyDescent="0.25">
      <c r="P942" s="4"/>
    </row>
    <row r="943" spans="16:16" x14ac:dyDescent="0.25">
      <c r="P943" s="4"/>
    </row>
    <row r="944" spans="16:16" x14ac:dyDescent="0.25">
      <c r="P944" s="4"/>
    </row>
    <row r="945" spans="16:16" x14ac:dyDescent="0.25">
      <c r="P945" s="4"/>
    </row>
    <row r="946" spans="16:16" x14ac:dyDescent="0.25">
      <c r="P946" s="4"/>
    </row>
    <row r="947" spans="16:16" x14ac:dyDescent="0.25">
      <c r="P947" s="4"/>
    </row>
    <row r="948" spans="16:16" x14ac:dyDescent="0.25">
      <c r="P948" s="4"/>
    </row>
    <row r="949" spans="16:16" x14ac:dyDescent="0.25">
      <c r="P949" s="4"/>
    </row>
    <row r="950" spans="16:16" x14ac:dyDescent="0.25">
      <c r="P950" s="4"/>
    </row>
    <row r="951" spans="16:16" x14ac:dyDescent="0.25">
      <c r="P951" s="4"/>
    </row>
    <row r="952" spans="16:16" x14ac:dyDescent="0.25">
      <c r="P952" s="4"/>
    </row>
    <row r="953" spans="16:16" x14ac:dyDescent="0.25">
      <c r="P953" s="4"/>
    </row>
    <row r="954" spans="16:16" x14ac:dyDescent="0.25">
      <c r="P954" s="4"/>
    </row>
    <row r="955" spans="16:16" x14ac:dyDescent="0.25">
      <c r="P955" s="4"/>
    </row>
    <row r="956" spans="16:16" x14ac:dyDescent="0.25">
      <c r="P956" s="4"/>
    </row>
    <row r="957" spans="16:16" x14ac:dyDescent="0.25">
      <c r="P957" s="4"/>
    </row>
    <row r="958" spans="16:16" x14ac:dyDescent="0.25">
      <c r="P958" s="4"/>
    </row>
    <row r="959" spans="16:16" x14ac:dyDescent="0.25">
      <c r="P959" s="4"/>
    </row>
    <row r="960" spans="16:16" x14ac:dyDescent="0.25">
      <c r="P960" s="4"/>
    </row>
    <row r="961" spans="16:16" x14ac:dyDescent="0.25">
      <c r="P961" s="4"/>
    </row>
    <row r="962" spans="16:16" x14ac:dyDescent="0.25">
      <c r="P962" s="4"/>
    </row>
    <row r="963" spans="16:16" x14ac:dyDescent="0.25">
      <c r="P963" s="4"/>
    </row>
    <row r="964" spans="16:16" x14ac:dyDescent="0.25">
      <c r="P964" s="4"/>
    </row>
    <row r="965" spans="16:16" x14ac:dyDescent="0.25">
      <c r="P965" s="4"/>
    </row>
    <row r="966" spans="16:16" x14ac:dyDescent="0.25">
      <c r="P966" s="4"/>
    </row>
    <row r="967" spans="16:16" x14ac:dyDescent="0.25">
      <c r="P967" s="4"/>
    </row>
    <row r="968" spans="16:16" x14ac:dyDescent="0.25">
      <c r="P968" s="4"/>
    </row>
    <row r="969" spans="16:16" x14ac:dyDescent="0.25">
      <c r="P969" s="4"/>
    </row>
    <row r="970" spans="16:16" x14ac:dyDescent="0.25">
      <c r="P970" s="4"/>
    </row>
    <row r="971" spans="16:16" x14ac:dyDescent="0.25">
      <c r="P971" s="4"/>
    </row>
    <row r="972" spans="16:16" x14ac:dyDescent="0.25">
      <c r="P972" s="4"/>
    </row>
    <row r="973" spans="16:16" x14ac:dyDescent="0.25">
      <c r="P973" s="4"/>
    </row>
    <row r="974" spans="16:16" x14ac:dyDescent="0.25">
      <c r="P974" s="4"/>
    </row>
    <row r="975" spans="16:16" x14ac:dyDescent="0.25">
      <c r="P975" s="4"/>
    </row>
    <row r="976" spans="16:16" x14ac:dyDescent="0.25">
      <c r="P976" s="4"/>
    </row>
    <row r="977" spans="16:16" x14ac:dyDescent="0.25">
      <c r="P977" s="4"/>
    </row>
    <row r="978" spans="16:16" x14ac:dyDescent="0.25">
      <c r="P978" s="4"/>
    </row>
    <row r="979" spans="16:16" x14ac:dyDescent="0.25">
      <c r="P979" s="4"/>
    </row>
    <row r="980" spans="16:16" x14ac:dyDescent="0.25">
      <c r="P980" s="4"/>
    </row>
    <row r="981" spans="16:16" x14ac:dyDescent="0.25">
      <c r="P981" s="4"/>
    </row>
    <row r="982" spans="16:16" x14ac:dyDescent="0.25">
      <c r="P982" s="4"/>
    </row>
    <row r="983" spans="16:16" x14ac:dyDescent="0.25">
      <c r="P983" s="4"/>
    </row>
    <row r="984" spans="16:16" x14ac:dyDescent="0.25">
      <c r="P984" s="4"/>
    </row>
    <row r="985" spans="16:16" x14ac:dyDescent="0.25">
      <c r="P985" s="4"/>
    </row>
    <row r="986" spans="16:16" x14ac:dyDescent="0.25">
      <c r="P986" s="4"/>
    </row>
    <row r="987" spans="16:16" x14ac:dyDescent="0.25">
      <c r="P987" s="4"/>
    </row>
    <row r="988" spans="16:16" x14ac:dyDescent="0.25">
      <c r="P988" s="4"/>
    </row>
    <row r="989" spans="16:16" x14ac:dyDescent="0.25">
      <c r="P989" s="4"/>
    </row>
    <row r="990" spans="16:16" x14ac:dyDescent="0.25">
      <c r="P990" s="4"/>
    </row>
    <row r="991" spans="16:16" x14ac:dyDescent="0.25">
      <c r="P991" s="4"/>
    </row>
    <row r="992" spans="16:16" x14ac:dyDescent="0.25">
      <c r="P992" s="4"/>
    </row>
    <row r="993" spans="16:16" x14ac:dyDescent="0.25">
      <c r="P993" s="4"/>
    </row>
    <row r="994" spans="16:16" x14ac:dyDescent="0.25">
      <c r="P994" s="4"/>
    </row>
    <row r="995" spans="16:16" x14ac:dyDescent="0.25">
      <c r="P995" s="4"/>
    </row>
    <row r="996" spans="16:16" x14ac:dyDescent="0.25">
      <c r="P996" s="4"/>
    </row>
    <row r="997" spans="16:16" x14ac:dyDescent="0.25">
      <c r="P997" s="4"/>
    </row>
    <row r="998" spans="16:16" x14ac:dyDescent="0.25">
      <c r="P998" s="4"/>
    </row>
    <row r="999" spans="16:16" x14ac:dyDescent="0.25">
      <c r="P999" s="4"/>
    </row>
    <row r="1000" spans="16:16" x14ac:dyDescent="0.25">
      <c r="P1000" s="4"/>
    </row>
    <row r="1001" spans="16:16" x14ac:dyDescent="0.25">
      <c r="P1001" s="4"/>
    </row>
    <row r="1002" spans="16:16" x14ac:dyDescent="0.25">
      <c r="P1002" s="4"/>
    </row>
    <row r="1003" spans="16:16" x14ac:dyDescent="0.25">
      <c r="P1003" s="4"/>
    </row>
    <row r="1004" spans="16:16" x14ac:dyDescent="0.25">
      <c r="P1004" s="4"/>
    </row>
    <row r="1005" spans="16:16" x14ac:dyDescent="0.25">
      <c r="P1005" s="4"/>
    </row>
    <row r="1006" spans="16:16" x14ac:dyDescent="0.25">
      <c r="P1006" s="4"/>
    </row>
    <row r="1007" spans="16:16" x14ac:dyDescent="0.25">
      <c r="P1007" s="4"/>
    </row>
    <row r="1008" spans="16:16" x14ac:dyDescent="0.25">
      <c r="P1008" s="4"/>
    </row>
    <row r="1009" spans="16:16" x14ac:dyDescent="0.25">
      <c r="P1009" s="4"/>
    </row>
    <row r="1010" spans="16:16" x14ac:dyDescent="0.25">
      <c r="P1010" s="4"/>
    </row>
    <row r="1011" spans="16:16" x14ac:dyDescent="0.25">
      <c r="P1011" s="4"/>
    </row>
    <row r="1012" spans="16:16" x14ac:dyDescent="0.25">
      <c r="P1012" s="4"/>
    </row>
    <row r="1013" spans="16:16" x14ac:dyDescent="0.25">
      <c r="P1013" s="4"/>
    </row>
    <row r="1014" spans="16:16" x14ac:dyDescent="0.25">
      <c r="P1014" s="4"/>
    </row>
    <row r="1015" spans="16:16" x14ac:dyDescent="0.25">
      <c r="P1015" s="4"/>
    </row>
    <row r="1016" spans="16:16" x14ac:dyDescent="0.25">
      <c r="P1016" s="4"/>
    </row>
    <row r="1017" spans="16:16" x14ac:dyDescent="0.25">
      <c r="P1017" s="4"/>
    </row>
    <row r="1018" spans="16:16" x14ac:dyDescent="0.25">
      <c r="P1018" s="4"/>
    </row>
    <row r="1019" spans="16:16" x14ac:dyDescent="0.25">
      <c r="P1019" s="4"/>
    </row>
    <row r="1020" spans="16:16" x14ac:dyDescent="0.25">
      <c r="P1020" s="4"/>
    </row>
    <row r="1021" spans="16:16" x14ac:dyDescent="0.25">
      <c r="P1021" s="4"/>
    </row>
    <row r="1022" spans="16:16" x14ac:dyDescent="0.25">
      <c r="P1022" s="4"/>
    </row>
    <row r="1023" spans="16:16" x14ac:dyDescent="0.25">
      <c r="P1023" s="4"/>
    </row>
    <row r="1024" spans="16:16" x14ac:dyDescent="0.25">
      <c r="P1024" s="4"/>
    </row>
    <row r="1025" spans="16:16" x14ac:dyDescent="0.25">
      <c r="P1025" s="4"/>
    </row>
    <row r="1026" spans="16:16" x14ac:dyDescent="0.25">
      <c r="P1026" s="4"/>
    </row>
    <row r="1027" spans="16:16" x14ac:dyDescent="0.25">
      <c r="P1027" s="4"/>
    </row>
    <row r="1028" spans="16:16" x14ac:dyDescent="0.25">
      <c r="P1028" s="4"/>
    </row>
    <row r="1029" spans="16:16" x14ac:dyDescent="0.25">
      <c r="P1029" s="4"/>
    </row>
    <row r="1030" spans="16:16" x14ac:dyDescent="0.25">
      <c r="P1030" s="4"/>
    </row>
    <row r="1031" spans="16:16" x14ac:dyDescent="0.25">
      <c r="P1031" s="4"/>
    </row>
    <row r="1032" spans="16:16" x14ac:dyDescent="0.25">
      <c r="P1032" s="4"/>
    </row>
    <row r="1033" spans="16:16" x14ac:dyDescent="0.25">
      <c r="P1033" s="4"/>
    </row>
    <row r="1034" spans="16:16" x14ac:dyDescent="0.25">
      <c r="P1034" s="4"/>
    </row>
    <row r="1035" spans="16:16" x14ac:dyDescent="0.25">
      <c r="P1035" s="4"/>
    </row>
    <row r="1036" spans="16:16" x14ac:dyDescent="0.25">
      <c r="P1036" s="4"/>
    </row>
    <row r="1037" spans="16:16" x14ac:dyDescent="0.25">
      <c r="P1037" s="4"/>
    </row>
    <row r="1038" spans="16:16" x14ac:dyDescent="0.25">
      <c r="P1038" s="4"/>
    </row>
    <row r="1039" spans="16:16" x14ac:dyDescent="0.25">
      <c r="P1039" s="4"/>
    </row>
    <row r="1040" spans="16:16" x14ac:dyDescent="0.25">
      <c r="P1040" s="4"/>
    </row>
    <row r="1041" spans="16:16" x14ac:dyDescent="0.25">
      <c r="P1041" s="4"/>
    </row>
    <row r="1042" spans="16:16" x14ac:dyDescent="0.25">
      <c r="P1042" s="4"/>
    </row>
    <row r="1043" spans="16:16" x14ac:dyDescent="0.25">
      <c r="P1043" s="4"/>
    </row>
    <row r="1044" spans="16:16" x14ac:dyDescent="0.25">
      <c r="P1044" s="4"/>
    </row>
    <row r="1045" spans="16:16" x14ac:dyDescent="0.25">
      <c r="P1045" s="4"/>
    </row>
    <row r="1046" spans="16:16" x14ac:dyDescent="0.25">
      <c r="P1046" s="4"/>
    </row>
    <row r="1047" spans="16:16" x14ac:dyDescent="0.25">
      <c r="P1047" s="4"/>
    </row>
    <row r="1048" spans="16:16" x14ac:dyDescent="0.25">
      <c r="P1048" s="4"/>
    </row>
    <row r="1049" spans="16:16" x14ac:dyDescent="0.25">
      <c r="P1049" s="4"/>
    </row>
    <row r="1050" spans="16:16" x14ac:dyDescent="0.25">
      <c r="P1050" s="4"/>
    </row>
    <row r="1051" spans="16:16" x14ac:dyDescent="0.25">
      <c r="P1051" s="4"/>
    </row>
    <row r="1052" spans="16:16" x14ac:dyDescent="0.25">
      <c r="P1052" s="4"/>
    </row>
    <row r="1053" spans="16:16" x14ac:dyDescent="0.25">
      <c r="P1053" s="4"/>
    </row>
    <row r="1054" spans="16:16" x14ac:dyDescent="0.25">
      <c r="P1054" s="4"/>
    </row>
    <row r="1055" spans="16:16" x14ac:dyDescent="0.25">
      <c r="P1055" s="4"/>
    </row>
    <row r="1056" spans="16:16" x14ac:dyDescent="0.25">
      <c r="P1056" s="4"/>
    </row>
    <row r="1057" spans="16:16" x14ac:dyDescent="0.25">
      <c r="P1057" s="4"/>
    </row>
    <row r="1058" spans="16:16" x14ac:dyDescent="0.25">
      <c r="P1058" s="4"/>
    </row>
    <row r="1059" spans="16:16" x14ac:dyDescent="0.25">
      <c r="P1059" s="4"/>
    </row>
    <row r="1060" spans="16:16" x14ac:dyDescent="0.25">
      <c r="P1060" s="4"/>
    </row>
    <row r="1061" spans="16:16" x14ac:dyDescent="0.25">
      <c r="P1061" s="4"/>
    </row>
    <row r="1062" spans="16:16" x14ac:dyDescent="0.25">
      <c r="P1062" s="4"/>
    </row>
    <row r="1063" spans="16:16" x14ac:dyDescent="0.25">
      <c r="P1063" s="4"/>
    </row>
    <row r="1064" spans="16:16" x14ac:dyDescent="0.25">
      <c r="P1064" s="4"/>
    </row>
    <row r="1065" spans="16:16" x14ac:dyDescent="0.25">
      <c r="P1065" s="4"/>
    </row>
    <row r="1066" spans="16:16" x14ac:dyDescent="0.25">
      <c r="P1066" s="4"/>
    </row>
    <row r="1067" spans="16:16" x14ac:dyDescent="0.25">
      <c r="P1067" s="4"/>
    </row>
    <row r="1068" spans="16:16" x14ac:dyDescent="0.25">
      <c r="P1068" s="4"/>
    </row>
    <row r="1069" spans="16:16" x14ac:dyDescent="0.25">
      <c r="P1069" s="4"/>
    </row>
    <row r="1070" spans="16:16" x14ac:dyDescent="0.25">
      <c r="P1070" s="4"/>
    </row>
    <row r="1071" spans="16:16" x14ac:dyDescent="0.25">
      <c r="P1071" s="4"/>
    </row>
    <row r="1072" spans="16:16" x14ac:dyDescent="0.25">
      <c r="P1072" s="4"/>
    </row>
    <row r="1073" spans="16:16" x14ac:dyDescent="0.25">
      <c r="P1073" s="4"/>
    </row>
    <row r="1074" spans="16:16" x14ac:dyDescent="0.25">
      <c r="P1074" s="4"/>
    </row>
    <row r="1075" spans="16:16" x14ac:dyDescent="0.25">
      <c r="P1075" s="4"/>
    </row>
    <row r="1076" spans="16:16" x14ac:dyDescent="0.25">
      <c r="P1076" s="4"/>
    </row>
    <row r="1077" spans="16:16" x14ac:dyDescent="0.25">
      <c r="P1077" s="4"/>
    </row>
    <row r="1078" spans="16:16" x14ac:dyDescent="0.25">
      <c r="P1078" s="4"/>
    </row>
    <row r="1079" spans="16:16" x14ac:dyDescent="0.25">
      <c r="P1079" s="4"/>
    </row>
    <row r="1080" spans="16:16" x14ac:dyDescent="0.25">
      <c r="P1080" s="4"/>
    </row>
    <row r="1081" spans="16:16" x14ac:dyDescent="0.25">
      <c r="P1081" s="4"/>
    </row>
    <row r="1082" spans="16:16" x14ac:dyDescent="0.25">
      <c r="P1082" s="4"/>
    </row>
    <row r="1083" spans="16:16" x14ac:dyDescent="0.25">
      <c r="P1083" s="4"/>
    </row>
    <row r="1084" spans="16:16" x14ac:dyDescent="0.25">
      <c r="P1084" s="4"/>
    </row>
    <row r="1085" spans="16:16" x14ac:dyDescent="0.25">
      <c r="P1085" s="4"/>
    </row>
    <row r="1086" spans="16:16" x14ac:dyDescent="0.25">
      <c r="P1086" s="4"/>
    </row>
    <row r="1087" spans="16:16" x14ac:dyDescent="0.25">
      <c r="P1087" s="4"/>
    </row>
    <row r="1088" spans="16:16" x14ac:dyDescent="0.25">
      <c r="P1088" s="4"/>
    </row>
    <row r="1089" spans="16:16" x14ac:dyDescent="0.25">
      <c r="P1089" s="4"/>
    </row>
    <row r="1090" spans="16:16" x14ac:dyDescent="0.25">
      <c r="P1090" s="4"/>
    </row>
    <row r="1091" spans="16:16" x14ac:dyDescent="0.25">
      <c r="P1091" s="4"/>
    </row>
    <row r="1092" spans="16:16" x14ac:dyDescent="0.25">
      <c r="P1092" s="4"/>
    </row>
    <row r="1093" spans="16:16" x14ac:dyDescent="0.25">
      <c r="P1093" s="4"/>
    </row>
    <row r="1094" spans="16:16" x14ac:dyDescent="0.25">
      <c r="P1094" s="4"/>
    </row>
    <row r="1095" spans="16:16" x14ac:dyDescent="0.25">
      <c r="P1095" s="4"/>
    </row>
    <row r="1096" spans="16:16" x14ac:dyDescent="0.25">
      <c r="P1096" s="4"/>
    </row>
    <row r="1097" spans="16:16" x14ac:dyDescent="0.25">
      <c r="P1097" s="4"/>
    </row>
    <row r="1098" spans="16:16" x14ac:dyDescent="0.25">
      <c r="P1098" s="4"/>
    </row>
    <row r="1099" spans="16:16" x14ac:dyDescent="0.25">
      <c r="P1099" s="4"/>
    </row>
    <row r="1100" spans="16:16" x14ac:dyDescent="0.25">
      <c r="P1100" s="4"/>
    </row>
    <row r="1101" spans="16:16" x14ac:dyDescent="0.25">
      <c r="P1101" s="4"/>
    </row>
    <row r="1102" spans="16:16" x14ac:dyDescent="0.25">
      <c r="P1102" s="4"/>
    </row>
    <row r="1103" spans="16:16" x14ac:dyDescent="0.25">
      <c r="P1103" s="4"/>
    </row>
    <row r="1104" spans="16:16" x14ac:dyDescent="0.25">
      <c r="P1104" s="4"/>
    </row>
    <row r="1105" spans="16:16" x14ac:dyDescent="0.25">
      <c r="P1105" s="4"/>
    </row>
    <row r="1106" spans="16:16" x14ac:dyDescent="0.25">
      <c r="P1106" s="4"/>
    </row>
    <row r="1107" spans="16:16" x14ac:dyDescent="0.25">
      <c r="P1107" s="4"/>
    </row>
    <row r="1108" spans="16:16" x14ac:dyDescent="0.25">
      <c r="P1108" s="4"/>
    </row>
    <row r="1109" spans="16:16" x14ac:dyDescent="0.25">
      <c r="P1109" s="4"/>
    </row>
    <row r="1110" spans="16:16" x14ac:dyDescent="0.25">
      <c r="P1110" s="4"/>
    </row>
    <row r="1111" spans="16:16" x14ac:dyDescent="0.25">
      <c r="P1111" s="4"/>
    </row>
    <row r="1112" spans="16:16" x14ac:dyDescent="0.25">
      <c r="P1112" s="4"/>
    </row>
    <row r="1113" spans="16:16" x14ac:dyDescent="0.25">
      <c r="P1113" s="4"/>
    </row>
    <row r="1114" spans="16:16" x14ac:dyDescent="0.25">
      <c r="P1114" s="4"/>
    </row>
    <row r="1115" spans="16:16" x14ac:dyDescent="0.25">
      <c r="P1115" s="4"/>
    </row>
    <row r="1116" spans="16:16" x14ac:dyDescent="0.25">
      <c r="P1116" s="4"/>
    </row>
    <row r="1117" spans="16:16" x14ac:dyDescent="0.25">
      <c r="P1117" s="4"/>
    </row>
    <row r="1118" spans="16:16" x14ac:dyDescent="0.25">
      <c r="P1118" s="4"/>
    </row>
    <row r="1119" spans="16:16" x14ac:dyDescent="0.25">
      <c r="P1119" s="4"/>
    </row>
    <row r="1120" spans="16:16" x14ac:dyDescent="0.25">
      <c r="P1120" s="4"/>
    </row>
    <row r="1121" spans="16:16" x14ac:dyDescent="0.25">
      <c r="P1121" s="4"/>
    </row>
    <row r="1122" spans="16:16" x14ac:dyDescent="0.25">
      <c r="P1122" s="4"/>
    </row>
    <row r="1123" spans="16:16" x14ac:dyDescent="0.25">
      <c r="P1123" s="4"/>
    </row>
    <row r="1124" spans="16:16" x14ac:dyDescent="0.25">
      <c r="P1124" s="4"/>
    </row>
    <row r="1125" spans="16:16" x14ac:dyDescent="0.25">
      <c r="P1125" s="4"/>
    </row>
    <row r="1126" spans="16:16" x14ac:dyDescent="0.25">
      <c r="P1126" s="4"/>
    </row>
    <row r="1127" spans="16:16" x14ac:dyDescent="0.25">
      <c r="P1127" s="4"/>
    </row>
    <row r="1128" spans="16:16" x14ac:dyDescent="0.25">
      <c r="P1128" s="4"/>
    </row>
    <row r="1129" spans="16:16" x14ac:dyDescent="0.25">
      <c r="P1129" s="4"/>
    </row>
    <row r="1130" spans="16:16" x14ac:dyDescent="0.25">
      <c r="P1130" s="4"/>
    </row>
    <row r="1131" spans="16:16" x14ac:dyDescent="0.25">
      <c r="P1131" s="4"/>
    </row>
    <row r="1132" spans="16:16" x14ac:dyDescent="0.25">
      <c r="P1132" s="4"/>
    </row>
    <row r="1133" spans="16:16" x14ac:dyDescent="0.25">
      <c r="P1133" s="4"/>
    </row>
    <row r="1134" spans="16:16" x14ac:dyDescent="0.25">
      <c r="P1134" s="4"/>
    </row>
    <row r="1135" spans="16:16" x14ac:dyDescent="0.25">
      <c r="P1135" s="4"/>
    </row>
    <row r="1136" spans="16:16" x14ac:dyDescent="0.25">
      <c r="P1136" s="4"/>
    </row>
    <row r="1137" spans="16:16" x14ac:dyDescent="0.25">
      <c r="P1137" s="4"/>
    </row>
    <row r="1138" spans="16:16" x14ac:dyDescent="0.25">
      <c r="P1138" s="4"/>
    </row>
    <row r="1139" spans="16:16" x14ac:dyDescent="0.25">
      <c r="P1139" s="4"/>
    </row>
    <row r="1140" spans="16:16" x14ac:dyDescent="0.25">
      <c r="P1140" s="4"/>
    </row>
    <row r="1141" spans="16:16" x14ac:dyDescent="0.25">
      <c r="P1141" s="4"/>
    </row>
    <row r="1142" spans="16:16" x14ac:dyDescent="0.25">
      <c r="P1142" s="4"/>
    </row>
    <row r="1143" spans="16:16" x14ac:dyDescent="0.25">
      <c r="P1143" s="4"/>
    </row>
    <row r="1144" spans="16:16" x14ac:dyDescent="0.25">
      <c r="P1144" s="4"/>
    </row>
    <row r="1145" spans="16:16" x14ac:dyDescent="0.25">
      <c r="P1145" s="4"/>
    </row>
    <row r="1146" spans="16:16" x14ac:dyDescent="0.25">
      <c r="P1146" s="4"/>
    </row>
    <row r="1147" spans="16:16" x14ac:dyDescent="0.25">
      <c r="P1147" s="4"/>
    </row>
    <row r="1148" spans="16:16" x14ac:dyDescent="0.25">
      <c r="P1148" s="4"/>
    </row>
    <row r="1149" spans="16:16" x14ac:dyDescent="0.25">
      <c r="P1149" s="4"/>
    </row>
    <row r="1150" spans="16:16" x14ac:dyDescent="0.25">
      <c r="P1150" s="4"/>
    </row>
    <row r="1151" spans="16:16" x14ac:dyDescent="0.25">
      <c r="P1151" s="4"/>
    </row>
    <row r="1152" spans="16:16" x14ac:dyDescent="0.25">
      <c r="P1152" s="4"/>
    </row>
    <row r="1153" spans="16:16" x14ac:dyDescent="0.25">
      <c r="P1153" s="4"/>
    </row>
    <row r="1154" spans="16:16" x14ac:dyDescent="0.25">
      <c r="P1154" s="4"/>
    </row>
    <row r="1155" spans="16:16" x14ac:dyDescent="0.25">
      <c r="P1155" s="4"/>
    </row>
    <row r="1156" spans="16:16" x14ac:dyDescent="0.25">
      <c r="P1156" s="4"/>
    </row>
    <row r="1157" spans="16:16" x14ac:dyDescent="0.25">
      <c r="P1157" s="4"/>
    </row>
    <row r="1158" spans="16:16" x14ac:dyDescent="0.25">
      <c r="P1158" s="4"/>
    </row>
    <row r="1159" spans="16:16" x14ac:dyDescent="0.25">
      <c r="P1159" s="4"/>
    </row>
    <row r="1160" spans="16:16" x14ac:dyDescent="0.25">
      <c r="P1160" s="4"/>
    </row>
    <row r="1161" spans="16:16" x14ac:dyDescent="0.25">
      <c r="P1161" s="4"/>
    </row>
    <row r="1162" spans="16:16" x14ac:dyDescent="0.25">
      <c r="P1162" s="4"/>
    </row>
    <row r="1163" spans="16:16" x14ac:dyDescent="0.25">
      <c r="P1163" s="4"/>
    </row>
    <row r="1164" spans="16:16" x14ac:dyDescent="0.25">
      <c r="P1164" s="4"/>
    </row>
    <row r="1165" spans="16:16" x14ac:dyDescent="0.25">
      <c r="P1165" s="4"/>
    </row>
    <row r="1166" spans="16:16" x14ac:dyDescent="0.25">
      <c r="P1166" s="4"/>
    </row>
    <row r="1167" spans="16:16" x14ac:dyDescent="0.25">
      <c r="P1167" s="4"/>
    </row>
    <row r="1168" spans="16:16" x14ac:dyDescent="0.25">
      <c r="P1168" s="4"/>
    </row>
    <row r="1169" spans="16:16" x14ac:dyDescent="0.25">
      <c r="P1169" s="4"/>
    </row>
    <row r="1170" spans="16:16" x14ac:dyDescent="0.25">
      <c r="P1170" s="4"/>
    </row>
    <row r="1171" spans="16:16" x14ac:dyDescent="0.25">
      <c r="P1171" s="4"/>
    </row>
    <row r="1172" spans="16:16" x14ac:dyDescent="0.25">
      <c r="P1172" s="4"/>
    </row>
    <row r="1173" spans="16:16" x14ac:dyDescent="0.25">
      <c r="P1173" s="4"/>
    </row>
    <row r="1174" spans="16:16" x14ac:dyDescent="0.25">
      <c r="P1174" s="4"/>
    </row>
    <row r="1175" spans="16:16" x14ac:dyDescent="0.25">
      <c r="P1175" s="4"/>
    </row>
    <row r="1176" spans="16:16" x14ac:dyDescent="0.25">
      <c r="P1176" s="4"/>
    </row>
    <row r="1177" spans="16:16" x14ac:dyDescent="0.25">
      <c r="P1177" s="4"/>
    </row>
    <row r="1178" spans="16:16" x14ac:dyDescent="0.25">
      <c r="P1178" s="4"/>
    </row>
    <row r="1179" spans="16:16" x14ac:dyDescent="0.25">
      <c r="P1179" s="4"/>
    </row>
    <row r="1180" spans="16:16" x14ac:dyDescent="0.25">
      <c r="P1180" s="4"/>
    </row>
    <row r="1181" spans="16:16" x14ac:dyDescent="0.25">
      <c r="P1181" s="4"/>
    </row>
    <row r="1182" spans="16:16" x14ac:dyDescent="0.25">
      <c r="P1182" s="4"/>
    </row>
    <row r="1183" spans="16:16" x14ac:dyDescent="0.25">
      <c r="P1183" s="4"/>
    </row>
    <row r="1184" spans="16:16" x14ac:dyDescent="0.25">
      <c r="P1184" s="4"/>
    </row>
    <row r="1185" spans="16:16" x14ac:dyDescent="0.25">
      <c r="P1185" s="4"/>
    </row>
    <row r="1186" spans="16:16" x14ac:dyDescent="0.25">
      <c r="P1186" s="4"/>
    </row>
    <row r="1187" spans="16:16" x14ac:dyDescent="0.25">
      <c r="P1187" s="4"/>
    </row>
    <row r="1188" spans="16:16" x14ac:dyDescent="0.25">
      <c r="P1188" s="4"/>
    </row>
    <row r="1189" spans="16:16" x14ac:dyDescent="0.25">
      <c r="P1189" s="4"/>
    </row>
    <row r="1190" spans="16:16" x14ac:dyDescent="0.25">
      <c r="P1190" s="4"/>
    </row>
    <row r="1191" spans="16:16" x14ac:dyDescent="0.25">
      <c r="P1191" s="4"/>
    </row>
    <row r="1192" spans="16:16" x14ac:dyDescent="0.25">
      <c r="P1192" s="4"/>
    </row>
    <row r="1193" spans="16:16" x14ac:dyDescent="0.25">
      <c r="P1193" s="4"/>
    </row>
    <row r="1194" spans="16:16" x14ac:dyDescent="0.25">
      <c r="P1194" s="4"/>
    </row>
    <row r="1195" spans="16:16" x14ac:dyDescent="0.25">
      <c r="P1195" s="4"/>
    </row>
    <row r="1196" spans="16:16" x14ac:dyDescent="0.25">
      <c r="P1196" s="4"/>
    </row>
    <row r="1197" spans="16:16" x14ac:dyDescent="0.25">
      <c r="P1197" s="4"/>
    </row>
    <row r="1198" spans="16:16" x14ac:dyDescent="0.25">
      <c r="P1198" s="4"/>
    </row>
    <row r="1199" spans="16:16" x14ac:dyDescent="0.25">
      <c r="P1199" s="4"/>
    </row>
    <row r="1200" spans="16:16" x14ac:dyDescent="0.25">
      <c r="P1200" s="4"/>
    </row>
    <row r="1201" spans="16:16" x14ac:dyDescent="0.25">
      <c r="P1201" s="4"/>
    </row>
    <row r="1202" spans="16:16" x14ac:dyDescent="0.25">
      <c r="P1202" s="4"/>
    </row>
    <row r="1203" spans="16:16" x14ac:dyDescent="0.25">
      <c r="P1203" s="4"/>
    </row>
    <row r="1204" spans="16:16" x14ac:dyDescent="0.25">
      <c r="P1204" s="4"/>
    </row>
    <row r="1205" spans="16:16" x14ac:dyDescent="0.25">
      <c r="P1205" s="4"/>
    </row>
    <row r="1206" spans="16:16" x14ac:dyDescent="0.25">
      <c r="P1206" s="4"/>
    </row>
    <row r="1207" spans="16:16" x14ac:dyDescent="0.25">
      <c r="P1207" s="4"/>
    </row>
    <row r="1208" spans="16:16" x14ac:dyDescent="0.25">
      <c r="P1208" s="4"/>
    </row>
    <row r="1209" spans="16:16" x14ac:dyDescent="0.25">
      <c r="P1209" s="4"/>
    </row>
    <row r="1210" spans="16:16" x14ac:dyDescent="0.25">
      <c r="P1210" s="4"/>
    </row>
    <row r="1211" spans="16:16" x14ac:dyDescent="0.25">
      <c r="P1211" s="4"/>
    </row>
    <row r="1212" spans="16:16" x14ac:dyDescent="0.25">
      <c r="P1212" s="4"/>
    </row>
    <row r="1213" spans="16:16" x14ac:dyDescent="0.25">
      <c r="P1213" s="4"/>
    </row>
    <row r="1214" spans="16:16" x14ac:dyDescent="0.25">
      <c r="P1214" s="4"/>
    </row>
    <row r="1215" spans="16:16" x14ac:dyDescent="0.25">
      <c r="P1215" s="4"/>
    </row>
    <row r="1216" spans="16:16" x14ac:dyDescent="0.25">
      <c r="P1216" s="4"/>
    </row>
    <row r="1217" spans="16:16" x14ac:dyDescent="0.25">
      <c r="P1217" s="4"/>
    </row>
    <row r="1218" spans="16:16" x14ac:dyDescent="0.25">
      <c r="P1218" s="4"/>
    </row>
    <row r="1219" spans="16:16" x14ac:dyDescent="0.25">
      <c r="P1219" s="4"/>
    </row>
    <row r="1220" spans="16:16" x14ac:dyDescent="0.25">
      <c r="P1220" s="4"/>
    </row>
    <row r="1221" spans="16:16" x14ac:dyDescent="0.25">
      <c r="P1221" s="4"/>
    </row>
    <row r="1222" spans="16:16" x14ac:dyDescent="0.25">
      <c r="P1222" s="4"/>
    </row>
    <row r="1223" spans="16:16" x14ac:dyDescent="0.25">
      <c r="P1223" s="4"/>
    </row>
    <row r="1224" spans="16:16" x14ac:dyDescent="0.25">
      <c r="P1224" s="4"/>
    </row>
    <row r="1225" spans="16:16" x14ac:dyDescent="0.25">
      <c r="P1225" s="4"/>
    </row>
    <row r="1226" spans="16:16" x14ac:dyDescent="0.25">
      <c r="P1226" s="4"/>
    </row>
    <row r="1227" spans="16:16" x14ac:dyDescent="0.25">
      <c r="P1227" s="4"/>
    </row>
    <row r="1228" spans="16:16" x14ac:dyDescent="0.25">
      <c r="P1228" s="4"/>
    </row>
    <row r="1229" spans="16:16" x14ac:dyDescent="0.25">
      <c r="P1229" s="4"/>
    </row>
    <row r="1230" spans="16:16" x14ac:dyDescent="0.25">
      <c r="P1230" s="4"/>
    </row>
    <row r="1231" spans="16:16" x14ac:dyDescent="0.25">
      <c r="P1231" s="4"/>
    </row>
    <row r="1232" spans="16:16" x14ac:dyDescent="0.25">
      <c r="P1232" s="4"/>
    </row>
    <row r="1233" spans="16:16" x14ac:dyDescent="0.25">
      <c r="P1233" s="4"/>
    </row>
    <row r="1234" spans="16:16" x14ac:dyDescent="0.25">
      <c r="P1234" s="4"/>
    </row>
    <row r="1235" spans="16:16" x14ac:dyDescent="0.25">
      <c r="P1235" s="4"/>
    </row>
    <row r="1236" spans="16:16" x14ac:dyDescent="0.25">
      <c r="P1236" s="4"/>
    </row>
    <row r="1237" spans="16:16" x14ac:dyDescent="0.25">
      <c r="P1237" s="4"/>
    </row>
    <row r="1238" spans="16:16" x14ac:dyDescent="0.25">
      <c r="P1238" s="4"/>
    </row>
    <row r="1239" spans="16:16" x14ac:dyDescent="0.25">
      <c r="P1239" s="4"/>
    </row>
    <row r="1240" spans="16:16" x14ac:dyDescent="0.25">
      <c r="P1240" s="4"/>
    </row>
    <row r="1241" spans="16:16" x14ac:dyDescent="0.25">
      <c r="P1241" s="4"/>
    </row>
    <row r="1242" spans="16:16" x14ac:dyDescent="0.25">
      <c r="P1242" s="4"/>
    </row>
    <row r="1243" spans="16:16" x14ac:dyDescent="0.25">
      <c r="P1243" s="4"/>
    </row>
    <row r="1244" spans="16:16" x14ac:dyDescent="0.25">
      <c r="P1244" s="4"/>
    </row>
    <row r="1245" spans="16:16" x14ac:dyDescent="0.25">
      <c r="P1245" s="4"/>
    </row>
    <row r="1246" spans="16:16" x14ac:dyDescent="0.25">
      <c r="P1246" s="4"/>
    </row>
    <row r="1247" spans="16:16" x14ac:dyDescent="0.25">
      <c r="P1247" s="4"/>
    </row>
    <row r="1248" spans="16:16" x14ac:dyDescent="0.25">
      <c r="P1248" s="4"/>
    </row>
    <row r="1249" spans="16:16" x14ac:dyDescent="0.25">
      <c r="P1249" s="4"/>
    </row>
    <row r="1250" spans="16:16" x14ac:dyDescent="0.25">
      <c r="P1250" s="4"/>
    </row>
    <row r="1251" spans="16:16" x14ac:dyDescent="0.25">
      <c r="P1251" s="4"/>
    </row>
    <row r="1252" spans="16:16" x14ac:dyDescent="0.25">
      <c r="P1252" s="4"/>
    </row>
    <row r="1253" spans="16:16" x14ac:dyDescent="0.25">
      <c r="P1253" s="4"/>
    </row>
    <row r="1254" spans="16:16" x14ac:dyDescent="0.25">
      <c r="P1254" s="4"/>
    </row>
    <row r="1255" spans="16:16" x14ac:dyDescent="0.25">
      <c r="P1255" s="4"/>
    </row>
    <row r="1256" spans="16:16" x14ac:dyDescent="0.25">
      <c r="P1256" s="4"/>
    </row>
    <row r="1257" spans="16:16" x14ac:dyDescent="0.25">
      <c r="P1257" s="4"/>
    </row>
    <row r="1258" spans="16:16" x14ac:dyDescent="0.25">
      <c r="P1258" s="4"/>
    </row>
    <row r="1259" spans="16:16" x14ac:dyDescent="0.25">
      <c r="P1259" s="4"/>
    </row>
    <row r="1260" spans="16:16" x14ac:dyDescent="0.25">
      <c r="P1260" s="4"/>
    </row>
    <row r="1261" spans="16:16" x14ac:dyDescent="0.25">
      <c r="P1261" s="4"/>
    </row>
    <row r="1262" spans="16:16" x14ac:dyDescent="0.25">
      <c r="P1262" s="4"/>
    </row>
    <row r="1263" spans="16:16" x14ac:dyDescent="0.25">
      <c r="P1263" s="4"/>
    </row>
    <row r="1264" spans="16:16" x14ac:dyDescent="0.25">
      <c r="P1264" s="4"/>
    </row>
    <row r="1265" spans="16:16" x14ac:dyDescent="0.25">
      <c r="P1265" s="4"/>
    </row>
    <row r="1266" spans="16:16" x14ac:dyDescent="0.25">
      <c r="P1266" s="4"/>
    </row>
    <row r="1267" spans="16:16" x14ac:dyDescent="0.25">
      <c r="P1267" s="4"/>
    </row>
    <row r="1268" spans="16:16" x14ac:dyDescent="0.25">
      <c r="P1268" s="4"/>
    </row>
    <row r="1269" spans="16:16" x14ac:dyDescent="0.25">
      <c r="P1269" s="4"/>
    </row>
    <row r="1270" spans="16:16" x14ac:dyDescent="0.25">
      <c r="P1270" s="4"/>
    </row>
    <row r="1271" spans="16:16" x14ac:dyDescent="0.25">
      <c r="P1271" s="4"/>
    </row>
    <row r="1272" spans="16:16" x14ac:dyDescent="0.25">
      <c r="P1272" s="4"/>
    </row>
    <row r="1273" spans="16:16" x14ac:dyDescent="0.25">
      <c r="P1273" s="4"/>
    </row>
    <row r="1274" spans="16:16" x14ac:dyDescent="0.25">
      <c r="P1274" s="4"/>
    </row>
    <row r="1275" spans="16:16" x14ac:dyDescent="0.25">
      <c r="P1275" s="4"/>
    </row>
    <row r="1276" spans="16:16" x14ac:dyDescent="0.25">
      <c r="P1276" s="4"/>
    </row>
    <row r="1277" spans="16:16" x14ac:dyDescent="0.25">
      <c r="P1277" s="4"/>
    </row>
    <row r="1278" spans="16:16" x14ac:dyDescent="0.25">
      <c r="P1278" s="4"/>
    </row>
    <row r="1279" spans="16:16" x14ac:dyDescent="0.25">
      <c r="P1279" s="4"/>
    </row>
    <row r="1280" spans="16:16" x14ac:dyDescent="0.25">
      <c r="P1280" s="4"/>
    </row>
    <row r="1281" spans="16:16" x14ac:dyDescent="0.25">
      <c r="P1281" s="4"/>
    </row>
    <row r="1282" spans="16:16" x14ac:dyDescent="0.25">
      <c r="P1282" s="4"/>
    </row>
    <row r="1283" spans="16:16" x14ac:dyDescent="0.25">
      <c r="P1283" s="4"/>
    </row>
    <row r="1284" spans="16:16" x14ac:dyDescent="0.25">
      <c r="P1284" s="4"/>
    </row>
    <row r="1285" spans="16:16" x14ac:dyDescent="0.25">
      <c r="P1285" s="4"/>
    </row>
    <row r="1286" spans="16:16" x14ac:dyDescent="0.25">
      <c r="P1286" s="4"/>
    </row>
    <row r="1287" spans="16:16" x14ac:dyDescent="0.25">
      <c r="P1287" s="4"/>
    </row>
    <row r="1288" spans="16:16" x14ac:dyDescent="0.25">
      <c r="P1288" s="4"/>
    </row>
    <row r="1289" spans="16:16" x14ac:dyDescent="0.25">
      <c r="P1289" s="4"/>
    </row>
    <row r="1290" spans="16:16" x14ac:dyDescent="0.25">
      <c r="P1290" s="4"/>
    </row>
    <row r="1291" spans="16:16" x14ac:dyDescent="0.25">
      <c r="P1291" s="4"/>
    </row>
    <row r="1292" spans="16:16" x14ac:dyDescent="0.25">
      <c r="P1292" s="4"/>
    </row>
    <row r="1293" spans="16:16" x14ac:dyDescent="0.25">
      <c r="P1293" s="4"/>
    </row>
    <row r="1294" spans="16:16" x14ac:dyDescent="0.25">
      <c r="P1294" s="4"/>
    </row>
    <row r="1295" spans="16:16" x14ac:dyDescent="0.25">
      <c r="P1295" s="4"/>
    </row>
    <row r="1296" spans="16:16" x14ac:dyDescent="0.25">
      <c r="P1296" s="4"/>
    </row>
    <row r="1297" spans="16:16" x14ac:dyDescent="0.25">
      <c r="P1297" s="4"/>
    </row>
    <row r="1298" spans="16:16" x14ac:dyDescent="0.25">
      <c r="P1298" s="4"/>
    </row>
    <row r="1299" spans="16:16" x14ac:dyDescent="0.25">
      <c r="P1299" s="4"/>
    </row>
    <row r="1300" spans="16:16" x14ac:dyDescent="0.25">
      <c r="P1300" s="4"/>
    </row>
    <row r="1301" spans="16:16" x14ac:dyDescent="0.25">
      <c r="P1301" s="4"/>
    </row>
    <row r="1302" spans="16:16" x14ac:dyDescent="0.25">
      <c r="P1302" s="4"/>
    </row>
    <row r="1303" spans="16:16" x14ac:dyDescent="0.25">
      <c r="P1303" s="4"/>
    </row>
    <row r="1304" spans="16:16" x14ac:dyDescent="0.25">
      <c r="P1304" s="4"/>
    </row>
    <row r="1305" spans="16:16" x14ac:dyDescent="0.25">
      <c r="P1305" s="4"/>
    </row>
    <row r="1306" spans="16:16" x14ac:dyDescent="0.25">
      <c r="P1306" s="4"/>
    </row>
    <row r="1307" spans="16:16" x14ac:dyDescent="0.25">
      <c r="P1307" s="4"/>
    </row>
    <row r="1308" spans="16:16" x14ac:dyDescent="0.25">
      <c r="P1308" s="4"/>
    </row>
    <row r="1309" spans="16:16" x14ac:dyDescent="0.25">
      <c r="P1309" s="4"/>
    </row>
    <row r="1310" spans="16:16" x14ac:dyDescent="0.25">
      <c r="P1310" s="4"/>
    </row>
    <row r="1311" spans="16:16" x14ac:dyDescent="0.25">
      <c r="P1311" s="4"/>
    </row>
    <row r="1312" spans="16:16" x14ac:dyDescent="0.25">
      <c r="P1312" s="4"/>
    </row>
    <row r="1313" spans="16:16" x14ac:dyDescent="0.25">
      <c r="P1313" s="4"/>
    </row>
    <row r="1314" spans="16:16" x14ac:dyDescent="0.25">
      <c r="P1314" s="4"/>
    </row>
    <row r="1315" spans="16:16" x14ac:dyDescent="0.25">
      <c r="P1315" s="4"/>
    </row>
    <row r="1316" spans="16:16" x14ac:dyDescent="0.25">
      <c r="P1316" s="4"/>
    </row>
    <row r="1317" spans="16:16" x14ac:dyDescent="0.25">
      <c r="P1317" s="4"/>
    </row>
    <row r="1318" spans="16:16" x14ac:dyDescent="0.25">
      <c r="P1318" s="4"/>
    </row>
    <row r="1319" spans="16:16" x14ac:dyDescent="0.25">
      <c r="P1319" s="4"/>
    </row>
    <row r="1320" spans="16:16" x14ac:dyDescent="0.25">
      <c r="P1320" s="4"/>
    </row>
    <row r="1321" spans="16:16" x14ac:dyDescent="0.25">
      <c r="P1321" s="4"/>
    </row>
    <row r="1322" spans="16:16" x14ac:dyDescent="0.25">
      <c r="P1322" s="4"/>
    </row>
    <row r="1323" spans="16:16" x14ac:dyDescent="0.25">
      <c r="P1323" s="4"/>
    </row>
    <row r="1324" spans="16:16" x14ac:dyDescent="0.25">
      <c r="P1324" s="4"/>
    </row>
    <row r="1325" spans="16:16" x14ac:dyDescent="0.25">
      <c r="P1325" s="4"/>
    </row>
    <row r="1326" spans="16:16" x14ac:dyDescent="0.25">
      <c r="P1326" s="4"/>
    </row>
    <row r="1327" spans="16:16" x14ac:dyDescent="0.25">
      <c r="P1327" s="4"/>
    </row>
    <row r="1328" spans="16:16" x14ac:dyDescent="0.25">
      <c r="P1328" s="4"/>
    </row>
    <row r="1329" spans="16:16" x14ac:dyDescent="0.25">
      <c r="P1329" s="4"/>
    </row>
    <row r="1330" spans="16:16" x14ac:dyDescent="0.25">
      <c r="P1330" s="4"/>
    </row>
    <row r="1331" spans="16:16" x14ac:dyDescent="0.25">
      <c r="P1331" s="4"/>
    </row>
    <row r="1332" spans="16:16" x14ac:dyDescent="0.25">
      <c r="P1332" s="4"/>
    </row>
    <row r="1333" spans="16:16" x14ac:dyDescent="0.25">
      <c r="P1333" s="4"/>
    </row>
    <row r="1334" spans="16:16" x14ac:dyDescent="0.25">
      <c r="P1334" s="4"/>
    </row>
    <row r="1335" spans="16:16" x14ac:dyDescent="0.25">
      <c r="P1335" s="4"/>
    </row>
    <row r="1336" spans="16:16" x14ac:dyDescent="0.25">
      <c r="P1336" s="4"/>
    </row>
    <row r="1337" spans="16:16" x14ac:dyDescent="0.25">
      <c r="P1337" s="4"/>
    </row>
    <row r="1338" spans="16:16" x14ac:dyDescent="0.25">
      <c r="P1338" s="4"/>
    </row>
    <row r="1339" spans="16:16" x14ac:dyDescent="0.25">
      <c r="P1339" s="4"/>
    </row>
    <row r="1340" spans="16:16" x14ac:dyDescent="0.25">
      <c r="P1340" s="4"/>
    </row>
    <row r="1341" spans="16:16" x14ac:dyDescent="0.25">
      <c r="P1341" s="4"/>
    </row>
    <row r="1342" spans="16:16" x14ac:dyDescent="0.25">
      <c r="P1342" s="4"/>
    </row>
    <row r="1343" spans="16:16" x14ac:dyDescent="0.25">
      <c r="P1343" s="4"/>
    </row>
    <row r="1344" spans="16:16" x14ac:dyDescent="0.25">
      <c r="P1344" s="4"/>
    </row>
    <row r="1345" spans="16:16" x14ac:dyDescent="0.25">
      <c r="P1345" s="4"/>
    </row>
    <row r="1346" spans="16:16" x14ac:dyDescent="0.25">
      <c r="P1346" s="4"/>
    </row>
    <row r="1347" spans="16:16" x14ac:dyDescent="0.25">
      <c r="P1347" s="4"/>
    </row>
    <row r="1348" spans="16:16" x14ac:dyDescent="0.25">
      <c r="P1348" s="4"/>
    </row>
    <row r="1349" spans="16:16" x14ac:dyDescent="0.25">
      <c r="P1349" s="4"/>
    </row>
    <row r="1350" spans="16:16" x14ac:dyDescent="0.25">
      <c r="P1350" s="4"/>
    </row>
    <row r="1351" spans="16:16" x14ac:dyDescent="0.25">
      <c r="P1351" s="4"/>
    </row>
    <row r="1352" spans="16:16" x14ac:dyDescent="0.25">
      <c r="P1352" s="4"/>
    </row>
    <row r="1353" spans="16:16" x14ac:dyDescent="0.25">
      <c r="P1353" s="4"/>
    </row>
    <row r="1354" spans="16:16" x14ac:dyDescent="0.25">
      <c r="P1354" s="4"/>
    </row>
    <row r="1355" spans="16:16" x14ac:dyDescent="0.25">
      <c r="P1355" s="4"/>
    </row>
    <row r="1356" spans="16:16" x14ac:dyDescent="0.25">
      <c r="P1356" s="4"/>
    </row>
    <row r="1357" spans="16:16" x14ac:dyDescent="0.25">
      <c r="P1357" s="4"/>
    </row>
    <row r="1358" spans="16:16" x14ac:dyDescent="0.25">
      <c r="P1358" s="4"/>
    </row>
    <row r="1359" spans="16:16" x14ac:dyDescent="0.25">
      <c r="P1359" s="4"/>
    </row>
    <row r="1360" spans="16:16" x14ac:dyDescent="0.25">
      <c r="P1360" s="4"/>
    </row>
    <row r="1361" spans="16:16" x14ac:dyDescent="0.25">
      <c r="P1361" s="4"/>
    </row>
    <row r="1362" spans="16:16" x14ac:dyDescent="0.25">
      <c r="P1362" s="4"/>
    </row>
    <row r="1363" spans="16:16" x14ac:dyDescent="0.25">
      <c r="P1363" s="4"/>
    </row>
    <row r="1364" spans="16:16" x14ac:dyDescent="0.25">
      <c r="P1364" s="4"/>
    </row>
    <row r="1365" spans="16:16" x14ac:dyDescent="0.25">
      <c r="P1365" s="4"/>
    </row>
    <row r="1366" spans="16:16" x14ac:dyDescent="0.25">
      <c r="P1366" s="4"/>
    </row>
    <row r="1367" spans="16:16" x14ac:dyDescent="0.25">
      <c r="P1367" s="4"/>
    </row>
    <row r="1368" spans="16:16" x14ac:dyDescent="0.25">
      <c r="P1368" s="4"/>
    </row>
    <row r="1369" spans="16:16" x14ac:dyDescent="0.25">
      <c r="P1369" s="4"/>
    </row>
    <row r="1370" spans="16:16" x14ac:dyDescent="0.25">
      <c r="P1370" s="4"/>
    </row>
    <row r="1371" spans="16:16" x14ac:dyDescent="0.25">
      <c r="P1371" s="4"/>
    </row>
    <row r="1372" spans="16:16" x14ac:dyDescent="0.25">
      <c r="P1372" s="4"/>
    </row>
    <row r="1373" spans="16:16" x14ac:dyDescent="0.25">
      <c r="P1373" s="4"/>
    </row>
    <row r="1374" spans="16:16" x14ac:dyDescent="0.25">
      <c r="P1374" s="4"/>
    </row>
    <row r="1375" spans="16:16" x14ac:dyDescent="0.25">
      <c r="P1375" s="4"/>
    </row>
    <row r="1376" spans="16:16" x14ac:dyDescent="0.25">
      <c r="P1376" s="4"/>
    </row>
    <row r="1377" spans="16:16" x14ac:dyDescent="0.25">
      <c r="P1377" s="4"/>
    </row>
    <row r="1378" spans="16:16" x14ac:dyDescent="0.25">
      <c r="P1378" s="4"/>
    </row>
    <row r="1379" spans="16:16" x14ac:dyDescent="0.25">
      <c r="P1379" s="4"/>
    </row>
    <row r="1380" spans="16:16" x14ac:dyDescent="0.25">
      <c r="P1380" s="4"/>
    </row>
    <row r="1381" spans="16:16" x14ac:dyDescent="0.25">
      <c r="P1381" s="4"/>
    </row>
    <row r="1382" spans="16:16" x14ac:dyDescent="0.25">
      <c r="P1382" s="4"/>
    </row>
    <row r="1383" spans="16:16" x14ac:dyDescent="0.25">
      <c r="P1383" s="4"/>
    </row>
    <row r="1384" spans="16:16" x14ac:dyDescent="0.25">
      <c r="P1384" s="4"/>
    </row>
    <row r="1385" spans="16:16" x14ac:dyDescent="0.25">
      <c r="P1385" s="4"/>
    </row>
    <row r="1386" spans="16:16" x14ac:dyDescent="0.25">
      <c r="P1386" s="4"/>
    </row>
    <row r="1387" spans="16:16" x14ac:dyDescent="0.25">
      <c r="P1387" s="4"/>
    </row>
    <row r="1388" spans="16:16" x14ac:dyDescent="0.25">
      <c r="P1388" s="4"/>
    </row>
    <row r="1389" spans="16:16" x14ac:dyDescent="0.25">
      <c r="P1389" s="4"/>
    </row>
    <row r="1390" spans="16:16" x14ac:dyDescent="0.25">
      <c r="P1390" s="4"/>
    </row>
    <row r="1391" spans="16:16" x14ac:dyDescent="0.25">
      <c r="P1391" s="4"/>
    </row>
    <row r="1392" spans="16:16" x14ac:dyDescent="0.25">
      <c r="P1392" s="4"/>
    </row>
    <row r="1393" spans="16:16" x14ac:dyDescent="0.25">
      <c r="P1393" s="4"/>
    </row>
    <row r="1394" spans="16:16" x14ac:dyDescent="0.25">
      <c r="P1394" s="4"/>
    </row>
    <row r="1395" spans="16:16" x14ac:dyDescent="0.25">
      <c r="P1395" s="4"/>
    </row>
    <row r="1396" spans="16:16" x14ac:dyDescent="0.25">
      <c r="P1396" s="4"/>
    </row>
    <row r="1397" spans="16:16" x14ac:dyDescent="0.25">
      <c r="P1397" s="4"/>
    </row>
    <row r="1398" spans="16:16" x14ac:dyDescent="0.25">
      <c r="P1398" s="4"/>
    </row>
    <row r="1399" spans="16:16" x14ac:dyDescent="0.25">
      <c r="P1399" s="4"/>
    </row>
    <row r="1400" spans="16:16" x14ac:dyDescent="0.25">
      <c r="P1400" s="4"/>
    </row>
    <row r="1401" spans="16:16" x14ac:dyDescent="0.25">
      <c r="P1401" s="4"/>
    </row>
    <row r="1402" spans="16:16" x14ac:dyDescent="0.25">
      <c r="P1402" s="4"/>
    </row>
    <row r="1403" spans="16:16" x14ac:dyDescent="0.25">
      <c r="P1403" s="4"/>
    </row>
    <row r="1404" spans="16:16" x14ac:dyDescent="0.25">
      <c r="P1404" s="4"/>
    </row>
    <row r="1405" spans="16:16" x14ac:dyDescent="0.25">
      <c r="P1405" s="4"/>
    </row>
    <row r="1406" spans="16:16" x14ac:dyDescent="0.25">
      <c r="P1406" s="4"/>
    </row>
    <row r="1407" spans="16:16" x14ac:dyDescent="0.25">
      <c r="P1407" s="4"/>
    </row>
    <row r="1408" spans="16:16" x14ac:dyDescent="0.25">
      <c r="P1408" s="4"/>
    </row>
    <row r="1409" spans="16:16" x14ac:dyDescent="0.25">
      <c r="P1409" s="4"/>
    </row>
    <row r="1410" spans="16:16" x14ac:dyDescent="0.25">
      <c r="P1410" s="4"/>
    </row>
    <row r="1411" spans="16:16" x14ac:dyDescent="0.25">
      <c r="P1411" s="4"/>
    </row>
    <row r="1412" spans="16:16" x14ac:dyDescent="0.25">
      <c r="P1412" s="4"/>
    </row>
    <row r="1413" spans="16:16" x14ac:dyDescent="0.25">
      <c r="P1413" s="4"/>
    </row>
    <row r="1414" spans="16:16" x14ac:dyDescent="0.25">
      <c r="P1414" s="4"/>
    </row>
    <row r="1415" spans="16:16" x14ac:dyDescent="0.25">
      <c r="P1415" s="4"/>
    </row>
    <row r="1416" spans="16:16" x14ac:dyDescent="0.25">
      <c r="P1416" s="4"/>
    </row>
    <row r="1417" spans="16:16" x14ac:dyDescent="0.25">
      <c r="P1417" s="4"/>
    </row>
    <row r="1418" spans="16:16" x14ac:dyDescent="0.25">
      <c r="P1418" s="4"/>
    </row>
    <row r="1419" spans="16:16" x14ac:dyDescent="0.25">
      <c r="P1419" s="4"/>
    </row>
    <row r="1420" spans="16:16" x14ac:dyDescent="0.25">
      <c r="P1420" s="4"/>
    </row>
    <row r="1421" spans="16:16" x14ac:dyDescent="0.25">
      <c r="P1421" s="4"/>
    </row>
    <row r="1422" spans="16:16" x14ac:dyDescent="0.25">
      <c r="P1422" s="4"/>
    </row>
    <row r="1423" spans="16:16" x14ac:dyDescent="0.25">
      <c r="P1423" s="4"/>
    </row>
    <row r="1424" spans="16:16" x14ac:dyDescent="0.25">
      <c r="P1424" s="4"/>
    </row>
    <row r="1425" spans="16:16" x14ac:dyDescent="0.25">
      <c r="P1425" s="4"/>
    </row>
    <row r="1426" spans="16:16" x14ac:dyDescent="0.25">
      <c r="P1426" s="4"/>
    </row>
    <row r="1427" spans="16:16" x14ac:dyDescent="0.25">
      <c r="P1427" s="4"/>
    </row>
    <row r="1428" spans="16:16" x14ac:dyDescent="0.25">
      <c r="P1428" s="4"/>
    </row>
    <row r="1429" spans="16:16" x14ac:dyDescent="0.25">
      <c r="P1429" s="4"/>
    </row>
    <row r="1430" spans="16:16" x14ac:dyDescent="0.25">
      <c r="P1430" s="4"/>
    </row>
    <row r="1431" spans="16:16" x14ac:dyDescent="0.25">
      <c r="P1431" s="4"/>
    </row>
    <row r="1432" spans="16:16" x14ac:dyDescent="0.25">
      <c r="P1432" s="4"/>
    </row>
    <row r="1433" spans="16:16" x14ac:dyDescent="0.25">
      <c r="P1433" s="4"/>
    </row>
    <row r="1434" spans="16:16" x14ac:dyDescent="0.25">
      <c r="P1434" s="4"/>
    </row>
    <row r="1435" spans="16:16" x14ac:dyDescent="0.25">
      <c r="P1435" s="4"/>
    </row>
    <row r="1436" spans="16:16" x14ac:dyDescent="0.25">
      <c r="P1436" s="4"/>
    </row>
    <row r="1437" spans="16:16" x14ac:dyDescent="0.25">
      <c r="P1437" s="4"/>
    </row>
    <row r="1438" spans="16:16" x14ac:dyDescent="0.25">
      <c r="P1438" s="4"/>
    </row>
    <row r="1439" spans="16:16" x14ac:dyDescent="0.25">
      <c r="P1439" s="4"/>
    </row>
    <row r="1440" spans="16:16" x14ac:dyDescent="0.25">
      <c r="P1440" s="4"/>
    </row>
    <row r="1441" spans="16:16" x14ac:dyDescent="0.25">
      <c r="P1441" s="4"/>
    </row>
    <row r="1442" spans="16:16" x14ac:dyDescent="0.25">
      <c r="P1442" s="4"/>
    </row>
    <row r="1443" spans="16:16" x14ac:dyDescent="0.25">
      <c r="P1443" s="4"/>
    </row>
    <row r="1444" spans="16:16" x14ac:dyDescent="0.25">
      <c r="P1444" s="4"/>
    </row>
    <row r="1445" spans="16:16" x14ac:dyDescent="0.25">
      <c r="P1445" s="4"/>
    </row>
    <row r="1446" spans="16:16" x14ac:dyDescent="0.25">
      <c r="P1446" s="4"/>
    </row>
    <row r="1447" spans="16:16" x14ac:dyDescent="0.25">
      <c r="P1447" s="4"/>
    </row>
    <row r="1448" spans="16:16" x14ac:dyDescent="0.25">
      <c r="P1448" s="4"/>
    </row>
    <row r="1449" spans="16:16" x14ac:dyDescent="0.25">
      <c r="P1449" s="4"/>
    </row>
    <row r="1450" spans="16:16" x14ac:dyDescent="0.25">
      <c r="P1450" s="4"/>
    </row>
    <row r="1451" spans="16:16" x14ac:dyDescent="0.25">
      <c r="P1451" s="4"/>
    </row>
    <row r="1452" spans="16:16" x14ac:dyDescent="0.25">
      <c r="P1452" s="4"/>
    </row>
    <row r="1453" spans="16:16" x14ac:dyDescent="0.25">
      <c r="P1453" s="4"/>
    </row>
    <row r="1454" spans="16:16" x14ac:dyDescent="0.25">
      <c r="P1454" s="4"/>
    </row>
    <row r="1455" spans="16:16" x14ac:dyDescent="0.25">
      <c r="P1455" s="4"/>
    </row>
    <row r="1456" spans="16:16" x14ac:dyDescent="0.25">
      <c r="P1456" s="4"/>
    </row>
    <row r="1457" spans="16:16" x14ac:dyDescent="0.25">
      <c r="P1457" s="4"/>
    </row>
    <row r="1458" spans="16:16" x14ac:dyDescent="0.25">
      <c r="P1458" s="4"/>
    </row>
    <row r="1459" spans="16:16" x14ac:dyDescent="0.25">
      <c r="P1459" s="4"/>
    </row>
    <row r="1460" spans="16:16" x14ac:dyDescent="0.25">
      <c r="P1460" s="4"/>
    </row>
    <row r="1461" spans="16:16" x14ac:dyDescent="0.25">
      <c r="P1461" s="4"/>
    </row>
    <row r="1462" spans="16:16" x14ac:dyDescent="0.25">
      <c r="P1462" s="4"/>
    </row>
    <row r="1463" spans="16:16" x14ac:dyDescent="0.25">
      <c r="P1463" s="4"/>
    </row>
    <row r="1464" spans="16:16" x14ac:dyDescent="0.25">
      <c r="P1464" s="4"/>
    </row>
    <row r="1465" spans="16:16" x14ac:dyDescent="0.25">
      <c r="P1465" s="4"/>
    </row>
    <row r="1466" spans="16:16" x14ac:dyDescent="0.25">
      <c r="P1466" s="4"/>
    </row>
    <row r="1467" spans="16:16" x14ac:dyDescent="0.25">
      <c r="P1467" s="4"/>
    </row>
    <row r="1468" spans="16:16" x14ac:dyDescent="0.25">
      <c r="P1468" s="4"/>
    </row>
    <row r="1469" spans="16:16" x14ac:dyDescent="0.25">
      <c r="P1469" s="4"/>
    </row>
    <row r="1470" spans="16:16" x14ac:dyDescent="0.25">
      <c r="P1470" s="4"/>
    </row>
    <row r="1471" spans="16:16" x14ac:dyDescent="0.25">
      <c r="P1471" s="4"/>
    </row>
    <row r="1472" spans="16:16" x14ac:dyDescent="0.25">
      <c r="P1472" s="4"/>
    </row>
    <row r="1473" spans="16:16" x14ac:dyDescent="0.25">
      <c r="P1473" s="4"/>
    </row>
    <row r="1474" spans="16:16" x14ac:dyDescent="0.25">
      <c r="P1474" s="4"/>
    </row>
    <row r="1475" spans="16:16" x14ac:dyDescent="0.25">
      <c r="P1475" s="4"/>
    </row>
    <row r="1476" spans="16:16" x14ac:dyDescent="0.25">
      <c r="P1476" s="4"/>
    </row>
    <row r="1477" spans="16:16" x14ac:dyDescent="0.25">
      <c r="P1477" s="4"/>
    </row>
    <row r="1478" spans="16:16" x14ac:dyDescent="0.25">
      <c r="P1478" s="4"/>
    </row>
    <row r="1479" spans="16:16" x14ac:dyDescent="0.25">
      <c r="P1479" s="4"/>
    </row>
    <row r="1480" spans="16:16" x14ac:dyDescent="0.25">
      <c r="P1480" s="4"/>
    </row>
    <row r="1481" spans="16:16" x14ac:dyDescent="0.25">
      <c r="P1481" s="4"/>
    </row>
    <row r="1482" spans="16:16" x14ac:dyDescent="0.25">
      <c r="P1482" s="4"/>
    </row>
    <row r="1483" spans="16:16" x14ac:dyDescent="0.25">
      <c r="P1483" s="4"/>
    </row>
    <row r="1484" spans="16:16" x14ac:dyDescent="0.25">
      <c r="P1484" s="4"/>
    </row>
    <row r="1485" spans="16:16" x14ac:dyDescent="0.25">
      <c r="P1485" s="4"/>
    </row>
    <row r="1486" spans="16:16" x14ac:dyDescent="0.25">
      <c r="P1486" s="4"/>
    </row>
    <row r="1487" spans="16:16" x14ac:dyDescent="0.25">
      <c r="P1487" s="4"/>
    </row>
    <row r="1488" spans="16:16" x14ac:dyDescent="0.25">
      <c r="P1488" s="4"/>
    </row>
    <row r="1489" spans="16:16" x14ac:dyDescent="0.25">
      <c r="P1489" s="4"/>
    </row>
    <row r="1490" spans="16:16" x14ac:dyDescent="0.25">
      <c r="P1490" s="4"/>
    </row>
    <row r="1491" spans="16:16" x14ac:dyDescent="0.25">
      <c r="P1491" s="4"/>
    </row>
    <row r="1492" spans="16:16" x14ac:dyDescent="0.25">
      <c r="P1492" s="4"/>
    </row>
    <row r="1493" spans="16:16" x14ac:dyDescent="0.25">
      <c r="P1493" s="4"/>
    </row>
    <row r="1494" spans="16:16" x14ac:dyDescent="0.25">
      <c r="P1494" s="4"/>
    </row>
    <row r="1495" spans="16:16" x14ac:dyDescent="0.25">
      <c r="P1495" s="4"/>
    </row>
    <row r="1496" spans="16:16" x14ac:dyDescent="0.25">
      <c r="P1496" s="4"/>
    </row>
    <row r="1497" spans="16:16" x14ac:dyDescent="0.25">
      <c r="P1497" s="4"/>
    </row>
    <row r="1498" spans="16:16" x14ac:dyDescent="0.25">
      <c r="P1498" s="4"/>
    </row>
    <row r="1499" spans="16:16" x14ac:dyDescent="0.25">
      <c r="P1499" s="4"/>
    </row>
    <row r="1500" spans="16:16" x14ac:dyDescent="0.25">
      <c r="P1500" s="4"/>
    </row>
    <row r="1501" spans="16:16" x14ac:dyDescent="0.25">
      <c r="P1501" s="4"/>
    </row>
    <row r="1502" spans="16:16" x14ac:dyDescent="0.25">
      <c r="P1502" s="4"/>
    </row>
    <row r="1503" spans="16:16" x14ac:dyDescent="0.25">
      <c r="P1503" s="4"/>
    </row>
    <row r="1504" spans="16:16" x14ac:dyDescent="0.25">
      <c r="P1504" s="4"/>
    </row>
    <row r="1505" spans="16:16" x14ac:dyDescent="0.25">
      <c r="P1505" s="4"/>
    </row>
    <row r="1506" spans="16:16" x14ac:dyDescent="0.25">
      <c r="P1506" s="4"/>
    </row>
    <row r="1507" spans="16:16" x14ac:dyDescent="0.25">
      <c r="P1507" s="4"/>
    </row>
    <row r="1508" spans="16:16" x14ac:dyDescent="0.25">
      <c r="P1508" s="4"/>
    </row>
    <row r="1509" spans="16:16" x14ac:dyDescent="0.25">
      <c r="P1509" s="4"/>
    </row>
    <row r="1510" spans="16:16" x14ac:dyDescent="0.25">
      <c r="P1510" s="4"/>
    </row>
    <row r="1511" spans="16:16" x14ac:dyDescent="0.25">
      <c r="P1511" s="4"/>
    </row>
    <row r="1512" spans="16:16" x14ac:dyDescent="0.25">
      <c r="P1512" s="4"/>
    </row>
    <row r="1513" spans="16:16" x14ac:dyDescent="0.25">
      <c r="P1513" s="4"/>
    </row>
    <row r="1514" spans="16:16" x14ac:dyDescent="0.25">
      <c r="P1514" s="4"/>
    </row>
    <row r="1515" spans="16:16" x14ac:dyDescent="0.25">
      <c r="P1515" s="4"/>
    </row>
    <row r="1516" spans="16:16" x14ac:dyDescent="0.25">
      <c r="P1516" s="4"/>
    </row>
    <row r="1517" spans="16:16" x14ac:dyDescent="0.25">
      <c r="P1517" s="4"/>
    </row>
    <row r="1518" spans="16:16" x14ac:dyDescent="0.25">
      <c r="P1518" s="4"/>
    </row>
    <row r="1519" spans="16:16" x14ac:dyDescent="0.25">
      <c r="P1519" s="4"/>
    </row>
    <row r="1520" spans="16:16" x14ac:dyDescent="0.25">
      <c r="P1520" s="4"/>
    </row>
    <row r="1521" spans="16:16" x14ac:dyDescent="0.25">
      <c r="P1521" s="4"/>
    </row>
    <row r="1522" spans="16:16" x14ac:dyDescent="0.25">
      <c r="P1522" s="4"/>
    </row>
    <row r="1523" spans="16:16" x14ac:dyDescent="0.25">
      <c r="P1523" s="4"/>
    </row>
    <row r="1524" spans="16:16" x14ac:dyDescent="0.25">
      <c r="P1524" s="4"/>
    </row>
    <row r="1525" spans="16:16" x14ac:dyDescent="0.25">
      <c r="P1525" s="4"/>
    </row>
    <row r="1526" spans="16:16" x14ac:dyDescent="0.25">
      <c r="P1526" s="4"/>
    </row>
    <row r="1527" spans="16:16" x14ac:dyDescent="0.25">
      <c r="P1527" s="4"/>
    </row>
    <row r="1528" spans="16:16" x14ac:dyDescent="0.25">
      <c r="P1528" s="4"/>
    </row>
    <row r="1529" spans="16:16" x14ac:dyDescent="0.25">
      <c r="P1529" s="4"/>
    </row>
    <row r="1530" spans="16:16" x14ac:dyDescent="0.25">
      <c r="P1530" s="4"/>
    </row>
    <row r="1531" spans="16:16" x14ac:dyDescent="0.25">
      <c r="P1531" s="4"/>
    </row>
    <row r="1532" spans="16:16" x14ac:dyDescent="0.25">
      <c r="P1532" s="4"/>
    </row>
  </sheetData>
  <mergeCells count="33">
    <mergeCell ref="F13:F14"/>
    <mergeCell ref="L13:L14"/>
    <mergeCell ref="E13:E14"/>
    <mergeCell ref="I13:I14"/>
    <mergeCell ref="P12:P14"/>
    <mergeCell ref="J13:J14"/>
    <mergeCell ref="J12:O12"/>
    <mergeCell ref="E12:I12"/>
    <mergeCell ref="L257:P257"/>
    <mergeCell ref="Q183:Q203"/>
    <mergeCell ref="A9:P9"/>
    <mergeCell ref="A257:E258"/>
    <mergeCell ref="K4:P4"/>
    <mergeCell ref="K5:P5"/>
    <mergeCell ref="A8:P8"/>
    <mergeCell ref="A12:A14"/>
    <mergeCell ref="C12:C14"/>
    <mergeCell ref="B12:B14"/>
    <mergeCell ref="D12:D14"/>
    <mergeCell ref="A10:P10"/>
    <mergeCell ref="M13:N13"/>
    <mergeCell ref="O13:O14"/>
    <mergeCell ref="K13:K14"/>
    <mergeCell ref="G13:H13"/>
    <mergeCell ref="Q137:Q160"/>
    <mergeCell ref="Q204:Q226"/>
    <mergeCell ref="Q161:Q182"/>
    <mergeCell ref="Q227:Q247"/>
    <mergeCell ref="Q34:Q55"/>
    <mergeCell ref="Q56:Q76"/>
    <mergeCell ref="Q77:Q93"/>
    <mergeCell ref="Q94:Q116"/>
    <mergeCell ref="Q117:Q136"/>
  </mergeCells>
  <phoneticPr fontId="3" type="noConversion"/>
  <printOptions horizontalCentered="1"/>
  <pageMargins left="0.19685039370078741" right="0" top="0.82677165354330717" bottom="0.11811023622047245" header="0.62992125984251968" footer="0.19685039370078741"/>
  <pageSetup paperSize="9" scale="42" fitToHeight="10000" orientation="landscape" useFirstPageNumber="1" horizontalDpi="360" verticalDpi="360" r:id="rId1"/>
  <headerFooter scaleWithDoc="0" alignWithMargins="0"/>
  <rowBreaks count="3" manualBreakCount="3">
    <brk id="160" max="16" man="1"/>
    <brk id="182" max="16" man="1"/>
    <brk id="24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showZeros="0" tabSelected="1" view="pageBreakPreview" topLeftCell="C1" zoomScale="55" zoomScaleNormal="87" zoomScaleSheetLayoutView="55" workbookViewId="0">
      <selection activeCell="H4" sqref="H4"/>
    </sheetView>
  </sheetViews>
  <sheetFormatPr defaultColWidth="9.1640625" defaultRowHeight="15.75" x14ac:dyDescent="0.25"/>
  <cols>
    <col min="1" max="1" width="19.1640625" style="92" customWidth="1"/>
    <col min="2" max="2" width="22.1640625" style="91" customWidth="1"/>
    <col min="3" max="3" width="74.1640625" style="93" customWidth="1"/>
    <col min="4" max="4" width="23.1640625" style="94" customWidth="1"/>
    <col min="5" max="5" width="23.83203125" style="94" customWidth="1"/>
    <col min="6" max="6" width="23.6640625" style="94" customWidth="1"/>
    <col min="7" max="7" width="20.83203125" style="94" customWidth="1"/>
    <col min="8" max="8" width="21.1640625" style="94" customWidth="1"/>
    <col min="9" max="9" width="22.5" style="94" customWidth="1"/>
    <col min="10" max="10" width="21.1640625" style="94" customWidth="1"/>
    <col min="11" max="11" width="21.33203125" style="94" customWidth="1"/>
    <col min="12" max="12" width="19.1640625" style="94" customWidth="1"/>
    <col min="13" max="13" width="18.83203125" style="94" customWidth="1"/>
    <col min="14" max="14" width="23" style="94" customWidth="1"/>
    <col min="15" max="15" width="22.83203125" style="94" customWidth="1"/>
    <col min="16" max="16" width="7.6640625" style="115" customWidth="1"/>
    <col min="17" max="17" width="0.1640625" style="91" customWidth="1"/>
    <col min="18" max="18" width="21.6640625" style="91" customWidth="1"/>
    <col min="19" max="19" width="12.1640625" style="91" customWidth="1"/>
    <col min="20" max="20" width="11.33203125" style="91" customWidth="1"/>
    <col min="21" max="21" width="10.83203125" style="91" customWidth="1"/>
    <col min="22" max="16384" width="9.1640625" style="91"/>
  </cols>
  <sheetData>
    <row r="1" spans="1:17" ht="27.75" customHeight="1" x14ac:dyDescent="0.45">
      <c r="J1" s="113" t="s">
        <v>516</v>
      </c>
      <c r="K1" s="113"/>
      <c r="L1" s="113"/>
      <c r="M1" s="113"/>
      <c r="N1" s="113"/>
      <c r="O1" s="113"/>
      <c r="P1" s="54"/>
      <c r="Q1" s="141"/>
    </row>
    <row r="2" spans="1:17" ht="24" customHeight="1" x14ac:dyDescent="0.25">
      <c r="J2" s="101" t="s">
        <v>360</v>
      </c>
      <c r="K2" s="101"/>
      <c r="L2" s="101"/>
      <c r="M2" s="101"/>
      <c r="N2" s="101"/>
      <c r="O2" s="101"/>
      <c r="P2" s="54"/>
      <c r="Q2" s="141"/>
    </row>
    <row r="3" spans="1:17" ht="26.25" customHeight="1" x14ac:dyDescent="0.25">
      <c r="J3" s="101" t="s">
        <v>361</v>
      </c>
      <c r="K3" s="101"/>
      <c r="L3" s="101"/>
      <c r="M3" s="101"/>
      <c r="N3" s="101"/>
      <c r="O3" s="101"/>
      <c r="P3" s="54"/>
      <c r="Q3" s="141"/>
    </row>
    <row r="4" spans="1:17" ht="26.25" customHeight="1" x14ac:dyDescent="0.45">
      <c r="J4" s="142" t="s">
        <v>522</v>
      </c>
      <c r="K4" s="142"/>
      <c r="L4" s="142"/>
      <c r="M4" s="142"/>
      <c r="N4" s="142"/>
      <c r="O4" s="142"/>
      <c r="P4" s="54"/>
      <c r="Q4" s="141"/>
    </row>
    <row r="5" spans="1:17" ht="26.25" customHeight="1" x14ac:dyDescent="0.4">
      <c r="J5" s="8"/>
      <c r="K5" s="8"/>
      <c r="L5" s="8"/>
      <c r="M5" s="8"/>
      <c r="N5" s="8"/>
      <c r="O5" s="8"/>
      <c r="P5" s="54"/>
      <c r="Q5" s="141"/>
    </row>
    <row r="6" spans="1:17" ht="26.25" customHeight="1" x14ac:dyDescent="0.4">
      <c r="J6" s="8"/>
      <c r="K6" s="8"/>
      <c r="L6" s="8"/>
      <c r="M6" s="8"/>
      <c r="N6" s="8"/>
      <c r="O6" s="8"/>
      <c r="P6" s="54"/>
      <c r="Q6" s="141"/>
    </row>
    <row r="7" spans="1:17" ht="26.25" customHeight="1" x14ac:dyDescent="0.4">
      <c r="J7" s="114"/>
      <c r="K7" s="114"/>
      <c r="L7" s="114"/>
      <c r="M7" s="114"/>
      <c r="N7" s="114"/>
      <c r="O7" s="114"/>
      <c r="P7" s="54"/>
      <c r="Q7" s="141"/>
    </row>
    <row r="8" spans="1:17" ht="26.25" customHeight="1" x14ac:dyDescent="0.4">
      <c r="J8" s="8"/>
      <c r="K8" s="8"/>
      <c r="L8" s="8"/>
      <c r="M8" s="8"/>
      <c r="N8" s="8"/>
      <c r="O8" s="8"/>
      <c r="P8" s="54"/>
      <c r="Q8" s="141"/>
    </row>
    <row r="9" spans="1:17" ht="105.75" customHeight="1" x14ac:dyDescent="0.25">
      <c r="A9" s="145" t="s">
        <v>371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54"/>
      <c r="Q9" s="141"/>
    </row>
    <row r="10" spans="1:17" ht="23.25" customHeight="1" x14ac:dyDescent="0.25">
      <c r="A10" s="144" t="s">
        <v>357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54"/>
      <c r="Q10" s="141"/>
    </row>
    <row r="11" spans="1:17" ht="21" customHeight="1" x14ac:dyDescent="0.25">
      <c r="A11" s="137" t="s">
        <v>321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54"/>
      <c r="Q11" s="141"/>
    </row>
    <row r="12" spans="1:17" s="102" customFormat="1" ht="20.25" customHeight="1" x14ac:dyDescent="0.3">
      <c r="A12" s="55"/>
      <c r="B12" s="56"/>
      <c r="C12" s="57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13" t="s">
        <v>277</v>
      </c>
      <c r="P12" s="54"/>
      <c r="Q12" s="141"/>
    </row>
    <row r="13" spans="1:17" s="95" customFormat="1" ht="21.75" customHeight="1" x14ac:dyDescent="0.25">
      <c r="A13" s="146" t="s">
        <v>261</v>
      </c>
      <c r="B13" s="146" t="s">
        <v>253</v>
      </c>
      <c r="C13" s="146" t="s">
        <v>263</v>
      </c>
      <c r="D13" s="140" t="s">
        <v>183</v>
      </c>
      <c r="E13" s="140"/>
      <c r="F13" s="140"/>
      <c r="G13" s="140"/>
      <c r="H13" s="140"/>
      <c r="I13" s="140" t="s">
        <v>184</v>
      </c>
      <c r="J13" s="140"/>
      <c r="K13" s="140"/>
      <c r="L13" s="140"/>
      <c r="M13" s="140"/>
      <c r="N13" s="140"/>
      <c r="O13" s="140" t="s">
        <v>185</v>
      </c>
      <c r="P13" s="54"/>
      <c r="Q13" s="141"/>
    </row>
    <row r="14" spans="1:17" s="95" customFormat="1" ht="29.25" customHeight="1" x14ac:dyDescent="0.25">
      <c r="A14" s="146"/>
      <c r="B14" s="146"/>
      <c r="C14" s="146"/>
      <c r="D14" s="143" t="s">
        <v>513</v>
      </c>
      <c r="E14" s="143" t="s">
        <v>186</v>
      </c>
      <c r="F14" s="138" t="s">
        <v>187</v>
      </c>
      <c r="G14" s="138"/>
      <c r="H14" s="143" t="s">
        <v>188</v>
      </c>
      <c r="I14" s="143" t="s">
        <v>513</v>
      </c>
      <c r="J14" s="143" t="s">
        <v>254</v>
      </c>
      <c r="K14" s="143" t="s">
        <v>186</v>
      </c>
      <c r="L14" s="138" t="s">
        <v>187</v>
      </c>
      <c r="M14" s="138"/>
      <c r="N14" s="143" t="s">
        <v>188</v>
      </c>
      <c r="O14" s="140"/>
      <c r="P14" s="54"/>
      <c r="Q14" s="141"/>
    </row>
    <row r="15" spans="1:17" s="95" customFormat="1" ht="60.75" customHeight="1" x14ac:dyDescent="0.25">
      <c r="A15" s="146"/>
      <c r="B15" s="146"/>
      <c r="C15" s="146"/>
      <c r="D15" s="143"/>
      <c r="E15" s="143"/>
      <c r="F15" s="116" t="s">
        <v>189</v>
      </c>
      <c r="G15" s="116" t="s">
        <v>190</v>
      </c>
      <c r="H15" s="143"/>
      <c r="I15" s="143"/>
      <c r="J15" s="143"/>
      <c r="K15" s="143"/>
      <c r="L15" s="116" t="s">
        <v>189</v>
      </c>
      <c r="M15" s="116" t="s">
        <v>190</v>
      </c>
      <c r="N15" s="143"/>
      <c r="O15" s="140"/>
      <c r="P15" s="54"/>
      <c r="Q15" s="141"/>
    </row>
    <row r="16" spans="1:17" s="95" customFormat="1" ht="21" customHeight="1" x14ac:dyDescent="0.25">
      <c r="A16" s="59" t="s">
        <v>36</v>
      </c>
      <c r="B16" s="60"/>
      <c r="C16" s="61" t="s">
        <v>375</v>
      </c>
      <c r="D16" s="62">
        <f>D17+D18</f>
        <v>422552188</v>
      </c>
      <c r="E16" s="62">
        <f t="shared" ref="E16:O16" si="0">E17+E18</f>
        <v>422552188</v>
      </c>
      <c r="F16" s="62">
        <f t="shared" si="0"/>
        <v>320148000</v>
      </c>
      <c r="G16" s="62">
        <f t="shared" si="0"/>
        <v>11469700</v>
      </c>
      <c r="H16" s="62">
        <f t="shared" si="0"/>
        <v>0</v>
      </c>
      <c r="I16" s="62">
        <f t="shared" si="0"/>
        <v>1013800</v>
      </c>
      <c r="J16" s="62">
        <f t="shared" si="0"/>
        <v>613800</v>
      </c>
      <c r="K16" s="62">
        <f t="shared" si="0"/>
        <v>400000</v>
      </c>
      <c r="L16" s="62">
        <f t="shared" si="0"/>
        <v>0</v>
      </c>
      <c r="M16" s="62">
        <f t="shared" si="0"/>
        <v>228200</v>
      </c>
      <c r="N16" s="62">
        <f t="shared" si="0"/>
        <v>613800</v>
      </c>
      <c r="O16" s="62">
        <f t="shared" si="0"/>
        <v>423565988</v>
      </c>
      <c r="P16" s="54"/>
      <c r="Q16" s="141"/>
    </row>
    <row r="17" spans="1:17" ht="37.5" customHeight="1" x14ac:dyDescent="0.25">
      <c r="A17" s="63" t="s">
        <v>100</v>
      </c>
      <c r="B17" s="63" t="s">
        <v>38</v>
      </c>
      <c r="C17" s="64" t="s">
        <v>370</v>
      </c>
      <c r="D17" s="65">
        <f>'дод 2'!E18+'дод 2'!E55+'дод 2'!E103+'дод 2'!E118+'дод 2'!E148+'дод 2'!E154+'дод 2'!E166+'дод 2'!E199+'дод 2'!E218+'дод 2'!E238+'дод 2'!E225+'дод 2'!E229+'дод 2'!E221+'дод 2'!E247</f>
        <v>419352188</v>
      </c>
      <c r="E17" s="65">
        <f>'дод 2'!F18+'дод 2'!F55+'дод 2'!F103+'дод 2'!F118+'дод 2'!F148+'дод 2'!F154+'дод 2'!F166+'дод 2'!F199+'дод 2'!F218+'дод 2'!F238+'дод 2'!F225+'дод 2'!F229+'дод 2'!F221+'дод 2'!F247</f>
        <v>419352188</v>
      </c>
      <c r="F17" s="65">
        <f>'дод 2'!G18+'дод 2'!G55+'дод 2'!G103+'дод 2'!G118+'дод 2'!G148+'дод 2'!G154+'дод 2'!G166+'дод 2'!G199+'дод 2'!G218+'дод 2'!G238+'дод 2'!G225+'дод 2'!G229+'дод 2'!G221+'дод 2'!G247</f>
        <v>320148000</v>
      </c>
      <c r="G17" s="65">
        <f>'дод 2'!H18+'дод 2'!H55+'дод 2'!H103+'дод 2'!H118+'дод 2'!H148+'дод 2'!H154+'дод 2'!H166+'дод 2'!H199+'дод 2'!H218+'дод 2'!H238+'дод 2'!H225+'дод 2'!H229+'дод 2'!H221+'дод 2'!H247</f>
        <v>11469700</v>
      </c>
      <c r="H17" s="65">
        <f>'дод 2'!I18+'дод 2'!I55+'дод 2'!I103+'дод 2'!I118+'дод 2'!I148+'дод 2'!I154+'дод 2'!I166+'дод 2'!I199+'дод 2'!I218+'дод 2'!I238+'дод 2'!I225+'дод 2'!I229+'дод 2'!I221+'дод 2'!I247</f>
        <v>0</v>
      </c>
      <c r="I17" s="65">
        <f>'дод 2'!J18+'дод 2'!J55+'дод 2'!J103+'дод 2'!J118+'дод 2'!J148+'дод 2'!J154+'дод 2'!J166+'дод 2'!J199+'дод 2'!J218+'дод 2'!J238+'дод 2'!J225+'дод 2'!J229+'дод 2'!J221+'дод 2'!J247</f>
        <v>1013800</v>
      </c>
      <c r="J17" s="65">
        <f>'дод 2'!K18+'дод 2'!K55+'дод 2'!K103+'дод 2'!K118+'дод 2'!K148+'дод 2'!K154+'дод 2'!K166+'дод 2'!K199+'дод 2'!K218+'дод 2'!K238+'дод 2'!K225+'дод 2'!K229+'дод 2'!K221+'дод 2'!K247</f>
        <v>613800</v>
      </c>
      <c r="K17" s="65">
        <f>'дод 2'!L18+'дод 2'!L55+'дод 2'!L103+'дод 2'!L118+'дод 2'!L148+'дод 2'!L154+'дод 2'!L166+'дод 2'!L199+'дод 2'!L218+'дод 2'!L238+'дод 2'!L225+'дод 2'!L229+'дод 2'!L221+'дод 2'!L247</f>
        <v>400000</v>
      </c>
      <c r="L17" s="65">
        <f>'дод 2'!M18+'дод 2'!M55+'дод 2'!M103+'дод 2'!M118+'дод 2'!M148+'дод 2'!M154+'дод 2'!M166+'дод 2'!M199+'дод 2'!M218+'дод 2'!M238+'дод 2'!M225+'дод 2'!M229+'дод 2'!M221+'дод 2'!M247</f>
        <v>0</v>
      </c>
      <c r="M17" s="65">
        <f>'дод 2'!N18+'дод 2'!N55+'дод 2'!N103+'дод 2'!N118+'дод 2'!N148+'дод 2'!N154+'дод 2'!N166+'дод 2'!N199+'дод 2'!N218+'дод 2'!N238+'дод 2'!N225+'дод 2'!N229+'дод 2'!N221+'дод 2'!N247</f>
        <v>228200</v>
      </c>
      <c r="N17" s="65">
        <f>'дод 2'!O18+'дод 2'!O55+'дод 2'!O103+'дод 2'!O118+'дод 2'!O148+'дод 2'!O154+'дод 2'!O166+'дод 2'!O199+'дод 2'!O218+'дод 2'!O238+'дод 2'!O225+'дод 2'!O229+'дод 2'!O221+'дод 2'!O247</f>
        <v>613800</v>
      </c>
      <c r="O17" s="65">
        <f>'дод 2'!P18+'дод 2'!P55+'дод 2'!P103+'дод 2'!P118+'дод 2'!P148+'дод 2'!P154+'дод 2'!P166+'дод 2'!P199+'дод 2'!P218+'дод 2'!P238+'дод 2'!P225+'дод 2'!P229+'дод 2'!P221+'дод 2'!P247</f>
        <v>420365988</v>
      </c>
      <c r="P17" s="54"/>
      <c r="Q17" s="141"/>
    </row>
    <row r="18" spans="1:17" ht="22.5" customHeight="1" x14ac:dyDescent="0.25">
      <c r="A18" s="63" t="s">
        <v>37</v>
      </c>
      <c r="B18" s="63" t="s">
        <v>80</v>
      </c>
      <c r="C18" s="64" t="s">
        <v>200</v>
      </c>
      <c r="D18" s="65">
        <f>'дод 2'!E19+'дод 2'!E167</f>
        <v>3200000</v>
      </c>
      <c r="E18" s="65">
        <f>'дод 2'!F19+'дод 2'!F167</f>
        <v>3200000</v>
      </c>
      <c r="F18" s="65">
        <f>'дод 2'!G19+'дод 2'!G167</f>
        <v>0</v>
      </c>
      <c r="G18" s="65">
        <f>'дод 2'!H19+'дод 2'!H167</f>
        <v>0</v>
      </c>
      <c r="H18" s="65">
        <f>'дод 2'!I19+'дод 2'!I167</f>
        <v>0</v>
      </c>
      <c r="I18" s="65">
        <f>'дод 2'!J19+'дод 2'!J167</f>
        <v>0</v>
      </c>
      <c r="J18" s="65">
        <f>'дод 2'!K19+'дод 2'!K167</f>
        <v>0</v>
      </c>
      <c r="K18" s="65">
        <f>'дод 2'!L19+'дод 2'!L167</f>
        <v>0</v>
      </c>
      <c r="L18" s="65">
        <f>'дод 2'!M19+'дод 2'!M167</f>
        <v>0</v>
      </c>
      <c r="M18" s="65">
        <f>'дод 2'!N19+'дод 2'!N167</f>
        <v>0</v>
      </c>
      <c r="N18" s="65">
        <f>'дод 2'!O19+'дод 2'!O167</f>
        <v>0</v>
      </c>
      <c r="O18" s="65">
        <f>'дод 2'!P19+'дод 2'!P167</f>
        <v>3200000</v>
      </c>
      <c r="P18" s="54"/>
      <c r="Q18" s="141"/>
    </row>
    <row r="19" spans="1:17" s="95" customFormat="1" ht="18.75" customHeight="1" x14ac:dyDescent="0.25">
      <c r="A19" s="66" t="s">
        <v>39</v>
      </c>
      <c r="B19" s="31"/>
      <c r="C19" s="61" t="s">
        <v>404</v>
      </c>
      <c r="D19" s="62">
        <f>D31+D32+D33+D34+D42+D43+D49+D50+D51+D54+D44+D35+D52+D38+D40+D47+D55+D56+D58+D70+D68+D72+D66+D60+D61+D63+D64</f>
        <v>1330594506</v>
      </c>
      <c r="E19" s="62">
        <f t="shared" ref="E19:O19" si="1">E31+E32+E33+E34+E42+E43+E49+E50+E51+E54+E44+E35+E52+E38+E40+E47+E55+E56+E58+E70+E68+E72+E66+E60+E61+E63+E64</f>
        <v>1330594506</v>
      </c>
      <c r="F19" s="62">
        <f t="shared" si="1"/>
        <v>889650310</v>
      </c>
      <c r="G19" s="62">
        <f t="shared" si="1"/>
        <v>151937100</v>
      </c>
      <c r="H19" s="62">
        <f t="shared" si="1"/>
        <v>0</v>
      </c>
      <c r="I19" s="62">
        <f t="shared" si="1"/>
        <v>499336912.67000002</v>
      </c>
      <c r="J19" s="62">
        <f t="shared" si="1"/>
        <v>393069612.67000002</v>
      </c>
      <c r="K19" s="62">
        <f t="shared" si="1"/>
        <v>90746400</v>
      </c>
      <c r="L19" s="62">
        <f t="shared" si="1"/>
        <v>12915580</v>
      </c>
      <c r="M19" s="62">
        <f t="shared" si="1"/>
        <v>6906830</v>
      </c>
      <c r="N19" s="62">
        <f t="shared" si="1"/>
        <v>408590512.67000002</v>
      </c>
      <c r="O19" s="62">
        <f t="shared" si="1"/>
        <v>1829931418.6700001</v>
      </c>
      <c r="P19" s="54"/>
      <c r="Q19" s="141"/>
    </row>
    <row r="20" spans="1:17" s="99" customFormat="1" ht="28.5" customHeight="1" x14ac:dyDescent="0.25">
      <c r="A20" s="67"/>
      <c r="B20" s="32"/>
      <c r="C20" s="33" t="s">
        <v>408</v>
      </c>
      <c r="D20" s="68">
        <f>D36+D39+D41+D48+D65</f>
        <v>336977300</v>
      </c>
      <c r="E20" s="68">
        <f t="shared" ref="E20:O20" si="2">E36+E39+E41+E48+E65</f>
        <v>336977300</v>
      </c>
      <c r="F20" s="68">
        <f t="shared" si="2"/>
        <v>276212800</v>
      </c>
      <c r="G20" s="68">
        <f t="shared" si="2"/>
        <v>0</v>
      </c>
      <c r="H20" s="68">
        <f t="shared" si="2"/>
        <v>0</v>
      </c>
      <c r="I20" s="68">
        <f t="shared" si="2"/>
        <v>15081700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15081700</v>
      </c>
      <c r="O20" s="68">
        <f t="shared" si="2"/>
        <v>352059000</v>
      </c>
      <c r="P20" s="54"/>
      <c r="Q20" s="141"/>
    </row>
    <row r="21" spans="1:17" s="99" customFormat="1" ht="66" customHeight="1" x14ac:dyDescent="0.25">
      <c r="A21" s="67"/>
      <c r="B21" s="32"/>
      <c r="C21" s="33" t="str">
        <f>C57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D21" s="68">
        <f>D57</f>
        <v>2625231</v>
      </c>
      <c r="E21" s="68">
        <f t="shared" ref="E21:O21" si="3">E57</f>
        <v>2625231</v>
      </c>
      <c r="F21" s="68">
        <f t="shared" si="3"/>
        <v>0</v>
      </c>
      <c r="G21" s="68">
        <f t="shared" si="3"/>
        <v>0</v>
      </c>
      <c r="H21" s="68">
        <f t="shared" si="3"/>
        <v>0</v>
      </c>
      <c r="I21" s="68">
        <f t="shared" si="3"/>
        <v>7677569</v>
      </c>
      <c r="J21" s="68">
        <f t="shared" si="3"/>
        <v>7677569</v>
      </c>
      <c r="K21" s="68">
        <f t="shared" si="3"/>
        <v>0</v>
      </c>
      <c r="L21" s="68">
        <f t="shared" si="3"/>
        <v>0</v>
      </c>
      <c r="M21" s="68">
        <f t="shared" si="3"/>
        <v>0</v>
      </c>
      <c r="N21" s="68">
        <f t="shared" si="3"/>
        <v>7677569</v>
      </c>
      <c r="O21" s="68">
        <f t="shared" si="3"/>
        <v>10302800</v>
      </c>
      <c r="P21" s="54"/>
      <c r="Q21" s="141"/>
    </row>
    <row r="22" spans="1:17" s="99" customFormat="1" ht="41.65" customHeight="1" x14ac:dyDescent="0.25">
      <c r="A22" s="67"/>
      <c r="B22" s="32"/>
      <c r="C22" s="33" t="str">
        <f>C59</f>
        <v>субвенції з державного бюджету місцевим бюджетам на надання державної пітримки особам з особливими освітніми потребами</v>
      </c>
      <c r="D22" s="68">
        <f>D59</f>
        <v>891200</v>
      </c>
      <c r="E22" s="68">
        <f t="shared" ref="E22:O22" si="4">E59</f>
        <v>891200</v>
      </c>
      <c r="F22" s="68">
        <f t="shared" si="4"/>
        <v>730490</v>
      </c>
      <c r="G22" s="68">
        <f t="shared" si="4"/>
        <v>0</v>
      </c>
      <c r="H22" s="68">
        <f t="shared" si="4"/>
        <v>0</v>
      </c>
      <c r="I22" s="68">
        <f t="shared" si="4"/>
        <v>0</v>
      </c>
      <c r="J22" s="68">
        <f t="shared" si="4"/>
        <v>0</v>
      </c>
      <c r="K22" s="68">
        <f t="shared" si="4"/>
        <v>0</v>
      </c>
      <c r="L22" s="68">
        <f t="shared" si="4"/>
        <v>0</v>
      </c>
      <c r="M22" s="68">
        <f t="shared" si="4"/>
        <v>0</v>
      </c>
      <c r="N22" s="68">
        <f t="shared" si="4"/>
        <v>0</v>
      </c>
      <c r="O22" s="68">
        <f t="shared" si="4"/>
        <v>891200</v>
      </c>
      <c r="P22" s="54"/>
      <c r="Q22" s="141"/>
    </row>
    <row r="23" spans="1:17" s="99" customFormat="1" ht="47.25" x14ac:dyDescent="0.25">
      <c r="A23" s="67"/>
      <c r="B23" s="32"/>
      <c r="C23" s="33" t="str">
        <f>C71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D23" s="68">
        <f>D71</f>
        <v>24742100</v>
      </c>
      <c r="E23" s="68">
        <f t="shared" ref="E23:O23" si="5">E71</f>
        <v>24742100</v>
      </c>
      <c r="F23" s="68">
        <f t="shared" si="5"/>
        <v>20280410</v>
      </c>
      <c r="G23" s="68">
        <f t="shared" si="5"/>
        <v>0</v>
      </c>
      <c r="H23" s="68">
        <f t="shared" si="5"/>
        <v>0</v>
      </c>
      <c r="I23" s="68">
        <f t="shared" si="5"/>
        <v>0</v>
      </c>
      <c r="J23" s="68">
        <f t="shared" si="5"/>
        <v>0</v>
      </c>
      <c r="K23" s="68">
        <f t="shared" si="5"/>
        <v>0</v>
      </c>
      <c r="L23" s="68">
        <f t="shared" si="5"/>
        <v>0</v>
      </c>
      <c r="M23" s="68">
        <f t="shared" si="5"/>
        <v>0</v>
      </c>
      <c r="N23" s="68">
        <f t="shared" si="5"/>
        <v>0</v>
      </c>
      <c r="O23" s="68">
        <f t="shared" si="5"/>
        <v>24742100</v>
      </c>
      <c r="P23" s="54"/>
      <c r="Q23" s="141"/>
    </row>
    <row r="24" spans="1:17" s="99" customFormat="1" ht="47.25" x14ac:dyDescent="0.25">
      <c r="A24" s="67"/>
      <c r="B24" s="32"/>
      <c r="C24" s="33" t="str">
        <f>C69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24" s="68">
        <f>D69</f>
        <v>0</v>
      </c>
      <c r="E24" s="68">
        <f t="shared" ref="E24:O24" si="6">E69</f>
        <v>0</v>
      </c>
      <c r="F24" s="68">
        <f t="shared" si="6"/>
        <v>0</v>
      </c>
      <c r="G24" s="68">
        <f t="shared" si="6"/>
        <v>0</v>
      </c>
      <c r="H24" s="68">
        <f t="shared" si="6"/>
        <v>0</v>
      </c>
      <c r="I24" s="68">
        <f t="shared" si="6"/>
        <v>22533600</v>
      </c>
      <c r="J24" s="68">
        <f t="shared" si="6"/>
        <v>0</v>
      </c>
      <c r="K24" s="68">
        <f t="shared" si="6"/>
        <v>22533600</v>
      </c>
      <c r="L24" s="68">
        <f t="shared" si="6"/>
        <v>0</v>
      </c>
      <c r="M24" s="68">
        <f t="shared" si="6"/>
        <v>0</v>
      </c>
      <c r="N24" s="68">
        <f t="shared" si="6"/>
        <v>0</v>
      </c>
      <c r="O24" s="68">
        <f t="shared" si="6"/>
        <v>22533600</v>
      </c>
      <c r="P24" s="54"/>
      <c r="Q24" s="141"/>
    </row>
    <row r="25" spans="1:17" s="99" customFormat="1" ht="110.25" x14ac:dyDescent="0.25">
      <c r="A25" s="67"/>
      <c r="B25" s="32"/>
      <c r="C25" s="33" t="str">
        <f>C45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25" s="68">
        <f t="shared" ref="D25:O25" si="7">D45+D67</f>
        <v>0</v>
      </c>
      <c r="E25" s="68">
        <f t="shared" si="7"/>
        <v>0</v>
      </c>
      <c r="F25" s="68">
        <f t="shared" si="7"/>
        <v>0</v>
      </c>
      <c r="G25" s="68">
        <f t="shared" si="7"/>
        <v>0</v>
      </c>
      <c r="H25" s="68">
        <f t="shared" si="7"/>
        <v>0</v>
      </c>
      <c r="I25" s="68">
        <f t="shared" si="7"/>
        <v>35673973.670000002</v>
      </c>
      <c r="J25" s="68">
        <f t="shared" si="7"/>
        <v>35673973.670000002</v>
      </c>
      <c r="K25" s="68">
        <f t="shared" si="7"/>
        <v>0</v>
      </c>
      <c r="L25" s="68">
        <f t="shared" si="7"/>
        <v>0</v>
      </c>
      <c r="M25" s="68">
        <f t="shared" si="7"/>
        <v>0</v>
      </c>
      <c r="N25" s="68">
        <f t="shared" si="7"/>
        <v>35673973.670000002</v>
      </c>
      <c r="O25" s="68">
        <f t="shared" si="7"/>
        <v>35673973.670000002</v>
      </c>
      <c r="P25" s="54"/>
      <c r="Q25" s="141"/>
    </row>
    <row r="26" spans="1:17" s="99" customFormat="1" ht="69.75" customHeight="1" x14ac:dyDescent="0.25">
      <c r="A26" s="67"/>
      <c r="B26" s="32"/>
      <c r="C26" s="33" t="str">
        <f>C73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26" s="68">
        <f>D73</f>
        <v>0</v>
      </c>
      <c r="E26" s="68">
        <f t="shared" ref="E26:O26" si="8">E73</f>
        <v>0</v>
      </c>
      <c r="F26" s="68">
        <f t="shared" si="8"/>
        <v>0</v>
      </c>
      <c r="G26" s="68">
        <f t="shared" si="8"/>
        <v>0</v>
      </c>
      <c r="H26" s="68">
        <f t="shared" si="8"/>
        <v>0</v>
      </c>
      <c r="I26" s="68">
        <f t="shared" si="8"/>
        <v>2892900</v>
      </c>
      <c r="J26" s="68">
        <f t="shared" si="8"/>
        <v>0</v>
      </c>
      <c r="K26" s="68">
        <f t="shared" si="8"/>
        <v>2892900</v>
      </c>
      <c r="L26" s="68">
        <f t="shared" si="8"/>
        <v>0</v>
      </c>
      <c r="M26" s="68">
        <f t="shared" si="8"/>
        <v>0</v>
      </c>
      <c r="N26" s="68">
        <f t="shared" si="8"/>
        <v>0</v>
      </c>
      <c r="O26" s="68">
        <f t="shared" si="8"/>
        <v>2892900</v>
      </c>
      <c r="P26" s="54"/>
      <c r="Q26" s="141"/>
    </row>
    <row r="27" spans="1:17" s="99" customFormat="1" ht="55.5" customHeight="1" x14ac:dyDescent="0.25">
      <c r="A27" s="67"/>
      <c r="B27" s="32"/>
      <c r="C27" s="33" t="str">
        <f>C74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27" s="68">
        <f>D74</f>
        <v>0</v>
      </c>
      <c r="E27" s="68">
        <f t="shared" ref="E27:O27" si="9">E74</f>
        <v>0</v>
      </c>
      <c r="F27" s="68">
        <f t="shared" si="9"/>
        <v>0</v>
      </c>
      <c r="G27" s="68">
        <f t="shared" si="9"/>
        <v>0</v>
      </c>
      <c r="H27" s="68">
        <f t="shared" si="9"/>
        <v>0</v>
      </c>
      <c r="I27" s="68">
        <f t="shared" si="9"/>
        <v>2892900</v>
      </c>
      <c r="J27" s="68">
        <f t="shared" si="9"/>
        <v>0</v>
      </c>
      <c r="K27" s="68">
        <f t="shared" si="9"/>
        <v>2892900</v>
      </c>
      <c r="L27" s="68">
        <f t="shared" si="9"/>
        <v>0</v>
      </c>
      <c r="M27" s="68">
        <f t="shared" si="9"/>
        <v>0</v>
      </c>
      <c r="N27" s="68">
        <f t="shared" si="9"/>
        <v>0</v>
      </c>
      <c r="O27" s="68">
        <f t="shared" si="9"/>
        <v>2892900</v>
      </c>
      <c r="P27" s="54"/>
      <c r="Q27" s="141"/>
    </row>
    <row r="28" spans="1:17" s="99" customFormat="1" ht="99" customHeight="1" x14ac:dyDescent="0.25">
      <c r="A28" s="67"/>
      <c r="B28" s="32"/>
      <c r="C28" s="33" t="str">
        <f>C62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D28" s="68">
        <f>D62</f>
        <v>0</v>
      </c>
      <c r="E28" s="68">
        <f t="shared" ref="E28:O28" si="10">E62</f>
        <v>0</v>
      </c>
      <c r="F28" s="68">
        <f t="shared" si="10"/>
        <v>0</v>
      </c>
      <c r="G28" s="68">
        <f t="shared" si="10"/>
        <v>0</v>
      </c>
      <c r="H28" s="68">
        <f t="shared" si="10"/>
        <v>0</v>
      </c>
      <c r="I28" s="68">
        <f t="shared" si="10"/>
        <v>213902286</v>
      </c>
      <c r="J28" s="68">
        <f t="shared" si="10"/>
        <v>213902286</v>
      </c>
      <c r="K28" s="68">
        <f t="shared" si="10"/>
        <v>0</v>
      </c>
      <c r="L28" s="68">
        <f t="shared" si="10"/>
        <v>0</v>
      </c>
      <c r="M28" s="68">
        <f t="shared" si="10"/>
        <v>0</v>
      </c>
      <c r="N28" s="68">
        <f t="shared" si="10"/>
        <v>213902286</v>
      </c>
      <c r="O28" s="68">
        <f t="shared" si="10"/>
        <v>213902286</v>
      </c>
      <c r="P28" s="54"/>
      <c r="Q28" s="141"/>
    </row>
    <row r="29" spans="1:17" s="99" customFormat="1" ht="47.25" x14ac:dyDescent="0.25">
      <c r="A29" s="67"/>
      <c r="B29" s="32"/>
      <c r="C29" s="103" t="str">
        <f>C37</f>
        <v>субвенції з місцевого бюджету на здійснення переданих видатків у сфері освіти за рахунок коштів освітньої субвенції</v>
      </c>
      <c r="D29" s="68">
        <f>D37+D53</f>
        <v>3536117</v>
      </c>
      <c r="E29" s="68">
        <f t="shared" ref="E29:O29" si="11">E37+E53</f>
        <v>3536117</v>
      </c>
      <c r="F29" s="68">
        <f t="shared" si="11"/>
        <v>1176210</v>
      </c>
      <c r="G29" s="68">
        <f t="shared" si="11"/>
        <v>0</v>
      </c>
      <c r="H29" s="68">
        <f t="shared" si="11"/>
        <v>0</v>
      </c>
      <c r="I29" s="68">
        <f t="shared" si="11"/>
        <v>0</v>
      </c>
      <c r="J29" s="68">
        <f t="shared" si="11"/>
        <v>0</v>
      </c>
      <c r="K29" s="68">
        <f t="shared" si="11"/>
        <v>0</v>
      </c>
      <c r="L29" s="68">
        <f t="shared" si="11"/>
        <v>0</v>
      </c>
      <c r="M29" s="68">
        <f t="shared" si="11"/>
        <v>0</v>
      </c>
      <c r="N29" s="68">
        <f t="shared" si="11"/>
        <v>0</v>
      </c>
      <c r="O29" s="68">
        <f t="shared" si="11"/>
        <v>3536117</v>
      </c>
      <c r="P29" s="54"/>
      <c r="Q29" s="141"/>
    </row>
    <row r="30" spans="1:17" s="99" customFormat="1" x14ac:dyDescent="0.25">
      <c r="A30" s="67"/>
      <c r="B30" s="32"/>
      <c r="C30" s="103" t="str">
        <f>C46</f>
        <v>іншої субвенції з місцевого бюджету</v>
      </c>
      <c r="D30" s="68">
        <f>D46</f>
        <v>0</v>
      </c>
      <c r="E30" s="68">
        <f t="shared" ref="E30:O30" si="12">E46</f>
        <v>0</v>
      </c>
      <c r="F30" s="68">
        <f t="shared" si="12"/>
        <v>0</v>
      </c>
      <c r="G30" s="68">
        <f t="shared" si="12"/>
        <v>0</v>
      </c>
      <c r="H30" s="68">
        <f t="shared" si="12"/>
        <v>0</v>
      </c>
      <c r="I30" s="68">
        <f t="shared" si="12"/>
        <v>4500000</v>
      </c>
      <c r="J30" s="68">
        <f t="shared" si="12"/>
        <v>4500000</v>
      </c>
      <c r="K30" s="68">
        <f t="shared" si="12"/>
        <v>0</v>
      </c>
      <c r="L30" s="68">
        <f t="shared" si="12"/>
        <v>0</v>
      </c>
      <c r="M30" s="68">
        <f t="shared" si="12"/>
        <v>0</v>
      </c>
      <c r="N30" s="68">
        <f t="shared" si="12"/>
        <v>4500000</v>
      </c>
      <c r="O30" s="68">
        <f t="shared" si="12"/>
        <v>4500000</v>
      </c>
      <c r="P30" s="54"/>
      <c r="Q30" s="141"/>
    </row>
    <row r="31" spans="1:17" ht="23.25" customHeight="1" x14ac:dyDescent="0.25">
      <c r="A31" s="63" t="s">
        <v>40</v>
      </c>
      <c r="B31" s="63" t="s">
        <v>41</v>
      </c>
      <c r="C31" s="64" t="s">
        <v>315</v>
      </c>
      <c r="D31" s="65">
        <f>'дод 2'!E56+'дод 2'!E200</f>
        <v>372827900</v>
      </c>
      <c r="E31" s="65">
        <f>'дод 2'!F56+'дод 2'!F200</f>
        <v>372827900</v>
      </c>
      <c r="F31" s="65">
        <f>'дод 2'!G56+'дод 2'!G200</f>
        <v>253895000</v>
      </c>
      <c r="G31" s="65">
        <f>'дод 2'!H56+'дод 2'!H200</f>
        <v>47086600</v>
      </c>
      <c r="H31" s="65">
        <f>'дод 2'!I56+'дод 2'!I200</f>
        <v>0</v>
      </c>
      <c r="I31" s="65">
        <f>'дод 2'!J56+'дод 2'!J200</f>
        <v>17172030</v>
      </c>
      <c r="J31" s="65">
        <f>'дод 2'!K56+'дод 2'!K200</f>
        <v>120000</v>
      </c>
      <c r="K31" s="65">
        <f>'дод 2'!L56+'дод 2'!L200</f>
        <v>17052030</v>
      </c>
      <c r="L31" s="65">
        <f>'дод 2'!M56+'дод 2'!M200</f>
        <v>0</v>
      </c>
      <c r="M31" s="65">
        <f>'дод 2'!N56+'дод 2'!N200</f>
        <v>0</v>
      </c>
      <c r="N31" s="65">
        <f>'дод 2'!O56+'дод 2'!O200</f>
        <v>120000</v>
      </c>
      <c r="O31" s="65">
        <f>'дод 2'!P56+'дод 2'!P200</f>
        <v>389999930</v>
      </c>
      <c r="P31" s="149">
        <v>2</v>
      </c>
      <c r="Q31" s="141"/>
    </row>
    <row r="32" spans="1:17" ht="31.5" customHeight="1" x14ac:dyDescent="0.25">
      <c r="A32" s="63">
        <v>1021</v>
      </c>
      <c r="B32" s="63" t="s">
        <v>43</v>
      </c>
      <c r="C32" s="27" t="s">
        <v>376</v>
      </c>
      <c r="D32" s="65">
        <f>'дод 2'!E57+'дод 2'!E201</f>
        <v>276673151</v>
      </c>
      <c r="E32" s="65">
        <f>'дод 2'!F57+'дод 2'!F201</f>
        <v>276673151</v>
      </c>
      <c r="F32" s="65">
        <f>'дод 2'!G57+'дод 2'!G201</f>
        <v>145056200</v>
      </c>
      <c r="G32" s="65">
        <f>'дод 2'!H57+'дод 2'!H201</f>
        <v>65222400</v>
      </c>
      <c r="H32" s="65">
        <f>'дод 2'!I57+'дод 2'!I201</f>
        <v>0</v>
      </c>
      <c r="I32" s="65">
        <f>'дод 2'!J57+'дод 2'!J201</f>
        <v>27189410</v>
      </c>
      <c r="J32" s="65">
        <f>'дод 2'!K57+'дод 2'!K201</f>
        <v>6994000</v>
      </c>
      <c r="K32" s="65">
        <f>'дод 2'!L57+'дод 2'!L201</f>
        <v>20195410</v>
      </c>
      <c r="L32" s="65">
        <f>'дод 2'!M57+'дод 2'!M201</f>
        <v>2627920</v>
      </c>
      <c r="M32" s="65">
        <f>'дод 2'!N57+'дод 2'!N201</f>
        <v>244330</v>
      </c>
      <c r="N32" s="65">
        <f>'дод 2'!O57+'дод 2'!O201</f>
        <v>6994000</v>
      </c>
      <c r="O32" s="65">
        <f>'дод 2'!P57+'дод 2'!P201</f>
        <v>303862561</v>
      </c>
      <c r="P32" s="149"/>
      <c r="Q32" s="141"/>
    </row>
    <row r="33" spans="1:17" ht="74.25" customHeight="1" x14ac:dyDescent="0.25">
      <c r="A33" s="63">
        <v>1022</v>
      </c>
      <c r="B33" s="25" t="s">
        <v>46</v>
      </c>
      <c r="C33" s="27" t="s">
        <v>372</v>
      </c>
      <c r="D33" s="65">
        <f>'дод 2'!E58</f>
        <v>18577200</v>
      </c>
      <c r="E33" s="65">
        <f>'дод 2'!F58</f>
        <v>18577200</v>
      </c>
      <c r="F33" s="65">
        <f>'дод 2'!G58</f>
        <v>11223500</v>
      </c>
      <c r="G33" s="65">
        <f>'дод 2'!H58</f>
        <v>3058200</v>
      </c>
      <c r="H33" s="65">
        <f>'дод 2'!I58</f>
        <v>0</v>
      </c>
      <c r="I33" s="65">
        <f>'дод 2'!J58</f>
        <v>0</v>
      </c>
      <c r="J33" s="65">
        <f>'дод 2'!K58</f>
        <v>0</v>
      </c>
      <c r="K33" s="65">
        <f>'дод 2'!L58</f>
        <v>0</v>
      </c>
      <c r="L33" s="65">
        <f>'дод 2'!M58</f>
        <v>0</v>
      </c>
      <c r="M33" s="65">
        <f>'дод 2'!N58</f>
        <v>0</v>
      </c>
      <c r="N33" s="65">
        <f>'дод 2'!O58</f>
        <v>0</v>
      </c>
      <c r="O33" s="65">
        <f>'дод 2'!P58</f>
        <v>18577200</v>
      </c>
      <c r="P33" s="149"/>
      <c r="Q33" s="141"/>
    </row>
    <row r="34" spans="1:17" ht="63.75" customHeight="1" x14ac:dyDescent="0.25">
      <c r="A34" s="63">
        <v>1025</v>
      </c>
      <c r="B34" s="63" t="s">
        <v>46</v>
      </c>
      <c r="C34" s="40" t="s">
        <v>373</v>
      </c>
      <c r="D34" s="65">
        <f>'дод 2'!E59</f>
        <v>13453600</v>
      </c>
      <c r="E34" s="65">
        <f>'дод 2'!F59</f>
        <v>13453600</v>
      </c>
      <c r="F34" s="65">
        <f>'дод 2'!G59</f>
        <v>9459000</v>
      </c>
      <c r="G34" s="65">
        <f>'дод 2'!H59</f>
        <v>1260200</v>
      </c>
      <c r="H34" s="65">
        <f>'дод 2'!I59</f>
        <v>0</v>
      </c>
      <c r="I34" s="65">
        <f>'дод 2'!J59</f>
        <v>0</v>
      </c>
      <c r="J34" s="65">
        <f>'дод 2'!K59</f>
        <v>0</v>
      </c>
      <c r="K34" s="65">
        <f>'дод 2'!L59</f>
        <v>0</v>
      </c>
      <c r="L34" s="65">
        <f>'дод 2'!M59</f>
        <v>0</v>
      </c>
      <c r="M34" s="65">
        <f>'дод 2'!N59</f>
        <v>0</v>
      </c>
      <c r="N34" s="65">
        <f>'дод 2'!O59</f>
        <v>0</v>
      </c>
      <c r="O34" s="65">
        <f>'дод 2'!P59</f>
        <v>13453600</v>
      </c>
      <c r="P34" s="149"/>
      <c r="Q34" s="141"/>
    </row>
    <row r="35" spans="1:17" ht="57.75" customHeight="1" x14ac:dyDescent="0.25">
      <c r="A35" s="63">
        <v>1031</v>
      </c>
      <c r="B35" s="63">
        <v>921</v>
      </c>
      <c r="C35" s="40" t="s">
        <v>402</v>
      </c>
      <c r="D35" s="65">
        <f>'дод 2'!E60</f>
        <v>311742647</v>
      </c>
      <c r="E35" s="65">
        <f>'дод 2'!F60</f>
        <v>311742647</v>
      </c>
      <c r="F35" s="65">
        <f>'дод 2'!G60</f>
        <v>253806400</v>
      </c>
      <c r="G35" s="65">
        <f>'дод 2'!H60</f>
        <v>0</v>
      </c>
      <c r="H35" s="65">
        <f>'дод 2'!I60</f>
        <v>0</v>
      </c>
      <c r="I35" s="65">
        <f>'дод 2'!J60</f>
        <v>0</v>
      </c>
      <c r="J35" s="65">
        <f>'дод 2'!K60</f>
        <v>0</v>
      </c>
      <c r="K35" s="65">
        <f>'дод 2'!L60</f>
        <v>0</v>
      </c>
      <c r="L35" s="65">
        <f>'дод 2'!M60</f>
        <v>0</v>
      </c>
      <c r="M35" s="65">
        <f>'дод 2'!N60</f>
        <v>0</v>
      </c>
      <c r="N35" s="65">
        <f>'дод 2'!O60</f>
        <v>0</v>
      </c>
      <c r="O35" s="65">
        <f>'дод 2'!P60</f>
        <v>311742647</v>
      </c>
      <c r="P35" s="149"/>
      <c r="Q35" s="141"/>
    </row>
    <row r="36" spans="1:17" ht="31.5" x14ac:dyDescent="0.25">
      <c r="A36" s="63"/>
      <c r="B36" s="63"/>
      <c r="C36" s="36" t="s">
        <v>408</v>
      </c>
      <c r="D36" s="65">
        <f>'дод 2'!E61</f>
        <v>309641500</v>
      </c>
      <c r="E36" s="65">
        <f>'дод 2'!F61</f>
        <v>309641500</v>
      </c>
      <c r="F36" s="65">
        <f>'дод 2'!G61</f>
        <v>253806400</v>
      </c>
      <c r="G36" s="65">
        <f>'дод 2'!H61</f>
        <v>0</v>
      </c>
      <c r="H36" s="65">
        <f>'дод 2'!I61</f>
        <v>0</v>
      </c>
      <c r="I36" s="65">
        <f>'дод 2'!J61</f>
        <v>0</v>
      </c>
      <c r="J36" s="65">
        <f>'дод 2'!K61</f>
        <v>0</v>
      </c>
      <c r="K36" s="65">
        <f>'дод 2'!L61</f>
        <v>0</v>
      </c>
      <c r="L36" s="65">
        <f>'дод 2'!M61</f>
        <v>0</v>
      </c>
      <c r="M36" s="65">
        <f>'дод 2'!N61</f>
        <v>0</v>
      </c>
      <c r="N36" s="65">
        <f>'дод 2'!O61</f>
        <v>0</v>
      </c>
      <c r="O36" s="65">
        <f>'дод 2'!P61</f>
        <v>309641500</v>
      </c>
      <c r="P36" s="149"/>
      <c r="Q36" s="141"/>
    </row>
    <row r="37" spans="1:17" s="96" customFormat="1" ht="57.75" customHeight="1" x14ac:dyDescent="0.25">
      <c r="A37" s="69"/>
      <c r="B37" s="69"/>
      <c r="C37" s="39" t="s">
        <v>401</v>
      </c>
      <c r="D37" s="70">
        <f>'дод 2'!E62</f>
        <v>2101147</v>
      </c>
      <c r="E37" s="70">
        <f>'дод 2'!F62</f>
        <v>2101147</v>
      </c>
      <c r="F37" s="70">
        <f>'дод 2'!G62</f>
        <v>0</v>
      </c>
      <c r="G37" s="70">
        <f>'дод 2'!H62</f>
        <v>0</v>
      </c>
      <c r="H37" s="70">
        <f>'дод 2'!I62</f>
        <v>0</v>
      </c>
      <c r="I37" s="70">
        <f>'дод 2'!J62</f>
        <v>0</v>
      </c>
      <c r="J37" s="70">
        <f>'дод 2'!K62</f>
        <v>0</v>
      </c>
      <c r="K37" s="70">
        <f>'дод 2'!L62</f>
        <v>0</v>
      </c>
      <c r="L37" s="70">
        <f>'дод 2'!M62</f>
        <v>0</v>
      </c>
      <c r="M37" s="70">
        <f>'дод 2'!N62</f>
        <v>0</v>
      </c>
      <c r="N37" s="70">
        <f>'дод 2'!O62</f>
        <v>0</v>
      </c>
      <c r="O37" s="70">
        <f>'дод 2'!P62</f>
        <v>2101147</v>
      </c>
      <c r="P37" s="149"/>
      <c r="Q37" s="141"/>
    </row>
    <row r="38" spans="1:17" s="96" customFormat="1" ht="88.5" customHeight="1" x14ac:dyDescent="0.25">
      <c r="A38" s="71" t="s">
        <v>410</v>
      </c>
      <c r="B38" s="71" t="s">
        <v>46</v>
      </c>
      <c r="C38" s="72" t="s">
        <v>411</v>
      </c>
      <c r="D38" s="65">
        <f>'дод 2'!E63</f>
        <v>12847200</v>
      </c>
      <c r="E38" s="65">
        <f>'дод 2'!F63</f>
        <v>12847200</v>
      </c>
      <c r="F38" s="65">
        <f>'дод 2'!G63</f>
        <v>10530500</v>
      </c>
      <c r="G38" s="65">
        <f>'дод 2'!H63</f>
        <v>0</v>
      </c>
      <c r="H38" s="65">
        <f>'дод 2'!I63</f>
        <v>0</v>
      </c>
      <c r="I38" s="65">
        <f>'дод 2'!J63</f>
        <v>0</v>
      </c>
      <c r="J38" s="65">
        <f>'дод 2'!K63</f>
        <v>0</v>
      </c>
      <c r="K38" s="65">
        <f>'дод 2'!L63</f>
        <v>0</v>
      </c>
      <c r="L38" s="65">
        <f>'дод 2'!M63</f>
        <v>0</v>
      </c>
      <c r="M38" s="65">
        <f>'дод 2'!N63</f>
        <v>0</v>
      </c>
      <c r="N38" s="65">
        <f>'дод 2'!O63</f>
        <v>0</v>
      </c>
      <c r="O38" s="65">
        <f>'дод 2'!P63</f>
        <v>12847200</v>
      </c>
      <c r="P38" s="149"/>
      <c r="Q38" s="141"/>
    </row>
    <row r="39" spans="1:17" s="96" customFormat="1" ht="31.5" x14ac:dyDescent="0.25">
      <c r="A39" s="69"/>
      <c r="B39" s="69"/>
      <c r="C39" s="39" t="s">
        <v>408</v>
      </c>
      <c r="D39" s="70">
        <f>'дод 2'!E64</f>
        <v>12847200</v>
      </c>
      <c r="E39" s="70">
        <f>'дод 2'!F64</f>
        <v>12847200</v>
      </c>
      <c r="F39" s="70">
        <f>'дод 2'!G64</f>
        <v>10530500</v>
      </c>
      <c r="G39" s="70">
        <f>'дод 2'!H64</f>
        <v>0</v>
      </c>
      <c r="H39" s="70">
        <f>'дод 2'!I64</f>
        <v>0</v>
      </c>
      <c r="I39" s="70">
        <f>'дод 2'!J64</f>
        <v>0</v>
      </c>
      <c r="J39" s="70">
        <f>'дод 2'!K64</f>
        <v>0</v>
      </c>
      <c r="K39" s="70">
        <f>'дод 2'!L64</f>
        <v>0</v>
      </c>
      <c r="L39" s="70">
        <f>'дод 2'!M64</f>
        <v>0</v>
      </c>
      <c r="M39" s="70">
        <f>'дод 2'!N64</f>
        <v>0</v>
      </c>
      <c r="N39" s="70">
        <f>'дод 2'!O64</f>
        <v>0</v>
      </c>
      <c r="O39" s="70">
        <f>'дод 2'!P64</f>
        <v>12847200</v>
      </c>
      <c r="P39" s="149"/>
      <c r="Q39" s="141"/>
    </row>
    <row r="40" spans="1:17" ht="70.900000000000006" customHeight="1" x14ac:dyDescent="0.25">
      <c r="A40" s="63">
        <v>1035</v>
      </c>
      <c r="B40" s="63" t="s">
        <v>46</v>
      </c>
      <c r="C40" s="27" t="s">
        <v>412</v>
      </c>
      <c r="D40" s="65">
        <f>'дод 2'!E65</f>
        <v>1068600</v>
      </c>
      <c r="E40" s="65">
        <f>'дод 2'!F65</f>
        <v>1068600</v>
      </c>
      <c r="F40" s="65">
        <f>'дод 2'!G65</f>
        <v>875900</v>
      </c>
      <c r="G40" s="65">
        <f>'дод 2'!H65</f>
        <v>0</v>
      </c>
      <c r="H40" s="65">
        <f>'дод 2'!I65</f>
        <v>0</v>
      </c>
      <c r="I40" s="65">
        <f>'дод 2'!J65</f>
        <v>0</v>
      </c>
      <c r="J40" s="65">
        <f>'дод 2'!K65</f>
        <v>0</v>
      </c>
      <c r="K40" s="65">
        <f>'дод 2'!L65</f>
        <v>0</v>
      </c>
      <c r="L40" s="65">
        <f>'дод 2'!M65</f>
        <v>0</v>
      </c>
      <c r="M40" s="65">
        <f>'дод 2'!N65</f>
        <v>0</v>
      </c>
      <c r="N40" s="65">
        <f>'дод 2'!O65</f>
        <v>0</v>
      </c>
      <c r="O40" s="65">
        <f>'дод 2'!P65</f>
        <v>1068600</v>
      </c>
      <c r="P40" s="149"/>
      <c r="Q40" s="141"/>
    </row>
    <row r="41" spans="1:17" s="96" customFormat="1" ht="26.25" customHeight="1" x14ac:dyDescent="0.25">
      <c r="A41" s="63"/>
      <c r="B41" s="63"/>
      <c r="C41" s="39" t="s">
        <v>408</v>
      </c>
      <c r="D41" s="70">
        <f>'дод 2'!E66</f>
        <v>1068600</v>
      </c>
      <c r="E41" s="70">
        <f>'дод 2'!F66</f>
        <v>1068600</v>
      </c>
      <c r="F41" s="70">
        <f>'дод 2'!G66</f>
        <v>875900</v>
      </c>
      <c r="G41" s="70">
        <f>'дод 2'!H66</f>
        <v>0</v>
      </c>
      <c r="H41" s="70">
        <f>'дод 2'!I66</f>
        <v>0</v>
      </c>
      <c r="I41" s="70">
        <f>'дод 2'!J66</f>
        <v>0</v>
      </c>
      <c r="J41" s="70">
        <f>'дод 2'!K66</f>
        <v>0</v>
      </c>
      <c r="K41" s="70">
        <f>'дод 2'!L66</f>
        <v>0</v>
      </c>
      <c r="L41" s="70">
        <f>'дод 2'!M66</f>
        <v>0</v>
      </c>
      <c r="M41" s="70">
        <f>'дод 2'!N66</f>
        <v>0</v>
      </c>
      <c r="N41" s="70">
        <f>'дод 2'!O66</f>
        <v>0</v>
      </c>
      <c r="O41" s="70">
        <f>'дод 2'!P66</f>
        <v>1068600</v>
      </c>
      <c r="P41" s="149"/>
      <c r="Q41" s="141"/>
    </row>
    <row r="42" spans="1:17" s="96" customFormat="1" ht="38.25" customHeight="1" x14ac:dyDescent="0.25">
      <c r="A42" s="25" t="s">
        <v>45</v>
      </c>
      <c r="B42" s="25" t="s">
        <v>48</v>
      </c>
      <c r="C42" s="27" t="s">
        <v>280</v>
      </c>
      <c r="D42" s="65">
        <f>'дод 2'!E67</f>
        <v>47805900</v>
      </c>
      <c r="E42" s="65">
        <f>'дод 2'!F67</f>
        <v>47805900</v>
      </c>
      <c r="F42" s="65">
        <f>'дод 2'!G67</f>
        <v>32550000</v>
      </c>
      <c r="G42" s="65">
        <f>'дод 2'!H67</f>
        <v>7564900</v>
      </c>
      <c r="H42" s="65">
        <f>'дод 2'!I67</f>
        <v>0</v>
      </c>
      <c r="I42" s="65">
        <f>'дод 2'!J67</f>
        <v>0</v>
      </c>
      <c r="J42" s="65">
        <f>'дод 2'!K67</f>
        <v>0</v>
      </c>
      <c r="K42" s="65">
        <f>'дод 2'!L67</f>
        <v>0</v>
      </c>
      <c r="L42" s="65">
        <f>'дод 2'!M67</f>
        <v>0</v>
      </c>
      <c r="M42" s="65">
        <f>'дод 2'!N67</f>
        <v>0</v>
      </c>
      <c r="N42" s="65">
        <f>'дод 2'!O67</f>
        <v>0</v>
      </c>
      <c r="O42" s="65">
        <f>'дод 2'!P67</f>
        <v>47805900</v>
      </c>
      <c r="P42" s="149"/>
      <c r="Q42" s="141"/>
    </row>
    <row r="43" spans="1:17" s="96" customFormat="1" ht="30" customHeight="1" x14ac:dyDescent="0.25">
      <c r="A43" s="26">
        <v>1080</v>
      </c>
      <c r="B43" s="25" t="s">
        <v>48</v>
      </c>
      <c r="C43" s="27" t="s">
        <v>323</v>
      </c>
      <c r="D43" s="65">
        <f>'дод 2'!E155</f>
        <v>58762400</v>
      </c>
      <c r="E43" s="65">
        <f>'дод 2'!F155</f>
        <v>58762400</v>
      </c>
      <c r="F43" s="65">
        <f>'дод 2'!G155</f>
        <v>46330300</v>
      </c>
      <c r="G43" s="65">
        <f>'дод 2'!H155</f>
        <v>1616300</v>
      </c>
      <c r="H43" s="65">
        <f>'дод 2'!I155</f>
        <v>0</v>
      </c>
      <c r="I43" s="65">
        <f>'дод 2'!J155</f>
        <v>3703600</v>
      </c>
      <c r="J43" s="65">
        <f>'дод 2'!K155</f>
        <v>0</v>
      </c>
      <c r="K43" s="65">
        <f>'дод 2'!L155</f>
        <v>3701400</v>
      </c>
      <c r="L43" s="65">
        <f>'дод 2'!M155</f>
        <v>3029160</v>
      </c>
      <c r="M43" s="65">
        <f>'дод 2'!N155</f>
        <v>0</v>
      </c>
      <c r="N43" s="65">
        <f>'дод 2'!O155</f>
        <v>2200</v>
      </c>
      <c r="O43" s="65">
        <f>'дод 2'!P155</f>
        <v>62466000</v>
      </c>
      <c r="P43" s="149"/>
      <c r="Q43" s="141"/>
    </row>
    <row r="44" spans="1:17" s="96" customFormat="1" ht="52.5" customHeight="1" x14ac:dyDescent="0.25">
      <c r="A44" s="26">
        <v>1091</v>
      </c>
      <c r="B44" s="25" t="s">
        <v>333</v>
      </c>
      <c r="C44" s="27" t="s">
        <v>450</v>
      </c>
      <c r="D44" s="65">
        <f>'дод 2'!E68</f>
        <v>154406700</v>
      </c>
      <c r="E44" s="65">
        <f>'дод 2'!F68</f>
        <v>154406700</v>
      </c>
      <c r="F44" s="65">
        <f>'дод 2'!G68</f>
        <v>80199400</v>
      </c>
      <c r="G44" s="65">
        <f>'дод 2'!H68</f>
        <v>24365100</v>
      </c>
      <c r="H44" s="65">
        <f>'дод 2'!I68</f>
        <v>0</v>
      </c>
      <c r="I44" s="65">
        <f>'дод 2'!J68</f>
        <v>32625160</v>
      </c>
      <c r="J44" s="65">
        <f>'дод 2'!K68</f>
        <v>10710000</v>
      </c>
      <c r="K44" s="65">
        <f>'дод 2'!L68</f>
        <v>21478160</v>
      </c>
      <c r="L44" s="65">
        <f>'дод 2'!M68</f>
        <v>7258500</v>
      </c>
      <c r="M44" s="65">
        <f>'дод 2'!N68</f>
        <v>6662500</v>
      </c>
      <c r="N44" s="65">
        <f>'дод 2'!O68</f>
        <v>11147000</v>
      </c>
      <c r="O44" s="65">
        <f>'дод 2'!P68</f>
        <v>187031860</v>
      </c>
      <c r="P44" s="149"/>
      <c r="Q44" s="141"/>
    </row>
    <row r="45" spans="1:17" s="96" customFormat="1" ht="103.5" customHeight="1" x14ac:dyDescent="0.25">
      <c r="A45" s="35"/>
      <c r="B45" s="34"/>
      <c r="C45" s="39" t="s">
        <v>454</v>
      </c>
      <c r="D45" s="70">
        <f>'дод 2'!E69</f>
        <v>0</v>
      </c>
      <c r="E45" s="70">
        <f>'дод 2'!F69</f>
        <v>0</v>
      </c>
      <c r="F45" s="70">
        <f>'дод 2'!G69</f>
        <v>0</v>
      </c>
      <c r="G45" s="70">
        <f>'дод 2'!H69</f>
        <v>0</v>
      </c>
      <c r="H45" s="70">
        <f>'дод 2'!I69</f>
        <v>0</v>
      </c>
      <c r="I45" s="70">
        <f>'дод 2'!J69</f>
        <v>6210000</v>
      </c>
      <c r="J45" s="70">
        <f>'дод 2'!K69</f>
        <v>6210000</v>
      </c>
      <c r="K45" s="70">
        <f>'дод 2'!L69</f>
        <v>0</v>
      </c>
      <c r="L45" s="70">
        <f>'дод 2'!M69</f>
        <v>0</v>
      </c>
      <c r="M45" s="70">
        <f>'дод 2'!N69</f>
        <v>0</v>
      </c>
      <c r="N45" s="70">
        <f>'дод 2'!O69</f>
        <v>6210000</v>
      </c>
      <c r="O45" s="70">
        <f>'дод 2'!P69</f>
        <v>6210000</v>
      </c>
      <c r="P45" s="149"/>
      <c r="Q45" s="141"/>
    </row>
    <row r="46" spans="1:17" s="96" customFormat="1" ht="38.65" customHeight="1" x14ac:dyDescent="0.25">
      <c r="A46" s="35"/>
      <c r="B46" s="34"/>
      <c r="C46" s="39" t="str">
        <f>'дод 2'!D70</f>
        <v>іншої субвенції з місцевого бюджету</v>
      </c>
      <c r="D46" s="70">
        <f>'дод 2'!E70</f>
        <v>0</v>
      </c>
      <c r="E46" s="70">
        <f>'дод 2'!F70</f>
        <v>0</v>
      </c>
      <c r="F46" s="70">
        <f>'дод 2'!G70</f>
        <v>0</v>
      </c>
      <c r="G46" s="70">
        <f>'дод 2'!H70</f>
        <v>0</v>
      </c>
      <c r="H46" s="70">
        <f>'дод 2'!I70</f>
        <v>0</v>
      </c>
      <c r="I46" s="70">
        <f>'дод 2'!J70</f>
        <v>4500000</v>
      </c>
      <c r="J46" s="70">
        <f>'дод 2'!K70</f>
        <v>4500000</v>
      </c>
      <c r="K46" s="70">
        <f>'дод 2'!L70</f>
        <v>0</v>
      </c>
      <c r="L46" s="70">
        <f>'дод 2'!M70</f>
        <v>0</v>
      </c>
      <c r="M46" s="70">
        <f>'дод 2'!N70</f>
        <v>0</v>
      </c>
      <c r="N46" s="70">
        <f>'дод 2'!O70</f>
        <v>4500000</v>
      </c>
      <c r="O46" s="70">
        <f>'дод 2'!P70</f>
        <v>4500000</v>
      </c>
      <c r="P46" s="149"/>
      <c r="Q46" s="141"/>
    </row>
    <row r="47" spans="1:17" s="96" customFormat="1" ht="64.5" customHeight="1" x14ac:dyDescent="0.25">
      <c r="A47" s="73">
        <v>1092</v>
      </c>
      <c r="B47" s="71" t="s">
        <v>333</v>
      </c>
      <c r="C47" s="72" t="s">
        <v>414</v>
      </c>
      <c r="D47" s="65">
        <f>'дод 2'!E71</f>
        <v>13420000</v>
      </c>
      <c r="E47" s="65">
        <f>'дод 2'!F71</f>
        <v>13420000</v>
      </c>
      <c r="F47" s="65">
        <f>'дод 2'!G71</f>
        <v>11000000</v>
      </c>
      <c r="G47" s="65">
        <f>'дод 2'!H71</f>
        <v>0</v>
      </c>
      <c r="H47" s="65">
        <f>'дод 2'!I71</f>
        <v>0</v>
      </c>
      <c r="I47" s="65">
        <f>'дод 2'!J71</f>
        <v>0</v>
      </c>
      <c r="J47" s="65">
        <f>'дод 2'!K71</f>
        <v>0</v>
      </c>
      <c r="K47" s="65">
        <f>'дод 2'!L71</f>
        <v>0</v>
      </c>
      <c r="L47" s="65">
        <f>'дод 2'!M71</f>
        <v>0</v>
      </c>
      <c r="M47" s="65">
        <f>'дод 2'!N71</f>
        <v>0</v>
      </c>
      <c r="N47" s="65">
        <f>'дод 2'!O71</f>
        <v>0</v>
      </c>
      <c r="O47" s="65">
        <f>'дод 2'!P71</f>
        <v>13420000</v>
      </c>
      <c r="P47" s="149"/>
      <c r="Q47" s="141"/>
    </row>
    <row r="48" spans="1:17" s="96" customFormat="1" ht="20.25" customHeight="1" x14ac:dyDescent="0.25">
      <c r="A48" s="74"/>
      <c r="B48" s="75"/>
      <c r="C48" s="39" t="s">
        <v>408</v>
      </c>
      <c r="D48" s="70">
        <f>'дод 2'!E72</f>
        <v>13420000</v>
      </c>
      <c r="E48" s="70">
        <f>'дод 2'!F72</f>
        <v>13420000</v>
      </c>
      <c r="F48" s="70">
        <f>'дод 2'!G72</f>
        <v>11000000</v>
      </c>
      <c r="G48" s="70">
        <f>'дод 2'!H72</f>
        <v>0</v>
      </c>
      <c r="H48" s="70">
        <f>'дод 2'!I72</f>
        <v>0</v>
      </c>
      <c r="I48" s="70">
        <f>'дод 2'!J72</f>
        <v>0</v>
      </c>
      <c r="J48" s="70">
        <f>'дод 2'!K72</f>
        <v>0</v>
      </c>
      <c r="K48" s="70">
        <f>'дод 2'!L72</f>
        <v>0</v>
      </c>
      <c r="L48" s="70">
        <f>'дод 2'!M72</f>
        <v>0</v>
      </c>
      <c r="M48" s="70">
        <f>'дод 2'!N72</f>
        <v>0</v>
      </c>
      <c r="N48" s="70">
        <f>'дод 2'!O72</f>
        <v>0</v>
      </c>
      <c r="O48" s="70">
        <f>'дод 2'!P72</f>
        <v>13420000</v>
      </c>
      <c r="P48" s="149"/>
      <c r="Q48" s="141"/>
    </row>
    <row r="49" spans="1:17" s="96" customFormat="1" ht="24.75" customHeight="1" x14ac:dyDescent="0.25">
      <c r="A49" s="25" t="s">
        <v>301</v>
      </c>
      <c r="B49" s="25" t="s">
        <v>49</v>
      </c>
      <c r="C49" s="27" t="s">
        <v>317</v>
      </c>
      <c r="D49" s="65">
        <f>'дод 2'!E73+'дод 2'!E202</f>
        <v>14119800</v>
      </c>
      <c r="E49" s="65">
        <f>'дод 2'!F73+'дод 2'!F202</f>
        <v>14119800</v>
      </c>
      <c r="F49" s="65">
        <f>'дод 2'!G73+'дод 2'!G202</f>
        <v>9824000</v>
      </c>
      <c r="G49" s="65">
        <f>'дод 2'!H73+'дод 2'!H202</f>
        <v>1318500</v>
      </c>
      <c r="H49" s="65">
        <f>'дод 2'!I73+'дод 2'!I202</f>
        <v>0</v>
      </c>
      <c r="I49" s="65">
        <f>'дод 2'!J73+'дод 2'!J202</f>
        <v>120000</v>
      </c>
      <c r="J49" s="65">
        <f>'дод 2'!K73+'дод 2'!K202</f>
        <v>120000</v>
      </c>
      <c r="K49" s="65">
        <f>'дод 2'!L73+'дод 2'!L202</f>
        <v>0</v>
      </c>
      <c r="L49" s="65">
        <f>'дод 2'!M73+'дод 2'!M202</f>
        <v>0</v>
      </c>
      <c r="M49" s="65">
        <f>'дод 2'!N73+'дод 2'!N202</f>
        <v>0</v>
      </c>
      <c r="N49" s="65">
        <f>'дод 2'!O73+'дод 2'!O202</f>
        <v>120000</v>
      </c>
      <c r="O49" s="65">
        <f>'дод 2'!P73+'дод 2'!P202</f>
        <v>14239800</v>
      </c>
      <c r="P49" s="149"/>
      <c r="Q49" s="141"/>
    </row>
    <row r="50" spans="1:17" ht="30" customHeight="1" x14ac:dyDescent="0.25">
      <c r="A50" s="25" t="s">
        <v>303</v>
      </c>
      <c r="B50" s="25" t="s">
        <v>49</v>
      </c>
      <c r="C50" s="27" t="s">
        <v>222</v>
      </c>
      <c r="D50" s="65">
        <f>'дод 2'!E74</f>
        <v>134000</v>
      </c>
      <c r="E50" s="65">
        <f>'дод 2'!F74</f>
        <v>134000</v>
      </c>
      <c r="F50" s="65">
        <f>'дод 2'!G74</f>
        <v>0</v>
      </c>
      <c r="G50" s="65">
        <f>'дод 2'!H74</f>
        <v>0</v>
      </c>
      <c r="H50" s="65">
        <f>'дод 2'!I74</f>
        <v>0</v>
      </c>
      <c r="I50" s="65">
        <f>'дод 2'!J74</f>
        <v>0</v>
      </c>
      <c r="J50" s="65">
        <f>'дод 2'!K74</f>
        <v>0</v>
      </c>
      <c r="K50" s="65">
        <f>'дод 2'!L74</f>
        <v>0</v>
      </c>
      <c r="L50" s="65">
        <f>'дод 2'!M74</f>
        <v>0</v>
      </c>
      <c r="M50" s="65">
        <f>'дод 2'!N74</f>
        <v>0</v>
      </c>
      <c r="N50" s="65">
        <f>'дод 2'!O74</f>
        <v>0</v>
      </c>
      <c r="O50" s="65">
        <f>'дод 2'!P74</f>
        <v>134000</v>
      </c>
      <c r="P50" s="149"/>
      <c r="Q50" s="141"/>
    </row>
    <row r="51" spans="1:17" ht="32.25" customHeight="1" x14ac:dyDescent="0.25">
      <c r="A51" s="25" t="s">
        <v>305</v>
      </c>
      <c r="B51" s="25" t="s">
        <v>49</v>
      </c>
      <c r="C51" s="27" t="s">
        <v>306</v>
      </c>
      <c r="D51" s="65">
        <f>'дод 2'!E75</f>
        <v>173400</v>
      </c>
      <c r="E51" s="65">
        <f>'дод 2'!F75</f>
        <v>173400</v>
      </c>
      <c r="F51" s="65">
        <f>'дод 2'!G75</f>
        <v>0</v>
      </c>
      <c r="G51" s="65">
        <f>'дод 2'!H75</f>
        <v>129400</v>
      </c>
      <c r="H51" s="65">
        <f>'дод 2'!I75</f>
        <v>0</v>
      </c>
      <c r="I51" s="65">
        <f>'дод 2'!J75</f>
        <v>0</v>
      </c>
      <c r="J51" s="65">
        <f>'дод 2'!K75</f>
        <v>0</v>
      </c>
      <c r="K51" s="65">
        <f>'дод 2'!L75</f>
        <v>0</v>
      </c>
      <c r="L51" s="65">
        <f>'дод 2'!M75</f>
        <v>0</v>
      </c>
      <c r="M51" s="65">
        <f>'дод 2'!N75</f>
        <v>0</v>
      </c>
      <c r="N51" s="65">
        <f>'дод 2'!O75</f>
        <v>0</v>
      </c>
      <c r="O51" s="65">
        <f>'дод 2'!P75</f>
        <v>173400</v>
      </c>
      <c r="P51" s="149"/>
      <c r="Q51" s="141"/>
    </row>
    <row r="52" spans="1:17" ht="45" customHeight="1" x14ac:dyDescent="0.25">
      <c r="A52" s="25" t="s">
        <v>405</v>
      </c>
      <c r="B52" s="25" t="s">
        <v>49</v>
      </c>
      <c r="C52" s="27" t="s">
        <v>406</v>
      </c>
      <c r="D52" s="65">
        <f>'дод 2'!E76</f>
        <v>1434970</v>
      </c>
      <c r="E52" s="65">
        <f>'дод 2'!F76</f>
        <v>1434970</v>
      </c>
      <c r="F52" s="65">
        <f>'дод 2'!G76</f>
        <v>1176210</v>
      </c>
      <c r="G52" s="65">
        <f>'дод 2'!H76</f>
        <v>0</v>
      </c>
      <c r="H52" s="65">
        <f>'дод 2'!I76</f>
        <v>0</v>
      </c>
      <c r="I52" s="65">
        <f>'дод 2'!J76</f>
        <v>0</v>
      </c>
      <c r="J52" s="65">
        <f>'дод 2'!K76</f>
        <v>0</v>
      </c>
      <c r="K52" s="65">
        <f>'дод 2'!L76</f>
        <v>0</v>
      </c>
      <c r="L52" s="65">
        <f>'дод 2'!M76</f>
        <v>0</v>
      </c>
      <c r="M52" s="65">
        <f>'дод 2'!N76</f>
        <v>0</v>
      </c>
      <c r="N52" s="65">
        <f>'дод 2'!O76</f>
        <v>0</v>
      </c>
      <c r="O52" s="65">
        <f>'дод 2'!P76</f>
        <v>1434970</v>
      </c>
      <c r="P52" s="149"/>
      <c r="Q52" s="141"/>
    </row>
    <row r="53" spans="1:17" s="96" customFormat="1" ht="45" customHeight="1" x14ac:dyDescent="0.25">
      <c r="A53" s="34"/>
      <c r="B53" s="34"/>
      <c r="C53" s="39" t="s">
        <v>401</v>
      </c>
      <c r="D53" s="70">
        <f>'дод 2'!E77</f>
        <v>1434970</v>
      </c>
      <c r="E53" s="70">
        <f>'дод 2'!F77</f>
        <v>1434970</v>
      </c>
      <c r="F53" s="70">
        <f>'дод 2'!G77</f>
        <v>1176210</v>
      </c>
      <c r="G53" s="70">
        <f>'дод 2'!H77</f>
        <v>0</v>
      </c>
      <c r="H53" s="70">
        <f>'дод 2'!I77</f>
        <v>0</v>
      </c>
      <c r="I53" s="70">
        <f>'дод 2'!J77</f>
        <v>0</v>
      </c>
      <c r="J53" s="70">
        <f>'дод 2'!K77</f>
        <v>0</v>
      </c>
      <c r="K53" s="70">
        <f>'дод 2'!L77</f>
        <v>0</v>
      </c>
      <c r="L53" s="70">
        <f>'дод 2'!M77</f>
        <v>0</v>
      </c>
      <c r="M53" s="70">
        <f>'дод 2'!N77</f>
        <v>0</v>
      </c>
      <c r="N53" s="70">
        <f>'дод 2'!O77</f>
        <v>0</v>
      </c>
      <c r="O53" s="70">
        <f>'дод 2'!P77</f>
        <v>1434970</v>
      </c>
      <c r="P53" s="149"/>
      <c r="Q53" s="141"/>
    </row>
    <row r="54" spans="1:17" s="96" customFormat="1" ht="31.5" x14ac:dyDescent="0.25">
      <c r="A54" s="25" t="s">
        <v>308</v>
      </c>
      <c r="B54" s="25" t="s">
        <v>49</v>
      </c>
      <c r="C54" s="27" t="s">
        <v>309</v>
      </c>
      <c r="D54" s="65">
        <f>'дод 2'!E78</f>
        <v>3763400</v>
      </c>
      <c r="E54" s="65">
        <f>'дод 2'!F78</f>
        <v>3763400</v>
      </c>
      <c r="F54" s="65">
        <f>'дод 2'!G78</f>
        <v>2713000</v>
      </c>
      <c r="G54" s="65">
        <f>'дод 2'!H78</f>
        <v>315500</v>
      </c>
      <c r="H54" s="65">
        <f>'дод 2'!I78</f>
        <v>0</v>
      </c>
      <c r="I54" s="65">
        <f>'дод 2'!J78</f>
        <v>0</v>
      </c>
      <c r="J54" s="65">
        <f>'дод 2'!K78</f>
        <v>0</v>
      </c>
      <c r="K54" s="65">
        <f>'дод 2'!L78</f>
        <v>0</v>
      </c>
      <c r="L54" s="65">
        <f>'дод 2'!M78</f>
        <v>0</v>
      </c>
      <c r="M54" s="65">
        <f>'дод 2'!N78</f>
        <v>0</v>
      </c>
      <c r="N54" s="65">
        <f>'дод 2'!O78</f>
        <v>0</v>
      </c>
      <c r="O54" s="65">
        <f>'дод 2'!P78</f>
        <v>3763400</v>
      </c>
      <c r="P54" s="149"/>
      <c r="Q54" s="141"/>
    </row>
    <row r="55" spans="1:17" s="96" customFormat="1" ht="74.650000000000006" customHeight="1" x14ac:dyDescent="0.25">
      <c r="A55" s="25" t="s">
        <v>431</v>
      </c>
      <c r="B55" s="25" t="s">
        <v>49</v>
      </c>
      <c r="C55" s="30" t="s">
        <v>430</v>
      </c>
      <c r="D55" s="65">
        <f>'дод 2'!E79</f>
        <v>1125107</v>
      </c>
      <c r="E55" s="65">
        <f>'дод 2'!F79</f>
        <v>1125107</v>
      </c>
      <c r="F55" s="65">
        <f>'дод 2'!G79</f>
        <v>0</v>
      </c>
      <c r="G55" s="65">
        <f>'дод 2'!H79</f>
        <v>0</v>
      </c>
      <c r="H55" s="65">
        <f>'дод 2'!I79</f>
        <v>0</v>
      </c>
      <c r="I55" s="65">
        <f>'дод 2'!J79</f>
        <v>3290393</v>
      </c>
      <c r="J55" s="65">
        <f>'дод 2'!K79</f>
        <v>3290393</v>
      </c>
      <c r="K55" s="65">
        <f>'дод 2'!L79</f>
        <v>0</v>
      </c>
      <c r="L55" s="65">
        <f>'дод 2'!M79</f>
        <v>0</v>
      </c>
      <c r="M55" s="65">
        <f>'дод 2'!N79</f>
        <v>0</v>
      </c>
      <c r="N55" s="65">
        <f>'дод 2'!O79</f>
        <v>3290393</v>
      </c>
      <c r="O55" s="65">
        <f>'дод 2'!P79</f>
        <v>4415500</v>
      </c>
      <c r="P55" s="149">
        <v>3</v>
      </c>
      <c r="Q55" s="141"/>
    </row>
    <row r="56" spans="1:17" s="96" customFormat="1" ht="77.25" customHeight="1" x14ac:dyDescent="0.25">
      <c r="A56" s="25" t="s">
        <v>432</v>
      </c>
      <c r="B56" s="25" t="s">
        <v>49</v>
      </c>
      <c r="C56" s="30" t="s">
        <v>433</v>
      </c>
      <c r="D56" s="65">
        <f>'дод 2'!E80</f>
        <v>2625231</v>
      </c>
      <c r="E56" s="65">
        <f>'дод 2'!F80</f>
        <v>2625231</v>
      </c>
      <c r="F56" s="65">
        <f>'дод 2'!G80</f>
        <v>0</v>
      </c>
      <c r="G56" s="65">
        <f>'дод 2'!H80</f>
        <v>0</v>
      </c>
      <c r="H56" s="65">
        <f>'дод 2'!I80</f>
        <v>0</v>
      </c>
      <c r="I56" s="65">
        <f>'дод 2'!J80</f>
        <v>7677569</v>
      </c>
      <c r="J56" s="65">
        <f>'дод 2'!K80</f>
        <v>7677569</v>
      </c>
      <c r="K56" s="65">
        <f>'дод 2'!L80</f>
        <v>0</v>
      </c>
      <c r="L56" s="65">
        <f>'дод 2'!M80</f>
        <v>0</v>
      </c>
      <c r="M56" s="65">
        <f>'дод 2'!N80</f>
        <v>0</v>
      </c>
      <c r="N56" s="65">
        <f>'дод 2'!O80</f>
        <v>7677569</v>
      </c>
      <c r="O56" s="65">
        <f>'дод 2'!P80</f>
        <v>10302800</v>
      </c>
      <c r="P56" s="149"/>
      <c r="Q56" s="141"/>
    </row>
    <row r="57" spans="1:17" s="96" customFormat="1" ht="59.65" customHeight="1" x14ac:dyDescent="0.25">
      <c r="A57" s="34"/>
      <c r="B57" s="34"/>
      <c r="C57" s="36" t="s">
        <v>434</v>
      </c>
      <c r="D57" s="65">
        <f>'дод 2'!E81</f>
        <v>2625231</v>
      </c>
      <c r="E57" s="65">
        <f>'дод 2'!F81</f>
        <v>2625231</v>
      </c>
      <c r="F57" s="65">
        <f>'дод 2'!G81</f>
        <v>0</v>
      </c>
      <c r="G57" s="65">
        <f>'дод 2'!H81</f>
        <v>0</v>
      </c>
      <c r="H57" s="65">
        <f>'дод 2'!I81</f>
        <v>0</v>
      </c>
      <c r="I57" s="65">
        <f>'дод 2'!J81</f>
        <v>7677569</v>
      </c>
      <c r="J57" s="65">
        <f>'дод 2'!K81</f>
        <v>7677569</v>
      </c>
      <c r="K57" s="65">
        <f>'дод 2'!L81</f>
        <v>0</v>
      </c>
      <c r="L57" s="65">
        <f>'дод 2'!M81</f>
        <v>0</v>
      </c>
      <c r="M57" s="65">
        <f>'дод 2'!N81</f>
        <v>0</v>
      </c>
      <c r="N57" s="65">
        <f>'дод 2'!O81</f>
        <v>7677569</v>
      </c>
      <c r="O57" s="65">
        <f>'дод 2'!P81</f>
        <v>10302800</v>
      </c>
      <c r="P57" s="149"/>
      <c r="Q57" s="141"/>
    </row>
    <row r="58" spans="1:17" ht="69.400000000000006" customHeight="1" x14ac:dyDescent="0.25">
      <c r="A58" s="25" t="s">
        <v>437</v>
      </c>
      <c r="B58" s="25" t="s">
        <v>49</v>
      </c>
      <c r="C58" s="30" t="s">
        <v>438</v>
      </c>
      <c r="D58" s="65">
        <f>'дод 2'!E82</f>
        <v>891200</v>
      </c>
      <c r="E58" s="65">
        <f>'дод 2'!F82</f>
        <v>891200</v>
      </c>
      <c r="F58" s="65">
        <f>'дод 2'!G82</f>
        <v>730490</v>
      </c>
      <c r="G58" s="65">
        <f>'дод 2'!H82</f>
        <v>0</v>
      </c>
      <c r="H58" s="65">
        <f>'дод 2'!I82</f>
        <v>0</v>
      </c>
      <c r="I58" s="65">
        <f>'дод 2'!J82</f>
        <v>0</v>
      </c>
      <c r="J58" s="65">
        <f>'дод 2'!K82</f>
        <v>0</v>
      </c>
      <c r="K58" s="65">
        <f>'дод 2'!L82</f>
        <v>0</v>
      </c>
      <c r="L58" s="65">
        <f>'дод 2'!M82</f>
        <v>0</v>
      </c>
      <c r="M58" s="65">
        <f>'дод 2'!N82</f>
        <v>0</v>
      </c>
      <c r="N58" s="65">
        <f>'дод 2'!O82</f>
        <v>0</v>
      </c>
      <c r="O58" s="65">
        <f>'дод 2'!P82</f>
        <v>891200</v>
      </c>
      <c r="P58" s="149"/>
      <c r="Q58" s="141"/>
    </row>
    <row r="59" spans="1:17" s="96" customFormat="1" ht="47.65" customHeight="1" x14ac:dyDescent="0.25">
      <c r="A59" s="34"/>
      <c r="B59" s="34"/>
      <c r="C59" s="36" t="s">
        <v>439</v>
      </c>
      <c r="D59" s="70">
        <f>'дод 2'!E83</f>
        <v>891200</v>
      </c>
      <c r="E59" s="70">
        <f>'дод 2'!F83</f>
        <v>891200</v>
      </c>
      <c r="F59" s="70">
        <f>'дод 2'!G83</f>
        <v>730490</v>
      </c>
      <c r="G59" s="70">
        <f>'дод 2'!H83</f>
        <v>0</v>
      </c>
      <c r="H59" s="70">
        <f>'дод 2'!I83</f>
        <v>0</v>
      </c>
      <c r="I59" s="70">
        <f>'дод 2'!J83</f>
        <v>0</v>
      </c>
      <c r="J59" s="70">
        <f>'дод 2'!K83</f>
        <v>0</v>
      </c>
      <c r="K59" s="70">
        <f>'дод 2'!L83</f>
        <v>0</v>
      </c>
      <c r="L59" s="70">
        <f>'дод 2'!M83</f>
        <v>0</v>
      </c>
      <c r="M59" s="70">
        <f>'дод 2'!N83</f>
        <v>0</v>
      </c>
      <c r="N59" s="70">
        <f>'дод 2'!O83</f>
        <v>0</v>
      </c>
      <c r="O59" s="70">
        <f>'дод 2'!P83</f>
        <v>891200</v>
      </c>
      <c r="P59" s="149"/>
      <c r="Q59" s="141"/>
    </row>
    <row r="60" spans="1:17" ht="120.75" customHeight="1" x14ac:dyDescent="0.25">
      <c r="A60" s="25" t="s">
        <v>483</v>
      </c>
      <c r="B60" s="25" t="s">
        <v>49</v>
      </c>
      <c r="C60" s="30" t="s">
        <v>484</v>
      </c>
      <c r="D60" s="65">
        <f>'дод 2'!E203</f>
        <v>0</v>
      </c>
      <c r="E60" s="65">
        <f>'дод 2'!F203</f>
        <v>0</v>
      </c>
      <c r="F60" s="65">
        <f>'дод 2'!G203</f>
        <v>0</v>
      </c>
      <c r="G60" s="65">
        <f>'дод 2'!H203</f>
        <v>0</v>
      </c>
      <c r="H60" s="65">
        <f>'дод 2'!I203</f>
        <v>0</v>
      </c>
      <c r="I60" s="65">
        <f>'дод 2'!J203</f>
        <v>112284866</v>
      </c>
      <c r="J60" s="65">
        <f>'дод 2'!K203</f>
        <v>112284866</v>
      </c>
      <c r="K60" s="65">
        <f>'дод 2'!L203</f>
        <v>0</v>
      </c>
      <c r="L60" s="65">
        <f>'дод 2'!M203</f>
        <v>0</v>
      </c>
      <c r="M60" s="65">
        <f>'дод 2'!N203</f>
        <v>0</v>
      </c>
      <c r="N60" s="65">
        <f>'дод 2'!O203</f>
        <v>112284866</v>
      </c>
      <c r="O60" s="65">
        <f>'дод 2'!P203</f>
        <v>112284866</v>
      </c>
      <c r="P60" s="149"/>
      <c r="Q60" s="141"/>
    </row>
    <row r="61" spans="1:17" ht="111.75" customHeight="1" x14ac:dyDescent="0.25">
      <c r="A61" s="25" t="s">
        <v>487</v>
      </c>
      <c r="B61" s="25" t="s">
        <v>49</v>
      </c>
      <c r="C61" s="30" t="s">
        <v>488</v>
      </c>
      <c r="D61" s="65">
        <f>'дод 2'!E204</f>
        <v>0</v>
      </c>
      <c r="E61" s="65">
        <f>'дод 2'!F204</f>
        <v>0</v>
      </c>
      <c r="F61" s="65">
        <f>'дод 2'!G204</f>
        <v>0</v>
      </c>
      <c r="G61" s="65">
        <f>'дод 2'!H204</f>
        <v>0</v>
      </c>
      <c r="H61" s="65">
        <f>'дод 2'!I204</f>
        <v>0</v>
      </c>
      <c r="I61" s="65">
        <f>'дод 2'!J204</f>
        <v>213902286</v>
      </c>
      <c r="J61" s="65">
        <f>'дод 2'!K204</f>
        <v>213902286</v>
      </c>
      <c r="K61" s="65">
        <f>'дод 2'!L204</f>
        <v>0</v>
      </c>
      <c r="L61" s="65">
        <f>'дод 2'!M204</f>
        <v>0</v>
      </c>
      <c r="M61" s="65">
        <f>'дод 2'!N204</f>
        <v>0</v>
      </c>
      <c r="N61" s="65">
        <f>'дод 2'!O204</f>
        <v>213902286</v>
      </c>
      <c r="O61" s="65">
        <f>'дод 2'!P204</f>
        <v>213902286</v>
      </c>
      <c r="P61" s="149"/>
      <c r="Q61" s="141"/>
    </row>
    <row r="62" spans="1:17" ht="120.75" customHeight="1" x14ac:dyDescent="0.25">
      <c r="A62" s="25"/>
      <c r="B62" s="25"/>
      <c r="C62" s="36" t="s">
        <v>489</v>
      </c>
      <c r="D62" s="70">
        <f>'дод 2'!E205</f>
        <v>0</v>
      </c>
      <c r="E62" s="70">
        <f>'дод 2'!F205</f>
        <v>0</v>
      </c>
      <c r="F62" s="70">
        <f>'дод 2'!G205</f>
        <v>0</v>
      </c>
      <c r="G62" s="70">
        <f>'дод 2'!H205</f>
        <v>0</v>
      </c>
      <c r="H62" s="70">
        <f>'дод 2'!I205</f>
        <v>0</v>
      </c>
      <c r="I62" s="70">
        <f>'дод 2'!J205</f>
        <v>213902286</v>
      </c>
      <c r="J62" s="70">
        <f>'дод 2'!K205</f>
        <v>213902286</v>
      </c>
      <c r="K62" s="70">
        <f>'дод 2'!L205</f>
        <v>0</v>
      </c>
      <c r="L62" s="70">
        <f>'дод 2'!M205</f>
        <v>0</v>
      </c>
      <c r="M62" s="70">
        <f>'дод 2'!N205</f>
        <v>0</v>
      </c>
      <c r="N62" s="70">
        <f>'дод 2'!O205</f>
        <v>213902286</v>
      </c>
      <c r="O62" s="70">
        <f>'дод 2'!P205</f>
        <v>213902286</v>
      </c>
      <c r="P62" s="149"/>
      <c r="Q62" s="141"/>
    </row>
    <row r="63" spans="1:17" ht="74.25" customHeight="1" x14ac:dyDescent="0.25">
      <c r="A63" s="25" t="s">
        <v>505</v>
      </c>
      <c r="B63" s="25" t="s">
        <v>49</v>
      </c>
      <c r="C63" s="30" t="s">
        <v>507</v>
      </c>
      <c r="D63" s="65">
        <f>'дод 2'!E84</f>
        <v>0</v>
      </c>
      <c r="E63" s="65">
        <f>'дод 2'!F84</f>
        <v>0</v>
      </c>
      <c r="F63" s="65">
        <f>'дод 2'!G84</f>
        <v>0</v>
      </c>
      <c r="G63" s="65">
        <f>'дод 2'!H84</f>
        <v>0</v>
      </c>
      <c r="H63" s="65">
        <f>'дод 2'!I84</f>
        <v>0</v>
      </c>
      <c r="I63" s="65">
        <f>'дод 2'!J84</f>
        <v>6615904</v>
      </c>
      <c r="J63" s="65">
        <f>'дод 2'!K84</f>
        <v>6615904</v>
      </c>
      <c r="K63" s="65">
        <f>'дод 2'!L84</f>
        <v>0</v>
      </c>
      <c r="L63" s="65">
        <f>'дод 2'!M84</f>
        <v>0</v>
      </c>
      <c r="M63" s="65">
        <f>'дод 2'!N84</f>
        <v>0</v>
      </c>
      <c r="N63" s="65">
        <f>'дод 2'!O84</f>
        <v>6615904</v>
      </c>
      <c r="O63" s="65">
        <f>'дод 2'!P84</f>
        <v>6615904</v>
      </c>
      <c r="P63" s="149"/>
      <c r="Q63" s="141"/>
    </row>
    <row r="64" spans="1:17" ht="81" customHeight="1" x14ac:dyDescent="0.25">
      <c r="A64" s="25" t="s">
        <v>506</v>
      </c>
      <c r="B64" s="25" t="s">
        <v>49</v>
      </c>
      <c r="C64" s="36" t="s">
        <v>508</v>
      </c>
      <c r="D64" s="65">
        <f>'дод 2'!E85</f>
        <v>0</v>
      </c>
      <c r="E64" s="65">
        <f>'дод 2'!F85</f>
        <v>0</v>
      </c>
      <c r="F64" s="65">
        <f>'дод 2'!G85</f>
        <v>0</v>
      </c>
      <c r="G64" s="65">
        <f>'дод 2'!H85</f>
        <v>0</v>
      </c>
      <c r="H64" s="65">
        <f>'дод 2'!I85</f>
        <v>0</v>
      </c>
      <c r="I64" s="65">
        <f>'дод 2'!J85</f>
        <v>15081700</v>
      </c>
      <c r="J64" s="65">
        <f>'дод 2'!K85</f>
        <v>0</v>
      </c>
      <c r="K64" s="65">
        <f>'дод 2'!L85</f>
        <v>0</v>
      </c>
      <c r="L64" s="65">
        <f>'дод 2'!M85</f>
        <v>0</v>
      </c>
      <c r="M64" s="65">
        <f>'дод 2'!N85</f>
        <v>0</v>
      </c>
      <c r="N64" s="65">
        <f>'дод 2'!O85</f>
        <v>15081700</v>
      </c>
      <c r="O64" s="65">
        <f>'дод 2'!P85</f>
        <v>15081700</v>
      </c>
      <c r="P64" s="149"/>
      <c r="Q64" s="141"/>
    </row>
    <row r="65" spans="1:17" s="96" customFormat="1" ht="37.15" customHeight="1" x14ac:dyDescent="0.25">
      <c r="A65" s="34"/>
      <c r="B65" s="34"/>
      <c r="C65" s="36" t="s">
        <v>408</v>
      </c>
      <c r="D65" s="70">
        <f>'дод 2'!E86</f>
        <v>0</v>
      </c>
      <c r="E65" s="70">
        <f>'дод 2'!F86</f>
        <v>0</v>
      </c>
      <c r="F65" s="70">
        <f>'дод 2'!G86</f>
        <v>0</v>
      </c>
      <c r="G65" s="70">
        <f>'дод 2'!H86</f>
        <v>0</v>
      </c>
      <c r="H65" s="70">
        <f>'дод 2'!I86</f>
        <v>0</v>
      </c>
      <c r="I65" s="70">
        <f>'дод 2'!J86</f>
        <v>15081700</v>
      </c>
      <c r="J65" s="70">
        <f>'дод 2'!K86</f>
        <v>0</v>
      </c>
      <c r="K65" s="70">
        <f>'дод 2'!L86</f>
        <v>0</v>
      </c>
      <c r="L65" s="70">
        <f>'дод 2'!M86</f>
        <v>0</v>
      </c>
      <c r="M65" s="70">
        <f>'дод 2'!N86</f>
        <v>0</v>
      </c>
      <c r="N65" s="70">
        <f>'дод 2'!O86</f>
        <v>15081700</v>
      </c>
      <c r="O65" s="70">
        <f>'дод 2'!P86</f>
        <v>15081700</v>
      </c>
      <c r="P65" s="149"/>
      <c r="Q65" s="141"/>
    </row>
    <row r="66" spans="1:17" ht="28.15" customHeight="1" x14ac:dyDescent="0.25">
      <c r="A66" s="25" t="s">
        <v>456</v>
      </c>
      <c r="B66" s="25" t="s">
        <v>49</v>
      </c>
      <c r="C66" s="30" t="s">
        <v>473</v>
      </c>
      <c r="D66" s="65">
        <f>'дод 2'!E206+'дод 2'!E87</f>
        <v>0</v>
      </c>
      <c r="E66" s="65">
        <f>'дод 2'!F206+'дод 2'!F87</f>
        <v>0</v>
      </c>
      <c r="F66" s="65">
        <f>'дод 2'!G206+'дод 2'!G87</f>
        <v>0</v>
      </c>
      <c r="G66" s="65">
        <f>'дод 2'!H206+'дод 2'!H87</f>
        <v>0</v>
      </c>
      <c r="H66" s="65">
        <f>'дод 2'!I206+'дод 2'!I87</f>
        <v>0</v>
      </c>
      <c r="I66" s="65">
        <f>'дод 2'!J206+'дод 2'!J87</f>
        <v>31354594.670000002</v>
      </c>
      <c r="J66" s="65">
        <f>'дод 2'!K206+'дод 2'!K87</f>
        <v>31354594.670000002</v>
      </c>
      <c r="K66" s="65">
        <f>'дод 2'!L206+'дод 2'!L87</f>
        <v>0</v>
      </c>
      <c r="L66" s="65">
        <f>'дод 2'!M206+'дод 2'!M87</f>
        <v>0</v>
      </c>
      <c r="M66" s="65">
        <f>'дод 2'!N206+'дод 2'!N87</f>
        <v>0</v>
      </c>
      <c r="N66" s="65">
        <f>'дод 2'!O206+'дод 2'!O87</f>
        <v>31354594.670000002</v>
      </c>
      <c r="O66" s="65">
        <f>'дод 2'!P206+'дод 2'!P87</f>
        <v>31354594.670000002</v>
      </c>
      <c r="P66" s="149"/>
      <c r="Q66" s="141"/>
    </row>
    <row r="67" spans="1:17" ht="110.25" x14ac:dyDescent="0.25">
      <c r="A67" s="25"/>
      <c r="B67" s="25"/>
      <c r="C67" s="36" t="s">
        <v>454</v>
      </c>
      <c r="D67" s="70">
        <f>'дод 2'!E88</f>
        <v>0</v>
      </c>
      <c r="E67" s="70">
        <f>'дод 2'!F88</f>
        <v>0</v>
      </c>
      <c r="F67" s="70">
        <f>'дод 2'!G88</f>
        <v>0</v>
      </c>
      <c r="G67" s="70">
        <f>'дод 2'!H88</f>
        <v>0</v>
      </c>
      <c r="H67" s="70">
        <f>'дод 2'!I88</f>
        <v>0</v>
      </c>
      <c r="I67" s="70">
        <f>'дод 2'!J88</f>
        <v>29463973.670000002</v>
      </c>
      <c r="J67" s="70">
        <f>'дод 2'!K88</f>
        <v>29463973.670000002</v>
      </c>
      <c r="K67" s="70">
        <f>'дод 2'!L88</f>
        <v>0</v>
      </c>
      <c r="L67" s="70">
        <f>'дод 2'!M88</f>
        <v>0</v>
      </c>
      <c r="M67" s="70">
        <f>'дод 2'!N88</f>
        <v>0</v>
      </c>
      <c r="N67" s="70">
        <f>'дод 2'!O88</f>
        <v>29463973.670000002</v>
      </c>
      <c r="O67" s="70">
        <f>'дод 2'!P88</f>
        <v>29463973.670000002</v>
      </c>
      <c r="P67" s="149"/>
      <c r="Q67" s="141"/>
    </row>
    <row r="68" spans="1:17" ht="47.65" customHeight="1" x14ac:dyDescent="0.25">
      <c r="A68" s="25" t="s">
        <v>447</v>
      </c>
      <c r="B68" s="25" t="s">
        <v>49</v>
      </c>
      <c r="C68" s="30" t="s">
        <v>448</v>
      </c>
      <c r="D68" s="65">
        <f>'дод 2'!E89</f>
        <v>0</v>
      </c>
      <c r="E68" s="65">
        <f>'дод 2'!F89</f>
        <v>0</v>
      </c>
      <c r="F68" s="65">
        <f>'дод 2'!G89</f>
        <v>0</v>
      </c>
      <c r="G68" s="65">
        <f>'дод 2'!H89</f>
        <v>0</v>
      </c>
      <c r="H68" s="65">
        <f>'дод 2'!I89</f>
        <v>0</v>
      </c>
      <c r="I68" s="65">
        <f>'дод 2'!J89</f>
        <v>22533600</v>
      </c>
      <c r="J68" s="65">
        <f>'дод 2'!K89</f>
        <v>0</v>
      </c>
      <c r="K68" s="65">
        <f>'дод 2'!L89</f>
        <v>22533600</v>
      </c>
      <c r="L68" s="65">
        <f>'дод 2'!M89</f>
        <v>0</v>
      </c>
      <c r="M68" s="65">
        <f>'дод 2'!N89</f>
        <v>0</v>
      </c>
      <c r="N68" s="65">
        <f>'дод 2'!O89</f>
        <v>0</v>
      </c>
      <c r="O68" s="65">
        <f>'дод 2'!P89</f>
        <v>22533600</v>
      </c>
      <c r="P68" s="149">
        <v>4</v>
      </c>
      <c r="Q68" s="141"/>
    </row>
    <row r="69" spans="1:17" s="96" customFormat="1" ht="47.65" customHeight="1" x14ac:dyDescent="0.25">
      <c r="A69" s="34"/>
      <c r="B69" s="34"/>
      <c r="C69" s="39" t="s">
        <v>449</v>
      </c>
      <c r="D69" s="70">
        <f>'дод 2'!E90</f>
        <v>0</v>
      </c>
      <c r="E69" s="70">
        <f>'дод 2'!F90</f>
        <v>0</v>
      </c>
      <c r="F69" s="70">
        <f>'дод 2'!G90</f>
        <v>0</v>
      </c>
      <c r="G69" s="70">
        <f>'дод 2'!H90</f>
        <v>0</v>
      </c>
      <c r="H69" s="70">
        <f>'дод 2'!I90</f>
        <v>0</v>
      </c>
      <c r="I69" s="70">
        <f>'дод 2'!J90</f>
        <v>22533600</v>
      </c>
      <c r="J69" s="70">
        <f>'дод 2'!K90</f>
        <v>0</v>
      </c>
      <c r="K69" s="70">
        <f>'дод 2'!L90</f>
        <v>22533600</v>
      </c>
      <c r="L69" s="70">
        <f>'дод 2'!M90</f>
        <v>0</v>
      </c>
      <c r="M69" s="70">
        <f>'дод 2'!N90</f>
        <v>0</v>
      </c>
      <c r="N69" s="70">
        <f>'дод 2'!O90</f>
        <v>0</v>
      </c>
      <c r="O69" s="70">
        <f>'дод 2'!P90</f>
        <v>22533600</v>
      </c>
      <c r="P69" s="149"/>
      <c r="Q69" s="141"/>
    </row>
    <row r="70" spans="1:17" ht="72" customHeight="1" x14ac:dyDescent="0.25">
      <c r="A70" s="25" t="s">
        <v>440</v>
      </c>
      <c r="B70" s="25" t="s">
        <v>49</v>
      </c>
      <c r="C70" s="30" t="s">
        <v>441</v>
      </c>
      <c r="D70" s="65">
        <f>'дод 2'!E91</f>
        <v>24742100</v>
      </c>
      <c r="E70" s="65">
        <f>'дод 2'!F91</f>
        <v>24742100</v>
      </c>
      <c r="F70" s="65">
        <f>'дод 2'!G91</f>
        <v>20280410</v>
      </c>
      <c r="G70" s="65">
        <f>'дод 2'!H91</f>
        <v>0</v>
      </c>
      <c r="H70" s="65">
        <f>'дод 2'!I91</f>
        <v>0</v>
      </c>
      <c r="I70" s="65">
        <f>'дод 2'!J91</f>
        <v>0</v>
      </c>
      <c r="J70" s="65">
        <f>'дод 2'!K91</f>
        <v>0</v>
      </c>
      <c r="K70" s="65">
        <f>'дод 2'!L91</f>
        <v>0</v>
      </c>
      <c r="L70" s="65">
        <f>'дод 2'!M91</f>
        <v>0</v>
      </c>
      <c r="M70" s="65">
        <f>'дод 2'!N91</f>
        <v>0</v>
      </c>
      <c r="N70" s="65">
        <f>'дод 2'!O91</f>
        <v>0</v>
      </c>
      <c r="O70" s="65">
        <f>'дод 2'!P91</f>
        <v>24742100</v>
      </c>
      <c r="P70" s="149"/>
      <c r="Q70" s="141"/>
    </row>
    <row r="71" spans="1:17" s="96" customFormat="1" ht="47.65" customHeight="1" x14ac:dyDescent="0.25">
      <c r="A71" s="34"/>
      <c r="B71" s="34"/>
      <c r="C71" s="36" t="s">
        <v>442</v>
      </c>
      <c r="D71" s="70">
        <f>'дод 2'!E92</f>
        <v>24742100</v>
      </c>
      <c r="E71" s="70">
        <f>'дод 2'!F92</f>
        <v>24742100</v>
      </c>
      <c r="F71" s="70">
        <f>'дод 2'!G92</f>
        <v>20280410</v>
      </c>
      <c r="G71" s="70">
        <f>'дод 2'!H92</f>
        <v>0</v>
      </c>
      <c r="H71" s="70">
        <f>'дод 2'!I92</f>
        <v>0</v>
      </c>
      <c r="I71" s="70">
        <f>'дод 2'!J92</f>
        <v>0</v>
      </c>
      <c r="J71" s="70">
        <f>'дод 2'!K92</f>
        <v>0</v>
      </c>
      <c r="K71" s="70">
        <f>'дод 2'!L92</f>
        <v>0</v>
      </c>
      <c r="L71" s="70">
        <f>'дод 2'!M92</f>
        <v>0</v>
      </c>
      <c r="M71" s="70">
        <f>'дод 2'!N92</f>
        <v>0</v>
      </c>
      <c r="N71" s="70">
        <f>'дод 2'!O92</f>
        <v>0</v>
      </c>
      <c r="O71" s="70">
        <f>'дод 2'!P92</f>
        <v>24742100</v>
      </c>
      <c r="P71" s="149"/>
      <c r="Q71" s="141"/>
    </row>
    <row r="72" spans="1:17" ht="47.65" customHeight="1" x14ac:dyDescent="0.25">
      <c r="A72" s="25" t="s">
        <v>451</v>
      </c>
      <c r="B72" s="25" t="s">
        <v>49</v>
      </c>
      <c r="C72" s="30" t="s">
        <v>452</v>
      </c>
      <c r="D72" s="65">
        <f>'дод 2'!E93</f>
        <v>0</v>
      </c>
      <c r="E72" s="65">
        <f>'дод 2'!F93</f>
        <v>0</v>
      </c>
      <c r="F72" s="65">
        <f>'дод 2'!G93</f>
        <v>0</v>
      </c>
      <c r="G72" s="65">
        <f>'дод 2'!H93</f>
        <v>0</v>
      </c>
      <c r="H72" s="65">
        <f>'дод 2'!I93</f>
        <v>0</v>
      </c>
      <c r="I72" s="65">
        <f>'дод 2'!J93</f>
        <v>5785800</v>
      </c>
      <c r="J72" s="65">
        <f>'дод 2'!K93</f>
        <v>0</v>
      </c>
      <c r="K72" s="65">
        <f>'дод 2'!L93</f>
        <v>5785800</v>
      </c>
      <c r="L72" s="65">
        <f>'дод 2'!M93</f>
        <v>0</v>
      </c>
      <c r="M72" s="65">
        <f>'дод 2'!N93</f>
        <v>0</v>
      </c>
      <c r="N72" s="65">
        <f>'дод 2'!O93</f>
        <v>0</v>
      </c>
      <c r="O72" s="65">
        <f>'дод 2'!P93</f>
        <v>5785800</v>
      </c>
      <c r="P72" s="149"/>
      <c r="Q72" s="141"/>
    </row>
    <row r="73" spans="1:17" s="96" customFormat="1" ht="70.900000000000006" customHeight="1" x14ac:dyDescent="0.25">
      <c r="A73" s="34"/>
      <c r="B73" s="34"/>
      <c r="C73" s="36" t="s">
        <v>455</v>
      </c>
      <c r="D73" s="70">
        <f>'дод 2'!E94</f>
        <v>0</v>
      </c>
      <c r="E73" s="70">
        <f>'дод 2'!F94</f>
        <v>0</v>
      </c>
      <c r="F73" s="70">
        <f>'дод 2'!G94</f>
        <v>0</v>
      </c>
      <c r="G73" s="70">
        <f>'дод 2'!H94</f>
        <v>0</v>
      </c>
      <c r="H73" s="70">
        <f>'дод 2'!I94</f>
        <v>0</v>
      </c>
      <c r="I73" s="70">
        <f>'дод 2'!J94</f>
        <v>2892900</v>
      </c>
      <c r="J73" s="70">
        <f>'дод 2'!K94</f>
        <v>0</v>
      </c>
      <c r="K73" s="70">
        <f>'дод 2'!L94</f>
        <v>2892900</v>
      </c>
      <c r="L73" s="70">
        <f>'дод 2'!M94</f>
        <v>0</v>
      </c>
      <c r="M73" s="70">
        <f>'дод 2'!N94</f>
        <v>0</v>
      </c>
      <c r="N73" s="70">
        <f>'дод 2'!O94</f>
        <v>0</v>
      </c>
      <c r="O73" s="70">
        <f>'дод 2'!P94</f>
        <v>2892900</v>
      </c>
      <c r="P73" s="149"/>
      <c r="Q73" s="141"/>
    </row>
    <row r="74" spans="1:17" s="96" customFormat="1" ht="70.900000000000006" customHeight="1" x14ac:dyDescent="0.25">
      <c r="A74" s="34"/>
      <c r="B74" s="34"/>
      <c r="C74" s="36" t="s">
        <v>490</v>
      </c>
      <c r="D74" s="70">
        <f>'дод 2'!E95</f>
        <v>0</v>
      </c>
      <c r="E74" s="70">
        <f>'дод 2'!F95</f>
        <v>0</v>
      </c>
      <c r="F74" s="70">
        <f>'дод 2'!G95</f>
        <v>0</v>
      </c>
      <c r="G74" s="70">
        <f>'дод 2'!H95</f>
        <v>0</v>
      </c>
      <c r="H74" s="70">
        <f>'дод 2'!I95</f>
        <v>0</v>
      </c>
      <c r="I74" s="70">
        <f>'дод 2'!J95</f>
        <v>2892900</v>
      </c>
      <c r="J74" s="70">
        <f>'дод 2'!K95</f>
        <v>0</v>
      </c>
      <c r="K74" s="70">
        <f>'дод 2'!L95</f>
        <v>2892900</v>
      </c>
      <c r="L74" s="70">
        <f>'дод 2'!M95</f>
        <v>0</v>
      </c>
      <c r="M74" s="70">
        <f>'дод 2'!N95</f>
        <v>0</v>
      </c>
      <c r="N74" s="70">
        <f>'дод 2'!O95</f>
        <v>0</v>
      </c>
      <c r="O74" s="70">
        <f>'дод 2'!P95</f>
        <v>2892900</v>
      </c>
      <c r="P74" s="149"/>
      <c r="Q74" s="141"/>
    </row>
    <row r="75" spans="1:17" s="95" customFormat="1" ht="19.5" customHeight="1" x14ac:dyDescent="0.25">
      <c r="A75" s="66" t="s">
        <v>50</v>
      </c>
      <c r="B75" s="31"/>
      <c r="C75" s="61" t="s">
        <v>380</v>
      </c>
      <c r="D75" s="62">
        <f>D76+D77+D78+D79+D80+D81+D82</f>
        <v>133109612</v>
      </c>
      <c r="E75" s="62">
        <f t="shared" ref="E75:O75" si="13">E76+E77+E78+E79+E80+E81+E82</f>
        <v>133109612</v>
      </c>
      <c r="F75" s="62">
        <f t="shared" si="13"/>
        <v>3252200</v>
      </c>
      <c r="G75" s="62">
        <f t="shared" si="13"/>
        <v>170000</v>
      </c>
      <c r="H75" s="62">
        <f t="shared" si="13"/>
        <v>0</v>
      </c>
      <c r="I75" s="62">
        <f t="shared" si="13"/>
        <v>14124220</v>
      </c>
      <c r="J75" s="62">
        <f t="shared" si="13"/>
        <v>14124220</v>
      </c>
      <c r="K75" s="62">
        <f t="shared" si="13"/>
        <v>0</v>
      </c>
      <c r="L75" s="62">
        <f t="shared" si="13"/>
        <v>0</v>
      </c>
      <c r="M75" s="62">
        <f t="shared" si="13"/>
        <v>0</v>
      </c>
      <c r="N75" s="62">
        <f t="shared" si="13"/>
        <v>14124220</v>
      </c>
      <c r="O75" s="62">
        <f t="shared" si="13"/>
        <v>147233832</v>
      </c>
      <c r="P75" s="149"/>
      <c r="Q75" s="141"/>
    </row>
    <row r="76" spans="1:17" ht="25.5" customHeight="1" x14ac:dyDescent="0.25">
      <c r="A76" s="63" t="s">
        <v>51</v>
      </c>
      <c r="B76" s="63" t="s">
        <v>52</v>
      </c>
      <c r="C76" s="64" t="s">
        <v>325</v>
      </c>
      <c r="D76" s="65">
        <f>'дод 2'!E104+'дод 2'!E207</f>
        <v>79224812</v>
      </c>
      <c r="E76" s="65">
        <f>'дод 2'!F104+'дод 2'!F207</f>
        <v>79224812</v>
      </c>
      <c r="F76" s="65">
        <f>'дод 2'!G104+'дод 2'!G207</f>
        <v>0</v>
      </c>
      <c r="G76" s="65">
        <f>'дод 2'!H104+'дод 2'!H207</f>
        <v>0</v>
      </c>
      <c r="H76" s="65">
        <f>'дод 2'!I104+'дод 2'!I207</f>
        <v>0</v>
      </c>
      <c r="I76" s="65">
        <f>'дод 2'!J104+'дод 2'!J207</f>
        <v>9579000</v>
      </c>
      <c r="J76" s="65">
        <f>'дод 2'!K104+'дод 2'!K207</f>
        <v>9579000</v>
      </c>
      <c r="K76" s="65">
        <f>'дод 2'!L104+'дод 2'!L207</f>
        <v>0</v>
      </c>
      <c r="L76" s="65">
        <f>'дод 2'!M104+'дод 2'!M207</f>
        <v>0</v>
      </c>
      <c r="M76" s="65">
        <f>'дод 2'!N104+'дод 2'!N207</f>
        <v>0</v>
      </c>
      <c r="N76" s="65">
        <f>'дод 2'!O104+'дод 2'!O207</f>
        <v>9579000</v>
      </c>
      <c r="O76" s="65">
        <f>'дод 2'!P104+'дод 2'!P207</f>
        <v>88803812</v>
      </c>
      <c r="P76" s="149"/>
      <c r="Q76" s="141"/>
    </row>
    <row r="77" spans="1:17" ht="36.75" customHeight="1" x14ac:dyDescent="0.25">
      <c r="A77" s="63" t="s">
        <v>101</v>
      </c>
      <c r="B77" s="63" t="s">
        <v>53</v>
      </c>
      <c r="C77" s="64" t="s">
        <v>294</v>
      </c>
      <c r="D77" s="65">
        <f>'дод 2'!E105</f>
        <v>6632300</v>
      </c>
      <c r="E77" s="65">
        <f>'дод 2'!F105</f>
        <v>6632300</v>
      </c>
      <c r="F77" s="65">
        <f>'дод 2'!G105</f>
        <v>0</v>
      </c>
      <c r="G77" s="65">
        <f>'дод 2'!H105</f>
        <v>0</v>
      </c>
      <c r="H77" s="65">
        <f>'дод 2'!I105</f>
        <v>0</v>
      </c>
      <c r="I77" s="65">
        <f>'дод 2'!J105</f>
        <v>0</v>
      </c>
      <c r="J77" s="65">
        <f>'дод 2'!K105</f>
        <v>0</v>
      </c>
      <c r="K77" s="65">
        <f>'дод 2'!L105</f>
        <v>0</v>
      </c>
      <c r="L77" s="65">
        <f>'дод 2'!M105</f>
        <v>0</v>
      </c>
      <c r="M77" s="65">
        <f>'дод 2'!N105</f>
        <v>0</v>
      </c>
      <c r="N77" s="65">
        <f>'дод 2'!O105</f>
        <v>0</v>
      </c>
      <c r="O77" s="65">
        <f>'дод 2'!P105</f>
        <v>6632300</v>
      </c>
      <c r="P77" s="149"/>
      <c r="Q77" s="141"/>
    </row>
    <row r="78" spans="1:17" ht="19.5" customHeight="1" x14ac:dyDescent="0.25">
      <c r="A78" s="63" t="s">
        <v>102</v>
      </c>
      <c r="B78" s="63" t="s">
        <v>54</v>
      </c>
      <c r="C78" s="64" t="s">
        <v>295</v>
      </c>
      <c r="D78" s="65">
        <f>'дод 2'!E106</f>
        <v>3005800</v>
      </c>
      <c r="E78" s="65">
        <f>'дод 2'!F106</f>
        <v>3005800</v>
      </c>
      <c r="F78" s="65">
        <f>'дод 2'!G106</f>
        <v>0</v>
      </c>
      <c r="G78" s="65">
        <f>'дод 2'!H106</f>
        <v>0</v>
      </c>
      <c r="H78" s="65">
        <f>'дод 2'!I106</f>
        <v>0</v>
      </c>
      <c r="I78" s="65">
        <f>'дод 2'!J106</f>
        <v>0</v>
      </c>
      <c r="J78" s="65">
        <f>'дод 2'!K106</f>
        <v>0</v>
      </c>
      <c r="K78" s="65">
        <f>'дод 2'!L106</f>
        <v>0</v>
      </c>
      <c r="L78" s="65">
        <f>'дод 2'!M106</f>
        <v>0</v>
      </c>
      <c r="M78" s="65">
        <f>'дод 2'!N106</f>
        <v>0</v>
      </c>
      <c r="N78" s="65">
        <f>'дод 2'!O106</f>
        <v>0</v>
      </c>
      <c r="O78" s="65">
        <f>'дод 2'!P106</f>
        <v>3005800</v>
      </c>
      <c r="P78" s="149"/>
      <c r="Q78" s="141"/>
    </row>
    <row r="79" spans="1:17" ht="38.25" customHeight="1" x14ac:dyDescent="0.25">
      <c r="A79" s="63" t="s">
        <v>103</v>
      </c>
      <c r="B79" s="63" t="s">
        <v>243</v>
      </c>
      <c r="C79" s="64" t="s">
        <v>296</v>
      </c>
      <c r="D79" s="65">
        <f>'дод 2'!E107</f>
        <v>6034800</v>
      </c>
      <c r="E79" s="65">
        <f>'дод 2'!F107</f>
        <v>6034800</v>
      </c>
      <c r="F79" s="65">
        <f>'дод 2'!G107</f>
        <v>0</v>
      </c>
      <c r="G79" s="65">
        <f>'дод 2'!H107</f>
        <v>0</v>
      </c>
      <c r="H79" s="65">
        <f>'дод 2'!I107</f>
        <v>0</v>
      </c>
      <c r="I79" s="65">
        <f>'дод 2'!J107</f>
        <v>0</v>
      </c>
      <c r="J79" s="65">
        <f>'дод 2'!K107</f>
        <v>0</v>
      </c>
      <c r="K79" s="65">
        <f>'дод 2'!L107</f>
        <v>0</v>
      </c>
      <c r="L79" s="65">
        <f>'дод 2'!M107</f>
        <v>0</v>
      </c>
      <c r="M79" s="65">
        <f>'дод 2'!N107</f>
        <v>0</v>
      </c>
      <c r="N79" s="65">
        <f>'дод 2'!O107</f>
        <v>0</v>
      </c>
      <c r="O79" s="65">
        <f>'дод 2'!P107</f>
        <v>6034800</v>
      </c>
      <c r="P79" s="149"/>
      <c r="Q79" s="141"/>
    </row>
    <row r="80" spans="1:17" ht="26.25" customHeight="1" x14ac:dyDescent="0.25">
      <c r="A80" s="63" t="s">
        <v>223</v>
      </c>
      <c r="B80" s="63" t="s">
        <v>55</v>
      </c>
      <c r="C80" s="40" t="s">
        <v>328</v>
      </c>
      <c r="D80" s="65">
        <f>'дод 2'!E108</f>
        <v>4355200</v>
      </c>
      <c r="E80" s="65">
        <f>'дод 2'!F108</f>
        <v>4355200</v>
      </c>
      <c r="F80" s="65">
        <f>'дод 2'!G108</f>
        <v>3252200</v>
      </c>
      <c r="G80" s="65">
        <f>'дод 2'!H108</f>
        <v>170000</v>
      </c>
      <c r="H80" s="65">
        <f>'дод 2'!I108</f>
        <v>0</v>
      </c>
      <c r="I80" s="65">
        <f>'дод 2'!J108</f>
        <v>0</v>
      </c>
      <c r="J80" s="65">
        <f>'дод 2'!K108</f>
        <v>0</v>
      </c>
      <c r="K80" s="65">
        <f>'дод 2'!L108</f>
        <v>0</v>
      </c>
      <c r="L80" s="65">
        <f>'дод 2'!M108</f>
        <v>0</v>
      </c>
      <c r="M80" s="65">
        <f>'дод 2'!N108</f>
        <v>0</v>
      </c>
      <c r="N80" s="65">
        <f>'дод 2'!O108</f>
        <v>0</v>
      </c>
      <c r="O80" s="65">
        <f>'дод 2'!P108</f>
        <v>4355200</v>
      </c>
      <c r="P80" s="149"/>
    </row>
    <row r="81" spans="1:16" ht="21.75" customHeight="1" x14ac:dyDescent="0.25">
      <c r="A81" s="63" t="s">
        <v>224</v>
      </c>
      <c r="B81" s="63" t="s">
        <v>55</v>
      </c>
      <c r="C81" s="40" t="s">
        <v>329</v>
      </c>
      <c r="D81" s="65">
        <f>'дод 2'!E109</f>
        <v>33856700</v>
      </c>
      <c r="E81" s="65">
        <f>'дод 2'!F109</f>
        <v>33856700</v>
      </c>
      <c r="F81" s="65">
        <f>'дод 2'!G109</f>
        <v>0</v>
      </c>
      <c r="G81" s="65">
        <f>'дод 2'!H109</f>
        <v>0</v>
      </c>
      <c r="H81" s="65">
        <f>'дод 2'!I109</f>
        <v>0</v>
      </c>
      <c r="I81" s="65">
        <f>'дод 2'!J109</f>
        <v>0</v>
      </c>
      <c r="J81" s="65">
        <f>'дод 2'!K109</f>
        <v>0</v>
      </c>
      <c r="K81" s="65">
        <f>'дод 2'!L109</f>
        <v>0</v>
      </c>
      <c r="L81" s="65">
        <f>'дод 2'!M109</f>
        <v>0</v>
      </c>
      <c r="M81" s="65">
        <f>'дод 2'!N109</f>
        <v>0</v>
      </c>
      <c r="N81" s="65">
        <f>'дод 2'!O109</f>
        <v>0</v>
      </c>
      <c r="O81" s="65">
        <f>'дод 2'!P109</f>
        <v>33856700</v>
      </c>
      <c r="P81" s="149"/>
    </row>
    <row r="82" spans="1:16" ht="21.75" customHeight="1" x14ac:dyDescent="0.25">
      <c r="A82" s="63">
        <v>2170</v>
      </c>
      <c r="B82" s="63" t="s">
        <v>55</v>
      </c>
      <c r="C82" s="40" t="s">
        <v>474</v>
      </c>
      <c r="D82" s="65">
        <f>'дод 2'!E208+'дод 2'!E110</f>
        <v>0</v>
      </c>
      <c r="E82" s="65">
        <f>'дод 2'!F208+'дод 2'!F110</f>
        <v>0</v>
      </c>
      <c r="F82" s="65">
        <f>'дод 2'!G208+'дод 2'!G110</f>
        <v>0</v>
      </c>
      <c r="G82" s="65">
        <f>'дод 2'!H208+'дод 2'!H110</f>
        <v>0</v>
      </c>
      <c r="H82" s="65">
        <f>'дод 2'!I208+'дод 2'!I110</f>
        <v>0</v>
      </c>
      <c r="I82" s="65">
        <f>'дод 2'!J208+'дод 2'!J110</f>
        <v>4545220</v>
      </c>
      <c r="J82" s="65">
        <f>'дод 2'!K208+'дод 2'!K110</f>
        <v>4545220</v>
      </c>
      <c r="K82" s="65">
        <f>'дод 2'!L208+'дод 2'!L110</f>
        <v>0</v>
      </c>
      <c r="L82" s="65">
        <f>'дод 2'!M208+'дод 2'!M110</f>
        <v>0</v>
      </c>
      <c r="M82" s="65">
        <f>'дод 2'!N208+'дод 2'!N110</f>
        <v>0</v>
      </c>
      <c r="N82" s="65">
        <f>'дод 2'!O208+'дод 2'!O110</f>
        <v>4545220</v>
      </c>
      <c r="O82" s="65">
        <f>'дод 2'!P208+'дод 2'!P110</f>
        <v>4545220</v>
      </c>
      <c r="P82" s="149"/>
    </row>
    <row r="83" spans="1:16" s="95" customFormat="1" ht="33" customHeight="1" x14ac:dyDescent="0.25">
      <c r="A83" s="66" t="s">
        <v>56</v>
      </c>
      <c r="B83" s="76"/>
      <c r="C83" s="77" t="s">
        <v>348</v>
      </c>
      <c r="D83" s="62">
        <f>D88+D89+D90+D91+D92+D97+D98+D99+D101+D102+D105+D109+D110+D113+D114+D115+D116+D103+D104+D93+D107+D95+D100+D111</f>
        <v>308496787</v>
      </c>
      <c r="E83" s="62">
        <f t="shared" ref="E83:O83" si="14">E88+E89+E90+E91+E92+E97+E98+E99+E101+E102+E105+E109+E110+E113+E114+E115+E116+E103+E104+E93+E107+E95+E100+E111</f>
        <v>308496787</v>
      </c>
      <c r="F83" s="62">
        <f t="shared" si="14"/>
        <v>32448065</v>
      </c>
      <c r="G83" s="62">
        <f t="shared" si="14"/>
        <v>3061000</v>
      </c>
      <c r="H83" s="62">
        <f t="shared" si="14"/>
        <v>0</v>
      </c>
      <c r="I83" s="62">
        <f t="shared" si="14"/>
        <v>185584</v>
      </c>
      <c r="J83" s="62">
        <f t="shared" si="14"/>
        <v>116984</v>
      </c>
      <c r="K83" s="62">
        <f t="shared" si="14"/>
        <v>68600</v>
      </c>
      <c r="L83" s="62">
        <f t="shared" si="14"/>
        <v>50000</v>
      </c>
      <c r="M83" s="62">
        <f t="shared" si="14"/>
        <v>3810</v>
      </c>
      <c r="N83" s="62">
        <f t="shared" si="14"/>
        <v>116984</v>
      </c>
      <c r="O83" s="62">
        <f t="shared" si="14"/>
        <v>308682371</v>
      </c>
      <c r="P83" s="149"/>
    </row>
    <row r="84" spans="1:16" s="95" customFormat="1" ht="33" customHeight="1" x14ac:dyDescent="0.25">
      <c r="A84" s="66"/>
      <c r="B84" s="76"/>
      <c r="C84" s="78" t="s">
        <v>283</v>
      </c>
      <c r="D84" s="68">
        <f>D94+D96+D108+D117</f>
        <v>1422057</v>
      </c>
      <c r="E84" s="68">
        <f t="shared" ref="E84:O84" si="15">E94+E96+E108+E117</f>
        <v>1422057</v>
      </c>
      <c r="F84" s="68">
        <f t="shared" si="15"/>
        <v>0</v>
      </c>
      <c r="G84" s="68">
        <f t="shared" si="15"/>
        <v>0</v>
      </c>
      <c r="H84" s="68">
        <f t="shared" si="15"/>
        <v>0</v>
      </c>
      <c r="I84" s="68">
        <f t="shared" si="15"/>
        <v>0</v>
      </c>
      <c r="J84" s="68">
        <f t="shared" si="15"/>
        <v>0</v>
      </c>
      <c r="K84" s="68">
        <f t="shared" si="15"/>
        <v>0</v>
      </c>
      <c r="L84" s="68">
        <f t="shared" si="15"/>
        <v>0</v>
      </c>
      <c r="M84" s="68">
        <f t="shared" si="15"/>
        <v>0</v>
      </c>
      <c r="N84" s="68">
        <f t="shared" si="15"/>
        <v>0</v>
      </c>
      <c r="O84" s="68">
        <f t="shared" si="15"/>
        <v>1422057</v>
      </c>
      <c r="P84" s="149"/>
    </row>
    <row r="85" spans="1:16" s="95" customFormat="1" ht="72" customHeight="1" x14ac:dyDescent="0.25">
      <c r="A85" s="66"/>
      <c r="B85" s="76"/>
      <c r="C85" s="22" t="s">
        <v>399</v>
      </c>
      <c r="D85" s="68">
        <f t="shared" ref="D85:O85" si="16">D118+D106</f>
        <v>71303000</v>
      </c>
      <c r="E85" s="68">
        <f t="shared" si="16"/>
        <v>71303000</v>
      </c>
      <c r="F85" s="68">
        <f t="shared" si="16"/>
        <v>0</v>
      </c>
      <c r="G85" s="68">
        <f t="shared" si="16"/>
        <v>0</v>
      </c>
      <c r="H85" s="68">
        <f t="shared" si="16"/>
        <v>0</v>
      </c>
      <c r="I85" s="68">
        <f t="shared" si="16"/>
        <v>0</v>
      </c>
      <c r="J85" s="68">
        <f t="shared" si="16"/>
        <v>0</v>
      </c>
      <c r="K85" s="68">
        <f t="shared" si="16"/>
        <v>0</v>
      </c>
      <c r="L85" s="68">
        <f t="shared" si="16"/>
        <v>0</v>
      </c>
      <c r="M85" s="68">
        <f t="shared" si="16"/>
        <v>0</v>
      </c>
      <c r="N85" s="68">
        <f t="shared" si="16"/>
        <v>0</v>
      </c>
      <c r="O85" s="68">
        <f t="shared" si="16"/>
        <v>71303000</v>
      </c>
      <c r="P85" s="149"/>
    </row>
    <row r="86" spans="1:16" s="95" customFormat="1" ht="101.25" customHeight="1" x14ac:dyDescent="0.25">
      <c r="A86" s="66"/>
      <c r="B86" s="76"/>
      <c r="C86" s="22" t="str">
        <f>C119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86" s="68">
        <f>D119</f>
        <v>2868232.83</v>
      </c>
      <c r="E86" s="68">
        <f t="shared" ref="E86:O86" si="17">E119</f>
        <v>2868232.83</v>
      </c>
      <c r="F86" s="68">
        <f t="shared" si="17"/>
        <v>0</v>
      </c>
      <c r="G86" s="68">
        <f t="shared" si="17"/>
        <v>0</v>
      </c>
      <c r="H86" s="68">
        <f t="shared" si="17"/>
        <v>0</v>
      </c>
      <c r="I86" s="68">
        <f t="shared" si="17"/>
        <v>0</v>
      </c>
      <c r="J86" s="68">
        <f t="shared" si="17"/>
        <v>0</v>
      </c>
      <c r="K86" s="68">
        <f t="shared" si="17"/>
        <v>0</v>
      </c>
      <c r="L86" s="68">
        <f t="shared" si="17"/>
        <v>0</v>
      </c>
      <c r="M86" s="68">
        <f t="shared" si="17"/>
        <v>0</v>
      </c>
      <c r="N86" s="68">
        <f t="shared" si="17"/>
        <v>0</v>
      </c>
      <c r="O86" s="68">
        <f t="shared" si="17"/>
        <v>2868232.83</v>
      </c>
      <c r="P86" s="149"/>
    </row>
    <row r="87" spans="1:16" s="95" customFormat="1" ht="76.900000000000006" customHeight="1" x14ac:dyDescent="0.25">
      <c r="A87" s="66"/>
      <c r="B87" s="76"/>
      <c r="C87" s="22" t="str">
        <f>C112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D87" s="68">
        <f>D112</f>
        <v>430007</v>
      </c>
      <c r="E87" s="68">
        <f t="shared" ref="E87:O87" si="18">E112</f>
        <v>430007</v>
      </c>
      <c r="F87" s="68">
        <f t="shared" si="18"/>
        <v>352465</v>
      </c>
      <c r="G87" s="68">
        <f t="shared" si="18"/>
        <v>0</v>
      </c>
      <c r="H87" s="68">
        <f t="shared" si="18"/>
        <v>0</v>
      </c>
      <c r="I87" s="68">
        <f t="shared" si="18"/>
        <v>0</v>
      </c>
      <c r="J87" s="68">
        <f t="shared" si="18"/>
        <v>0</v>
      </c>
      <c r="K87" s="68">
        <f t="shared" si="18"/>
        <v>0</v>
      </c>
      <c r="L87" s="68">
        <f t="shared" si="18"/>
        <v>0</v>
      </c>
      <c r="M87" s="68">
        <f t="shared" si="18"/>
        <v>0</v>
      </c>
      <c r="N87" s="68">
        <f t="shared" si="18"/>
        <v>0</v>
      </c>
      <c r="O87" s="68">
        <f t="shared" si="18"/>
        <v>430007</v>
      </c>
      <c r="P87" s="149"/>
    </row>
    <row r="88" spans="1:16" ht="38.25" customHeight="1" x14ac:dyDescent="0.25">
      <c r="A88" s="63" t="s">
        <v>85</v>
      </c>
      <c r="B88" s="63" t="s">
        <v>44</v>
      </c>
      <c r="C88" s="40" t="s">
        <v>104</v>
      </c>
      <c r="D88" s="65">
        <f>'дод 2'!E119</f>
        <v>438760</v>
      </c>
      <c r="E88" s="65">
        <f>'дод 2'!F119</f>
        <v>438760</v>
      </c>
      <c r="F88" s="65">
        <f>'дод 2'!G119</f>
        <v>0</v>
      </c>
      <c r="G88" s="65">
        <f>'дод 2'!H119</f>
        <v>0</v>
      </c>
      <c r="H88" s="65">
        <f>'дод 2'!I119</f>
        <v>0</v>
      </c>
      <c r="I88" s="65">
        <f>'дод 2'!J119</f>
        <v>0</v>
      </c>
      <c r="J88" s="65">
        <f>'дод 2'!K119</f>
        <v>0</v>
      </c>
      <c r="K88" s="65">
        <f>'дод 2'!L119</f>
        <v>0</v>
      </c>
      <c r="L88" s="65">
        <f>'дод 2'!M119</f>
        <v>0</v>
      </c>
      <c r="M88" s="65">
        <f>'дод 2'!N119</f>
        <v>0</v>
      </c>
      <c r="N88" s="65">
        <f>'дод 2'!O119</f>
        <v>0</v>
      </c>
      <c r="O88" s="65">
        <f>'дод 2'!P119</f>
        <v>438760</v>
      </c>
      <c r="P88" s="149"/>
    </row>
    <row r="89" spans="1:16" ht="30" customHeight="1" x14ac:dyDescent="0.25">
      <c r="A89" s="63" t="s">
        <v>105</v>
      </c>
      <c r="B89" s="63" t="s">
        <v>45</v>
      </c>
      <c r="C89" s="40" t="s">
        <v>278</v>
      </c>
      <c r="D89" s="65">
        <f>'дод 2'!E120</f>
        <v>700000</v>
      </c>
      <c r="E89" s="65">
        <f>'дод 2'!F120</f>
        <v>700000</v>
      </c>
      <c r="F89" s="65">
        <f>'дод 2'!G120</f>
        <v>0</v>
      </c>
      <c r="G89" s="65">
        <f>'дод 2'!H120</f>
        <v>0</v>
      </c>
      <c r="H89" s="65">
        <f>'дод 2'!I120</f>
        <v>0</v>
      </c>
      <c r="I89" s="65">
        <f>'дод 2'!J120</f>
        <v>0</v>
      </c>
      <c r="J89" s="65">
        <f>'дод 2'!K120</f>
        <v>0</v>
      </c>
      <c r="K89" s="65">
        <f>'дод 2'!L120</f>
        <v>0</v>
      </c>
      <c r="L89" s="65">
        <f>'дод 2'!M120</f>
        <v>0</v>
      </c>
      <c r="M89" s="65">
        <f>'дод 2'!N120</f>
        <v>0</v>
      </c>
      <c r="N89" s="65">
        <f>'дод 2'!O120</f>
        <v>0</v>
      </c>
      <c r="O89" s="65">
        <f>'дод 2'!P120</f>
        <v>700000</v>
      </c>
      <c r="P89" s="149"/>
    </row>
    <row r="90" spans="1:16" ht="31.5" x14ac:dyDescent="0.25">
      <c r="A90" s="63" t="s">
        <v>86</v>
      </c>
      <c r="B90" s="63" t="s">
        <v>45</v>
      </c>
      <c r="C90" s="40" t="s">
        <v>382</v>
      </c>
      <c r="D90" s="65">
        <f>'дод 2'!E121+'дод 2'!E20</f>
        <v>21941000</v>
      </c>
      <c r="E90" s="65">
        <f>'дод 2'!F121+'дод 2'!F20</f>
        <v>21941000</v>
      </c>
      <c r="F90" s="65">
        <f>'дод 2'!G121+'дод 2'!G20</f>
        <v>0</v>
      </c>
      <c r="G90" s="65">
        <f>'дод 2'!H121+'дод 2'!H20</f>
        <v>0</v>
      </c>
      <c r="H90" s="65">
        <f>'дод 2'!I121+'дод 2'!I20</f>
        <v>0</v>
      </c>
      <c r="I90" s="65">
        <f>'дод 2'!J121+'дод 2'!J20</f>
        <v>0</v>
      </c>
      <c r="J90" s="65">
        <f>'дод 2'!K121+'дод 2'!K20</f>
        <v>0</v>
      </c>
      <c r="K90" s="65">
        <f>'дод 2'!L121+'дод 2'!L20</f>
        <v>0</v>
      </c>
      <c r="L90" s="65">
        <f>'дод 2'!M121+'дод 2'!M20</f>
        <v>0</v>
      </c>
      <c r="M90" s="65">
        <f>'дод 2'!N121+'дод 2'!N20</f>
        <v>0</v>
      </c>
      <c r="N90" s="65">
        <f>'дод 2'!O121+'дод 2'!O20</f>
        <v>0</v>
      </c>
      <c r="O90" s="65">
        <f>'дод 2'!P121+'дод 2'!P20</f>
        <v>21941000</v>
      </c>
      <c r="P90" s="149"/>
    </row>
    <row r="91" spans="1:16" ht="47.25" customHeight="1" x14ac:dyDescent="0.25">
      <c r="A91" s="63" t="s">
        <v>249</v>
      </c>
      <c r="B91" s="63" t="s">
        <v>45</v>
      </c>
      <c r="C91" s="40" t="s">
        <v>248</v>
      </c>
      <c r="D91" s="65">
        <f>'дод 2'!E122</f>
        <v>1000000</v>
      </c>
      <c r="E91" s="65">
        <f>'дод 2'!F122</f>
        <v>1000000</v>
      </c>
      <c r="F91" s="65">
        <f>'дод 2'!G122</f>
        <v>0</v>
      </c>
      <c r="G91" s="65">
        <f>'дод 2'!H122</f>
        <v>0</v>
      </c>
      <c r="H91" s="65">
        <f>'дод 2'!I122</f>
        <v>0</v>
      </c>
      <c r="I91" s="65">
        <f>'дод 2'!J122</f>
        <v>0</v>
      </c>
      <c r="J91" s="65">
        <f>'дод 2'!K122</f>
        <v>0</v>
      </c>
      <c r="K91" s="65">
        <f>'дод 2'!L122</f>
        <v>0</v>
      </c>
      <c r="L91" s="65">
        <f>'дод 2'!M122</f>
        <v>0</v>
      </c>
      <c r="M91" s="65">
        <f>'дод 2'!N122</f>
        <v>0</v>
      </c>
      <c r="N91" s="65">
        <f>'дод 2'!O122</f>
        <v>0</v>
      </c>
      <c r="O91" s="65">
        <f>'дод 2'!P122</f>
        <v>1000000</v>
      </c>
      <c r="P91" s="149"/>
    </row>
    <row r="92" spans="1:16" ht="36.75" customHeight="1" x14ac:dyDescent="0.25">
      <c r="A92" s="63" t="s">
        <v>106</v>
      </c>
      <c r="B92" s="63" t="s">
        <v>45</v>
      </c>
      <c r="C92" s="40" t="s">
        <v>17</v>
      </c>
      <c r="D92" s="65">
        <f>'дод 2'!E123+'дод 2'!E21</f>
        <v>44199300</v>
      </c>
      <c r="E92" s="65">
        <f>'дод 2'!F123+'дод 2'!F21</f>
        <v>44199300</v>
      </c>
      <c r="F92" s="65">
        <f>'дод 2'!G123+'дод 2'!G21</f>
        <v>0</v>
      </c>
      <c r="G92" s="65">
        <f>'дод 2'!H123+'дод 2'!H21</f>
        <v>0</v>
      </c>
      <c r="H92" s="65">
        <f>'дод 2'!I123+'дод 2'!I21</f>
        <v>0</v>
      </c>
      <c r="I92" s="65">
        <f>'дод 2'!J123+'дод 2'!J21</f>
        <v>0</v>
      </c>
      <c r="J92" s="65">
        <f>'дод 2'!K123+'дод 2'!K21</f>
        <v>0</v>
      </c>
      <c r="K92" s="65">
        <f>'дод 2'!L123+'дод 2'!L21</f>
        <v>0</v>
      </c>
      <c r="L92" s="65">
        <f>'дод 2'!M123+'дод 2'!M21</f>
        <v>0</v>
      </c>
      <c r="M92" s="65">
        <f>'дод 2'!N123+'дод 2'!N21</f>
        <v>0</v>
      </c>
      <c r="N92" s="65">
        <f>'дод 2'!O123+'дод 2'!O21</f>
        <v>0</v>
      </c>
      <c r="O92" s="65">
        <f>'дод 2'!P123+'дод 2'!P21</f>
        <v>44199300</v>
      </c>
      <c r="P92" s="149"/>
    </row>
    <row r="93" spans="1:16" ht="34.5" customHeight="1" x14ac:dyDescent="0.25">
      <c r="A93" s="63" t="s">
        <v>420</v>
      </c>
      <c r="B93" s="63" t="s">
        <v>45</v>
      </c>
      <c r="C93" s="40" t="s">
        <v>421</v>
      </c>
      <c r="D93" s="65">
        <f>'дод 2'!E124</f>
        <v>856600</v>
      </c>
      <c r="E93" s="65">
        <f>'дод 2'!F124</f>
        <v>856600</v>
      </c>
      <c r="F93" s="65">
        <f>'дод 2'!G124</f>
        <v>0</v>
      </c>
      <c r="G93" s="65">
        <f>'дод 2'!H124</f>
        <v>0</v>
      </c>
      <c r="H93" s="65">
        <f>'дод 2'!I124</f>
        <v>0</v>
      </c>
      <c r="I93" s="65">
        <f>'дод 2'!J124</f>
        <v>0</v>
      </c>
      <c r="J93" s="65">
        <f>'дод 2'!K124</f>
        <v>0</v>
      </c>
      <c r="K93" s="65">
        <f>'дод 2'!L124</f>
        <v>0</v>
      </c>
      <c r="L93" s="65">
        <f>'дод 2'!M124</f>
        <v>0</v>
      </c>
      <c r="M93" s="65">
        <f>'дод 2'!N124</f>
        <v>0</v>
      </c>
      <c r="N93" s="65">
        <f>'дод 2'!O124</f>
        <v>0</v>
      </c>
      <c r="O93" s="65">
        <f>'дод 2'!P124</f>
        <v>856600</v>
      </c>
      <c r="P93" s="149">
        <v>5</v>
      </c>
    </row>
    <row r="94" spans="1:16" s="96" customFormat="1" ht="21" customHeight="1" x14ac:dyDescent="0.25">
      <c r="A94" s="69"/>
      <c r="B94" s="69"/>
      <c r="C94" s="79" t="s">
        <v>283</v>
      </c>
      <c r="D94" s="70">
        <f>'дод 2'!E125</f>
        <v>856600</v>
      </c>
      <c r="E94" s="70">
        <f>'дод 2'!F125</f>
        <v>856600</v>
      </c>
      <c r="F94" s="70">
        <f>'дод 2'!G125</f>
        <v>0</v>
      </c>
      <c r="G94" s="70">
        <f>'дод 2'!H125</f>
        <v>0</v>
      </c>
      <c r="H94" s="70">
        <f>'дод 2'!I125</f>
        <v>0</v>
      </c>
      <c r="I94" s="70">
        <f>'дод 2'!J125</f>
        <v>0</v>
      </c>
      <c r="J94" s="70">
        <f>'дод 2'!K125</f>
        <v>0</v>
      </c>
      <c r="K94" s="70">
        <f>'дод 2'!L125</f>
        <v>0</v>
      </c>
      <c r="L94" s="70">
        <f>'дод 2'!M125</f>
        <v>0</v>
      </c>
      <c r="M94" s="70">
        <f>'дод 2'!N125</f>
        <v>0</v>
      </c>
      <c r="N94" s="70">
        <f>'дод 2'!O125</f>
        <v>0</v>
      </c>
      <c r="O94" s="70">
        <f>'дод 2'!P125</f>
        <v>856600</v>
      </c>
      <c r="P94" s="149"/>
    </row>
    <row r="95" spans="1:16" ht="34.5" customHeight="1" x14ac:dyDescent="0.25">
      <c r="A95" s="63" t="s">
        <v>422</v>
      </c>
      <c r="B95" s="63" t="s">
        <v>44</v>
      </c>
      <c r="C95" s="40" t="s">
        <v>423</v>
      </c>
      <c r="D95" s="65">
        <f>'дод 2'!E126</f>
        <v>124000</v>
      </c>
      <c r="E95" s="65">
        <f>'дод 2'!F126</f>
        <v>124000</v>
      </c>
      <c r="F95" s="65">
        <f>'дод 2'!G126</f>
        <v>0</v>
      </c>
      <c r="G95" s="65">
        <f>'дод 2'!H126</f>
        <v>0</v>
      </c>
      <c r="H95" s="65">
        <f>'дод 2'!I126</f>
        <v>0</v>
      </c>
      <c r="I95" s="65">
        <f>'дод 2'!J126</f>
        <v>0</v>
      </c>
      <c r="J95" s="65">
        <f>'дод 2'!K126</f>
        <v>0</v>
      </c>
      <c r="K95" s="65">
        <f>'дод 2'!L126</f>
        <v>0</v>
      </c>
      <c r="L95" s="65">
        <f>'дод 2'!M126</f>
        <v>0</v>
      </c>
      <c r="M95" s="65">
        <f>'дод 2'!N126</f>
        <v>0</v>
      </c>
      <c r="N95" s="65">
        <f>'дод 2'!O126</f>
        <v>0</v>
      </c>
      <c r="O95" s="65">
        <f>'дод 2'!P126</f>
        <v>124000</v>
      </c>
      <c r="P95" s="149"/>
    </row>
    <row r="96" spans="1:16" s="96" customFormat="1" ht="21" customHeight="1" x14ac:dyDescent="0.25">
      <c r="A96" s="69"/>
      <c r="B96" s="69"/>
      <c r="C96" s="79" t="s">
        <v>283</v>
      </c>
      <c r="D96" s="70">
        <f>'дод 2'!E127</f>
        <v>124000</v>
      </c>
      <c r="E96" s="70">
        <f>'дод 2'!F127</f>
        <v>124000</v>
      </c>
      <c r="F96" s="70">
        <f>'дод 2'!G127</f>
        <v>0</v>
      </c>
      <c r="G96" s="70">
        <f>'дод 2'!H127</f>
        <v>0</v>
      </c>
      <c r="H96" s="70">
        <f>'дод 2'!I127</f>
        <v>0</v>
      </c>
      <c r="I96" s="70">
        <f>'дод 2'!J127</f>
        <v>0</v>
      </c>
      <c r="J96" s="70">
        <f>'дод 2'!K127</f>
        <v>0</v>
      </c>
      <c r="K96" s="70">
        <f>'дод 2'!L127</f>
        <v>0</v>
      </c>
      <c r="L96" s="70">
        <f>'дод 2'!M127</f>
        <v>0</v>
      </c>
      <c r="M96" s="70">
        <f>'дод 2'!N127</f>
        <v>0</v>
      </c>
      <c r="N96" s="70">
        <f>'дод 2'!O127</f>
        <v>0</v>
      </c>
      <c r="O96" s="70">
        <f>'дод 2'!P127</f>
        <v>124000</v>
      </c>
      <c r="P96" s="149"/>
    </row>
    <row r="97" spans="1:16" ht="45.75" customHeight="1" x14ac:dyDescent="0.25">
      <c r="A97" s="63" t="s">
        <v>88</v>
      </c>
      <c r="B97" s="63" t="s">
        <v>42</v>
      </c>
      <c r="C97" s="40" t="s">
        <v>25</v>
      </c>
      <c r="D97" s="65">
        <f>'дод 2'!E128</f>
        <v>27074900</v>
      </c>
      <c r="E97" s="65">
        <f>'дод 2'!F128</f>
        <v>27074900</v>
      </c>
      <c r="F97" s="65">
        <f>'дод 2'!G128</f>
        <v>20066500</v>
      </c>
      <c r="G97" s="65">
        <f>'дод 2'!H128</f>
        <v>1317500</v>
      </c>
      <c r="H97" s="65">
        <f>'дод 2'!I128</f>
        <v>0</v>
      </c>
      <c r="I97" s="65">
        <f>'дод 2'!J128</f>
        <v>58600</v>
      </c>
      <c r="J97" s="65">
        <f>'дод 2'!K128</f>
        <v>0</v>
      </c>
      <c r="K97" s="65">
        <f>'дод 2'!L128</f>
        <v>58600</v>
      </c>
      <c r="L97" s="65">
        <f>'дод 2'!M128</f>
        <v>48000</v>
      </c>
      <c r="M97" s="65">
        <f>'дод 2'!N128</f>
        <v>0</v>
      </c>
      <c r="N97" s="65">
        <f>'дод 2'!O128</f>
        <v>0</v>
      </c>
      <c r="O97" s="65">
        <f>'дод 2'!P128</f>
        <v>27133500</v>
      </c>
      <c r="P97" s="149"/>
    </row>
    <row r="98" spans="1:16" ht="76.5" hidden="1" customHeight="1" x14ac:dyDescent="0.25">
      <c r="A98" s="63" t="s">
        <v>257</v>
      </c>
      <c r="B98" s="63" t="s">
        <v>87</v>
      </c>
      <c r="C98" s="27" t="s">
        <v>426</v>
      </c>
      <c r="D98" s="65">
        <f>SUM('дод 2'!E149)</f>
        <v>0</v>
      </c>
      <c r="E98" s="65">
        <f>SUM('дод 2'!F149)</f>
        <v>0</v>
      </c>
      <c r="F98" s="65">
        <f>SUM('дод 2'!G149)</f>
        <v>0</v>
      </c>
      <c r="G98" s="65">
        <f>SUM('дод 2'!H149)</f>
        <v>0</v>
      </c>
      <c r="H98" s="65">
        <f>SUM('дод 2'!I149)</f>
        <v>0</v>
      </c>
      <c r="I98" s="65">
        <f>SUM('дод 2'!J149)</f>
        <v>0</v>
      </c>
      <c r="J98" s="65">
        <f>SUM('дод 2'!K149)</f>
        <v>0</v>
      </c>
      <c r="K98" s="65">
        <f>SUM('дод 2'!L149)</f>
        <v>0</v>
      </c>
      <c r="L98" s="65">
        <f>SUM('дод 2'!M149)</f>
        <v>0</v>
      </c>
      <c r="M98" s="65">
        <f>SUM('дод 2'!N149)</f>
        <v>0</v>
      </c>
      <c r="N98" s="65">
        <f>SUM('дод 2'!O149)</f>
        <v>0</v>
      </c>
      <c r="O98" s="65">
        <f>SUM('дод 2'!P149)</f>
        <v>0</v>
      </c>
      <c r="P98" s="149"/>
    </row>
    <row r="99" spans="1:16" s="96" customFormat="1" ht="31.35" customHeight="1" x14ac:dyDescent="0.25">
      <c r="A99" s="63" t="s">
        <v>89</v>
      </c>
      <c r="B99" s="63" t="s">
        <v>87</v>
      </c>
      <c r="C99" s="40" t="s">
        <v>26</v>
      </c>
      <c r="D99" s="65">
        <f>'дод 2'!E150</f>
        <v>141200</v>
      </c>
      <c r="E99" s="65">
        <f>'дод 2'!F150</f>
        <v>141200</v>
      </c>
      <c r="F99" s="65">
        <f>'дод 2'!G150</f>
        <v>0</v>
      </c>
      <c r="G99" s="65">
        <f>'дод 2'!H150</f>
        <v>0</v>
      </c>
      <c r="H99" s="65">
        <f>'дод 2'!I150</f>
        <v>0</v>
      </c>
      <c r="I99" s="65">
        <f>'дод 2'!J150</f>
        <v>0</v>
      </c>
      <c r="J99" s="65">
        <f>'дод 2'!K150</f>
        <v>0</v>
      </c>
      <c r="K99" s="65">
        <f>'дод 2'!L150</f>
        <v>0</v>
      </c>
      <c r="L99" s="65">
        <f>'дод 2'!M150</f>
        <v>0</v>
      </c>
      <c r="M99" s="65">
        <f>'дод 2'!N150</f>
        <v>0</v>
      </c>
      <c r="N99" s="65">
        <f>'дод 2'!O150</f>
        <v>0</v>
      </c>
      <c r="O99" s="65">
        <f>'дод 2'!P150</f>
        <v>141200</v>
      </c>
      <c r="P99" s="149"/>
    </row>
    <row r="100" spans="1:16" s="96" customFormat="1" ht="47.25" x14ac:dyDescent="0.25">
      <c r="A100" s="63">
        <v>3114</v>
      </c>
      <c r="B100" s="63">
        <v>1040</v>
      </c>
      <c r="C100" s="40" t="s">
        <v>445</v>
      </c>
      <c r="D100" s="65">
        <f>'дод 2'!E151</f>
        <v>151000</v>
      </c>
      <c r="E100" s="65">
        <f>'дод 2'!F151</f>
        <v>151000</v>
      </c>
      <c r="F100" s="65">
        <f>'дод 2'!G151</f>
        <v>0</v>
      </c>
      <c r="G100" s="65">
        <f>'дод 2'!H151</f>
        <v>0</v>
      </c>
      <c r="H100" s="65">
        <f>'дод 2'!I151</f>
        <v>0</v>
      </c>
      <c r="I100" s="65">
        <f>'дод 2'!J151</f>
        <v>0</v>
      </c>
      <c r="J100" s="65">
        <f>'дод 2'!K151</f>
        <v>0</v>
      </c>
      <c r="K100" s="65">
        <f>'дод 2'!L151</f>
        <v>0</v>
      </c>
      <c r="L100" s="65">
        <f>'дод 2'!M151</f>
        <v>0</v>
      </c>
      <c r="M100" s="65">
        <f>'дод 2'!N151</f>
        <v>0</v>
      </c>
      <c r="N100" s="65">
        <f>'дод 2'!O151</f>
        <v>0</v>
      </c>
      <c r="O100" s="65">
        <f>'дод 2'!P151</f>
        <v>151000</v>
      </c>
      <c r="P100" s="149"/>
    </row>
    <row r="101" spans="1:16" s="96" customFormat="1" ht="63.4" customHeight="1" x14ac:dyDescent="0.25">
      <c r="A101" s="63" t="s">
        <v>107</v>
      </c>
      <c r="B101" s="63" t="s">
        <v>87</v>
      </c>
      <c r="C101" s="80" t="s">
        <v>470</v>
      </c>
      <c r="D101" s="65">
        <f>'дод 2'!E129</f>
        <v>6159000</v>
      </c>
      <c r="E101" s="65">
        <f>'дод 2'!F129</f>
        <v>6159000</v>
      </c>
      <c r="F101" s="65">
        <f>'дод 2'!G129</f>
        <v>4356500</v>
      </c>
      <c r="G101" s="65">
        <f>'дод 2'!H129</f>
        <v>402100</v>
      </c>
      <c r="H101" s="65">
        <f>'дод 2'!I129</f>
        <v>0</v>
      </c>
      <c r="I101" s="65">
        <f>'дод 2'!J129</f>
        <v>0</v>
      </c>
      <c r="J101" s="65">
        <f>'дод 2'!K129</f>
        <v>0</v>
      </c>
      <c r="K101" s="65">
        <f>'дод 2'!L129</f>
        <v>0</v>
      </c>
      <c r="L101" s="65">
        <f>'дод 2'!M129</f>
        <v>0</v>
      </c>
      <c r="M101" s="65">
        <f>'дод 2'!N129</f>
        <v>0</v>
      </c>
      <c r="N101" s="65">
        <f>'дод 2'!O129</f>
        <v>0</v>
      </c>
      <c r="O101" s="65">
        <f>'дод 2'!P129</f>
        <v>6159000</v>
      </c>
      <c r="P101" s="149"/>
    </row>
    <row r="102" spans="1:16" s="96" customFormat="1" ht="44.65" customHeight="1" x14ac:dyDescent="0.25">
      <c r="A102" s="63" t="s">
        <v>92</v>
      </c>
      <c r="B102" s="63" t="s">
        <v>87</v>
      </c>
      <c r="C102" s="40" t="s">
        <v>264</v>
      </c>
      <c r="D102" s="65">
        <f>'дод 2'!E22</f>
        <v>410000</v>
      </c>
      <c r="E102" s="65">
        <f>'дод 2'!F22</f>
        <v>410000</v>
      </c>
      <c r="F102" s="65">
        <f>'дод 2'!G22</f>
        <v>0</v>
      </c>
      <c r="G102" s="65">
        <f>'дод 2'!H22</f>
        <v>0</v>
      </c>
      <c r="H102" s="65">
        <f>'дод 2'!I22</f>
        <v>0</v>
      </c>
      <c r="I102" s="65">
        <f>'дод 2'!J22</f>
        <v>0</v>
      </c>
      <c r="J102" s="65">
        <f>'дод 2'!K22</f>
        <v>0</v>
      </c>
      <c r="K102" s="65">
        <f>'дод 2'!L22</f>
        <v>0</v>
      </c>
      <c r="L102" s="65">
        <f>'дод 2'!M22</f>
        <v>0</v>
      </c>
      <c r="M102" s="65">
        <f>'дод 2'!N22</f>
        <v>0</v>
      </c>
      <c r="N102" s="65">
        <f>'дод 2'!O22</f>
        <v>0</v>
      </c>
      <c r="O102" s="65">
        <f>'дод 2'!P22</f>
        <v>410000</v>
      </c>
      <c r="P102" s="149"/>
    </row>
    <row r="103" spans="1:16" s="96" customFormat="1" ht="47.25" x14ac:dyDescent="0.25">
      <c r="A103" s="63">
        <v>3133</v>
      </c>
      <c r="B103" s="63">
        <v>1040</v>
      </c>
      <c r="C103" s="40" t="s">
        <v>427</v>
      </c>
      <c r="D103" s="65">
        <f>'дод 2'!E23</f>
        <v>5841416</v>
      </c>
      <c r="E103" s="65">
        <f>'дод 2'!F23</f>
        <v>5841416</v>
      </c>
      <c r="F103" s="65">
        <f>'дод 2'!G23</f>
        <v>3357400</v>
      </c>
      <c r="G103" s="65">
        <f>'дод 2'!H23</f>
        <v>778500</v>
      </c>
      <c r="H103" s="65">
        <f>'дод 2'!I23</f>
        <v>0</v>
      </c>
      <c r="I103" s="65">
        <f>'дод 2'!J23</f>
        <v>126984</v>
      </c>
      <c r="J103" s="65">
        <f>'дод 2'!K23</f>
        <v>116984</v>
      </c>
      <c r="K103" s="65">
        <f>'дод 2'!L23</f>
        <v>10000</v>
      </c>
      <c r="L103" s="65">
        <f>'дод 2'!M23</f>
        <v>2000</v>
      </c>
      <c r="M103" s="65">
        <f>'дод 2'!N23</f>
        <v>3810</v>
      </c>
      <c r="N103" s="65">
        <f>'дод 2'!O23</f>
        <v>116984</v>
      </c>
      <c r="O103" s="65">
        <f>'дод 2'!P23</f>
        <v>5968400</v>
      </c>
      <c r="P103" s="149"/>
    </row>
    <row r="104" spans="1:16" s="97" customFormat="1" ht="48" customHeight="1" x14ac:dyDescent="0.25">
      <c r="A104" s="63">
        <v>3140</v>
      </c>
      <c r="B104" s="63">
        <v>1040</v>
      </c>
      <c r="C104" s="40" t="s">
        <v>384</v>
      </c>
      <c r="D104" s="65">
        <f>'дод 2'!E130</f>
        <v>2000000</v>
      </c>
      <c r="E104" s="65">
        <f>'дод 2'!F130</f>
        <v>2000000</v>
      </c>
      <c r="F104" s="81">
        <f>'дод 2'!G130</f>
        <v>0</v>
      </c>
      <c r="G104" s="81">
        <f>'дод 2'!H130</f>
        <v>0</v>
      </c>
      <c r="H104" s="81">
        <f>'дод 2'!I130</f>
        <v>0</v>
      </c>
      <c r="I104" s="81">
        <f>'дод 2'!J130</f>
        <v>0</v>
      </c>
      <c r="J104" s="81">
        <f>'дод 2'!K130</f>
        <v>0</v>
      </c>
      <c r="K104" s="81">
        <f>'дод 2'!L130</f>
        <v>0</v>
      </c>
      <c r="L104" s="81">
        <f>'дод 2'!M130</f>
        <v>0</v>
      </c>
      <c r="M104" s="81">
        <f>'дод 2'!N130</f>
        <v>0</v>
      </c>
      <c r="N104" s="81">
        <f>'дод 2'!O130</f>
        <v>0</v>
      </c>
      <c r="O104" s="65">
        <f>'дод 2'!P130</f>
        <v>2000000</v>
      </c>
      <c r="P104" s="149"/>
    </row>
    <row r="105" spans="1:16" ht="66" customHeight="1" x14ac:dyDescent="0.25">
      <c r="A105" s="63" t="s">
        <v>93</v>
      </c>
      <c r="B105" s="63">
        <v>1010</v>
      </c>
      <c r="C105" s="40" t="s">
        <v>379</v>
      </c>
      <c r="D105" s="65">
        <f>'дод 2'!E131</f>
        <v>22228000</v>
      </c>
      <c r="E105" s="65">
        <f>'дод 2'!F131</f>
        <v>22228000</v>
      </c>
      <c r="F105" s="65">
        <f>'дод 2'!G131</f>
        <v>0</v>
      </c>
      <c r="G105" s="65">
        <f>'дод 2'!H131</f>
        <v>0</v>
      </c>
      <c r="H105" s="65">
        <f>'дод 2'!I131</f>
        <v>0</v>
      </c>
      <c r="I105" s="65">
        <f>'дод 2'!J131</f>
        <v>0</v>
      </c>
      <c r="J105" s="65">
        <f>'дод 2'!K131</f>
        <v>0</v>
      </c>
      <c r="K105" s="65">
        <f>'дод 2'!L131</f>
        <v>0</v>
      </c>
      <c r="L105" s="65">
        <f>'дод 2'!M131</f>
        <v>0</v>
      </c>
      <c r="M105" s="65">
        <f>'дод 2'!N131</f>
        <v>0</v>
      </c>
      <c r="N105" s="65">
        <f>'дод 2'!O131</f>
        <v>0</v>
      </c>
      <c r="O105" s="65">
        <f>'дод 2'!P131</f>
        <v>22228000</v>
      </c>
      <c r="P105" s="149"/>
    </row>
    <row r="106" spans="1:16" ht="65.25" customHeight="1" x14ac:dyDescent="0.25">
      <c r="A106" s="63"/>
      <c r="B106" s="63"/>
      <c r="C106" s="39" t="s">
        <v>399</v>
      </c>
      <c r="D106" s="65">
        <f>'дод 2'!E132</f>
        <v>20000000</v>
      </c>
      <c r="E106" s="65">
        <f>'дод 2'!F132</f>
        <v>20000000</v>
      </c>
      <c r="F106" s="65">
        <f>'дод 2'!G132</f>
        <v>0</v>
      </c>
      <c r="G106" s="65">
        <f>'дод 2'!H132</f>
        <v>0</v>
      </c>
      <c r="H106" s="65">
        <f>'дод 2'!I132</f>
        <v>0</v>
      </c>
      <c r="I106" s="65">
        <f>'дод 2'!J132</f>
        <v>0</v>
      </c>
      <c r="J106" s="65">
        <f>'дод 2'!K132</f>
        <v>0</v>
      </c>
      <c r="K106" s="65">
        <f>'дод 2'!L132</f>
        <v>0</v>
      </c>
      <c r="L106" s="65">
        <f>'дод 2'!M132</f>
        <v>0</v>
      </c>
      <c r="M106" s="65">
        <f>'дод 2'!N132</f>
        <v>0</v>
      </c>
      <c r="N106" s="65">
        <f>'дод 2'!O132</f>
        <v>0</v>
      </c>
      <c r="O106" s="65">
        <f>'дод 2'!P132</f>
        <v>20000000</v>
      </c>
      <c r="P106" s="149"/>
    </row>
    <row r="107" spans="1:16" ht="51.75" customHeight="1" x14ac:dyDescent="0.25">
      <c r="A107" s="63" t="s">
        <v>424</v>
      </c>
      <c r="B107" s="63">
        <v>1010</v>
      </c>
      <c r="C107" s="40" t="s">
        <v>425</v>
      </c>
      <c r="D107" s="65">
        <f>'дод 2'!E133</f>
        <v>203057</v>
      </c>
      <c r="E107" s="65">
        <f>'дод 2'!F133</f>
        <v>203057</v>
      </c>
      <c r="F107" s="65">
        <f>'дод 2'!G133</f>
        <v>0</v>
      </c>
      <c r="G107" s="65">
        <f>'дод 2'!H133</f>
        <v>0</v>
      </c>
      <c r="H107" s="65">
        <f>'дод 2'!I133</f>
        <v>0</v>
      </c>
      <c r="I107" s="65">
        <f>'дод 2'!J133</f>
        <v>0</v>
      </c>
      <c r="J107" s="65">
        <f>'дод 2'!K133</f>
        <v>0</v>
      </c>
      <c r="K107" s="65">
        <f>'дод 2'!L133</f>
        <v>0</v>
      </c>
      <c r="L107" s="65">
        <f>'дод 2'!M133</f>
        <v>0</v>
      </c>
      <c r="M107" s="65">
        <f>'дод 2'!N133</f>
        <v>0</v>
      </c>
      <c r="N107" s="65">
        <f>'дод 2'!O133</f>
        <v>0</v>
      </c>
      <c r="O107" s="65">
        <f>'дод 2'!P133</f>
        <v>203057</v>
      </c>
      <c r="P107" s="149"/>
    </row>
    <row r="108" spans="1:16" s="96" customFormat="1" ht="18.75" customHeight="1" x14ac:dyDescent="0.25">
      <c r="A108" s="69"/>
      <c r="B108" s="69"/>
      <c r="C108" s="79" t="s">
        <v>283</v>
      </c>
      <c r="D108" s="70">
        <f>'дод 2'!E134</f>
        <v>203057</v>
      </c>
      <c r="E108" s="70">
        <f>'дод 2'!F134</f>
        <v>203057</v>
      </c>
      <c r="F108" s="70">
        <f>'дод 2'!G134</f>
        <v>0</v>
      </c>
      <c r="G108" s="70">
        <f>'дод 2'!H134</f>
        <v>0</v>
      </c>
      <c r="H108" s="70">
        <f>'дод 2'!I134</f>
        <v>0</v>
      </c>
      <c r="I108" s="70">
        <f>'дод 2'!J134</f>
        <v>0</v>
      </c>
      <c r="J108" s="70">
        <f>'дод 2'!K134</f>
        <v>0</v>
      </c>
      <c r="K108" s="70">
        <f>'дод 2'!L134</f>
        <v>0</v>
      </c>
      <c r="L108" s="70">
        <f>'дод 2'!M134</f>
        <v>0</v>
      </c>
      <c r="M108" s="70">
        <f>'дод 2'!N134</f>
        <v>0</v>
      </c>
      <c r="N108" s="70">
        <f>'дод 2'!O134</f>
        <v>0</v>
      </c>
      <c r="O108" s="70">
        <f>'дод 2'!P134</f>
        <v>203057</v>
      </c>
      <c r="P108" s="149"/>
    </row>
    <row r="109" spans="1:16" s="96" customFormat="1" ht="26.25" customHeight="1" x14ac:dyDescent="0.25">
      <c r="A109" s="63" t="s">
        <v>225</v>
      </c>
      <c r="B109" s="63" t="s">
        <v>44</v>
      </c>
      <c r="C109" s="40" t="s">
        <v>16</v>
      </c>
      <c r="D109" s="65">
        <f>'дод 2'!E135</f>
        <v>29337700</v>
      </c>
      <c r="E109" s="65">
        <f>'дод 2'!F135</f>
        <v>29337700</v>
      </c>
      <c r="F109" s="65">
        <f>'дод 2'!G135</f>
        <v>0</v>
      </c>
      <c r="G109" s="65">
        <f>'дод 2'!H135</f>
        <v>0</v>
      </c>
      <c r="H109" s="65">
        <f>'дод 2'!I135</f>
        <v>0</v>
      </c>
      <c r="I109" s="65">
        <f>'дод 2'!J135</f>
        <v>0</v>
      </c>
      <c r="J109" s="65">
        <f>'дод 2'!K135</f>
        <v>0</v>
      </c>
      <c r="K109" s="65">
        <f>'дод 2'!L135</f>
        <v>0</v>
      </c>
      <c r="L109" s="65">
        <f>'дод 2'!M135</f>
        <v>0</v>
      </c>
      <c r="M109" s="65">
        <f>'дод 2'!N135</f>
        <v>0</v>
      </c>
      <c r="N109" s="65">
        <f>'дод 2'!O135</f>
        <v>0</v>
      </c>
      <c r="O109" s="65">
        <f>'дод 2'!P135</f>
        <v>29337700</v>
      </c>
      <c r="P109" s="149"/>
    </row>
    <row r="110" spans="1:16" s="96" customFormat="1" ht="40.5" customHeight="1" x14ac:dyDescent="0.25">
      <c r="A110" s="63" t="s">
        <v>226</v>
      </c>
      <c r="B110" s="63" t="s">
        <v>44</v>
      </c>
      <c r="C110" s="27" t="s">
        <v>314</v>
      </c>
      <c r="D110" s="65">
        <f>'дод 2'!E136</f>
        <v>2042540</v>
      </c>
      <c r="E110" s="65">
        <f>'дод 2'!F136</f>
        <v>2042540</v>
      </c>
      <c r="F110" s="65">
        <f>'дод 2'!G136</f>
        <v>0</v>
      </c>
      <c r="G110" s="65">
        <f>'дод 2'!H136</f>
        <v>0</v>
      </c>
      <c r="H110" s="65">
        <f>'дод 2'!I136</f>
        <v>0</v>
      </c>
      <c r="I110" s="65">
        <f>'дод 2'!J136</f>
        <v>0</v>
      </c>
      <c r="J110" s="65">
        <f>'дод 2'!K136</f>
        <v>0</v>
      </c>
      <c r="K110" s="65">
        <f>'дод 2'!L136</f>
        <v>0</v>
      </c>
      <c r="L110" s="65">
        <f>'дод 2'!M136</f>
        <v>0</v>
      </c>
      <c r="M110" s="65">
        <f>'дод 2'!N136</f>
        <v>0</v>
      </c>
      <c r="N110" s="65">
        <f>'дод 2'!O136</f>
        <v>0</v>
      </c>
      <c r="O110" s="65">
        <f>'дод 2'!P136</f>
        <v>2042540</v>
      </c>
      <c r="P110" s="149"/>
    </row>
    <row r="111" spans="1:16" s="96" customFormat="1" ht="61.5" customHeight="1" x14ac:dyDescent="0.25">
      <c r="A111" s="63">
        <v>3193</v>
      </c>
      <c r="B111" s="63">
        <v>1030</v>
      </c>
      <c r="C111" s="27" t="s">
        <v>476</v>
      </c>
      <c r="D111" s="65">
        <f>'дод 2'!E137</f>
        <v>430007</v>
      </c>
      <c r="E111" s="65">
        <f>'дод 2'!F137</f>
        <v>430007</v>
      </c>
      <c r="F111" s="65">
        <f>'дод 2'!G137</f>
        <v>352465</v>
      </c>
      <c r="G111" s="65">
        <f>'дод 2'!H137</f>
        <v>0</v>
      </c>
      <c r="H111" s="65">
        <f>'дод 2'!I137</f>
        <v>0</v>
      </c>
      <c r="I111" s="65">
        <f>'дод 2'!J137</f>
        <v>0</v>
      </c>
      <c r="J111" s="65">
        <f>'дод 2'!K137</f>
        <v>0</v>
      </c>
      <c r="K111" s="65">
        <f>'дод 2'!L137</f>
        <v>0</v>
      </c>
      <c r="L111" s="65">
        <f>'дод 2'!M137</f>
        <v>0</v>
      </c>
      <c r="M111" s="65">
        <f>'дод 2'!N137</f>
        <v>0</v>
      </c>
      <c r="N111" s="65">
        <f>'дод 2'!O137</f>
        <v>0</v>
      </c>
      <c r="O111" s="65">
        <f>'дод 2'!P137</f>
        <v>430007</v>
      </c>
      <c r="P111" s="149"/>
    </row>
    <row r="112" spans="1:16" s="96" customFormat="1" ht="94.5" x14ac:dyDescent="0.25">
      <c r="A112" s="69"/>
      <c r="B112" s="69"/>
      <c r="C112" s="39" t="s">
        <v>477</v>
      </c>
      <c r="D112" s="70">
        <f>'дод 2'!E138</f>
        <v>430007</v>
      </c>
      <c r="E112" s="70">
        <f>'дод 2'!F138</f>
        <v>430007</v>
      </c>
      <c r="F112" s="70">
        <f>'дод 2'!G138</f>
        <v>352465</v>
      </c>
      <c r="G112" s="70">
        <f>'дод 2'!H138</f>
        <v>0</v>
      </c>
      <c r="H112" s="70">
        <f>'дод 2'!I138</f>
        <v>0</v>
      </c>
      <c r="I112" s="70">
        <f>'дод 2'!J138</f>
        <v>0</v>
      </c>
      <c r="J112" s="70">
        <f>'дод 2'!K138</f>
        <v>0</v>
      </c>
      <c r="K112" s="70">
        <f>'дод 2'!L138</f>
        <v>0</v>
      </c>
      <c r="L112" s="70">
        <f>'дод 2'!M138</f>
        <v>0</v>
      </c>
      <c r="M112" s="70">
        <f>'дод 2'!N138</f>
        <v>0</v>
      </c>
      <c r="N112" s="70">
        <f>'дод 2'!O138</f>
        <v>0</v>
      </c>
      <c r="O112" s="70">
        <f>'дод 2'!P138</f>
        <v>430007</v>
      </c>
      <c r="P112" s="149"/>
    </row>
    <row r="113" spans="1:16" ht="36.75" customHeight="1" x14ac:dyDescent="0.25">
      <c r="A113" s="63" t="s">
        <v>90</v>
      </c>
      <c r="B113" s="63" t="s">
        <v>47</v>
      </c>
      <c r="C113" s="40" t="s">
        <v>265</v>
      </c>
      <c r="D113" s="65">
        <f>'дод 2'!E139</f>
        <v>107000</v>
      </c>
      <c r="E113" s="65">
        <f>'дод 2'!F139</f>
        <v>107000</v>
      </c>
      <c r="F113" s="65">
        <f>'дод 2'!G139</f>
        <v>0</v>
      </c>
      <c r="G113" s="65">
        <f>'дод 2'!H139</f>
        <v>0</v>
      </c>
      <c r="H113" s="65">
        <f>'дод 2'!I139</f>
        <v>0</v>
      </c>
      <c r="I113" s="65">
        <f>'дод 2'!J139</f>
        <v>0</v>
      </c>
      <c r="J113" s="65">
        <f>'дод 2'!K139</f>
        <v>0</v>
      </c>
      <c r="K113" s="65">
        <f>'дод 2'!L139</f>
        <v>0</v>
      </c>
      <c r="L113" s="65">
        <f>'дод 2'!M139</f>
        <v>0</v>
      </c>
      <c r="M113" s="65">
        <f>'дод 2'!N139</f>
        <v>0</v>
      </c>
      <c r="N113" s="65">
        <f>'дод 2'!O139</f>
        <v>0</v>
      </c>
      <c r="O113" s="65">
        <f>'дод 2'!P139</f>
        <v>107000</v>
      </c>
      <c r="P113" s="149"/>
    </row>
    <row r="114" spans="1:16" ht="20.25" customHeight="1" x14ac:dyDescent="0.25">
      <c r="A114" s="63" t="s">
        <v>227</v>
      </c>
      <c r="B114" s="63" t="s">
        <v>91</v>
      </c>
      <c r="C114" s="40" t="s">
        <v>31</v>
      </c>
      <c r="D114" s="65">
        <f>'дод 2'!E168</f>
        <v>100000</v>
      </c>
      <c r="E114" s="65">
        <f>'дод 2'!F168</f>
        <v>100000</v>
      </c>
      <c r="F114" s="65">
        <f>'дод 2'!G168</f>
        <v>0</v>
      </c>
      <c r="G114" s="65">
        <f>'дод 2'!H168</f>
        <v>0</v>
      </c>
      <c r="H114" s="65">
        <f>'дод 2'!I168</f>
        <v>0</v>
      </c>
      <c r="I114" s="65">
        <f>'дод 2'!J168</f>
        <v>0</v>
      </c>
      <c r="J114" s="65">
        <f>'дод 2'!K168</f>
        <v>0</v>
      </c>
      <c r="K114" s="65">
        <f>'дод 2'!L168</f>
        <v>0</v>
      </c>
      <c r="L114" s="65">
        <f>'дод 2'!M168</f>
        <v>0</v>
      </c>
      <c r="M114" s="65">
        <f>'дод 2'!N168</f>
        <v>0</v>
      </c>
      <c r="N114" s="65">
        <f>'дод 2'!O168</f>
        <v>0</v>
      </c>
      <c r="O114" s="65">
        <f>'дод 2'!P168</f>
        <v>100000</v>
      </c>
      <c r="P114" s="149"/>
    </row>
    <row r="115" spans="1:16" s="96" customFormat="1" ht="40.9" customHeight="1" x14ac:dyDescent="0.25">
      <c r="A115" s="63" t="s">
        <v>228</v>
      </c>
      <c r="B115" s="63" t="s">
        <v>47</v>
      </c>
      <c r="C115" s="40" t="s">
        <v>471</v>
      </c>
      <c r="D115" s="65">
        <f>'дод 2'!E140</f>
        <v>7634300</v>
      </c>
      <c r="E115" s="65">
        <f>'дод 2'!F140</f>
        <v>7634300</v>
      </c>
      <c r="F115" s="65">
        <f>'дод 2'!G140</f>
        <v>4315200</v>
      </c>
      <c r="G115" s="65">
        <f>'дод 2'!H140</f>
        <v>562900</v>
      </c>
      <c r="H115" s="65">
        <f>'дод 2'!I140</f>
        <v>0</v>
      </c>
      <c r="I115" s="65">
        <f>'дод 2'!J140</f>
        <v>0</v>
      </c>
      <c r="J115" s="65">
        <f>'дод 2'!K140</f>
        <v>0</v>
      </c>
      <c r="K115" s="65">
        <f>'дод 2'!L140</f>
        <v>0</v>
      </c>
      <c r="L115" s="65">
        <f>'дод 2'!M140</f>
        <v>0</v>
      </c>
      <c r="M115" s="65">
        <f>'дод 2'!N140</f>
        <v>0</v>
      </c>
      <c r="N115" s="65">
        <f>'дод 2'!O140</f>
        <v>0</v>
      </c>
      <c r="O115" s="65">
        <f>'дод 2'!P140</f>
        <v>7634300</v>
      </c>
      <c r="P115" s="149"/>
    </row>
    <row r="116" spans="1:16" s="96" customFormat="1" ht="31.5" customHeight="1" x14ac:dyDescent="0.25">
      <c r="A116" s="63" t="s">
        <v>229</v>
      </c>
      <c r="B116" s="63" t="s">
        <v>47</v>
      </c>
      <c r="C116" s="40" t="s">
        <v>363</v>
      </c>
      <c r="D116" s="65">
        <f>'дод 2'!E24+'дод 2'!E96+'дод 2'!E141</f>
        <v>135377007</v>
      </c>
      <c r="E116" s="65">
        <f>'дод 2'!F24+'дод 2'!F96+'дод 2'!F141</f>
        <v>135377007</v>
      </c>
      <c r="F116" s="65">
        <f>'дод 2'!G24+'дод 2'!G96+'дод 2'!G141</f>
        <v>0</v>
      </c>
      <c r="G116" s="65">
        <f>'дод 2'!H24+'дод 2'!H96+'дод 2'!H141</f>
        <v>0</v>
      </c>
      <c r="H116" s="65">
        <f>'дод 2'!I24+'дод 2'!I96+'дод 2'!I141</f>
        <v>0</v>
      </c>
      <c r="I116" s="65">
        <f>'дод 2'!J24+'дод 2'!J96+'дод 2'!J141</f>
        <v>0</v>
      </c>
      <c r="J116" s="65">
        <f>'дод 2'!K24+'дод 2'!K96+'дод 2'!K141</f>
        <v>0</v>
      </c>
      <c r="K116" s="65">
        <f>'дод 2'!L24+'дод 2'!L96+'дод 2'!L141</f>
        <v>0</v>
      </c>
      <c r="L116" s="65">
        <f>'дод 2'!M24+'дод 2'!M96+'дод 2'!M141</f>
        <v>0</v>
      </c>
      <c r="M116" s="65">
        <f>'дод 2'!N24+'дод 2'!N96+'дод 2'!N141</f>
        <v>0</v>
      </c>
      <c r="N116" s="65">
        <f>'дод 2'!O24+'дод 2'!O96+'дод 2'!O141</f>
        <v>0</v>
      </c>
      <c r="O116" s="65">
        <f>'дод 2'!P24+'дод 2'!P96+'дод 2'!P141</f>
        <v>135377007</v>
      </c>
      <c r="P116" s="149"/>
    </row>
    <row r="117" spans="1:16" s="96" customFormat="1" ht="21" customHeight="1" x14ac:dyDescent="0.25">
      <c r="A117" s="69"/>
      <c r="B117" s="69"/>
      <c r="C117" s="79" t="s">
        <v>283</v>
      </c>
      <c r="D117" s="70">
        <f>'дод 2'!E142</f>
        <v>238400</v>
      </c>
      <c r="E117" s="70">
        <f>'дод 2'!F142</f>
        <v>238400</v>
      </c>
      <c r="F117" s="70">
        <f>'дод 2'!G142</f>
        <v>0</v>
      </c>
      <c r="G117" s="70">
        <f>'дод 2'!H142</f>
        <v>0</v>
      </c>
      <c r="H117" s="70">
        <f>'дод 2'!I142</f>
        <v>0</v>
      </c>
      <c r="I117" s="70">
        <f>'дод 2'!J142</f>
        <v>0</v>
      </c>
      <c r="J117" s="70">
        <f>'дод 2'!K142</f>
        <v>0</v>
      </c>
      <c r="K117" s="70">
        <f>'дод 2'!L142</f>
        <v>0</v>
      </c>
      <c r="L117" s="70">
        <f>'дод 2'!M142</f>
        <v>0</v>
      </c>
      <c r="M117" s="70">
        <f>'дод 2'!N142</f>
        <v>0</v>
      </c>
      <c r="N117" s="70">
        <f>'дод 2'!O142</f>
        <v>0</v>
      </c>
      <c r="O117" s="70">
        <f>'дод 2'!P142</f>
        <v>238400</v>
      </c>
      <c r="P117" s="149"/>
    </row>
    <row r="118" spans="1:16" s="96" customFormat="1" ht="69" customHeight="1" x14ac:dyDescent="0.25">
      <c r="A118" s="63"/>
      <c r="B118" s="63"/>
      <c r="C118" s="39" t="s">
        <v>399</v>
      </c>
      <c r="D118" s="65">
        <f>'дод 2'!E143</f>
        <v>51303000</v>
      </c>
      <c r="E118" s="65">
        <f>'дод 2'!F143</f>
        <v>51303000</v>
      </c>
      <c r="F118" s="65">
        <f>'дод 2'!G143</f>
        <v>0</v>
      </c>
      <c r="G118" s="65">
        <f>'дод 2'!H143</f>
        <v>0</v>
      </c>
      <c r="H118" s="65">
        <f>'дод 2'!I143</f>
        <v>0</v>
      </c>
      <c r="I118" s="65">
        <f>'дод 2'!J143</f>
        <v>0</v>
      </c>
      <c r="J118" s="65">
        <f>'дод 2'!K143</f>
        <v>0</v>
      </c>
      <c r="K118" s="65">
        <f>'дод 2'!L143</f>
        <v>0</v>
      </c>
      <c r="L118" s="65">
        <f>'дод 2'!M143</f>
        <v>0</v>
      </c>
      <c r="M118" s="65">
        <f>'дод 2'!N143</f>
        <v>0</v>
      </c>
      <c r="N118" s="65">
        <f>'дод 2'!O143</f>
        <v>0</v>
      </c>
      <c r="O118" s="65">
        <f>'дод 2'!P143</f>
        <v>51303000</v>
      </c>
      <c r="P118" s="149"/>
    </row>
    <row r="119" spans="1:16" s="96" customFormat="1" ht="110.25" x14ac:dyDescent="0.25">
      <c r="A119" s="63"/>
      <c r="B119" s="63"/>
      <c r="C119" s="36" t="s">
        <v>454</v>
      </c>
      <c r="D119" s="70">
        <f>'дод 2'!E144</f>
        <v>2868232.83</v>
      </c>
      <c r="E119" s="70">
        <f>'дод 2'!F144</f>
        <v>2868232.83</v>
      </c>
      <c r="F119" s="70">
        <f>'дод 2'!G144</f>
        <v>0</v>
      </c>
      <c r="G119" s="70">
        <f>'дод 2'!H144</f>
        <v>0</v>
      </c>
      <c r="H119" s="70">
        <f>'дод 2'!I144</f>
        <v>0</v>
      </c>
      <c r="I119" s="70">
        <f>'дод 2'!J144</f>
        <v>0</v>
      </c>
      <c r="J119" s="70">
        <f>'дод 2'!K144</f>
        <v>0</v>
      </c>
      <c r="K119" s="70">
        <f>'дод 2'!L144</f>
        <v>0</v>
      </c>
      <c r="L119" s="70">
        <f>'дод 2'!M144</f>
        <v>0</v>
      </c>
      <c r="M119" s="70">
        <f>'дод 2'!N144</f>
        <v>0</v>
      </c>
      <c r="N119" s="70">
        <f>'дод 2'!O144</f>
        <v>0</v>
      </c>
      <c r="O119" s="70">
        <f>'дод 2'!P144</f>
        <v>2868232.83</v>
      </c>
      <c r="P119" s="149">
        <v>6</v>
      </c>
    </row>
    <row r="120" spans="1:16" s="95" customFormat="1" ht="19.5" customHeight="1" x14ac:dyDescent="0.25">
      <c r="A120" s="66" t="s">
        <v>61</v>
      </c>
      <c r="B120" s="76"/>
      <c r="C120" s="77" t="s">
        <v>62</v>
      </c>
      <c r="D120" s="62">
        <f>D121+D122+D123+D124</f>
        <v>39500800</v>
      </c>
      <c r="E120" s="62">
        <f t="shared" ref="E120:O120" si="19">E121+E122+E123+E124</f>
        <v>39500800</v>
      </c>
      <c r="F120" s="62">
        <f t="shared" si="19"/>
        <v>26837100</v>
      </c>
      <c r="G120" s="62">
        <f t="shared" si="19"/>
        <v>3653058</v>
      </c>
      <c r="H120" s="62">
        <f t="shared" si="19"/>
        <v>0</v>
      </c>
      <c r="I120" s="62">
        <f t="shared" si="19"/>
        <v>1070000</v>
      </c>
      <c r="J120" s="62">
        <f t="shared" si="19"/>
        <v>1060000</v>
      </c>
      <c r="K120" s="62">
        <f t="shared" si="19"/>
        <v>10000</v>
      </c>
      <c r="L120" s="62">
        <f t="shared" si="19"/>
        <v>0</v>
      </c>
      <c r="M120" s="62">
        <f t="shared" si="19"/>
        <v>0</v>
      </c>
      <c r="N120" s="62">
        <f t="shared" si="19"/>
        <v>1060000</v>
      </c>
      <c r="O120" s="62">
        <f t="shared" si="19"/>
        <v>40570800</v>
      </c>
      <c r="P120" s="149"/>
    </row>
    <row r="121" spans="1:16" ht="22.5" customHeight="1" x14ac:dyDescent="0.25">
      <c r="A121" s="63" t="s">
        <v>63</v>
      </c>
      <c r="B121" s="63" t="s">
        <v>64</v>
      </c>
      <c r="C121" s="40" t="s">
        <v>13</v>
      </c>
      <c r="D121" s="65">
        <f>'дод 2'!E156</f>
        <v>26641500</v>
      </c>
      <c r="E121" s="65">
        <f>'дод 2'!F156</f>
        <v>26641500</v>
      </c>
      <c r="F121" s="65">
        <f>'дод 2'!G156</f>
        <v>18518800</v>
      </c>
      <c r="G121" s="65">
        <f>'дод 2'!H156</f>
        <v>2877800</v>
      </c>
      <c r="H121" s="65">
        <f>'дод 2'!I156</f>
        <v>0</v>
      </c>
      <c r="I121" s="65">
        <f>'дод 2'!J156</f>
        <v>670000</v>
      </c>
      <c r="J121" s="65">
        <f>'дод 2'!K156</f>
        <v>660000</v>
      </c>
      <c r="K121" s="65">
        <f>'дод 2'!L156</f>
        <v>10000</v>
      </c>
      <c r="L121" s="65">
        <f>'дод 2'!M156</f>
        <v>0</v>
      </c>
      <c r="M121" s="65">
        <f>'дод 2'!N156</f>
        <v>0</v>
      </c>
      <c r="N121" s="65">
        <f>'дод 2'!O156</f>
        <v>660000</v>
      </c>
      <c r="O121" s="65">
        <f>'дод 2'!P156</f>
        <v>27311500</v>
      </c>
      <c r="P121" s="149"/>
    </row>
    <row r="122" spans="1:16" ht="33.75" customHeight="1" x14ac:dyDescent="0.25">
      <c r="A122" s="63" t="s">
        <v>245</v>
      </c>
      <c r="B122" s="63" t="s">
        <v>246</v>
      </c>
      <c r="C122" s="40" t="s">
        <v>247</v>
      </c>
      <c r="D122" s="65">
        <f>'дод 2'!E157</f>
        <v>5950000</v>
      </c>
      <c r="E122" s="65">
        <f>'дод 2'!F157</f>
        <v>5950000</v>
      </c>
      <c r="F122" s="65">
        <f>'дод 2'!G157</f>
        <v>3831000</v>
      </c>
      <c r="G122" s="65">
        <f>'дод 2'!H157</f>
        <v>413000</v>
      </c>
      <c r="H122" s="65">
        <f>'дод 2'!I157</f>
        <v>0</v>
      </c>
      <c r="I122" s="65">
        <f>'дод 2'!J157</f>
        <v>400000</v>
      </c>
      <c r="J122" s="65">
        <f>'дод 2'!K157</f>
        <v>400000</v>
      </c>
      <c r="K122" s="65">
        <f>'дод 2'!L157</f>
        <v>0</v>
      </c>
      <c r="L122" s="65">
        <f>'дод 2'!M157</f>
        <v>0</v>
      </c>
      <c r="M122" s="65">
        <f>'дод 2'!N157</f>
        <v>0</v>
      </c>
      <c r="N122" s="65">
        <f>'дод 2'!O157</f>
        <v>400000</v>
      </c>
      <c r="O122" s="65">
        <f>'дод 2'!P157</f>
        <v>6350000</v>
      </c>
      <c r="P122" s="149"/>
    </row>
    <row r="123" spans="1:16" s="96" customFormat="1" ht="26.25" customHeight="1" x14ac:dyDescent="0.25">
      <c r="A123" s="63" t="s">
        <v>230</v>
      </c>
      <c r="B123" s="63" t="s">
        <v>65</v>
      </c>
      <c r="C123" s="40" t="s">
        <v>266</v>
      </c>
      <c r="D123" s="65">
        <f>'дод 2'!E25+'дод 2'!E158</f>
        <v>6409300</v>
      </c>
      <c r="E123" s="65">
        <f>'дод 2'!F25+'дод 2'!F158</f>
        <v>6409300</v>
      </c>
      <c r="F123" s="65">
        <f>'дод 2'!G25+'дод 2'!G158</f>
        <v>4487300</v>
      </c>
      <c r="G123" s="65">
        <f>'дод 2'!H25+'дод 2'!H158</f>
        <v>362258</v>
      </c>
      <c r="H123" s="65">
        <f>'дод 2'!I25+'дод 2'!I158</f>
        <v>0</v>
      </c>
      <c r="I123" s="65">
        <f>'дод 2'!J25+'дод 2'!J158</f>
        <v>0</v>
      </c>
      <c r="J123" s="65">
        <f>'дод 2'!K25+'дод 2'!K158</f>
        <v>0</v>
      </c>
      <c r="K123" s="65">
        <f>'дод 2'!L25+'дод 2'!L158</f>
        <v>0</v>
      </c>
      <c r="L123" s="65">
        <f>'дод 2'!M25+'дод 2'!M158</f>
        <v>0</v>
      </c>
      <c r="M123" s="65">
        <f>'дод 2'!N25+'дод 2'!N158</f>
        <v>0</v>
      </c>
      <c r="N123" s="65">
        <f>'дод 2'!O25+'дод 2'!O158</f>
        <v>0</v>
      </c>
      <c r="O123" s="65">
        <f>'дод 2'!P25+'дод 2'!P158</f>
        <v>6409300</v>
      </c>
      <c r="P123" s="149"/>
    </row>
    <row r="124" spans="1:16" s="96" customFormat="1" ht="22.5" customHeight="1" x14ac:dyDescent="0.25">
      <c r="A124" s="63" t="s">
        <v>231</v>
      </c>
      <c r="B124" s="63" t="s">
        <v>65</v>
      </c>
      <c r="C124" s="40" t="s">
        <v>232</v>
      </c>
      <c r="D124" s="65">
        <f>'дод 2'!E159</f>
        <v>500000</v>
      </c>
      <c r="E124" s="65">
        <f>'дод 2'!F159</f>
        <v>500000</v>
      </c>
      <c r="F124" s="65">
        <f>'дод 2'!G159</f>
        <v>0</v>
      </c>
      <c r="G124" s="65">
        <f>'дод 2'!H159</f>
        <v>0</v>
      </c>
      <c r="H124" s="65">
        <f>'дод 2'!I159</f>
        <v>0</v>
      </c>
      <c r="I124" s="65">
        <f>'дод 2'!J159</f>
        <v>0</v>
      </c>
      <c r="J124" s="65">
        <f>'дод 2'!K159</f>
        <v>0</v>
      </c>
      <c r="K124" s="65">
        <f>'дод 2'!L159</f>
        <v>0</v>
      </c>
      <c r="L124" s="65">
        <f>'дод 2'!M159</f>
        <v>0</v>
      </c>
      <c r="M124" s="65">
        <f>'дод 2'!N159</f>
        <v>0</v>
      </c>
      <c r="N124" s="65">
        <f>'дод 2'!O159</f>
        <v>0</v>
      </c>
      <c r="O124" s="65">
        <f>'дод 2'!P159</f>
        <v>500000</v>
      </c>
      <c r="P124" s="149"/>
    </row>
    <row r="125" spans="1:16" s="95" customFormat="1" ht="21.75" customHeight="1" x14ac:dyDescent="0.25">
      <c r="A125" s="66" t="s">
        <v>66</v>
      </c>
      <c r="B125" s="76"/>
      <c r="C125" s="77" t="s">
        <v>326</v>
      </c>
      <c r="D125" s="62">
        <f>D126+D127+D128+D129+D130+D131</f>
        <v>89830201</v>
      </c>
      <c r="E125" s="62">
        <f t="shared" ref="E125:O125" si="20">E126+E127+E128+E129+E130+E131</f>
        <v>89830201</v>
      </c>
      <c r="F125" s="62">
        <f t="shared" si="20"/>
        <v>33577600</v>
      </c>
      <c r="G125" s="62">
        <f t="shared" si="20"/>
        <v>3389300</v>
      </c>
      <c r="H125" s="62">
        <f t="shared" si="20"/>
        <v>0</v>
      </c>
      <c r="I125" s="62">
        <f t="shared" si="20"/>
        <v>633800</v>
      </c>
      <c r="J125" s="62">
        <f t="shared" si="20"/>
        <v>50000</v>
      </c>
      <c r="K125" s="62">
        <f t="shared" si="20"/>
        <v>583800</v>
      </c>
      <c r="L125" s="62">
        <f t="shared" si="20"/>
        <v>352800</v>
      </c>
      <c r="M125" s="62">
        <f t="shared" si="20"/>
        <v>48438</v>
      </c>
      <c r="N125" s="62">
        <f t="shared" si="20"/>
        <v>50000</v>
      </c>
      <c r="O125" s="62">
        <f t="shared" si="20"/>
        <v>90464001</v>
      </c>
      <c r="P125" s="149"/>
    </row>
    <row r="126" spans="1:16" s="96" customFormat="1" ht="37.5" customHeight="1" x14ac:dyDescent="0.25">
      <c r="A126" s="63" t="s">
        <v>67</v>
      </c>
      <c r="B126" s="63" t="s">
        <v>68</v>
      </c>
      <c r="C126" s="40" t="s">
        <v>18</v>
      </c>
      <c r="D126" s="65">
        <f>'дод 2'!E26</f>
        <v>1150000</v>
      </c>
      <c r="E126" s="65">
        <f>'дод 2'!F26</f>
        <v>1150000</v>
      </c>
      <c r="F126" s="65">
        <f>'дод 2'!G26</f>
        <v>0</v>
      </c>
      <c r="G126" s="65">
        <f>'дод 2'!H26</f>
        <v>0</v>
      </c>
      <c r="H126" s="65">
        <f>'дод 2'!I26</f>
        <v>0</v>
      </c>
      <c r="I126" s="65">
        <f>'дод 2'!J26</f>
        <v>0</v>
      </c>
      <c r="J126" s="65">
        <f>'дод 2'!K26</f>
        <v>0</v>
      </c>
      <c r="K126" s="65">
        <f>'дод 2'!L26</f>
        <v>0</v>
      </c>
      <c r="L126" s="65">
        <f>'дод 2'!M26</f>
        <v>0</v>
      </c>
      <c r="M126" s="65">
        <f>'дод 2'!N26</f>
        <v>0</v>
      </c>
      <c r="N126" s="65">
        <f>'дод 2'!O26</f>
        <v>0</v>
      </c>
      <c r="O126" s="65">
        <f>'дод 2'!P26</f>
        <v>1150000</v>
      </c>
      <c r="P126" s="149"/>
    </row>
    <row r="127" spans="1:16" s="96" customFormat="1" ht="34.5" customHeight="1" x14ac:dyDescent="0.25">
      <c r="A127" s="63" t="s">
        <v>69</v>
      </c>
      <c r="B127" s="63" t="s">
        <v>68</v>
      </c>
      <c r="C127" s="40" t="s">
        <v>14</v>
      </c>
      <c r="D127" s="65">
        <f>'дод 2'!E27</f>
        <v>1150000</v>
      </c>
      <c r="E127" s="65">
        <f>'дод 2'!F27</f>
        <v>1150000</v>
      </c>
      <c r="F127" s="65">
        <f>'дод 2'!G27</f>
        <v>0</v>
      </c>
      <c r="G127" s="65">
        <f>'дод 2'!H27</f>
        <v>0</v>
      </c>
      <c r="H127" s="65">
        <f>'дод 2'!I27</f>
        <v>0</v>
      </c>
      <c r="I127" s="65">
        <f>'дод 2'!J27</f>
        <v>0</v>
      </c>
      <c r="J127" s="65">
        <f>'дод 2'!K27</f>
        <v>0</v>
      </c>
      <c r="K127" s="65">
        <f>'дод 2'!L27</f>
        <v>0</v>
      </c>
      <c r="L127" s="65">
        <f>'дод 2'!M27</f>
        <v>0</v>
      </c>
      <c r="M127" s="65">
        <f>'дод 2'!N27</f>
        <v>0</v>
      </c>
      <c r="N127" s="65">
        <f>'дод 2'!O27</f>
        <v>0</v>
      </c>
      <c r="O127" s="65">
        <f>'дод 2'!P27</f>
        <v>1150000</v>
      </c>
      <c r="P127" s="149"/>
    </row>
    <row r="128" spans="1:16" s="96" customFormat="1" ht="47.25" x14ac:dyDescent="0.25">
      <c r="A128" s="63" t="s">
        <v>98</v>
      </c>
      <c r="B128" s="63" t="s">
        <v>68</v>
      </c>
      <c r="C128" s="40" t="s">
        <v>428</v>
      </c>
      <c r="D128" s="65">
        <f>'дод 2'!E28+'дод 2'!E97</f>
        <v>40687100</v>
      </c>
      <c r="E128" s="65">
        <f>'дод 2'!F28+'дод 2'!F97</f>
        <v>40687100</v>
      </c>
      <c r="F128" s="65">
        <f>'дод 2'!G28+'дод 2'!G97</f>
        <v>28906600</v>
      </c>
      <c r="G128" s="65">
        <f>'дод 2'!H28+'дод 2'!H97</f>
        <v>2441200</v>
      </c>
      <c r="H128" s="65">
        <f>'дод 2'!I28+'дод 2'!I97</f>
        <v>0</v>
      </c>
      <c r="I128" s="65">
        <f>'дод 2'!J28+'дод 2'!J97</f>
        <v>0</v>
      </c>
      <c r="J128" s="65">
        <f>'дод 2'!K28+'дод 2'!K97</f>
        <v>0</v>
      </c>
      <c r="K128" s="65">
        <f>'дод 2'!L28+'дод 2'!L97</f>
        <v>0</v>
      </c>
      <c r="L128" s="65">
        <f>'дод 2'!M28+'дод 2'!M97</f>
        <v>0</v>
      </c>
      <c r="M128" s="65">
        <f>'дод 2'!N28+'дод 2'!N97</f>
        <v>0</v>
      </c>
      <c r="N128" s="65">
        <f>'дод 2'!O28+'дод 2'!O97</f>
        <v>0</v>
      </c>
      <c r="O128" s="65">
        <f>'дод 2'!P28+'дод 2'!P97</f>
        <v>40687100</v>
      </c>
      <c r="P128" s="149"/>
    </row>
    <row r="129" spans="1:18" s="96" customFormat="1" ht="38.25" customHeight="1" x14ac:dyDescent="0.25">
      <c r="A129" s="63" t="s">
        <v>99</v>
      </c>
      <c r="B129" s="63" t="s">
        <v>68</v>
      </c>
      <c r="C129" s="40" t="s">
        <v>19</v>
      </c>
      <c r="D129" s="65">
        <f>'дод 2'!E29</f>
        <v>20518600</v>
      </c>
      <c r="E129" s="65">
        <f>'дод 2'!F29</f>
        <v>20518600</v>
      </c>
      <c r="F129" s="65">
        <f>'дод 2'!G29</f>
        <v>0</v>
      </c>
      <c r="G129" s="65">
        <f>'дод 2'!H29</f>
        <v>0</v>
      </c>
      <c r="H129" s="65">
        <f>'дод 2'!I29</f>
        <v>0</v>
      </c>
      <c r="I129" s="65">
        <f>'дод 2'!J29</f>
        <v>0</v>
      </c>
      <c r="J129" s="65">
        <f>'дод 2'!K29</f>
        <v>0</v>
      </c>
      <c r="K129" s="65">
        <f>'дод 2'!L29</f>
        <v>0</v>
      </c>
      <c r="L129" s="65">
        <f>'дод 2'!M29</f>
        <v>0</v>
      </c>
      <c r="M129" s="65">
        <f>'дод 2'!N29</f>
        <v>0</v>
      </c>
      <c r="N129" s="65">
        <f>'дод 2'!O29</f>
        <v>0</v>
      </c>
      <c r="O129" s="65">
        <f>'дод 2'!P29</f>
        <v>20518600</v>
      </c>
      <c r="P129" s="149"/>
    </row>
    <row r="130" spans="1:18" s="96" customFormat="1" ht="48" customHeight="1" x14ac:dyDescent="0.25">
      <c r="A130" s="63" t="s">
        <v>95</v>
      </c>
      <c r="B130" s="63" t="s">
        <v>68</v>
      </c>
      <c r="C130" s="40" t="s">
        <v>330</v>
      </c>
      <c r="D130" s="65">
        <f>'дод 2'!E30</f>
        <v>8289285</v>
      </c>
      <c r="E130" s="65">
        <f>'дод 2'!F30</f>
        <v>8289285</v>
      </c>
      <c r="F130" s="65">
        <f>'дод 2'!G30</f>
        <v>4671000</v>
      </c>
      <c r="G130" s="65">
        <f>'дод 2'!H30</f>
        <v>948100</v>
      </c>
      <c r="H130" s="65">
        <f>'дод 2'!I30</f>
        <v>0</v>
      </c>
      <c r="I130" s="65">
        <f>'дод 2'!J30</f>
        <v>633800</v>
      </c>
      <c r="J130" s="65">
        <f>'дод 2'!K30</f>
        <v>50000</v>
      </c>
      <c r="K130" s="65">
        <f>'дод 2'!L30</f>
        <v>583800</v>
      </c>
      <c r="L130" s="65">
        <f>'дод 2'!M30</f>
        <v>352800</v>
      </c>
      <c r="M130" s="65">
        <f>'дод 2'!N30</f>
        <v>48438</v>
      </c>
      <c r="N130" s="65">
        <f>'дод 2'!O30</f>
        <v>50000</v>
      </c>
      <c r="O130" s="65">
        <f>'дод 2'!P30</f>
        <v>8923085</v>
      </c>
      <c r="P130" s="149"/>
    </row>
    <row r="131" spans="1:18" s="96" customFormat="1" ht="38.25" customHeight="1" x14ac:dyDescent="0.25">
      <c r="A131" s="63" t="s">
        <v>97</v>
      </c>
      <c r="B131" s="63" t="s">
        <v>68</v>
      </c>
      <c r="C131" s="40" t="s">
        <v>96</v>
      </c>
      <c r="D131" s="65">
        <f>'дод 2'!E31</f>
        <v>18035216</v>
      </c>
      <c r="E131" s="65">
        <f>'дод 2'!F31</f>
        <v>18035216</v>
      </c>
      <c r="F131" s="65">
        <f>'дод 2'!G31</f>
        <v>0</v>
      </c>
      <c r="G131" s="65">
        <f>'дод 2'!H31</f>
        <v>0</v>
      </c>
      <c r="H131" s="65">
        <f>'дод 2'!I31</f>
        <v>0</v>
      </c>
      <c r="I131" s="65">
        <f>'дод 2'!J31</f>
        <v>0</v>
      </c>
      <c r="J131" s="65">
        <f>'дод 2'!K31</f>
        <v>0</v>
      </c>
      <c r="K131" s="65">
        <f>'дод 2'!L31</f>
        <v>0</v>
      </c>
      <c r="L131" s="65">
        <f>'дод 2'!M31</f>
        <v>0</v>
      </c>
      <c r="M131" s="65">
        <f>'дод 2'!N31</f>
        <v>0</v>
      </c>
      <c r="N131" s="65">
        <f>'дод 2'!O31</f>
        <v>0</v>
      </c>
      <c r="O131" s="65">
        <f>'дод 2'!P31</f>
        <v>18035216</v>
      </c>
      <c r="P131" s="149"/>
    </row>
    <row r="132" spans="1:18" s="95" customFormat="1" ht="26.25" customHeight="1" x14ac:dyDescent="0.25">
      <c r="A132" s="66" t="s">
        <v>57</v>
      </c>
      <c r="B132" s="76"/>
      <c r="C132" s="77" t="s">
        <v>494</v>
      </c>
      <c r="D132" s="62">
        <f>D135+D137+D138+D139+D141+D142+D140+D136+D143+D145</f>
        <v>373272669</v>
      </c>
      <c r="E132" s="62">
        <f t="shared" ref="E132:O132" si="21">E135+E137+E138+E139+E141+E142+E140+E136+E143+E145</f>
        <v>307918960</v>
      </c>
      <c r="F132" s="62">
        <f t="shared" si="21"/>
        <v>0</v>
      </c>
      <c r="G132" s="62">
        <f t="shared" si="21"/>
        <v>55206000</v>
      </c>
      <c r="H132" s="62">
        <f t="shared" si="21"/>
        <v>65353709</v>
      </c>
      <c r="I132" s="62">
        <f t="shared" si="21"/>
        <v>122932928</v>
      </c>
      <c r="J132" s="62">
        <f t="shared" si="21"/>
        <v>32815928</v>
      </c>
      <c r="K132" s="62">
        <f t="shared" si="21"/>
        <v>0</v>
      </c>
      <c r="L132" s="62">
        <f t="shared" si="21"/>
        <v>0</v>
      </c>
      <c r="M132" s="62">
        <f t="shared" si="21"/>
        <v>0</v>
      </c>
      <c r="N132" s="62">
        <f t="shared" si="21"/>
        <v>122932928</v>
      </c>
      <c r="O132" s="62">
        <f t="shared" si="21"/>
        <v>496205597</v>
      </c>
      <c r="P132" s="149"/>
      <c r="R132" s="98">
        <f>E132+H132</f>
        <v>373272669</v>
      </c>
    </row>
    <row r="133" spans="1:18" s="99" customFormat="1" ht="64.900000000000006" customHeight="1" x14ac:dyDescent="0.25">
      <c r="A133" s="67"/>
      <c r="B133" s="33"/>
      <c r="C133" s="78" t="str">
        <f>C146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D133" s="68">
        <f>D146</f>
        <v>0</v>
      </c>
      <c r="E133" s="68">
        <f t="shared" ref="E133:O133" si="22">E146</f>
        <v>0</v>
      </c>
      <c r="F133" s="68">
        <f t="shared" si="22"/>
        <v>0</v>
      </c>
      <c r="G133" s="68">
        <f t="shared" si="22"/>
        <v>0</v>
      </c>
      <c r="H133" s="68">
        <f t="shared" si="22"/>
        <v>0</v>
      </c>
      <c r="I133" s="68">
        <f t="shared" si="22"/>
        <v>89775000</v>
      </c>
      <c r="J133" s="68">
        <f t="shared" si="22"/>
        <v>0</v>
      </c>
      <c r="K133" s="68">
        <f t="shared" si="22"/>
        <v>0</v>
      </c>
      <c r="L133" s="68">
        <f t="shared" si="22"/>
        <v>0</v>
      </c>
      <c r="M133" s="68">
        <f t="shared" si="22"/>
        <v>0</v>
      </c>
      <c r="N133" s="68">
        <f t="shared" si="22"/>
        <v>89775000</v>
      </c>
      <c r="O133" s="68">
        <f t="shared" si="22"/>
        <v>89775000</v>
      </c>
      <c r="P133" s="149"/>
      <c r="R133" s="118"/>
    </row>
    <row r="134" spans="1:18" s="99" customFormat="1" ht="46.5" hidden="1" customHeight="1" x14ac:dyDescent="0.25">
      <c r="A134" s="67"/>
      <c r="B134" s="33"/>
      <c r="C134" s="33" t="str">
        <f>C144</f>
        <v>залишку коштів, що склався станом на 01.01.2025 року, за іншою субвенцією з місцевого бюджету</v>
      </c>
      <c r="D134" s="68">
        <f>D144</f>
        <v>0</v>
      </c>
      <c r="E134" s="68">
        <f t="shared" ref="E134:O134" si="23">E144</f>
        <v>0</v>
      </c>
      <c r="F134" s="68">
        <f t="shared" si="23"/>
        <v>0</v>
      </c>
      <c r="G134" s="68">
        <f t="shared" si="23"/>
        <v>0</v>
      </c>
      <c r="H134" s="68">
        <f t="shared" si="23"/>
        <v>0</v>
      </c>
      <c r="I134" s="68">
        <f t="shared" si="23"/>
        <v>0</v>
      </c>
      <c r="J134" s="68">
        <f t="shared" si="23"/>
        <v>0</v>
      </c>
      <c r="K134" s="68">
        <f t="shared" si="23"/>
        <v>0</v>
      </c>
      <c r="L134" s="68">
        <f t="shared" si="23"/>
        <v>0</v>
      </c>
      <c r="M134" s="68">
        <f t="shared" si="23"/>
        <v>0</v>
      </c>
      <c r="N134" s="68">
        <f t="shared" si="23"/>
        <v>0</v>
      </c>
      <c r="O134" s="68">
        <f t="shared" si="23"/>
        <v>0</v>
      </c>
      <c r="P134" s="149"/>
      <c r="R134" s="118"/>
    </row>
    <row r="135" spans="1:18" s="96" customFormat="1" ht="23.25" customHeight="1" x14ac:dyDescent="0.25">
      <c r="A135" s="63" t="s">
        <v>108</v>
      </c>
      <c r="B135" s="63" t="s">
        <v>60</v>
      </c>
      <c r="C135" s="40" t="s">
        <v>121</v>
      </c>
      <c r="D135" s="65">
        <f>'дод 2'!E169</f>
        <v>61034773</v>
      </c>
      <c r="E135" s="65">
        <f>'дод 2'!F169</f>
        <v>1034773</v>
      </c>
      <c r="F135" s="65">
        <f>'дод 2'!G169</f>
        <v>0</v>
      </c>
      <c r="G135" s="65">
        <f>'дод 2'!H169</f>
        <v>0</v>
      </c>
      <c r="H135" s="65">
        <f>'дод 2'!I169</f>
        <v>60000000</v>
      </c>
      <c r="I135" s="65">
        <f>'дод 2'!J169</f>
        <v>8583307</v>
      </c>
      <c r="J135" s="65">
        <f>'дод 2'!K169</f>
        <v>8583307</v>
      </c>
      <c r="K135" s="65">
        <f>'дод 2'!L169</f>
        <v>0</v>
      </c>
      <c r="L135" s="65">
        <f>'дод 2'!M169</f>
        <v>0</v>
      </c>
      <c r="M135" s="65">
        <f>'дод 2'!N169</f>
        <v>0</v>
      </c>
      <c r="N135" s="65">
        <f>'дод 2'!O169</f>
        <v>8583307</v>
      </c>
      <c r="O135" s="65">
        <f>'дод 2'!P169</f>
        <v>69618080</v>
      </c>
      <c r="P135" s="149"/>
    </row>
    <row r="136" spans="1:18" s="96" customFormat="1" ht="22.5" customHeight="1" x14ac:dyDescent="0.25">
      <c r="A136" s="63">
        <v>6014</v>
      </c>
      <c r="B136" s="82" t="s">
        <v>60</v>
      </c>
      <c r="C136" s="40" t="s">
        <v>385</v>
      </c>
      <c r="D136" s="65">
        <f>'дод 2'!E170</f>
        <v>6500000</v>
      </c>
      <c r="E136" s="65">
        <f>'дод 2'!F170</f>
        <v>6500000</v>
      </c>
      <c r="F136" s="65">
        <f>'дод 2'!G170</f>
        <v>0</v>
      </c>
      <c r="G136" s="65">
        <f>'дод 2'!H170</f>
        <v>0</v>
      </c>
      <c r="H136" s="65">
        <f>'дод 2'!I170</f>
        <v>0</v>
      </c>
      <c r="I136" s="65">
        <f>'дод 2'!J170</f>
        <v>0</v>
      </c>
      <c r="J136" s="65">
        <f>'дод 2'!K170</f>
        <v>0</v>
      </c>
      <c r="K136" s="65">
        <f>'дод 2'!L170</f>
        <v>0</v>
      </c>
      <c r="L136" s="65">
        <f>'дод 2'!M170</f>
        <v>0</v>
      </c>
      <c r="M136" s="65">
        <f>'дод 2'!N170</f>
        <v>0</v>
      </c>
      <c r="N136" s="65">
        <f>'дод 2'!O170</f>
        <v>0</v>
      </c>
      <c r="O136" s="65">
        <f>'дод 2'!P170</f>
        <v>6500000</v>
      </c>
      <c r="P136" s="149"/>
    </row>
    <row r="137" spans="1:18" s="96" customFormat="1" ht="33" customHeight="1" x14ac:dyDescent="0.25">
      <c r="A137" s="63" t="s">
        <v>214</v>
      </c>
      <c r="B137" s="63" t="s">
        <v>60</v>
      </c>
      <c r="C137" s="40" t="s">
        <v>267</v>
      </c>
      <c r="D137" s="65">
        <f>'дод 2'!E171</f>
        <v>600000</v>
      </c>
      <c r="E137" s="65">
        <f>'дод 2'!F171</f>
        <v>600000</v>
      </c>
      <c r="F137" s="65">
        <f>'дод 2'!G171</f>
        <v>0</v>
      </c>
      <c r="G137" s="65">
        <f>'дод 2'!H171</f>
        <v>0</v>
      </c>
      <c r="H137" s="65">
        <f>'дод 2'!I171</f>
        <v>0</v>
      </c>
      <c r="I137" s="65">
        <f>'дод 2'!J171</f>
        <v>0</v>
      </c>
      <c r="J137" s="65">
        <f>'дод 2'!K171</f>
        <v>0</v>
      </c>
      <c r="K137" s="65">
        <f>'дод 2'!L171</f>
        <v>0</v>
      </c>
      <c r="L137" s="65">
        <f>'дод 2'!M171</f>
        <v>0</v>
      </c>
      <c r="M137" s="65">
        <f>'дод 2'!N171</f>
        <v>0</v>
      </c>
      <c r="N137" s="65">
        <f>'дод 2'!O171</f>
        <v>0</v>
      </c>
      <c r="O137" s="65">
        <f>'дод 2'!P171</f>
        <v>600000</v>
      </c>
      <c r="P137" s="149"/>
    </row>
    <row r="138" spans="1:18" s="96" customFormat="1" ht="45.75" customHeight="1" x14ac:dyDescent="0.25">
      <c r="A138" s="63" t="s">
        <v>59</v>
      </c>
      <c r="B138" s="63" t="s">
        <v>60</v>
      </c>
      <c r="C138" s="40" t="s">
        <v>111</v>
      </c>
      <c r="D138" s="65">
        <f>'дод 2'!E172</f>
        <v>2991209</v>
      </c>
      <c r="E138" s="65">
        <f>'дод 2'!F172</f>
        <v>0</v>
      </c>
      <c r="F138" s="65">
        <f>'дод 2'!G172</f>
        <v>0</v>
      </c>
      <c r="G138" s="65">
        <f>'дод 2'!H172</f>
        <v>0</v>
      </c>
      <c r="H138" s="65">
        <f>'дод 2'!I172</f>
        <v>2991209</v>
      </c>
      <c r="I138" s="65">
        <f>'дод 2'!J172</f>
        <v>0</v>
      </c>
      <c r="J138" s="65">
        <f>'дод 2'!K172</f>
        <v>0</v>
      </c>
      <c r="K138" s="65">
        <f>'дод 2'!L172</f>
        <v>0</v>
      </c>
      <c r="L138" s="65">
        <f>'дод 2'!M172</f>
        <v>0</v>
      </c>
      <c r="M138" s="65">
        <f>'дод 2'!N172</f>
        <v>0</v>
      </c>
      <c r="N138" s="65">
        <f>'дод 2'!O172</f>
        <v>0</v>
      </c>
      <c r="O138" s="65">
        <f>'дод 2'!P172</f>
        <v>2991209</v>
      </c>
      <c r="P138" s="149"/>
    </row>
    <row r="139" spans="1:18" ht="24" customHeight="1" x14ac:dyDescent="0.25">
      <c r="A139" s="63" t="s">
        <v>109</v>
      </c>
      <c r="B139" s="63" t="s">
        <v>60</v>
      </c>
      <c r="C139" s="40" t="s">
        <v>110</v>
      </c>
      <c r="D139" s="65">
        <f>'дод 2'!E173+'дод 2'!E209</f>
        <v>295423600</v>
      </c>
      <c r="E139" s="65">
        <f>'дод 2'!F173+'дод 2'!F209</f>
        <v>294223600</v>
      </c>
      <c r="F139" s="65">
        <f>'дод 2'!G173+'дод 2'!G209</f>
        <v>0</v>
      </c>
      <c r="G139" s="65">
        <f>'дод 2'!H173+'дод 2'!H209</f>
        <v>55200000</v>
      </c>
      <c r="H139" s="65">
        <f>'дод 2'!I173+'дод 2'!I209</f>
        <v>1200000</v>
      </c>
      <c r="I139" s="65">
        <f>'дод 2'!J173+'дод 2'!J209</f>
        <v>80000</v>
      </c>
      <c r="J139" s="65">
        <f>'дод 2'!K173+'дод 2'!K209</f>
        <v>80000</v>
      </c>
      <c r="K139" s="65">
        <f>'дод 2'!L173+'дод 2'!L209</f>
        <v>0</v>
      </c>
      <c r="L139" s="65">
        <f>'дод 2'!M173+'дод 2'!M209</f>
        <v>0</v>
      </c>
      <c r="M139" s="65">
        <f>'дод 2'!N173+'дод 2'!N209</f>
        <v>0</v>
      </c>
      <c r="N139" s="65">
        <f>'дод 2'!O173+'дод 2'!O209</f>
        <v>80000</v>
      </c>
      <c r="O139" s="65">
        <f>'дод 2'!P173+'дод 2'!P209</f>
        <v>295503600</v>
      </c>
      <c r="P139" s="149"/>
    </row>
    <row r="140" spans="1:18" ht="47.25" x14ac:dyDescent="0.25">
      <c r="A140" s="63">
        <v>6084</v>
      </c>
      <c r="B140" s="82" t="s">
        <v>58</v>
      </c>
      <c r="C140" s="40" t="s">
        <v>331</v>
      </c>
      <c r="D140" s="65">
        <f>'дод 2'!E210</f>
        <v>0</v>
      </c>
      <c r="E140" s="65">
        <f>'дод 2'!F210</f>
        <v>0</v>
      </c>
      <c r="F140" s="65">
        <f>'дод 2'!G210</f>
        <v>0</v>
      </c>
      <c r="G140" s="65">
        <f>'дод 2'!H210</f>
        <v>0</v>
      </c>
      <c r="H140" s="65">
        <f>'дод 2'!I210</f>
        <v>0</v>
      </c>
      <c r="I140" s="65">
        <f>'дод 2'!J210</f>
        <v>342000</v>
      </c>
      <c r="J140" s="65">
        <f>'дод 2'!K210</f>
        <v>0</v>
      </c>
      <c r="K140" s="65">
        <f>'дод 2'!L210</f>
        <v>0</v>
      </c>
      <c r="L140" s="65">
        <f>'дод 2'!M210</f>
        <v>0</v>
      </c>
      <c r="M140" s="65">
        <f>'дод 2'!N210</f>
        <v>0</v>
      </c>
      <c r="N140" s="65">
        <f>'дод 2'!O210</f>
        <v>342000</v>
      </c>
      <c r="O140" s="65">
        <f>'дод 2'!P210</f>
        <v>342000</v>
      </c>
      <c r="P140" s="149"/>
    </row>
    <row r="141" spans="1:18" ht="21.75" customHeight="1" x14ac:dyDescent="0.25">
      <c r="A141" s="63" t="s">
        <v>116</v>
      </c>
      <c r="B141" s="26" t="s">
        <v>242</v>
      </c>
      <c r="C141" s="40" t="s">
        <v>117</v>
      </c>
      <c r="D141" s="65">
        <f>'дод 2'!E174</f>
        <v>2723087</v>
      </c>
      <c r="E141" s="65">
        <f>'дод 2'!F174</f>
        <v>1560587</v>
      </c>
      <c r="F141" s="65">
        <f>'дод 2'!G174</f>
        <v>0</v>
      </c>
      <c r="G141" s="65">
        <f>'дод 2'!H174</f>
        <v>6000</v>
      </c>
      <c r="H141" s="65">
        <f>'дод 2'!I174</f>
        <v>1162500</v>
      </c>
      <c r="I141" s="65">
        <f>'дод 2'!J174</f>
        <v>0</v>
      </c>
      <c r="J141" s="65">
        <f>'дод 2'!K174</f>
        <v>0</v>
      </c>
      <c r="K141" s="65">
        <f>'дод 2'!L174</f>
        <v>0</v>
      </c>
      <c r="L141" s="65">
        <f>'дод 2'!M174</f>
        <v>0</v>
      </c>
      <c r="M141" s="65">
        <f>'дод 2'!N174</f>
        <v>0</v>
      </c>
      <c r="N141" s="65">
        <f>'дод 2'!O174</f>
        <v>0</v>
      </c>
      <c r="O141" s="65">
        <f>'дод 2'!P174</f>
        <v>2723087</v>
      </c>
      <c r="P141" s="149"/>
    </row>
    <row r="142" spans="1:18" ht="25.5" customHeight="1" x14ac:dyDescent="0.25">
      <c r="A142" s="63">
        <v>6091</v>
      </c>
      <c r="B142" s="82" t="s">
        <v>242</v>
      </c>
      <c r="C142" s="64" t="s">
        <v>362</v>
      </c>
      <c r="D142" s="65">
        <f>'дод 2'!E175+'дод 2'!E211</f>
        <v>0</v>
      </c>
      <c r="E142" s="65">
        <f>'дод 2'!F175+'дод 2'!F211</f>
        <v>0</v>
      </c>
      <c r="F142" s="65">
        <f>'дод 2'!G175+'дод 2'!G211</f>
        <v>0</v>
      </c>
      <c r="G142" s="65">
        <f>'дод 2'!H175+'дод 2'!H211</f>
        <v>0</v>
      </c>
      <c r="H142" s="65">
        <f>'дод 2'!I175+'дод 2'!I211</f>
        <v>0</v>
      </c>
      <c r="I142" s="65">
        <f>'дод 2'!J175+'дод 2'!J211</f>
        <v>8152621</v>
      </c>
      <c r="J142" s="65">
        <f>'дод 2'!K175+'дод 2'!K211</f>
        <v>8152621</v>
      </c>
      <c r="K142" s="65">
        <f>'дод 2'!L175+'дод 2'!L211</f>
        <v>0</v>
      </c>
      <c r="L142" s="65">
        <f>'дод 2'!M175+'дод 2'!M211</f>
        <v>0</v>
      </c>
      <c r="M142" s="65">
        <f>'дод 2'!N175+'дод 2'!N211</f>
        <v>0</v>
      </c>
      <c r="N142" s="65">
        <f>'дод 2'!O175+'дод 2'!O211</f>
        <v>8152621</v>
      </c>
      <c r="O142" s="65">
        <f>'дод 2'!P175+'дод 2'!P211</f>
        <v>8152621</v>
      </c>
      <c r="P142" s="149"/>
    </row>
    <row r="143" spans="1:18" ht="47.25" x14ac:dyDescent="0.25">
      <c r="A143" s="63">
        <v>6092</v>
      </c>
      <c r="B143" s="82" t="s">
        <v>58</v>
      </c>
      <c r="C143" s="64" t="s">
        <v>503</v>
      </c>
      <c r="D143" s="65">
        <f>'дод 2'!E176</f>
        <v>4000000</v>
      </c>
      <c r="E143" s="65">
        <f>'дод 2'!F176</f>
        <v>4000000</v>
      </c>
      <c r="F143" s="65">
        <f>'дод 2'!G176</f>
        <v>0</v>
      </c>
      <c r="G143" s="65">
        <f>'дод 2'!H176</f>
        <v>0</v>
      </c>
      <c r="H143" s="65">
        <f>'дод 2'!I176</f>
        <v>0</v>
      </c>
      <c r="I143" s="65">
        <f>'дод 2'!J176</f>
        <v>16000000</v>
      </c>
      <c r="J143" s="65">
        <f>'дод 2'!K176</f>
        <v>16000000</v>
      </c>
      <c r="K143" s="65">
        <f>'дод 2'!L176</f>
        <v>0</v>
      </c>
      <c r="L143" s="65">
        <f>'дод 2'!M176</f>
        <v>0</v>
      </c>
      <c r="M143" s="65">
        <f>'дод 2'!N176</f>
        <v>0</v>
      </c>
      <c r="N143" s="65">
        <f>'дод 2'!O176</f>
        <v>16000000</v>
      </c>
      <c r="O143" s="65">
        <f>'дод 2'!P176</f>
        <v>20000000</v>
      </c>
      <c r="P143" s="149"/>
    </row>
    <row r="144" spans="1:18" ht="39" hidden="1" customHeight="1" x14ac:dyDescent="0.25">
      <c r="A144" s="63"/>
      <c r="B144" s="82"/>
      <c r="C144" s="36" t="s">
        <v>499</v>
      </c>
      <c r="D144" s="70">
        <f>'дод 2'!E177</f>
        <v>0</v>
      </c>
      <c r="E144" s="70">
        <f>'дод 2'!F177</f>
        <v>0</v>
      </c>
      <c r="F144" s="70">
        <f>'дод 2'!G177</f>
        <v>0</v>
      </c>
      <c r="G144" s="70">
        <f>'дод 2'!H177</f>
        <v>0</v>
      </c>
      <c r="H144" s="70">
        <f>'дод 2'!I177</f>
        <v>0</v>
      </c>
      <c r="I144" s="70">
        <f>'дод 2'!J177</f>
        <v>0</v>
      </c>
      <c r="J144" s="70">
        <f>'дод 2'!K177</f>
        <v>0</v>
      </c>
      <c r="K144" s="70">
        <f>'дод 2'!L177</f>
        <v>0</v>
      </c>
      <c r="L144" s="70">
        <f>'дод 2'!M177</f>
        <v>0</v>
      </c>
      <c r="M144" s="70">
        <f>'дод 2'!N177</f>
        <v>0</v>
      </c>
      <c r="N144" s="70">
        <f>'дод 2'!O177</f>
        <v>0</v>
      </c>
      <c r="O144" s="70">
        <f>'дод 2'!P177</f>
        <v>0</v>
      </c>
      <c r="P144" s="149"/>
    </row>
    <row r="145" spans="1:18" ht="70.150000000000006" customHeight="1" x14ac:dyDescent="0.25">
      <c r="A145" s="63">
        <v>6094</v>
      </c>
      <c r="B145" s="82" t="s">
        <v>60</v>
      </c>
      <c r="C145" s="64" t="s">
        <v>493</v>
      </c>
      <c r="D145" s="65">
        <f>'дод 2'!E178</f>
        <v>0</v>
      </c>
      <c r="E145" s="65">
        <f>'дод 2'!F178</f>
        <v>0</v>
      </c>
      <c r="F145" s="65">
        <f>'дод 2'!G178</f>
        <v>0</v>
      </c>
      <c r="G145" s="65">
        <f>'дод 2'!H178</f>
        <v>0</v>
      </c>
      <c r="H145" s="65">
        <f>'дод 2'!I178</f>
        <v>0</v>
      </c>
      <c r="I145" s="65">
        <f>'дод 2'!J178</f>
        <v>89775000</v>
      </c>
      <c r="J145" s="65">
        <f>'дод 2'!K178</f>
        <v>0</v>
      </c>
      <c r="K145" s="65">
        <f>'дод 2'!L178</f>
        <v>0</v>
      </c>
      <c r="L145" s="65">
        <f>'дод 2'!M178</f>
        <v>0</v>
      </c>
      <c r="M145" s="65">
        <f>'дод 2'!N178</f>
        <v>0</v>
      </c>
      <c r="N145" s="65">
        <f>'дод 2'!O178</f>
        <v>89775000</v>
      </c>
      <c r="O145" s="65">
        <f>'дод 2'!P178</f>
        <v>89775000</v>
      </c>
      <c r="P145" s="149"/>
    </row>
    <row r="146" spans="1:18" s="96" customFormat="1" ht="74.650000000000006" customHeight="1" x14ac:dyDescent="0.25">
      <c r="A146" s="69"/>
      <c r="B146" s="109"/>
      <c r="C146" s="110" t="s">
        <v>492</v>
      </c>
      <c r="D146" s="70">
        <f>'дод 2'!E179</f>
        <v>0</v>
      </c>
      <c r="E146" s="70">
        <f>'дод 2'!F179</f>
        <v>0</v>
      </c>
      <c r="F146" s="70">
        <f>'дод 2'!G179</f>
        <v>0</v>
      </c>
      <c r="G146" s="70">
        <f>'дод 2'!H179</f>
        <v>0</v>
      </c>
      <c r="H146" s="70">
        <f>'дод 2'!I179</f>
        <v>0</v>
      </c>
      <c r="I146" s="70">
        <f>'дод 2'!J179</f>
        <v>89775000</v>
      </c>
      <c r="J146" s="70">
        <f>'дод 2'!K179</f>
        <v>0</v>
      </c>
      <c r="K146" s="70">
        <f>'дод 2'!L179</f>
        <v>0</v>
      </c>
      <c r="L146" s="70">
        <f>'дод 2'!M179</f>
        <v>0</v>
      </c>
      <c r="M146" s="70">
        <f>'дод 2'!N179</f>
        <v>0</v>
      </c>
      <c r="N146" s="70">
        <f>'дод 2'!O179</f>
        <v>89775000</v>
      </c>
      <c r="O146" s="70">
        <f>'дод 2'!P179</f>
        <v>89775000</v>
      </c>
      <c r="P146" s="149">
        <v>7</v>
      </c>
    </row>
    <row r="147" spans="1:18" s="95" customFormat="1" ht="21.75" customHeight="1" x14ac:dyDescent="0.25">
      <c r="A147" s="66" t="s">
        <v>112</v>
      </c>
      <c r="B147" s="76"/>
      <c r="C147" s="77" t="s">
        <v>349</v>
      </c>
      <c r="D147" s="62">
        <f t="shared" ref="D147:O147" si="24">D151+D153+D159+D164+D166</f>
        <v>108152358</v>
      </c>
      <c r="E147" s="62">
        <f t="shared" si="24"/>
        <v>12197658</v>
      </c>
      <c r="F147" s="62">
        <f t="shared" si="24"/>
        <v>0</v>
      </c>
      <c r="G147" s="62">
        <f t="shared" si="24"/>
        <v>0</v>
      </c>
      <c r="H147" s="62">
        <f t="shared" si="24"/>
        <v>95954700</v>
      </c>
      <c r="I147" s="62">
        <f t="shared" si="24"/>
        <v>344321864.88999999</v>
      </c>
      <c r="J147" s="62">
        <f t="shared" si="24"/>
        <v>336468618.38999999</v>
      </c>
      <c r="K147" s="62">
        <f t="shared" si="24"/>
        <v>1066000</v>
      </c>
      <c r="L147" s="62">
        <f t="shared" si="24"/>
        <v>0</v>
      </c>
      <c r="M147" s="62">
        <f t="shared" si="24"/>
        <v>0</v>
      </c>
      <c r="N147" s="62">
        <f t="shared" si="24"/>
        <v>343255864.88999999</v>
      </c>
      <c r="O147" s="62">
        <f t="shared" si="24"/>
        <v>452474222.88999999</v>
      </c>
      <c r="P147" s="149"/>
      <c r="R147" s="98">
        <f>E147+H147</f>
        <v>108152358</v>
      </c>
    </row>
    <row r="148" spans="1:18" s="95" customFormat="1" ht="110.25" x14ac:dyDescent="0.25">
      <c r="A148" s="66"/>
      <c r="B148" s="76"/>
      <c r="C148" s="22" t="s">
        <v>480</v>
      </c>
      <c r="D148" s="62">
        <f>D154</f>
        <v>0</v>
      </c>
      <c r="E148" s="62">
        <f t="shared" ref="E148:O148" si="25">E154</f>
        <v>0</v>
      </c>
      <c r="F148" s="62">
        <f t="shared" si="25"/>
        <v>0</v>
      </c>
      <c r="G148" s="62">
        <f t="shared" si="25"/>
        <v>0</v>
      </c>
      <c r="H148" s="62">
        <f t="shared" si="25"/>
        <v>0</v>
      </c>
      <c r="I148" s="62">
        <f t="shared" si="25"/>
        <v>6564069.9000000004</v>
      </c>
      <c r="J148" s="62">
        <f t="shared" si="25"/>
        <v>0</v>
      </c>
      <c r="K148" s="62">
        <f t="shared" si="25"/>
        <v>0</v>
      </c>
      <c r="L148" s="62">
        <f t="shared" si="25"/>
        <v>0</v>
      </c>
      <c r="M148" s="62">
        <f t="shared" si="25"/>
        <v>0</v>
      </c>
      <c r="N148" s="62">
        <f t="shared" si="25"/>
        <v>6564069.9000000004</v>
      </c>
      <c r="O148" s="62">
        <f t="shared" si="25"/>
        <v>6564069.9000000004</v>
      </c>
      <c r="P148" s="149"/>
      <c r="R148" s="98"/>
    </row>
    <row r="149" spans="1:18" s="99" customFormat="1" ht="18.75" customHeight="1" x14ac:dyDescent="0.25">
      <c r="A149" s="67"/>
      <c r="B149" s="67"/>
      <c r="C149" s="22" t="s">
        <v>288</v>
      </c>
      <c r="D149" s="68">
        <f>D167</f>
        <v>0</v>
      </c>
      <c r="E149" s="68">
        <f>E167</f>
        <v>0</v>
      </c>
      <c r="F149" s="68">
        <f t="shared" ref="F149:O149" si="26">F167</f>
        <v>0</v>
      </c>
      <c r="G149" s="68">
        <f t="shared" si="26"/>
        <v>0</v>
      </c>
      <c r="H149" s="68">
        <f t="shared" si="26"/>
        <v>0</v>
      </c>
      <c r="I149" s="68">
        <f t="shared" si="26"/>
        <v>209249640</v>
      </c>
      <c r="J149" s="68">
        <f t="shared" si="26"/>
        <v>209249640</v>
      </c>
      <c r="K149" s="68">
        <f t="shared" si="26"/>
        <v>0</v>
      </c>
      <c r="L149" s="68">
        <f t="shared" si="26"/>
        <v>0</v>
      </c>
      <c r="M149" s="68">
        <f t="shared" si="26"/>
        <v>0</v>
      </c>
      <c r="N149" s="68">
        <f t="shared" si="26"/>
        <v>209249640</v>
      </c>
      <c r="O149" s="68">
        <f t="shared" si="26"/>
        <v>209249640</v>
      </c>
      <c r="P149" s="149"/>
    </row>
    <row r="150" spans="1:18" s="99" customFormat="1" ht="63" x14ac:dyDescent="0.25">
      <c r="A150" s="67"/>
      <c r="B150" s="67"/>
      <c r="C150" s="22" t="str">
        <f>C168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50" s="68">
        <f>D168</f>
        <v>0</v>
      </c>
      <c r="E150" s="68">
        <f t="shared" ref="E150:O150" si="27">E168</f>
        <v>0</v>
      </c>
      <c r="F150" s="68">
        <f t="shared" si="27"/>
        <v>0</v>
      </c>
      <c r="G150" s="68">
        <f t="shared" si="27"/>
        <v>0</v>
      </c>
      <c r="H150" s="68">
        <f t="shared" si="27"/>
        <v>0</v>
      </c>
      <c r="I150" s="68">
        <f t="shared" si="27"/>
        <v>42813357.390000001</v>
      </c>
      <c r="J150" s="68">
        <f t="shared" si="27"/>
        <v>42813357.390000001</v>
      </c>
      <c r="K150" s="68">
        <f t="shared" si="27"/>
        <v>0</v>
      </c>
      <c r="L150" s="68">
        <f t="shared" si="27"/>
        <v>0</v>
      </c>
      <c r="M150" s="68">
        <f t="shared" si="27"/>
        <v>0</v>
      </c>
      <c r="N150" s="68">
        <f t="shared" si="27"/>
        <v>42813357.390000001</v>
      </c>
      <c r="O150" s="68">
        <f t="shared" si="27"/>
        <v>42813357.390000001</v>
      </c>
      <c r="P150" s="149"/>
    </row>
    <row r="151" spans="1:18" s="95" customFormat="1" x14ac:dyDescent="0.25">
      <c r="A151" s="66" t="s">
        <v>118</v>
      </c>
      <c r="B151" s="76"/>
      <c r="C151" s="77" t="s">
        <v>119</v>
      </c>
      <c r="D151" s="62">
        <f t="shared" ref="D151:O151" si="28">D152</f>
        <v>1400000</v>
      </c>
      <c r="E151" s="62">
        <f t="shared" si="28"/>
        <v>1400000</v>
      </c>
      <c r="F151" s="62">
        <f t="shared" si="28"/>
        <v>0</v>
      </c>
      <c r="G151" s="62">
        <f t="shared" si="28"/>
        <v>0</v>
      </c>
      <c r="H151" s="62">
        <f t="shared" si="28"/>
        <v>0</v>
      </c>
      <c r="I151" s="62">
        <f t="shared" si="28"/>
        <v>0</v>
      </c>
      <c r="J151" s="62">
        <f t="shared" si="28"/>
        <v>0</v>
      </c>
      <c r="K151" s="62">
        <f t="shared" si="28"/>
        <v>0</v>
      </c>
      <c r="L151" s="62">
        <f t="shared" si="28"/>
        <v>0</v>
      </c>
      <c r="M151" s="62">
        <f t="shared" si="28"/>
        <v>0</v>
      </c>
      <c r="N151" s="62">
        <f t="shared" si="28"/>
        <v>0</v>
      </c>
      <c r="O151" s="62">
        <f t="shared" si="28"/>
        <v>1400000</v>
      </c>
      <c r="P151" s="149"/>
    </row>
    <row r="152" spans="1:18" ht="16.5" customHeight="1" x14ac:dyDescent="0.25">
      <c r="A152" s="63" t="s">
        <v>113</v>
      </c>
      <c r="B152" s="63" t="s">
        <v>71</v>
      </c>
      <c r="C152" s="40" t="s">
        <v>268</v>
      </c>
      <c r="D152" s="65">
        <f>'дод 2'!E230</f>
        <v>1400000</v>
      </c>
      <c r="E152" s="65">
        <f>'дод 2'!F230</f>
        <v>1400000</v>
      </c>
      <c r="F152" s="65">
        <f>'дод 2'!G230</f>
        <v>0</v>
      </c>
      <c r="G152" s="65">
        <f>'дод 2'!H230</f>
        <v>0</v>
      </c>
      <c r="H152" s="65">
        <f>'дод 2'!I230</f>
        <v>0</v>
      </c>
      <c r="I152" s="65">
        <f>'дод 2'!J230</f>
        <v>0</v>
      </c>
      <c r="J152" s="65">
        <f>'дод 2'!K230</f>
        <v>0</v>
      </c>
      <c r="K152" s="65">
        <f>'дод 2'!L230</f>
        <v>0</v>
      </c>
      <c r="L152" s="65">
        <f>'дод 2'!M230</f>
        <v>0</v>
      </c>
      <c r="M152" s="65">
        <f>'дод 2'!N230</f>
        <v>0</v>
      </c>
      <c r="N152" s="65">
        <f>'дод 2'!O230</f>
        <v>0</v>
      </c>
      <c r="O152" s="65">
        <f>'дод 2'!P230</f>
        <v>1400000</v>
      </c>
      <c r="P152" s="149"/>
    </row>
    <row r="153" spans="1:18" s="95" customFormat="1" ht="44.25" customHeight="1" x14ac:dyDescent="0.25">
      <c r="A153" s="66" t="s">
        <v>84</v>
      </c>
      <c r="B153" s="66"/>
      <c r="C153" s="100" t="s">
        <v>467</v>
      </c>
      <c r="D153" s="62">
        <f>D155+D156+D157</f>
        <v>46000</v>
      </c>
      <c r="E153" s="62">
        <f t="shared" ref="E153:N153" si="29">E155+E156+E157</f>
        <v>46000</v>
      </c>
      <c r="F153" s="62">
        <f t="shared" si="29"/>
        <v>0</v>
      </c>
      <c r="G153" s="62">
        <f t="shared" si="29"/>
        <v>0</v>
      </c>
      <c r="H153" s="62">
        <f t="shared" si="29"/>
        <v>0</v>
      </c>
      <c r="I153" s="62">
        <f t="shared" si="29"/>
        <v>29850620.899999999</v>
      </c>
      <c r="J153" s="62">
        <f t="shared" si="29"/>
        <v>23286551</v>
      </c>
      <c r="K153" s="62">
        <f t="shared" si="29"/>
        <v>0</v>
      </c>
      <c r="L153" s="62">
        <f t="shared" si="29"/>
        <v>0</v>
      </c>
      <c r="M153" s="62">
        <f t="shared" si="29"/>
        <v>0</v>
      </c>
      <c r="N153" s="62">
        <f t="shared" si="29"/>
        <v>29850620.899999999</v>
      </c>
      <c r="O153" s="62">
        <f>O155+O156+O157</f>
        <v>29896620.899999999</v>
      </c>
      <c r="P153" s="149"/>
    </row>
    <row r="154" spans="1:18" s="99" customFormat="1" ht="110.25" x14ac:dyDescent="0.25">
      <c r="A154" s="67"/>
      <c r="B154" s="67"/>
      <c r="C154" s="22" t="s">
        <v>480</v>
      </c>
      <c r="D154" s="68">
        <f>D158</f>
        <v>0</v>
      </c>
      <c r="E154" s="68">
        <f t="shared" ref="E154:O154" si="30">E158</f>
        <v>0</v>
      </c>
      <c r="F154" s="68">
        <f t="shared" si="30"/>
        <v>0</v>
      </c>
      <c r="G154" s="68">
        <f t="shared" si="30"/>
        <v>0</v>
      </c>
      <c r="H154" s="68">
        <f t="shared" si="30"/>
        <v>0</v>
      </c>
      <c r="I154" s="68">
        <f t="shared" si="30"/>
        <v>6564069.9000000004</v>
      </c>
      <c r="J154" s="68">
        <f t="shared" si="30"/>
        <v>0</v>
      </c>
      <c r="K154" s="68">
        <f t="shared" si="30"/>
        <v>0</v>
      </c>
      <c r="L154" s="68">
        <f t="shared" si="30"/>
        <v>0</v>
      </c>
      <c r="M154" s="68">
        <f t="shared" si="30"/>
        <v>0</v>
      </c>
      <c r="N154" s="68">
        <f t="shared" si="30"/>
        <v>6564069.9000000004</v>
      </c>
      <c r="O154" s="68">
        <f t="shared" si="30"/>
        <v>6564069.9000000004</v>
      </c>
      <c r="P154" s="149"/>
    </row>
    <row r="155" spans="1:18" ht="30.75" customHeight="1" x14ac:dyDescent="0.25">
      <c r="A155" s="63" t="s">
        <v>221</v>
      </c>
      <c r="B155" s="63" t="s">
        <v>94</v>
      </c>
      <c r="C155" s="64" t="s">
        <v>469</v>
      </c>
      <c r="D155" s="65">
        <f>'дод 2'!E180+'дод 2'!E212</f>
        <v>0</v>
      </c>
      <c r="E155" s="65">
        <f>'дод 2'!F180+'дод 2'!F212</f>
        <v>0</v>
      </c>
      <c r="F155" s="65">
        <f>'дод 2'!G180+'дод 2'!G212</f>
        <v>0</v>
      </c>
      <c r="G155" s="65">
        <f>'дод 2'!H180+'дод 2'!H212</f>
        <v>0</v>
      </c>
      <c r="H155" s="65">
        <f>'дод 2'!I180+'дод 2'!I212</f>
        <v>0</v>
      </c>
      <c r="I155" s="65">
        <f>'дод 2'!J180+'дод 2'!J212</f>
        <v>23186551</v>
      </c>
      <c r="J155" s="65">
        <f>'дод 2'!K180+'дод 2'!K212</f>
        <v>23186551</v>
      </c>
      <c r="K155" s="65">
        <f>'дод 2'!L180+'дод 2'!L212</f>
        <v>0</v>
      </c>
      <c r="L155" s="65">
        <f>'дод 2'!M180+'дод 2'!M212</f>
        <v>0</v>
      </c>
      <c r="M155" s="65">
        <f>'дод 2'!N180+'дод 2'!N212</f>
        <v>0</v>
      </c>
      <c r="N155" s="65">
        <f>'дод 2'!O180+'дод 2'!O212</f>
        <v>23186551</v>
      </c>
      <c r="O155" s="65">
        <f>'дод 2'!P180+'дод 2'!P212</f>
        <v>23186551</v>
      </c>
      <c r="P155" s="149"/>
    </row>
    <row r="156" spans="1:18" s="96" customFormat="1" ht="31.5" customHeight="1" x14ac:dyDescent="0.25">
      <c r="A156" s="63">
        <v>7370</v>
      </c>
      <c r="B156" s="25" t="s">
        <v>70</v>
      </c>
      <c r="C156" s="27" t="s">
        <v>292</v>
      </c>
      <c r="D156" s="65">
        <f>'дод 2'!E231</f>
        <v>46000</v>
      </c>
      <c r="E156" s="65">
        <f>'дод 2'!F231</f>
        <v>46000</v>
      </c>
      <c r="F156" s="65">
        <f>'дод 2'!G231</f>
        <v>0</v>
      </c>
      <c r="G156" s="65">
        <f>'дод 2'!H231</f>
        <v>0</v>
      </c>
      <c r="H156" s="65">
        <f>'дод 2'!I231</f>
        <v>0</v>
      </c>
      <c r="I156" s="65">
        <f>'дод 2'!J231</f>
        <v>100000</v>
      </c>
      <c r="J156" s="65">
        <f>'дод 2'!K231</f>
        <v>100000</v>
      </c>
      <c r="K156" s="65">
        <f>'дод 2'!L231</f>
        <v>0</v>
      </c>
      <c r="L156" s="65">
        <f>'дод 2'!M231</f>
        <v>0</v>
      </c>
      <c r="M156" s="65">
        <f>'дод 2'!N231</f>
        <v>0</v>
      </c>
      <c r="N156" s="65">
        <f>'дод 2'!O231</f>
        <v>100000</v>
      </c>
      <c r="O156" s="65">
        <f>'дод 2'!P231</f>
        <v>146000</v>
      </c>
      <c r="P156" s="149"/>
    </row>
    <row r="157" spans="1:18" s="96" customFormat="1" ht="78.75" x14ac:dyDescent="0.25">
      <c r="A157" s="63">
        <v>7384</v>
      </c>
      <c r="B157" s="25" t="s">
        <v>70</v>
      </c>
      <c r="C157" s="27" t="s">
        <v>479</v>
      </c>
      <c r="D157" s="65">
        <f>'дод 2'!E181</f>
        <v>0</v>
      </c>
      <c r="E157" s="65">
        <f>'дод 2'!F181</f>
        <v>0</v>
      </c>
      <c r="F157" s="65">
        <f>'дод 2'!G181</f>
        <v>0</v>
      </c>
      <c r="G157" s="65">
        <f>'дод 2'!H181</f>
        <v>0</v>
      </c>
      <c r="H157" s="65">
        <f>'дод 2'!I181</f>
        <v>0</v>
      </c>
      <c r="I157" s="65">
        <f>'дод 2'!J181</f>
        <v>6564069.9000000004</v>
      </c>
      <c r="J157" s="65">
        <f>'дод 2'!K181</f>
        <v>0</v>
      </c>
      <c r="K157" s="65">
        <f>'дод 2'!L181</f>
        <v>0</v>
      </c>
      <c r="L157" s="65">
        <f>'дод 2'!M181</f>
        <v>0</v>
      </c>
      <c r="M157" s="65">
        <f>'дод 2'!N181</f>
        <v>0</v>
      </c>
      <c r="N157" s="65">
        <f>'дод 2'!O181</f>
        <v>6564069.9000000004</v>
      </c>
      <c r="O157" s="65">
        <f>'дод 2'!P181</f>
        <v>6564069.9000000004</v>
      </c>
      <c r="P157" s="149"/>
    </row>
    <row r="158" spans="1:18" s="96" customFormat="1" ht="110.25" x14ac:dyDescent="0.25">
      <c r="A158" s="69"/>
      <c r="B158" s="34"/>
      <c r="C158" s="39" t="s">
        <v>480</v>
      </c>
      <c r="D158" s="70">
        <f>'дод 2'!E182</f>
        <v>0</v>
      </c>
      <c r="E158" s="70">
        <f>'дод 2'!F182</f>
        <v>0</v>
      </c>
      <c r="F158" s="70">
        <f>'дод 2'!G182</f>
        <v>0</v>
      </c>
      <c r="G158" s="70">
        <f>'дод 2'!H182</f>
        <v>0</v>
      </c>
      <c r="H158" s="70">
        <f>'дод 2'!I182</f>
        <v>0</v>
      </c>
      <c r="I158" s="70">
        <f>'дод 2'!J182</f>
        <v>6564069.9000000004</v>
      </c>
      <c r="J158" s="70">
        <f>'дод 2'!K182</f>
        <v>0</v>
      </c>
      <c r="K158" s="70">
        <f>'дод 2'!L182</f>
        <v>0</v>
      </c>
      <c r="L158" s="70">
        <f>'дод 2'!M182</f>
        <v>0</v>
      </c>
      <c r="M158" s="70">
        <f>'дод 2'!N182</f>
        <v>0</v>
      </c>
      <c r="N158" s="70">
        <f>'дод 2'!O182</f>
        <v>6564069.9000000004</v>
      </c>
      <c r="O158" s="70">
        <f>'дод 2'!P182</f>
        <v>6564069.9000000004</v>
      </c>
      <c r="P158" s="149"/>
    </row>
    <row r="159" spans="1:18" s="95" customFormat="1" ht="34.5" customHeight="1" x14ac:dyDescent="0.25">
      <c r="A159" s="66" t="s">
        <v>73</v>
      </c>
      <c r="B159" s="76"/>
      <c r="C159" s="77" t="s">
        <v>327</v>
      </c>
      <c r="D159" s="62">
        <f>D160+D162+D163+D161</f>
        <v>95043700</v>
      </c>
      <c r="E159" s="62">
        <f t="shared" ref="E159:O159" si="31">E160+E162+E163+E161</f>
        <v>984000</v>
      </c>
      <c r="F159" s="62">
        <f t="shared" si="31"/>
        <v>0</v>
      </c>
      <c r="G159" s="62">
        <f t="shared" si="31"/>
        <v>0</v>
      </c>
      <c r="H159" s="62">
        <f t="shared" si="31"/>
        <v>94059700</v>
      </c>
      <c r="I159" s="62">
        <f t="shared" si="31"/>
        <v>0</v>
      </c>
      <c r="J159" s="62">
        <f t="shared" si="31"/>
        <v>0</v>
      </c>
      <c r="K159" s="62">
        <f t="shared" si="31"/>
        <v>0</v>
      </c>
      <c r="L159" s="62">
        <f t="shared" si="31"/>
        <v>0</v>
      </c>
      <c r="M159" s="62">
        <f t="shared" si="31"/>
        <v>0</v>
      </c>
      <c r="N159" s="62">
        <f t="shared" si="31"/>
        <v>0</v>
      </c>
      <c r="O159" s="62">
        <f t="shared" si="31"/>
        <v>95043700</v>
      </c>
      <c r="P159" s="149"/>
    </row>
    <row r="160" spans="1:18" s="96" customFormat="1" ht="18.75" customHeight="1" x14ac:dyDescent="0.25">
      <c r="A160" s="63" t="s">
        <v>1</v>
      </c>
      <c r="B160" s="63" t="s">
        <v>72</v>
      </c>
      <c r="C160" s="40" t="s">
        <v>30</v>
      </c>
      <c r="D160" s="65">
        <f>'дод 2'!E183</f>
        <v>29059700</v>
      </c>
      <c r="E160" s="65">
        <f>'дод 2'!F183</f>
        <v>0</v>
      </c>
      <c r="F160" s="65">
        <f>'дод 2'!G183</f>
        <v>0</v>
      </c>
      <c r="G160" s="65">
        <f>'дод 2'!H183</f>
        <v>0</v>
      </c>
      <c r="H160" s="65">
        <f>'дод 2'!I183</f>
        <v>29059700</v>
      </c>
      <c r="I160" s="65">
        <f>'дод 2'!J183</f>
        <v>0</v>
      </c>
      <c r="J160" s="65">
        <f>'дод 2'!K183</f>
        <v>0</v>
      </c>
      <c r="K160" s="65">
        <f>'дод 2'!L183</f>
        <v>0</v>
      </c>
      <c r="L160" s="65">
        <f>'дод 2'!M183</f>
        <v>0</v>
      </c>
      <c r="M160" s="65">
        <f>'дод 2'!N183</f>
        <v>0</v>
      </c>
      <c r="N160" s="65">
        <f>'дод 2'!O183</f>
        <v>0</v>
      </c>
      <c r="O160" s="65">
        <f>'дод 2'!P183</f>
        <v>29059700</v>
      </c>
      <c r="P160" s="149"/>
    </row>
    <row r="161" spans="1:16" s="96" customFormat="1" ht="18.75" customHeight="1" x14ac:dyDescent="0.25">
      <c r="A161" s="63">
        <v>7422</v>
      </c>
      <c r="B161" s="82" t="s">
        <v>463</v>
      </c>
      <c r="C161" s="40" t="s">
        <v>462</v>
      </c>
      <c r="D161" s="65">
        <f>'дод 2'!E184</f>
        <v>65000000</v>
      </c>
      <c r="E161" s="65">
        <f>'дод 2'!F184</f>
        <v>0</v>
      </c>
      <c r="F161" s="65">
        <f>'дод 2'!G184</f>
        <v>0</v>
      </c>
      <c r="G161" s="65">
        <f>'дод 2'!H184</f>
        <v>0</v>
      </c>
      <c r="H161" s="65">
        <f>'дод 2'!I184</f>
        <v>65000000</v>
      </c>
      <c r="I161" s="65">
        <f>'дод 2'!J184</f>
        <v>0</v>
      </c>
      <c r="J161" s="65">
        <f>'дод 2'!K184</f>
        <v>0</v>
      </c>
      <c r="K161" s="65">
        <f>'дод 2'!L184</f>
        <v>0</v>
      </c>
      <c r="L161" s="65">
        <f>'дод 2'!M184</f>
        <v>0</v>
      </c>
      <c r="M161" s="65">
        <f>'дод 2'!N184</f>
        <v>0</v>
      </c>
      <c r="N161" s="65">
        <f>'дод 2'!O184</f>
        <v>0</v>
      </c>
      <c r="O161" s="65">
        <f>'дод 2'!P184</f>
        <v>65000000</v>
      </c>
      <c r="P161" s="149"/>
    </row>
    <row r="162" spans="1:16" s="96" customFormat="1" ht="26.25" hidden="1" customHeight="1" x14ac:dyDescent="0.25">
      <c r="A162" s="26">
        <v>7426</v>
      </c>
      <c r="B162" s="25" t="s">
        <v>394</v>
      </c>
      <c r="C162" s="30" t="s">
        <v>393</v>
      </c>
      <c r="D162" s="65">
        <f>'дод 2'!E185</f>
        <v>0</v>
      </c>
      <c r="E162" s="65">
        <f>'дод 2'!F185</f>
        <v>0</v>
      </c>
      <c r="F162" s="65">
        <f>'дод 2'!G185</f>
        <v>0</v>
      </c>
      <c r="G162" s="65">
        <f>'дод 2'!H185</f>
        <v>0</v>
      </c>
      <c r="H162" s="65">
        <f>'дод 2'!I185</f>
        <v>0</v>
      </c>
      <c r="I162" s="65">
        <f>'дод 2'!J185</f>
        <v>0</v>
      </c>
      <c r="J162" s="65">
        <f>'дод 2'!K185</f>
        <v>0</v>
      </c>
      <c r="K162" s="65">
        <f>'дод 2'!L185</f>
        <v>0</v>
      </c>
      <c r="L162" s="65">
        <f>'дод 2'!M185</f>
        <v>0</v>
      </c>
      <c r="M162" s="65">
        <f>'дод 2'!N185</f>
        <v>0</v>
      </c>
      <c r="N162" s="65">
        <f>'дод 2'!O185</f>
        <v>0</v>
      </c>
      <c r="O162" s="65">
        <f>'дод 2'!P185</f>
        <v>0</v>
      </c>
      <c r="P162" s="149"/>
    </row>
    <row r="163" spans="1:16" s="96" customFormat="1" ht="23.25" customHeight="1" x14ac:dyDescent="0.25">
      <c r="A163" s="26">
        <v>7450</v>
      </c>
      <c r="B163" s="25" t="s">
        <v>390</v>
      </c>
      <c r="C163" s="40" t="s">
        <v>391</v>
      </c>
      <c r="D163" s="65">
        <f>'дод 2'!E186</f>
        <v>984000</v>
      </c>
      <c r="E163" s="65">
        <f>'дод 2'!F186</f>
        <v>984000</v>
      </c>
      <c r="F163" s="65">
        <f>'дод 2'!G186</f>
        <v>0</v>
      </c>
      <c r="G163" s="65">
        <f>'дод 2'!H186</f>
        <v>0</v>
      </c>
      <c r="H163" s="65">
        <f>'дод 2'!I186</f>
        <v>0</v>
      </c>
      <c r="I163" s="65">
        <f>'дод 2'!J186</f>
        <v>0</v>
      </c>
      <c r="J163" s="65">
        <f>'дод 2'!K186</f>
        <v>0</v>
      </c>
      <c r="K163" s="65">
        <f>'дод 2'!L186</f>
        <v>0</v>
      </c>
      <c r="L163" s="65">
        <f>'дод 2'!M186</f>
        <v>0</v>
      </c>
      <c r="M163" s="65">
        <f>'дод 2'!N186</f>
        <v>0</v>
      </c>
      <c r="N163" s="65">
        <f>'дод 2'!O186</f>
        <v>0</v>
      </c>
      <c r="O163" s="65">
        <f>'дод 2'!P186</f>
        <v>984000</v>
      </c>
      <c r="P163" s="149"/>
    </row>
    <row r="164" spans="1:16" s="95" customFormat="1" ht="18.75" customHeight="1" x14ac:dyDescent="0.25">
      <c r="A164" s="31" t="s">
        <v>195</v>
      </c>
      <c r="B164" s="76"/>
      <c r="C164" s="77" t="s">
        <v>196</v>
      </c>
      <c r="D164" s="62">
        <f>D165</f>
        <v>4644100</v>
      </c>
      <c r="E164" s="62">
        <f t="shared" ref="E164:O164" si="32">E165</f>
        <v>4644100</v>
      </c>
      <c r="F164" s="62">
        <f t="shared" si="32"/>
        <v>0</v>
      </c>
      <c r="G164" s="62">
        <f t="shared" si="32"/>
        <v>0</v>
      </c>
      <c r="H164" s="62">
        <f t="shared" si="32"/>
        <v>0</v>
      </c>
      <c r="I164" s="62">
        <f>I165</f>
        <v>0</v>
      </c>
      <c r="J164" s="62">
        <f t="shared" si="32"/>
        <v>0</v>
      </c>
      <c r="K164" s="62">
        <f t="shared" si="32"/>
        <v>0</v>
      </c>
      <c r="L164" s="62">
        <f t="shared" si="32"/>
        <v>0</v>
      </c>
      <c r="M164" s="62">
        <f t="shared" si="32"/>
        <v>0</v>
      </c>
      <c r="N164" s="62">
        <f t="shared" si="32"/>
        <v>0</v>
      </c>
      <c r="O164" s="62">
        <f t="shared" si="32"/>
        <v>4644100</v>
      </c>
      <c r="P164" s="149"/>
    </row>
    <row r="165" spans="1:16" ht="18.75" customHeight="1" x14ac:dyDescent="0.25">
      <c r="A165" s="63" t="s">
        <v>193</v>
      </c>
      <c r="B165" s="63" t="s">
        <v>194</v>
      </c>
      <c r="C165" s="42" t="s">
        <v>192</v>
      </c>
      <c r="D165" s="65">
        <f>'дод 2'!E32</f>
        <v>4644100</v>
      </c>
      <c r="E165" s="65">
        <f>'дод 2'!F32</f>
        <v>4644100</v>
      </c>
      <c r="F165" s="65">
        <f>'дод 2'!G32</f>
        <v>0</v>
      </c>
      <c r="G165" s="65">
        <f>'дод 2'!H32</f>
        <v>0</v>
      </c>
      <c r="H165" s="65">
        <f>'дод 2'!I32</f>
        <v>0</v>
      </c>
      <c r="I165" s="65">
        <f>'дод 2'!J32</f>
        <v>0</v>
      </c>
      <c r="J165" s="65">
        <f>'дод 2'!K32</f>
        <v>0</v>
      </c>
      <c r="K165" s="65">
        <f>'дод 2'!L32</f>
        <v>0</v>
      </c>
      <c r="L165" s="65">
        <f>'дод 2'!M32</f>
        <v>0</v>
      </c>
      <c r="M165" s="65">
        <f>'дод 2'!N32</f>
        <v>0</v>
      </c>
      <c r="N165" s="65">
        <f>'дод 2'!O32</f>
        <v>0</v>
      </c>
      <c r="O165" s="65">
        <f>'дод 2'!P32</f>
        <v>4644100</v>
      </c>
      <c r="P165" s="149"/>
    </row>
    <row r="166" spans="1:16" s="95" customFormat="1" ht="39.75" customHeight="1" x14ac:dyDescent="0.25">
      <c r="A166" s="66" t="s">
        <v>76</v>
      </c>
      <c r="B166" s="76"/>
      <c r="C166" s="77" t="s">
        <v>290</v>
      </c>
      <c r="D166" s="62">
        <f>D169+D170+D173+D174+D175+D176+D177+D178</f>
        <v>7018558</v>
      </c>
      <c r="E166" s="62">
        <f t="shared" ref="E166:O166" si="33">E169+E170+E173+E174+E175+E176+E177+E178</f>
        <v>5123558</v>
      </c>
      <c r="F166" s="62">
        <f t="shared" si="33"/>
        <v>0</v>
      </c>
      <c r="G166" s="62">
        <f t="shared" si="33"/>
        <v>0</v>
      </c>
      <c r="H166" s="62">
        <f t="shared" si="33"/>
        <v>1895000</v>
      </c>
      <c r="I166" s="62">
        <f t="shared" si="33"/>
        <v>314471243.99000001</v>
      </c>
      <c r="J166" s="62">
        <f t="shared" si="33"/>
        <v>313182067.38999999</v>
      </c>
      <c r="K166" s="62">
        <f t="shared" si="33"/>
        <v>1066000</v>
      </c>
      <c r="L166" s="62">
        <f t="shared" si="33"/>
        <v>0</v>
      </c>
      <c r="M166" s="62">
        <f t="shared" si="33"/>
        <v>0</v>
      </c>
      <c r="N166" s="62">
        <f t="shared" si="33"/>
        <v>313405243.99000001</v>
      </c>
      <c r="O166" s="62">
        <f t="shared" si="33"/>
        <v>321489801.99000001</v>
      </c>
      <c r="P166" s="149"/>
    </row>
    <row r="167" spans="1:16" s="99" customFormat="1" ht="16.5" customHeight="1" x14ac:dyDescent="0.25">
      <c r="A167" s="67"/>
      <c r="B167" s="67"/>
      <c r="C167" s="22" t="s">
        <v>288</v>
      </c>
      <c r="D167" s="68">
        <f>D171</f>
        <v>0</v>
      </c>
      <c r="E167" s="68">
        <f t="shared" ref="E167:O167" si="34">E171</f>
        <v>0</v>
      </c>
      <c r="F167" s="68">
        <f t="shared" si="34"/>
        <v>0</v>
      </c>
      <c r="G167" s="68">
        <f t="shared" si="34"/>
        <v>0</v>
      </c>
      <c r="H167" s="68">
        <f t="shared" si="34"/>
        <v>0</v>
      </c>
      <c r="I167" s="68">
        <f t="shared" si="34"/>
        <v>209249640</v>
      </c>
      <c r="J167" s="68">
        <f t="shared" si="34"/>
        <v>209249640</v>
      </c>
      <c r="K167" s="68">
        <f t="shared" si="34"/>
        <v>0</v>
      </c>
      <c r="L167" s="68">
        <f t="shared" si="34"/>
        <v>0</v>
      </c>
      <c r="M167" s="68">
        <f t="shared" si="34"/>
        <v>0</v>
      </c>
      <c r="N167" s="68">
        <f t="shared" si="34"/>
        <v>209249640</v>
      </c>
      <c r="O167" s="68">
        <f t="shared" si="34"/>
        <v>209249640</v>
      </c>
      <c r="P167" s="149"/>
    </row>
    <row r="168" spans="1:16" s="99" customFormat="1" ht="58.15" customHeight="1" x14ac:dyDescent="0.25">
      <c r="A168" s="67"/>
      <c r="B168" s="67"/>
      <c r="C168" s="22" t="str">
        <f>C172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68" s="68">
        <f>D172</f>
        <v>0</v>
      </c>
      <c r="E168" s="68">
        <f t="shared" ref="E168:O168" si="35">E172</f>
        <v>0</v>
      </c>
      <c r="F168" s="68">
        <f t="shared" si="35"/>
        <v>0</v>
      </c>
      <c r="G168" s="68">
        <f t="shared" si="35"/>
        <v>0</v>
      </c>
      <c r="H168" s="68">
        <f t="shared" si="35"/>
        <v>0</v>
      </c>
      <c r="I168" s="68">
        <f t="shared" si="35"/>
        <v>42813357.390000001</v>
      </c>
      <c r="J168" s="68">
        <f t="shared" si="35"/>
        <v>42813357.390000001</v>
      </c>
      <c r="K168" s="68">
        <f t="shared" si="35"/>
        <v>0</v>
      </c>
      <c r="L168" s="68">
        <f t="shared" si="35"/>
        <v>0</v>
      </c>
      <c r="M168" s="68">
        <f t="shared" si="35"/>
        <v>0</v>
      </c>
      <c r="N168" s="68">
        <f t="shared" si="35"/>
        <v>42813357.390000001</v>
      </c>
      <c r="O168" s="68">
        <f t="shared" si="35"/>
        <v>42813357.390000001</v>
      </c>
      <c r="P168" s="149"/>
    </row>
    <row r="169" spans="1:16" ht="29.25" customHeight="1" x14ac:dyDescent="0.25">
      <c r="A169" s="63" t="s">
        <v>2</v>
      </c>
      <c r="B169" s="63" t="s">
        <v>75</v>
      </c>
      <c r="C169" s="40" t="s">
        <v>20</v>
      </c>
      <c r="D169" s="65">
        <f>'дод 2'!E222</f>
        <v>660000</v>
      </c>
      <c r="E169" s="65">
        <f>'дод 2'!F222</f>
        <v>60000</v>
      </c>
      <c r="F169" s="65">
        <f>'дод 2'!G222</f>
        <v>0</v>
      </c>
      <c r="G169" s="65">
        <f>'дод 2'!H222</f>
        <v>0</v>
      </c>
      <c r="H169" s="65">
        <f>'дод 2'!I222</f>
        <v>600000</v>
      </c>
      <c r="I169" s="65">
        <f>'дод 2'!J222</f>
        <v>0</v>
      </c>
      <c r="J169" s="65">
        <f>'дод 2'!K222</f>
        <v>0</v>
      </c>
      <c r="K169" s="65">
        <f>'дод 2'!L222</f>
        <v>0</v>
      </c>
      <c r="L169" s="65">
        <f>'дод 2'!M222</f>
        <v>0</v>
      </c>
      <c r="M169" s="65">
        <f>'дод 2'!N222</f>
        <v>0</v>
      </c>
      <c r="N169" s="65">
        <f>'дод 2'!O222</f>
        <v>0</v>
      </c>
      <c r="O169" s="65">
        <f>'дод 2'!P222</f>
        <v>660000</v>
      </c>
      <c r="P169" s="149"/>
    </row>
    <row r="170" spans="1:16" ht="21" customHeight="1" x14ac:dyDescent="0.25">
      <c r="A170" s="63" t="s">
        <v>0</v>
      </c>
      <c r="B170" s="63" t="s">
        <v>74</v>
      </c>
      <c r="C170" s="40" t="s">
        <v>287</v>
      </c>
      <c r="D170" s="65">
        <f>'дод 2'!E98+'дод 2'!E111+'дод 2'!E187+'дод 2'!E213+'дод 2'!E239</f>
        <v>3155734</v>
      </c>
      <c r="E170" s="65">
        <f>'дод 2'!F98+'дод 2'!F111+'дод 2'!F187+'дод 2'!F213+'дод 2'!F239</f>
        <v>1860734</v>
      </c>
      <c r="F170" s="65">
        <f>'дод 2'!G98+'дод 2'!G111+'дод 2'!G187+'дод 2'!G213+'дод 2'!G239</f>
        <v>0</v>
      </c>
      <c r="G170" s="65">
        <f>'дод 2'!H98+'дод 2'!H111+'дод 2'!H187+'дод 2'!H213+'дод 2'!H239</f>
        <v>0</v>
      </c>
      <c r="H170" s="65">
        <f>'дод 2'!I98+'дод 2'!I111+'дод 2'!I187+'дод 2'!I213+'дод 2'!I239</f>
        <v>1295000</v>
      </c>
      <c r="I170" s="65">
        <f>'дод 2'!J98+'дод 2'!J111+'дод 2'!J187+'дод 2'!J213+'дод 2'!J239</f>
        <v>297715978.38999999</v>
      </c>
      <c r="J170" s="65">
        <f>'дод 2'!K98+'дод 2'!K111+'дод 2'!K187+'дод 2'!K213+'дод 2'!K239</f>
        <v>297715978.38999999</v>
      </c>
      <c r="K170" s="65">
        <f>'дод 2'!L98+'дод 2'!L111+'дод 2'!L187+'дод 2'!L213+'дод 2'!L239</f>
        <v>0</v>
      </c>
      <c r="L170" s="65">
        <f>'дод 2'!M98+'дод 2'!M111+'дод 2'!M187+'дод 2'!M213+'дод 2'!M239</f>
        <v>0</v>
      </c>
      <c r="M170" s="65">
        <f>'дод 2'!N98+'дод 2'!N111+'дод 2'!N187+'дод 2'!N213+'дод 2'!N239</f>
        <v>0</v>
      </c>
      <c r="N170" s="65">
        <f>'дод 2'!O98+'дод 2'!O111+'дод 2'!O187+'дод 2'!O213+'дод 2'!O239</f>
        <v>297715978.38999999</v>
      </c>
      <c r="O170" s="65">
        <f>'дод 2'!P98+'дод 2'!P111+'дод 2'!P187+'дод 2'!P213+'дод 2'!P239</f>
        <v>300871712.38999999</v>
      </c>
      <c r="P170" s="149"/>
    </row>
    <row r="171" spans="1:16" s="96" customFormat="1" ht="19.5" customHeight="1" x14ac:dyDescent="0.25">
      <c r="A171" s="69"/>
      <c r="B171" s="69"/>
      <c r="C171" s="39" t="s">
        <v>288</v>
      </c>
      <c r="D171" s="70">
        <f>'дод 2'!E214</f>
        <v>0</v>
      </c>
      <c r="E171" s="70">
        <f>'дод 2'!F214</f>
        <v>0</v>
      </c>
      <c r="F171" s="70">
        <f>'дод 2'!G214</f>
        <v>0</v>
      </c>
      <c r="G171" s="70">
        <f>'дод 2'!H214</f>
        <v>0</v>
      </c>
      <c r="H171" s="70">
        <f>'дод 2'!I214</f>
        <v>0</v>
      </c>
      <c r="I171" s="70">
        <f>'дод 2'!J214</f>
        <v>209249640</v>
      </c>
      <c r="J171" s="70">
        <f>'дод 2'!K214</f>
        <v>209249640</v>
      </c>
      <c r="K171" s="70">
        <f>'дод 2'!L214</f>
        <v>0</v>
      </c>
      <c r="L171" s="70">
        <f>'дод 2'!M214</f>
        <v>0</v>
      </c>
      <c r="M171" s="70">
        <f>'дод 2'!N214</f>
        <v>0</v>
      </c>
      <c r="N171" s="70">
        <f>'дод 2'!O214</f>
        <v>209249640</v>
      </c>
      <c r="O171" s="70">
        <f>'дод 2'!P214</f>
        <v>209249640</v>
      </c>
      <c r="P171" s="149"/>
    </row>
    <row r="172" spans="1:16" s="96" customFormat="1" ht="52.15" customHeight="1" x14ac:dyDescent="0.25">
      <c r="A172" s="69"/>
      <c r="B172" s="69"/>
      <c r="C172" s="39" t="s">
        <v>465</v>
      </c>
      <c r="D172" s="70">
        <f>'дод 2'!E215</f>
        <v>0</v>
      </c>
      <c r="E172" s="70">
        <f>'дод 2'!F215</f>
        <v>0</v>
      </c>
      <c r="F172" s="70">
        <f>'дод 2'!G215</f>
        <v>0</v>
      </c>
      <c r="G172" s="70">
        <f>'дод 2'!H215</f>
        <v>0</v>
      </c>
      <c r="H172" s="70">
        <f>'дод 2'!I215</f>
        <v>0</v>
      </c>
      <c r="I172" s="70">
        <f>'дод 2'!J215</f>
        <v>42813357.390000001</v>
      </c>
      <c r="J172" s="70">
        <f>'дод 2'!K215</f>
        <v>42813357.390000001</v>
      </c>
      <c r="K172" s="70">
        <f>'дод 2'!L215</f>
        <v>0</v>
      </c>
      <c r="L172" s="70">
        <f>'дод 2'!M215</f>
        <v>0</v>
      </c>
      <c r="M172" s="70">
        <f>'дод 2'!N215</f>
        <v>0</v>
      </c>
      <c r="N172" s="70">
        <f>'дод 2'!O215</f>
        <v>42813357.390000001</v>
      </c>
      <c r="O172" s="70">
        <f>'дод 2'!P215</f>
        <v>42813357.390000001</v>
      </c>
      <c r="P172" s="149"/>
    </row>
    <row r="173" spans="1:16" ht="33.75" customHeight="1" x14ac:dyDescent="0.25">
      <c r="A173" s="63" t="s">
        <v>217</v>
      </c>
      <c r="B173" s="63" t="s">
        <v>70</v>
      </c>
      <c r="C173" s="40" t="s">
        <v>269</v>
      </c>
      <c r="D173" s="65">
        <f>'дод 2'!E232</f>
        <v>0</v>
      </c>
      <c r="E173" s="65">
        <f>'дод 2'!F232</f>
        <v>0</v>
      </c>
      <c r="F173" s="65">
        <f>'дод 2'!G232</f>
        <v>0</v>
      </c>
      <c r="G173" s="65">
        <f>'дод 2'!H232</f>
        <v>0</v>
      </c>
      <c r="H173" s="65">
        <f>'дод 2'!I232</f>
        <v>0</v>
      </c>
      <c r="I173" s="65">
        <f>'дод 2'!J232</f>
        <v>30000</v>
      </c>
      <c r="J173" s="65">
        <f>'дод 2'!K232</f>
        <v>30000</v>
      </c>
      <c r="K173" s="65">
        <f>'дод 2'!L232</f>
        <v>0</v>
      </c>
      <c r="L173" s="65">
        <f>'дод 2'!M232</f>
        <v>0</v>
      </c>
      <c r="M173" s="65">
        <f>'дод 2'!N232</f>
        <v>0</v>
      </c>
      <c r="N173" s="65">
        <f>'дод 2'!O232</f>
        <v>30000</v>
      </c>
      <c r="O173" s="65">
        <f>'дод 2'!P232</f>
        <v>30000</v>
      </c>
      <c r="P173" s="111"/>
    </row>
    <row r="174" spans="1:16" ht="58.5" customHeight="1" x14ac:dyDescent="0.25">
      <c r="A174" s="63" t="s">
        <v>218</v>
      </c>
      <c r="B174" s="63" t="s">
        <v>70</v>
      </c>
      <c r="C174" s="40" t="s">
        <v>219</v>
      </c>
      <c r="D174" s="65">
        <f>'дод 2'!E233</f>
        <v>0</v>
      </c>
      <c r="E174" s="65">
        <f>'дод 2'!F233</f>
        <v>0</v>
      </c>
      <c r="F174" s="65">
        <f>'дод 2'!G233</f>
        <v>0</v>
      </c>
      <c r="G174" s="65">
        <f>'дод 2'!H233</f>
        <v>0</v>
      </c>
      <c r="H174" s="65">
        <f>'дод 2'!I233</f>
        <v>0</v>
      </c>
      <c r="I174" s="65">
        <f>'дод 2'!J233</f>
        <v>50000</v>
      </c>
      <c r="J174" s="65">
        <f>'дод 2'!K233</f>
        <v>50000</v>
      </c>
      <c r="K174" s="65">
        <f>'дод 2'!L233</f>
        <v>0</v>
      </c>
      <c r="L174" s="65">
        <f>'дод 2'!M233</f>
        <v>0</v>
      </c>
      <c r="M174" s="65">
        <f>'дод 2'!N233</f>
        <v>0</v>
      </c>
      <c r="N174" s="65">
        <f>'дод 2'!O233</f>
        <v>50000</v>
      </c>
      <c r="O174" s="65">
        <f>'дод 2'!P233</f>
        <v>50000</v>
      </c>
      <c r="P174" s="149">
        <v>8</v>
      </c>
    </row>
    <row r="175" spans="1:16" ht="24.75" customHeight="1" x14ac:dyDescent="0.25">
      <c r="A175" s="63" t="s">
        <v>3</v>
      </c>
      <c r="B175" s="63" t="s">
        <v>70</v>
      </c>
      <c r="C175" s="40" t="s">
        <v>337</v>
      </c>
      <c r="D175" s="65">
        <f>'дод 2'!E188</f>
        <v>0</v>
      </c>
      <c r="E175" s="65">
        <f>'дод 2'!F188</f>
        <v>0</v>
      </c>
      <c r="F175" s="65">
        <f>'дод 2'!G188</f>
        <v>0</v>
      </c>
      <c r="G175" s="65">
        <f>'дод 2'!H188</f>
        <v>0</v>
      </c>
      <c r="H175" s="65">
        <f>'дод 2'!I188</f>
        <v>0</v>
      </c>
      <c r="I175" s="65">
        <f>'дод 2'!J188</f>
        <v>15386089</v>
      </c>
      <c r="J175" s="65">
        <f>'дод 2'!K188</f>
        <v>15386089</v>
      </c>
      <c r="K175" s="65">
        <f>'дод 2'!L188</f>
        <v>0</v>
      </c>
      <c r="L175" s="65">
        <f>'дод 2'!M188</f>
        <v>0</v>
      </c>
      <c r="M175" s="65">
        <f>'дод 2'!N188</f>
        <v>0</v>
      </c>
      <c r="N175" s="65">
        <f>'дод 2'!O188</f>
        <v>15386089</v>
      </c>
      <c r="O175" s="65">
        <f>'дод 2'!P188</f>
        <v>15386089</v>
      </c>
      <c r="P175" s="149"/>
    </row>
    <row r="176" spans="1:16" ht="33.75" customHeight="1" x14ac:dyDescent="0.25">
      <c r="A176" s="63" t="s">
        <v>206</v>
      </c>
      <c r="B176" s="63" t="s">
        <v>70</v>
      </c>
      <c r="C176" s="40" t="s">
        <v>207</v>
      </c>
      <c r="D176" s="65">
        <f>'дод 2'!E33</f>
        <v>463094</v>
      </c>
      <c r="E176" s="65">
        <f>'дод 2'!F33</f>
        <v>463094</v>
      </c>
      <c r="F176" s="65">
        <f>'дод 2'!G33</f>
        <v>0</v>
      </c>
      <c r="G176" s="65">
        <f>'дод 2'!H33</f>
        <v>0</v>
      </c>
      <c r="H176" s="65">
        <f>'дод 2'!I33</f>
        <v>0</v>
      </c>
      <c r="I176" s="65">
        <f>'дод 2'!J33</f>
        <v>0</v>
      </c>
      <c r="J176" s="65">
        <f>'дод 2'!K33</f>
        <v>0</v>
      </c>
      <c r="K176" s="65">
        <f>'дод 2'!L33</f>
        <v>0</v>
      </c>
      <c r="L176" s="65">
        <f>'дод 2'!M33</f>
        <v>0</v>
      </c>
      <c r="M176" s="65">
        <f>'дод 2'!N33</f>
        <v>0</v>
      </c>
      <c r="N176" s="65">
        <f>'дод 2'!O33</f>
        <v>0</v>
      </c>
      <c r="O176" s="65">
        <f>'дод 2'!P33</f>
        <v>463094</v>
      </c>
      <c r="P176" s="149"/>
    </row>
    <row r="177" spans="1:18" s="96" customFormat="1" ht="120" customHeight="1" x14ac:dyDescent="0.25">
      <c r="A177" s="63" t="s">
        <v>233</v>
      </c>
      <c r="B177" s="63" t="s">
        <v>70</v>
      </c>
      <c r="C177" s="40" t="s">
        <v>244</v>
      </c>
      <c r="D177" s="65">
        <f>'дод 2'!E34+'дод 2'!E189+'дод 2'!E234</f>
        <v>0</v>
      </c>
      <c r="E177" s="65">
        <f>'дод 2'!F34+'дод 2'!F189+'дод 2'!F234</f>
        <v>0</v>
      </c>
      <c r="F177" s="65">
        <f>'дод 2'!G34+'дод 2'!G189+'дод 2'!G234</f>
        <v>0</v>
      </c>
      <c r="G177" s="65">
        <f>'дод 2'!H34+'дод 2'!H189+'дод 2'!H234</f>
        <v>0</v>
      </c>
      <c r="H177" s="65">
        <f>'дод 2'!I34+'дод 2'!I189+'дод 2'!I234</f>
        <v>0</v>
      </c>
      <c r="I177" s="65">
        <f>'дод 2'!J34+'дод 2'!J189+'дод 2'!J234</f>
        <v>1289176.6000000001</v>
      </c>
      <c r="J177" s="65">
        <f>'дод 2'!K34+'дод 2'!K189+'дод 2'!K234</f>
        <v>0</v>
      </c>
      <c r="K177" s="65">
        <f>'дод 2'!L34+'дод 2'!L189+'дод 2'!L234</f>
        <v>1066000</v>
      </c>
      <c r="L177" s="65">
        <f>'дод 2'!M34+'дод 2'!M189+'дод 2'!M234</f>
        <v>0</v>
      </c>
      <c r="M177" s="65">
        <f>'дод 2'!N34+'дод 2'!N189+'дод 2'!N234</f>
        <v>0</v>
      </c>
      <c r="N177" s="65">
        <f>'дод 2'!O34+'дод 2'!O189+'дод 2'!O234</f>
        <v>223176.6</v>
      </c>
      <c r="O177" s="65">
        <f>'дод 2'!P34+'дод 2'!P189+'дод 2'!P234</f>
        <v>1289176.6000000001</v>
      </c>
      <c r="P177" s="149"/>
    </row>
    <row r="178" spans="1:18" s="96" customFormat="1" ht="23.25" customHeight="1" x14ac:dyDescent="0.25">
      <c r="A178" s="63" t="s">
        <v>197</v>
      </c>
      <c r="B178" s="63" t="s">
        <v>70</v>
      </c>
      <c r="C178" s="40" t="s">
        <v>15</v>
      </c>
      <c r="D178" s="65">
        <f>'дод 2'!E35+'дод 2'!E240+'дод 2'!E226+'дод 2'!E235</f>
        <v>2739730</v>
      </c>
      <c r="E178" s="65">
        <f>'дод 2'!F35+'дод 2'!F240+'дод 2'!F226+'дод 2'!F235</f>
        <v>2739730</v>
      </c>
      <c r="F178" s="65">
        <f>'дод 2'!G35+'дод 2'!G240+'дод 2'!G226+'дод 2'!G235</f>
        <v>0</v>
      </c>
      <c r="G178" s="65">
        <f>'дод 2'!H35+'дод 2'!H240+'дод 2'!H226+'дод 2'!H235</f>
        <v>0</v>
      </c>
      <c r="H178" s="65">
        <f>'дод 2'!I35+'дод 2'!I240+'дод 2'!I226+'дод 2'!I235</f>
        <v>0</v>
      </c>
      <c r="I178" s="65">
        <f>'дод 2'!J35+'дод 2'!J240+'дод 2'!J226+'дод 2'!J235</f>
        <v>0</v>
      </c>
      <c r="J178" s="65">
        <f>'дод 2'!K35+'дод 2'!K240+'дод 2'!K226+'дод 2'!K235</f>
        <v>0</v>
      </c>
      <c r="K178" s="65">
        <f>'дод 2'!L35+'дод 2'!L240+'дод 2'!L226+'дод 2'!L235</f>
        <v>0</v>
      </c>
      <c r="L178" s="65">
        <f>'дод 2'!M35+'дод 2'!M240+'дод 2'!M226+'дод 2'!M235</f>
        <v>0</v>
      </c>
      <c r="M178" s="65">
        <f>'дод 2'!N35+'дод 2'!N240+'дод 2'!N226+'дод 2'!N235</f>
        <v>0</v>
      </c>
      <c r="N178" s="65">
        <f>'дод 2'!O35+'дод 2'!O240+'дод 2'!O226+'дод 2'!O235</f>
        <v>0</v>
      </c>
      <c r="O178" s="65">
        <f>'дод 2'!P35+'дод 2'!P240+'дод 2'!P226+'дод 2'!P235</f>
        <v>2739730</v>
      </c>
      <c r="P178" s="149"/>
    </row>
    <row r="179" spans="1:18" s="95" customFormat="1" ht="23.25" customHeight="1" x14ac:dyDescent="0.25">
      <c r="A179" s="66" t="s">
        <v>81</v>
      </c>
      <c r="B179" s="31"/>
      <c r="C179" s="77" t="s">
        <v>497</v>
      </c>
      <c r="D179" s="62">
        <f>D181+D186+D189+D192+D193</f>
        <v>484689706</v>
      </c>
      <c r="E179" s="62">
        <f t="shared" ref="E179:O179" si="36">E181+E186+E189+E192+E193</f>
        <v>60215143</v>
      </c>
      <c r="F179" s="62">
        <f t="shared" si="36"/>
        <v>3314000</v>
      </c>
      <c r="G179" s="62">
        <f t="shared" si="36"/>
        <v>4220300</v>
      </c>
      <c r="H179" s="62">
        <f t="shared" si="36"/>
        <v>0</v>
      </c>
      <c r="I179" s="62">
        <f t="shared" si="36"/>
        <v>3383800</v>
      </c>
      <c r="J179" s="62">
        <f t="shared" si="36"/>
        <v>920000</v>
      </c>
      <c r="K179" s="62">
        <f t="shared" si="36"/>
        <v>2453400</v>
      </c>
      <c r="L179" s="62">
        <f t="shared" si="36"/>
        <v>0</v>
      </c>
      <c r="M179" s="62">
        <f t="shared" si="36"/>
        <v>1500</v>
      </c>
      <c r="N179" s="62">
        <f t="shared" si="36"/>
        <v>930400</v>
      </c>
      <c r="O179" s="62">
        <f t="shared" si="36"/>
        <v>488073506</v>
      </c>
      <c r="P179" s="149"/>
      <c r="R179" s="98">
        <f>E179+D193</f>
        <v>484689706</v>
      </c>
    </row>
    <row r="180" spans="1:18" s="99" customFormat="1" ht="58.5" customHeight="1" x14ac:dyDescent="0.25">
      <c r="A180" s="67"/>
      <c r="B180" s="32"/>
      <c r="C180" s="78" t="str">
        <f>C182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180" s="68">
        <f>D182</f>
        <v>514900</v>
      </c>
      <c r="E180" s="68">
        <f>E182</f>
        <v>514900</v>
      </c>
      <c r="F180" s="68">
        <f t="shared" ref="F180:O180" si="37">F182</f>
        <v>422100</v>
      </c>
      <c r="G180" s="68">
        <f t="shared" si="37"/>
        <v>0</v>
      </c>
      <c r="H180" s="68">
        <f t="shared" si="37"/>
        <v>0</v>
      </c>
      <c r="I180" s="68">
        <f t="shared" si="37"/>
        <v>0</v>
      </c>
      <c r="J180" s="68">
        <f t="shared" si="37"/>
        <v>0</v>
      </c>
      <c r="K180" s="68">
        <f t="shared" si="37"/>
        <v>0</v>
      </c>
      <c r="L180" s="68">
        <f t="shared" si="37"/>
        <v>0</v>
      </c>
      <c r="M180" s="68">
        <f t="shared" si="37"/>
        <v>0</v>
      </c>
      <c r="N180" s="68">
        <f t="shared" si="37"/>
        <v>0</v>
      </c>
      <c r="O180" s="68">
        <f t="shared" si="37"/>
        <v>514900</v>
      </c>
      <c r="P180" s="149"/>
      <c r="R180" s="118"/>
    </row>
    <row r="181" spans="1:18" s="95" customFormat="1" ht="45" customHeight="1" x14ac:dyDescent="0.25">
      <c r="A181" s="66" t="s">
        <v>83</v>
      </c>
      <c r="B181" s="31"/>
      <c r="C181" s="77" t="s">
        <v>518</v>
      </c>
      <c r="D181" s="62">
        <f t="shared" ref="D181:O181" si="38">D183+D184</f>
        <v>26851750</v>
      </c>
      <c r="E181" s="62">
        <f t="shared" si="38"/>
        <v>26851750</v>
      </c>
      <c r="F181" s="62">
        <f t="shared" si="38"/>
        <v>3314000</v>
      </c>
      <c r="G181" s="62">
        <f t="shared" si="38"/>
        <v>1200900</v>
      </c>
      <c r="H181" s="62">
        <f t="shared" si="38"/>
        <v>0</v>
      </c>
      <c r="I181" s="62">
        <f t="shared" si="38"/>
        <v>927100</v>
      </c>
      <c r="J181" s="62">
        <f t="shared" si="38"/>
        <v>920000</v>
      </c>
      <c r="K181" s="62">
        <f t="shared" si="38"/>
        <v>7100</v>
      </c>
      <c r="L181" s="62">
        <f t="shared" si="38"/>
        <v>0</v>
      </c>
      <c r="M181" s="62">
        <f t="shared" si="38"/>
        <v>1500</v>
      </c>
      <c r="N181" s="62">
        <f t="shared" si="38"/>
        <v>920000</v>
      </c>
      <c r="O181" s="62">
        <f t="shared" si="38"/>
        <v>27778850</v>
      </c>
      <c r="P181" s="149"/>
    </row>
    <row r="182" spans="1:18" s="99" customFormat="1" ht="66" customHeight="1" x14ac:dyDescent="0.25">
      <c r="A182" s="67"/>
      <c r="B182" s="32"/>
      <c r="C182" s="78" t="str">
        <f>C185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182" s="68">
        <f>D185</f>
        <v>514900</v>
      </c>
      <c r="E182" s="68">
        <f t="shared" ref="E182:O182" si="39">E185</f>
        <v>514900</v>
      </c>
      <c r="F182" s="68">
        <f t="shared" si="39"/>
        <v>422100</v>
      </c>
      <c r="G182" s="68">
        <f t="shared" si="39"/>
        <v>0</v>
      </c>
      <c r="H182" s="68">
        <f t="shared" si="39"/>
        <v>0</v>
      </c>
      <c r="I182" s="68">
        <f t="shared" si="39"/>
        <v>0</v>
      </c>
      <c r="J182" s="68">
        <f t="shared" si="39"/>
        <v>0</v>
      </c>
      <c r="K182" s="68">
        <f t="shared" si="39"/>
        <v>0</v>
      </c>
      <c r="L182" s="68">
        <f t="shared" si="39"/>
        <v>0</v>
      </c>
      <c r="M182" s="68">
        <f t="shared" si="39"/>
        <v>0</v>
      </c>
      <c r="N182" s="68">
        <f t="shared" si="39"/>
        <v>0</v>
      </c>
      <c r="O182" s="68">
        <f t="shared" si="39"/>
        <v>514900</v>
      </c>
      <c r="P182" s="149"/>
    </row>
    <row r="183" spans="1:18" s="95" customFormat="1" ht="36.75" customHeight="1" x14ac:dyDescent="0.25">
      <c r="A183" s="63" t="s">
        <v>5</v>
      </c>
      <c r="B183" s="63" t="s">
        <v>77</v>
      </c>
      <c r="C183" s="40" t="s">
        <v>378</v>
      </c>
      <c r="D183" s="65">
        <f>'дод 2'!E36+'дод 2'!E190</f>
        <v>22371050</v>
      </c>
      <c r="E183" s="65">
        <f>'дод 2'!F36+'дод 2'!F190</f>
        <v>22371050</v>
      </c>
      <c r="F183" s="65">
        <f>'дод 2'!G36+'дод 2'!G190</f>
        <v>0</v>
      </c>
      <c r="G183" s="65">
        <f>'дод 2'!H36+'дод 2'!H190</f>
        <v>1082000</v>
      </c>
      <c r="H183" s="65">
        <f>'дод 2'!I36+'дод 2'!I190</f>
        <v>0</v>
      </c>
      <c r="I183" s="65">
        <f>'дод 2'!J36+'дод 2'!J190</f>
        <v>920000</v>
      </c>
      <c r="J183" s="65">
        <f>'дод 2'!K36+'дод 2'!K190</f>
        <v>920000</v>
      </c>
      <c r="K183" s="65">
        <f>'дод 2'!L36+'дод 2'!L190</f>
        <v>0</v>
      </c>
      <c r="L183" s="65">
        <f>'дод 2'!M36+'дод 2'!M190</f>
        <v>0</v>
      </c>
      <c r="M183" s="65">
        <f>'дод 2'!N36+'дод 2'!N190</f>
        <v>0</v>
      </c>
      <c r="N183" s="65">
        <f>'дод 2'!O36+'дод 2'!O190</f>
        <v>920000</v>
      </c>
      <c r="O183" s="65">
        <f>'дод 2'!P36+'дод 2'!P190</f>
        <v>23291050</v>
      </c>
      <c r="P183" s="149"/>
    </row>
    <row r="184" spans="1:18" ht="21" customHeight="1" x14ac:dyDescent="0.25">
      <c r="A184" s="63" t="s">
        <v>122</v>
      </c>
      <c r="B184" s="26" t="s">
        <v>77</v>
      </c>
      <c r="C184" s="40" t="s">
        <v>496</v>
      </c>
      <c r="D184" s="65">
        <f>'дод 2'!E37</f>
        <v>4480700</v>
      </c>
      <c r="E184" s="65">
        <f>'дод 2'!F37</f>
        <v>4480700</v>
      </c>
      <c r="F184" s="65">
        <f>'дод 2'!G37</f>
        <v>3314000</v>
      </c>
      <c r="G184" s="65">
        <f>'дод 2'!H37</f>
        <v>118900</v>
      </c>
      <c r="H184" s="65">
        <f>'дод 2'!I37</f>
        <v>0</v>
      </c>
      <c r="I184" s="65">
        <f>'дод 2'!J37</f>
        <v>7100</v>
      </c>
      <c r="J184" s="65">
        <f>'дод 2'!K37</f>
        <v>0</v>
      </c>
      <c r="K184" s="65">
        <f>'дод 2'!L37</f>
        <v>7100</v>
      </c>
      <c r="L184" s="65">
        <f>'дод 2'!M37</f>
        <v>0</v>
      </c>
      <c r="M184" s="65">
        <f>'дод 2'!N37</f>
        <v>1500</v>
      </c>
      <c r="N184" s="65">
        <f>'дод 2'!O37</f>
        <v>0</v>
      </c>
      <c r="O184" s="65">
        <f>'дод 2'!P37</f>
        <v>4487800</v>
      </c>
      <c r="P184" s="149"/>
    </row>
    <row r="185" spans="1:18" s="96" customFormat="1" ht="63.75" customHeight="1" x14ac:dyDescent="0.25">
      <c r="A185" s="69"/>
      <c r="B185" s="35"/>
      <c r="C185" s="79" t="s">
        <v>498</v>
      </c>
      <c r="D185" s="70">
        <f>'дод 2'!E38</f>
        <v>514900</v>
      </c>
      <c r="E185" s="70">
        <f>'дод 2'!F38</f>
        <v>514900</v>
      </c>
      <c r="F185" s="70">
        <f>'дод 2'!G38</f>
        <v>422100</v>
      </c>
      <c r="G185" s="70">
        <f>'дод 2'!H38</f>
        <v>0</v>
      </c>
      <c r="H185" s="70">
        <f>'дод 2'!I38</f>
        <v>0</v>
      </c>
      <c r="I185" s="70">
        <f>'дод 2'!J38</f>
        <v>0</v>
      </c>
      <c r="J185" s="70">
        <f>'дод 2'!K38</f>
        <v>0</v>
      </c>
      <c r="K185" s="70">
        <f>'дод 2'!L38</f>
        <v>0</v>
      </c>
      <c r="L185" s="70">
        <f>'дод 2'!M38</f>
        <v>0</v>
      </c>
      <c r="M185" s="70">
        <f>'дод 2'!N38</f>
        <v>0</v>
      </c>
      <c r="N185" s="70">
        <f>'дод 2'!O38</f>
        <v>0</v>
      </c>
      <c r="O185" s="70">
        <f>'дод 2'!P38</f>
        <v>514900</v>
      </c>
      <c r="P185" s="149"/>
    </row>
    <row r="186" spans="1:18" s="95" customFormat="1" ht="23.25" customHeight="1" x14ac:dyDescent="0.25">
      <c r="A186" s="66" t="s">
        <v>208</v>
      </c>
      <c r="B186" s="66"/>
      <c r="C186" s="83" t="s">
        <v>209</v>
      </c>
      <c r="D186" s="62">
        <f>D187+D188</f>
        <v>26495764</v>
      </c>
      <c r="E186" s="62">
        <f t="shared" ref="E186:O186" si="40">E187+E188</f>
        <v>26495764</v>
      </c>
      <c r="F186" s="62">
        <f t="shared" si="40"/>
        <v>0</v>
      </c>
      <c r="G186" s="62">
        <f t="shared" si="40"/>
        <v>3019400</v>
      </c>
      <c r="H186" s="62">
        <f t="shared" si="40"/>
        <v>0</v>
      </c>
      <c r="I186" s="62">
        <f t="shared" si="40"/>
        <v>0</v>
      </c>
      <c r="J186" s="62">
        <f t="shared" si="40"/>
        <v>0</v>
      </c>
      <c r="K186" s="62">
        <f t="shared" si="40"/>
        <v>0</v>
      </c>
      <c r="L186" s="62">
        <f t="shared" si="40"/>
        <v>0</v>
      </c>
      <c r="M186" s="62">
        <f t="shared" si="40"/>
        <v>0</v>
      </c>
      <c r="N186" s="62">
        <f t="shared" si="40"/>
        <v>0</v>
      </c>
      <c r="O186" s="62">
        <f t="shared" si="40"/>
        <v>26495764</v>
      </c>
      <c r="P186" s="149"/>
    </row>
    <row r="187" spans="1:18" ht="22.5" customHeight="1" x14ac:dyDescent="0.25">
      <c r="A187" s="63" t="s">
        <v>202</v>
      </c>
      <c r="B187" s="26" t="s">
        <v>203</v>
      </c>
      <c r="C187" s="40" t="s">
        <v>204</v>
      </c>
      <c r="D187" s="65">
        <f>'дод 2'!E39</f>
        <v>714500</v>
      </c>
      <c r="E187" s="65">
        <f>'дод 2'!F39</f>
        <v>714500</v>
      </c>
      <c r="F187" s="65">
        <f>'дод 2'!G39</f>
        <v>0</v>
      </c>
      <c r="G187" s="65">
        <f>'дод 2'!H39</f>
        <v>589400</v>
      </c>
      <c r="H187" s="65">
        <f>'дод 2'!I39</f>
        <v>0</v>
      </c>
      <c r="I187" s="65">
        <f>'дод 2'!J39</f>
        <v>0</v>
      </c>
      <c r="J187" s="65">
        <f>'дод 2'!K39</f>
        <v>0</v>
      </c>
      <c r="K187" s="65">
        <f>'дод 2'!L39</f>
        <v>0</v>
      </c>
      <c r="L187" s="65">
        <f>'дод 2'!M39</f>
        <v>0</v>
      </c>
      <c r="M187" s="65">
        <f>'дод 2'!N39</f>
        <v>0</v>
      </c>
      <c r="N187" s="65">
        <f>'дод 2'!O39</f>
        <v>0</v>
      </c>
      <c r="O187" s="65">
        <f>'дод 2'!P39</f>
        <v>714500</v>
      </c>
      <c r="P187" s="149"/>
    </row>
    <row r="188" spans="1:18" ht="22.5" customHeight="1" x14ac:dyDescent="0.25">
      <c r="A188" s="63">
        <v>8240</v>
      </c>
      <c r="B188" s="26" t="s">
        <v>203</v>
      </c>
      <c r="C188" s="40" t="s">
        <v>336</v>
      </c>
      <c r="D188" s="65">
        <f>'дод 2'!E40+'дод 2'!E191+'дод 2'!E99</f>
        <v>25781264</v>
      </c>
      <c r="E188" s="65">
        <f>'дод 2'!F40+'дод 2'!F191+'дод 2'!F99</f>
        <v>25781264</v>
      </c>
      <c r="F188" s="65">
        <f>'дод 2'!G40+'дод 2'!G191+'дод 2'!G99</f>
        <v>0</v>
      </c>
      <c r="G188" s="65">
        <f>'дод 2'!H40+'дод 2'!H191+'дод 2'!H99</f>
        <v>2430000</v>
      </c>
      <c r="H188" s="65">
        <f>'дод 2'!I40+'дод 2'!I191+'дод 2'!I99</f>
        <v>0</v>
      </c>
      <c r="I188" s="65">
        <f>'дод 2'!J40+'дод 2'!J191+'дод 2'!J99</f>
        <v>0</v>
      </c>
      <c r="J188" s="65">
        <f>'дод 2'!K40+'дод 2'!K191+'дод 2'!K99</f>
        <v>0</v>
      </c>
      <c r="K188" s="65">
        <f>'дод 2'!L40+'дод 2'!L191+'дод 2'!L99</f>
        <v>0</v>
      </c>
      <c r="L188" s="65">
        <f>'дод 2'!M40+'дод 2'!M191+'дод 2'!M99</f>
        <v>0</v>
      </c>
      <c r="M188" s="65">
        <f>'дод 2'!N40+'дод 2'!N191+'дод 2'!N99</f>
        <v>0</v>
      </c>
      <c r="N188" s="65">
        <f>'дод 2'!O40+'дод 2'!O191+'дод 2'!O99</f>
        <v>0</v>
      </c>
      <c r="O188" s="65">
        <f>'дод 2'!P40+'дод 2'!P191+'дод 2'!P99</f>
        <v>25781264</v>
      </c>
      <c r="P188" s="149"/>
    </row>
    <row r="189" spans="1:18" s="95" customFormat="1" ht="22.5" customHeight="1" x14ac:dyDescent="0.25">
      <c r="A189" s="66" t="s">
        <v>4</v>
      </c>
      <c r="B189" s="31"/>
      <c r="C189" s="77" t="s">
        <v>6</v>
      </c>
      <c r="D189" s="62">
        <f>D191+D190</f>
        <v>75000</v>
      </c>
      <c r="E189" s="62">
        <f t="shared" ref="E189:O189" si="41">E191+E190</f>
        <v>75000</v>
      </c>
      <c r="F189" s="62">
        <f t="shared" si="41"/>
        <v>0</v>
      </c>
      <c r="G189" s="62">
        <f t="shared" si="41"/>
        <v>0</v>
      </c>
      <c r="H189" s="62">
        <f t="shared" si="41"/>
        <v>0</v>
      </c>
      <c r="I189" s="62">
        <f t="shared" si="41"/>
        <v>2456700</v>
      </c>
      <c r="J189" s="62">
        <f t="shared" si="41"/>
        <v>0</v>
      </c>
      <c r="K189" s="62">
        <f t="shared" si="41"/>
        <v>2446300</v>
      </c>
      <c r="L189" s="62">
        <f t="shared" si="41"/>
        <v>0</v>
      </c>
      <c r="M189" s="62">
        <f t="shared" si="41"/>
        <v>0</v>
      </c>
      <c r="N189" s="62">
        <f t="shared" si="41"/>
        <v>10400</v>
      </c>
      <c r="O189" s="62">
        <f t="shared" si="41"/>
        <v>2531700</v>
      </c>
      <c r="P189" s="149"/>
    </row>
    <row r="190" spans="1:18" s="95" customFormat="1" ht="33.75" customHeight="1" x14ac:dyDescent="0.25">
      <c r="A190" s="63">
        <v>8330</v>
      </c>
      <c r="B190" s="82" t="s">
        <v>79</v>
      </c>
      <c r="C190" s="40" t="s">
        <v>271</v>
      </c>
      <c r="D190" s="65">
        <f>'дод 2'!E241</f>
        <v>75000</v>
      </c>
      <c r="E190" s="65">
        <f>'дод 2'!F241</f>
        <v>75000</v>
      </c>
      <c r="F190" s="65">
        <f>'дод 2'!G241</f>
        <v>0</v>
      </c>
      <c r="G190" s="65">
        <f>'дод 2'!H241</f>
        <v>0</v>
      </c>
      <c r="H190" s="65">
        <f>'дод 2'!I241</f>
        <v>0</v>
      </c>
      <c r="I190" s="65">
        <f>'дод 2'!J241</f>
        <v>0</v>
      </c>
      <c r="J190" s="65">
        <f>'дод 2'!K241</f>
        <v>0</v>
      </c>
      <c r="K190" s="65">
        <f>'дод 2'!L241</f>
        <v>0</v>
      </c>
      <c r="L190" s="65">
        <f>'дод 2'!M241</f>
        <v>0</v>
      </c>
      <c r="M190" s="65">
        <f>'дод 2'!N241</f>
        <v>0</v>
      </c>
      <c r="N190" s="65">
        <f>'дод 2'!O241</f>
        <v>0</v>
      </c>
      <c r="O190" s="65">
        <f>'дод 2'!P241</f>
        <v>75000</v>
      </c>
      <c r="P190" s="149"/>
    </row>
    <row r="191" spans="1:18" s="95" customFormat="1" ht="19.5" customHeight="1" x14ac:dyDescent="0.25">
      <c r="A191" s="63" t="s">
        <v>7</v>
      </c>
      <c r="B191" s="63" t="s">
        <v>79</v>
      </c>
      <c r="C191" s="40" t="s">
        <v>8</v>
      </c>
      <c r="D191" s="65">
        <f>'дод 2'!E41+'дод 2'!E100+'дод 2'!E192+'дод 2'!E242+'дод 2'!E160</f>
        <v>0</v>
      </c>
      <c r="E191" s="65">
        <f>'дод 2'!F41+'дод 2'!F100+'дод 2'!F192+'дод 2'!F242+'дод 2'!F160</f>
        <v>0</v>
      </c>
      <c r="F191" s="65">
        <f>'дод 2'!G41+'дод 2'!G100+'дод 2'!G192+'дод 2'!G242+'дод 2'!G160</f>
        <v>0</v>
      </c>
      <c r="G191" s="65">
        <f>'дод 2'!H41+'дод 2'!H100+'дод 2'!H192+'дод 2'!H242+'дод 2'!H160</f>
        <v>0</v>
      </c>
      <c r="H191" s="65">
        <f>'дод 2'!I41+'дод 2'!I100+'дод 2'!I192+'дод 2'!I242+'дод 2'!I160</f>
        <v>0</v>
      </c>
      <c r="I191" s="65">
        <f>'дод 2'!J41+'дод 2'!J100+'дод 2'!J192+'дод 2'!J242+'дод 2'!J160</f>
        <v>2456700</v>
      </c>
      <c r="J191" s="65">
        <f>'дод 2'!K41+'дод 2'!K100+'дод 2'!K192+'дод 2'!K242+'дод 2'!K160</f>
        <v>0</v>
      </c>
      <c r="K191" s="65">
        <f>'дод 2'!L41+'дод 2'!L100+'дод 2'!L192+'дод 2'!L242+'дод 2'!L160</f>
        <v>2446300</v>
      </c>
      <c r="L191" s="65">
        <f>'дод 2'!M41+'дод 2'!M100+'дод 2'!M192+'дод 2'!M242+'дод 2'!M160</f>
        <v>0</v>
      </c>
      <c r="M191" s="65">
        <f>'дод 2'!N41+'дод 2'!N100+'дод 2'!N192+'дод 2'!N242+'дод 2'!N160</f>
        <v>0</v>
      </c>
      <c r="N191" s="65">
        <f>'дод 2'!O41+'дод 2'!O100+'дод 2'!O192+'дод 2'!O242+'дод 2'!O160</f>
        <v>10400</v>
      </c>
      <c r="O191" s="65">
        <f>'дод 2'!P41+'дод 2'!P100+'дод 2'!P192+'дод 2'!P242+'дод 2'!P160</f>
        <v>2456700</v>
      </c>
      <c r="P191" s="149"/>
    </row>
    <row r="192" spans="1:18" s="95" customFormat="1" ht="21" customHeight="1" x14ac:dyDescent="0.25">
      <c r="A192" s="66" t="s">
        <v>82</v>
      </c>
      <c r="B192" s="66" t="s">
        <v>78</v>
      </c>
      <c r="C192" s="77" t="s">
        <v>9</v>
      </c>
      <c r="D192" s="62">
        <f>'дод 2'!E243</f>
        <v>6792629</v>
      </c>
      <c r="E192" s="62">
        <f>'дод 2'!F243</f>
        <v>6792629</v>
      </c>
      <c r="F192" s="62">
        <f>'дод 2'!G243</f>
        <v>0</v>
      </c>
      <c r="G192" s="62">
        <f>'дод 2'!H243</f>
        <v>0</v>
      </c>
      <c r="H192" s="62">
        <f>'дод 2'!I243</f>
        <v>0</v>
      </c>
      <c r="I192" s="62">
        <f>'дод 2'!J243</f>
        <v>0</v>
      </c>
      <c r="J192" s="62">
        <f>'дод 2'!K243</f>
        <v>0</v>
      </c>
      <c r="K192" s="62">
        <f>'дод 2'!L243</f>
        <v>0</v>
      </c>
      <c r="L192" s="62">
        <f>'дод 2'!M243</f>
        <v>0</v>
      </c>
      <c r="M192" s="62">
        <f>'дод 2'!N243</f>
        <v>0</v>
      </c>
      <c r="N192" s="62">
        <f>'дод 2'!O243</f>
        <v>0</v>
      </c>
      <c r="O192" s="62">
        <f>'дод 2'!P243</f>
        <v>6792629</v>
      </c>
      <c r="P192" s="149"/>
    </row>
    <row r="193" spans="1:16" s="95" customFormat="1" ht="21" customHeight="1" x14ac:dyDescent="0.25">
      <c r="A193" s="66">
        <v>8700</v>
      </c>
      <c r="B193" s="66"/>
      <c r="C193" s="77" t="s">
        <v>334</v>
      </c>
      <c r="D193" s="62">
        <f>D194</f>
        <v>424474563</v>
      </c>
      <c r="E193" s="62">
        <f t="shared" ref="E193:O193" si="42">E194</f>
        <v>0</v>
      </c>
      <c r="F193" s="62">
        <f t="shared" si="42"/>
        <v>0</v>
      </c>
      <c r="G193" s="62">
        <f t="shared" si="42"/>
        <v>0</v>
      </c>
      <c r="H193" s="62">
        <f t="shared" si="42"/>
        <v>0</v>
      </c>
      <c r="I193" s="62">
        <f t="shared" si="42"/>
        <v>0</v>
      </c>
      <c r="J193" s="62">
        <f t="shared" si="42"/>
        <v>0</v>
      </c>
      <c r="K193" s="62">
        <f t="shared" si="42"/>
        <v>0</v>
      </c>
      <c r="L193" s="62">
        <f t="shared" si="42"/>
        <v>0</v>
      </c>
      <c r="M193" s="62">
        <f t="shared" si="42"/>
        <v>0</v>
      </c>
      <c r="N193" s="62">
        <f t="shared" si="42"/>
        <v>0</v>
      </c>
      <c r="O193" s="62">
        <f t="shared" si="42"/>
        <v>424474563</v>
      </c>
      <c r="P193" s="149"/>
    </row>
    <row r="194" spans="1:16" ht="25.5" customHeight="1" x14ac:dyDescent="0.25">
      <c r="A194" s="63">
        <v>8710</v>
      </c>
      <c r="B194" s="63" t="s">
        <v>80</v>
      </c>
      <c r="C194" s="40" t="s">
        <v>319</v>
      </c>
      <c r="D194" s="65">
        <f>'дод 2'!E244</f>
        <v>424474563</v>
      </c>
      <c r="E194" s="65">
        <f>'дод 2'!F244</f>
        <v>0</v>
      </c>
      <c r="F194" s="65">
        <f>'дод 2'!G244</f>
        <v>0</v>
      </c>
      <c r="G194" s="65">
        <f>'дод 2'!H244</f>
        <v>0</v>
      </c>
      <c r="H194" s="65">
        <f>'дод 2'!I244</f>
        <v>0</v>
      </c>
      <c r="I194" s="65">
        <f>'дод 2'!J244</f>
        <v>0</v>
      </c>
      <c r="J194" s="65">
        <f>'дод 2'!K244</f>
        <v>0</v>
      </c>
      <c r="K194" s="65">
        <f>'дод 2'!L244</f>
        <v>0</v>
      </c>
      <c r="L194" s="65">
        <f>'дод 2'!M244</f>
        <v>0</v>
      </c>
      <c r="M194" s="65">
        <f>'дод 2'!N244</f>
        <v>0</v>
      </c>
      <c r="N194" s="65">
        <f>'дод 2'!O244</f>
        <v>0</v>
      </c>
      <c r="O194" s="65">
        <f>'дод 2'!P244</f>
        <v>424474563</v>
      </c>
      <c r="P194" s="149"/>
    </row>
    <row r="195" spans="1:16" s="95" customFormat="1" ht="24" customHeight="1" x14ac:dyDescent="0.25">
      <c r="A195" s="66" t="s">
        <v>10</v>
      </c>
      <c r="B195" s="66"/>
      <c r="C195" s="77" t="s">
        <v>377</v>
      </c>
      <c r="D195" s="62">
        <f>D196+D198</f>
        <v>23489814</v>
      </c>
      <c r="E195" s="62">
        <f t="shared" ref="E195:O195" si="43">E196+E198</f>
        <v>23489814</v>
      </c>
      <c r="F195" s="62">
        <f t="shared" si="43"/>
        <v>0</v>
      </c>
      <c r="G195" s="62">
        <f t="shared" si="43"/>
        <v>0</v>
      </c>
      <c r="H195" s="62">
        <f t="shared" si="43"/>
        <v>0</v>
      </c>
      <c r="I195" s="62">
        <f t="shared" si="43"/>
        <v>9700000</v>
      </c>
      <c r="J195" s="62">
        <f t="shared" si="43"/>
        <v>9700000</v>
      </c>
      <c r="K195" s="62">
        <f t="shared" si="43"/>
        <v>0</v>
      </c>
      <c r="L195" s="62">
        <f t="shared" si="43"/>
        <v>0</v>
      </c>
      <c r="M195" s="62">
        <f t="shared" si="43"/>
        <v>0</v>
      </c>
      <c r="N195" s="62">
        <f t="shared" si="43"/>
        <v>9700000</v>
      </c>
      <c r="O195" s="62">
        <f t="shared" si="43"/>
        <v>33189814</v>
      </c>
      <c r="P195" s="149"/>
    </row>
    <row r="196" spans="1:16" s="95" customFormat="1" ht="57" customHeight="1" x14ac:dyDescent="0.25">
      <c r="A196" s="66" t="s">
        <v>11</v>
      </c>
      <c r="B196" s="16"/>
      <c r="C196" s="77" t="s">
        <v>270</v>
      </c>
      <c r="D196" s="62">
        <f>D197</f>
        <v>13555650</v>
      </c>
      <c r="E196" s="62">
        <f t="shared" ref="E196:O196" si="44">E197</f>
        <v>13555650</v>
      </c>
      <c r="F196" s="62">
        <f t="shared" si="44"/>
        <v>0</v>
      </c>
      <c r="G196" s="62">
        <f t="shared" si="44"/>
        <v>0</v>
      </c>
      <c r="H196" s="62">
        <f t="shared" si="44"/>
        <v>0</v>
      </c>
      <c r="I196" s="62">
        <f t="shared" si="44"/>
        <v>600000</v>
      </c>
      <c r="J196" s="62">
        <f t="shared" si="44"/>
        <v>600000</v>
      </c>
      <c r="K196" s="62">
        <f t="shared" si="44"/>
        <v>0</v>
      </c>
      <c r="L196" s="62">
        <f t="shared" si="44"/>
        <v>0</v>
      </c>
      <c r="M196" s="62">
        <f t="shared" si="44"/>
        <v>0</v>
      </c>
      <c r="N196" s="62">
        <f t="shared" si="44"/>
        <v>600000</v>
      </c>
      <c r="O196" s="62">
        <f t="shared" si="44"/>
        <v>14155650</v>
      </c>
      <c r="P196" s="149"/>
    </row>
    <row r="197" spans="1:16" s="95" customFormat="1" ht="24" customHeight="1" x14ac:dyDescent="0.25">
      <c r="A197" s="63" t="s">
        <v>12</v>
      </c>
      <c r="B197" s="26" t="s">
        <v>37</v>
      </c>
      <c r="C197" s="64" t="s">
        <v>275</v>
      </c>
      <c r="D197" s="65">
        <f>'дод 2'!E145+'дод 2'!E193</f>
        <v>13555650</v>
      </c>
      <c r="E197" s="65">
        <f>'дод 2'!F145+'дод 2'!F193</f>
        <v>13555650</v>
      </c>
      <c r="F197" s="65">
        <f>'дод 2'!G145+'дод 2'!G193</f>
        <v>0</v>
      </c>
      <c r="G197" s="65">
        <f>'дод 2'!H145+'дод 2'!H193</f>
        <v>0</v>
      </c>
      <c r="H197" s="65">
        <f>'дод 2'!I145+'дод 2'!I193</f>
        <v>0</v>
      </c>
      <c r="I197" s="65">
        <f>'дод 2'!J145+'дод 2'!J193</f>
        <v>600000</v>
      </c>
      <c r="J197" s="65">
        <f>'дод 2'!K145+'дод 2'!K193</f>
        <v>600000</v>
      </c>
      <c r="K197" s="65">
        <f>'дод 2'!L145+'дод 2'!L193</f>
        <v>0</v>
      </c>
      <c r="L197" s="65">
        <f>'дод 2'!M145+'дод 2'!M193</f>
        <v>0</v>
      </c>
      <c r="M197" s="65">
        <f>'дод 2'!N145+'дод 2'!N193</f>
        <v>0</v>
      </c>
      <c r="N197" s="65">
        <f>'дод 2'!O145+'дод 2'!O193</f>
        <v>600000</v>
      </c>
      <c r="O197" s="65">
        <f>'дод 2'!P145+'дод 2'!P193</f>
        <v>14155650</v>
      </c>
      <c r="P197" s="149"/>
    </row>
    <row r="198" spans="1:16" s="95" customFormat="1" ht="63" customHeight="1" x14ac:dyDescent="0.25">
      <c r="A198" s="66">
        <v>9800</v>
      </c>
      <c r="B198" s="31" t="s">
        <v>37</v>
      </c>
      <c r="C198" s="61" t="s">
        <v>374</v>
      </c>
      <c r="D198" s="62">
        <f>'дод 2'!E42</f>
        <v>9934164</v>
      </c>
      <c r="E198" s="62">
        <f>'дод 2'!F42</f>
        <v>9934164</v>
      </c>
      <c r="F198" s="62">
        <f>'дод 2'!G42</f>
        <v>0</v>
      </c>
      <c r="G198" s="62">
        <f>'дод 2'!H42</f>
        <v>0</v>
      </c>
      <c r="H198" s="62">
        <f>'дод 2'!I42</f>
        <v>0</v>
      </c>
      <c r="I198" s="62">
        <f>'дод 2'!J42</f>
        <v>9100000</v>
      </c>
      <c r="J198" s="62">
        <f>'дод 2'!K42</f>
        <v>9100000</v>
      </c>
      <c r="K198" s="62">
        <f>'дод 2'!L42</f>
        <v>0</v>
      </c>
      <c r="L198" s="62">
        <f>'дод 2'!M42</f>
        <v>0</v>
      </c>
      <c r="M198" s="62">
        <f>'дод 2'!N42</f>
        <v>0</v>
      </c>
      <c r="N198" s="62">
        <f>'дод 2'!O42</f>
        <v>9100000</v>
      </c>
      <c r="O198" s="62">
        <f>'дод 2'!P42</f>
        <v>19034164</v>
      </c>
      <c r="P198" s="149"/>
    </row>
    <row r="199" spans="1:16" s="95" customFormat="1" ht="21" customHeight="1" x14ac:dyDescent="0.25">
      <c r="A199" s="59"/>
      <c r="B199" s="59"/>
      <c r="C199" s="17" t="s">
        <v>512</v>
      </c>
      <c r="D199" s="62">
        <f t="shared" ref="D199:O199" si="45">D16+D19+D75+D83+D120+D125+D132+D147+D179+D195</f>
        <v>3313688641</v>
      </c>
      <c r="E199" s="62">
        <f t="shared" si="45"/>
        <v>2727905669</v>
      </c>
      <c r="F199" s="62">
        <f t="shared" si="45"/>
        <v>1309227275</v>
      </c>
      <c r="G199" s="62">
        <f t="shared" si="45"/>
        <v>233106458</v>
      </c>
      <c r="H199" s="62">
        <f t="shared" si="45"/>
        <v>161308409</v>
      </c>
      <c r="I199" s="62">
        <f t="shared" si="45"/>
        <v>996702909.56000006</v>
      </c>
      <c r="J199" s="62">
        <f t="shared" si="45"/>
        <v>788939163.05999994</v>
      </c>
      <c r="K199" s="62">
        <f t="shared" si="45"/>
        <v>95328200</v>
      </c>
      <c r="L199" s="62">
        <f t="shared" si="45"/>
        <v>13318380</v>
      </c>
      <c r="M199" s="62">
        <f t="shared" si="45"/>
        <v>7188778</v>
      </c>
      <c r="N199" s="62">
        <f t="shared" si="45"/>
        <v>901374709.56000006</v>
      </c>
      <c r="O199" s="62">
        <f t="shared" si="45"/>
        <v>4310391550.5599995</v>
      </c>
      <c r="P199" s="54"/>
    </row>
    <row r="200" spans="1:16" s="99" customFormat="1" ht="21" customHeight="1" x14ac:dyDescent="0.25">
      <c r="A200" s="104"/>
      <c r="B200" s="104"/>
      <c r="C200" s="22" t="s">
        <v>395</v>
      </c>
      <c r="D200" s="68">
        <f t="shared" ref="D200:O200" si="46">D85+D20+D21+D22+D23+D24+D25+D26+D86+D28+D27+D133</f>
        <v>439407063.82999998</v>
      </c>
      <c r="E200" s="68">
        <f t="shared" si="46"/>
        <v>439407063.82999998</v>
      </c>
      <c r="F200" s="68">
        <f t="shared" si="46"/>
        <v>297223700</v>
      </c>
      <c r="G200" s="68">
        <f t="shared" si="46"/>
        <v>0</v>
      </c>
      <c r="H200" s="68">
        <f t="shared" si="46"/>
        <v>0</v>
      </c>
      <c r="I200" s="68">
        <f t="shared" si="46"/>
        <v>390429928.67000002</v>
      </c>
      <c r="J200" s="68">
        <f t="shared" si="46"/>
        <v>257253828.67000002</v>
      </c>
      <c r="K200" s="68">
        <f t="shared" si="46"/>
        <v>28319400</v>
      </c>
      <c r="L200" s="68">
        <f t="shared" si="46"/>
        <v>0</v>
      </c>
      <c r="M200" s="68">
        <f t="shared" si="46"/>
        <v>0</v>
      </c>
      <c r="N200" s="68">
        <f t="shared" si="46"/>
        <v>362110528.67000002</v>
      </c>
      <c r="O200" s="68">
        <f t="shared" si="46"/>
        <v>829836992.5</v>
      </c>
      <c r="P200" s="54"/>
    </row>
    <row r="201" spans="1:16" s="99" customFormat="1" ht="78.75" x14ac:dyDescent="0.25">
      <c r="A201" s="104"/>
      <c r="B201" s="104"/>
      <c r="C201" s="22" t="s">
        <v>399</v>
      </c>
      <c r="D201" s="68">
        <f>D85</f>
        <v>71303000</v>
      </c>
      <c r="E201" s="68">
        <f t="shared" ref="E201:O201" si="47">E85</f>
        <v>71303000</v>
      </c>
      <c r="F201" s="68">
        <f t="shared" si="47"/>
        <v>0</v>
      </c>
      <c r="G201" s="68">
        <f t="shared" si="47"/>
        <v>0</v>
      </c>
      <c r="H201" s="68">
        <f t="shared" si="47"/>
        <v>0</v>
      </c>
      <c r="I201" s="68">
        <f t="shared" si="47"/>
        <v>0</v>
      </c>
      <c r="J201" s="68">
        <f t="shared" si="47"/>
        <v>0</v>
      </c>
      <c r="K201" s="68">
        <f t="shared" si="47"/>
        <v>0</v>
      </c>
      <c r="L201" s="68">
        <f t="shared" si="47"/>
        <v>0</v>
      </c>
      <c r="M201" s="68">
        <f t="shared" si="47"/>
        <v>0</v>
      </c>
      <c r="N201" s="68">
        <f t="shared" si="47"/>
        <v>0</v>
      </c>
      <c r="O201" s="68">
        <f t="shared" si="47"/>
        <v>71303000</v>
      </c>
      <c r="P201" s="54"/>
    </row>
    <row r="202" spans="1:16" s="99" customFormat="1" ht="47.25" x14ac:dyDescent="0.25">
      <c r="A202" s="104"/>
      <c r="B202" s="104"/>
      <c r="C202" s="22" t="s">
        <v>366</v>
      </c>
      <c r="D202" s="68">
        <f t="shared" ref="D202:O202" si="48">D29+D87+D148</f>
        <v>3966124</v>
      </c>
      <c r="E202" s="68">
        <f t="shared" si="48"/>
        <v>3966124</v>
      </c>
      <c r="F202" s="68">
        <f t="shared" si="48"/>
        <v>1528675</v>
      </c>
      <c r="G202" s="68">
        <f t="shared" si="48"/>
        <v>0</v>
      </c>
      <c r="H202" s="68">
        <f t="shared" si="48"/>
        <v>0</v>
      </c>
      <c r="I202" s="68">
        <f t="shared" si="48"/>
        <v>6564069.9000000004</v>
      </c>
      <c r="J202" s="68">
        <f t="shared" si="48"/>
        <v>0</v>
      </c>
      <c r="K202" s="68">
        <f t="shared" si="48"/>
        <v>0</v>
      </c>
      <c r="L202" s="68">
        <f t="shared" si="48"/>
        <v>0</v>
      </c>
      <c r="M202" s="68">
        <f t="shared" si="48"/>
        <v>0</v>
      </c>
      <c r="N202" s="68">
        <f t="shared" si="48"/>
        <v>6564069.9000000004</v>
      </c>
      <c r="O202" s="68">
        <f t="shared" si="48"/>
        <v>10530193.9</v>
      </c>
      <c r="P202" s="54"/>
    </row>
    <row r="203" spans="1:16" s="99" customFormat="1" x14ac:dyDescent="0.25">
      <c r="A203" s="104"/>
      <c r="B203" s="104"/>
      <c r="C203" s="22" t="s">
        <v>367</v>
      </c>
      <c r="D203" s="68">
        <f t="shared" ref="D203:O203" si="49">D84+D30+D180+D134</f>
        <v>1936957</v>
      </c>
      <c r="E203" s="68">
        <f t="shared" si="49"/>
        <v>1936957</v>
      </c>
      <c r="F203" s="68">
        <f t="shared" si="49"/>
        <v>422100</v>
      </c>
      <c r="G203" s="68">
        <f t="shared" si="49"/>
        <v>0</v>
      </c>
      <c r="H203" s="68">
        <f t="shared" si="49"/>
        <v>0</v>
      </c>
      <c r="I203" s="68">
        <f t="shared" si="49"/>
        <v>4500000</v>
      </c>
      <c r="J203" s="68">
        <f t="shared" si="49"/>
        <v>4500000</v>
      </c>
      <c r="K203" s="68">
        <f t="shared" si="49"/>
        <v>0</v>
      </c>
      <c r="L203" s="68">
        <f t="shared" si="49"/>
        <v>0</v>
      </c>
      <c r="M203" s="68">
        <f t="shared" si="49"/>
        <v>0</v>
      </c>
      <c r="N203" s="68">
        <f t="shared" si="49"/>
        <v>4500000</v>
      </c>
      <c r="O203" s="68">
        <f t="shared" si="49"/>
        <v>6436957</v>
      </c>
      <c r="P203" s="54"/>
    </row>
    <row r="204" spans="1:16" s="99" customFormat="1" ht="23.25" customHeight="1" x14ac:dyDescent="0.25">
      <c r="A204" s="67"/>
      <c r="B204" s="67"/>
      <c r="C204" s="22" t="s">
        <v>288</v>
      </c>
      <c r="D204" s="68">
        <f>D149+D150</f>
        <v>0</v>
      </c>
      <c r="E204" s="68">
        <f t="shared" ref="E204:O204" si="50">E149+E150</f>
        <v>0</v>
      </c>
      <c r="F204" s="68">
        <f t="shared" si="50"/>
        <v>0</v>
      </c>
      <c r="G204" s="68">
        <f t="shared" si="50"/>
        <v>0</v>
      </c>
      <c r="H204" s="68">
        <f t="shared" si="50"/>
        <v>0</v>
      </c>
      <c r="I204" s="68">
        <f t="shared" si="50"/>
        <v>252062997.38999999</v>
      </c>
      <c r="J204" s="68">
        <f t="shared" si="50"/>
        <v>252062997.38999999</v>
      </c>
      <c r="K204" s="68">
        <f t="shared" si="50"/>
        <v>0</v>
      </c>
      <c r="L204" s="68">
        <f t="shared" si="50"/>
        <v>0</v>
      </c>
      <c r="M204" s="68">
        <f t="shared" si="50"/>
        <v>0</v>
      </c>
      <c r="N204" s="68">
        <f t="shared" si="50"/>
        <v>252062997.38999999</v>
      </c>
      <c r="O204" s="68">
        <f t="shared" si="50"/>
        <v>252062997.38999999</v>
      </c>
      <c r="P204" s="54"/>
    </row>
    <row r="205" spans="1:16" s="99" customFormat="1" ht="174.75" customHeight="1" x14ac:dyDescent="0.25">
      <c r="A205" s="84"/>
      <c r="B205" s="84"/>
      <c r="C205" s="85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54"/>
    </row>
    <row r="206" spans="1:16" s="105" customFormat="1" ht="66.75" customHeight="1" x14ac:dyDescent="0.45">
      <c r="A206" s="147" t="s">
        <v>502</v>
      </c>
      <c r="B206" s="147"/>
      <c r="C206" s="147"/>
      <c r="D206" s="147"/>
      <c r="E206" s="47"/>
      <c r="F206" s="47"/>
      <c r="G206" s="5"/>
      <c r="H206" s="5"/>
      <c r="I206" s="5"/>
      <c r="J206" s="5"/>
      <c r="K206" s="5"/>
      <c r="L206" s="148" t="s">
        <v>501</v>
      </c>
      <c r="M206" s="148"/>
      <c r="N206" s="148"/>
      <c r="O206" s="87"/>
      <c r="P206" s="54"/>
    </row>
    <row r="207" spans="1:16" x14ac:dyDescent="0.25">
      <c r="P207" s="54"/>
    </row>
    <row r="208" spans="1:16" x14ac:dyDescent="0.25">
      <c r="P208" s="54"/>
    </row>
    <row r="209" spans="16:16" x14ac:dyDescent="0.25">
      <c r="P209" s="54"/>
    </row>
    <row r="210" spans="16:16" ht="18.75" x14ac:dyDescent="0.25">
      <c r="P210" s="54">
        <v>9</v>
      </c>
    </row>
    <row r="211" spans="16:16" x14ac:dyDescent="0.25">
      <c r="P211" s="54"/>
    </row>
    <row r="212" spans="16:16" x14ac:dyDescent="0.25">
      <c r="P212" s="54"/>
    </row>
    <row r="213" spans="16:16" x14ac:dyDescent="0.25">
      <c r="P213" s="54"/>
    </row>
    <row r="214" spans="16:16" x14ac:dyDescent="0.25">
      <c r="P214" s="54"/>
    </row>
    <row r="215" spans="16:16" x14ac:dyDescent="0.25">
      <c r="P215" s="54"/>
    </row>
    <row r="216" spans="16:16" x14ac:dyDescent="0.25">
      <c r="P216" s="54"/>
    </row>
    <row r="217" spans="16:16" x14ac:dyDescent="0.25">
      <c r="P217" s="54"/>
    </row>
    <row r="218" spans="16:16" x14ac:dyDescent="0.25">
      <c r="P218" s="54"/>
    </row>
    <row r="219" spans="16:16" x14ac:dyDescent="0.25">
      <c r="P219" s="54"/>
    </row>
    <row r="220" spans="16:16" x14ac:dyDescent="0.25">
      <c r="P220" s="54"/>
    </row>
    <row r="221" spans="16:16" x14ac:dyDescent="0.25">
      <c r="P221" s="54"/>
    </row>
    <row r="222" spans="16:16" x14ac:dyDescent="0.25">
      <c r="P222" s="54"/>
    </row>
    <row r="223" spans="16:16" x14ac:dyDescent="0.25">
      <c r="P223" s="54"/>
    </row>
    <row r="224" spans="16:16" x14ac:dyDescent="0.25">
      <c r="P224" s="54"/>
    </row>
    <row r="225" spans="16:16" x14ac:dyDescent="0.25">
      <c r="P225" s="54"/>
    </row>
    <row r="226" spans="16:16" x14ac:dyDescent="0.25">
      <c r="P226" s="54"/>
    </row>
    <row r="227" spans="16:16" x14ac:dyDescent="0.25">
      <c r="P227" s="54"/>
    </row>
    <row r="228" spans="16:16" x14ac:dyDescent="0.25">
      <c r="P228" s="54"/>
    </row>
    <row r="229" spans="16:16" x14ac:dyDescent="0.25">
      <c r="P229" s="54"/>
    </row>
    <row r="230" spans="16:16" x14ac:dyDescent="0.25">
      <c r="P230" s="54"/>
    </row>
    <row r="231" spans="16:16" x14ac:dyDescent="0.25">
      <c r="P231" s="54"/>
    </row>
    <row r="232" spans="16:16" x14ac:dyDescent="0.25">
      <c r="P232" s="54"/>
    </row>
    <row r="233" spans="16:16" x14ac:dyDescent="0.25">
      <c r="P233" s="54"/>
    </row>
    <row r="234" spans="16:16" x14ac:dyDescent="0.25">
      <c r="P234" s="54"/>
    </row>
  </sheetData>
  <mergeCells count="29">
    <mergeCell ref="P174:P198"/>
    <mergeCell ref="P31:P54"/>
    <mergeCell ref="P55:P67"/>
    <mergeCell ref="P68:P92"/>
    <mergeCell ref="P93:P118"/>
    <mergeCell ref="P119:P145"/>
    <mergeCell ref="P146:P172"/>
    <mergeCell ref="A206:D206"/>
    <mergeCell ref="L206:N206"/>
    <mergeCell ref="H14:H15"/>
    <mergeCell ref="I14:I15"/>
    <mergeCell ref="I13:N13"/>
    <mergeCell ref="J14:J15"/>
    <mergeCell ref="Q1:Q79"/>
    <mergeCell ref="J4:O4"/>
    <mergeCell ref="N14:N15"/>
    <mergeCell ref="O13:O15"/>
    <mergeCell ref="A10:O10"/>
    <mergeCell ref="A11:O11"/>
    <mergeCell ref="A9:O9"/>
    <mergeCell ref="B13:B15"/>
    <mergeCell ref="C13:C15"/>
    <mergeCell ref="A13:A15"/>
    <mergeCell ref="D14:D15"/>
    <mergeCell ref="L14:M14"/>
    <mergeCell ref="E14:E15"/>
    <mergeCell ref="F14:G14"/>
    <mergeCell ref="D13:H13"/>
    <mergeCell ref="K14:K15"/>
  </mergeCells>
  <phoneticPr fontId="3" type="noConversion"/>
  <printOptions horizontalCentered="1"/>
  <pageMargins left="0" right="0" top="0.86614173228346458" bottom="0.23622047244094491" header="0.43307086614173229" footer="0.23622047244094491"/>
  <pageSetup paperSize="9" scale="42" fitToHeight="10000" orientation="landscape" horizontalDpi="360" verticalDpi="360" r:id="rId1"/>
  <headerFooter scaleWithDoc="0" alignWithMargins="0"/>
  <rowBreaks count="4" manualBreakCount="4">
    <brk id="67" max="15" man="1"/>
    <brk id="145" max="15" man="1"/>
    <brk id="172" max="15" man="1"/>
    <brk id="19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2</vt:lpstr>
      <vt:lpstr>дод 5</vt:lpstr>
      <vt:lpstr>'дод 2'!Заголовки_для_печати</vt:lpstr>
      <vt:lpstr>'дод 5'!Заголовки_для_печати</vt:lpstr>
      <vt:lpstr>'дод 2'!Область_печати</vt:lpstr>
      <vt:lpstr>'дод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Яненко Наталія Олександрівна</cp:lastModifiedBy>
  <cp:lastPrinted>2025-04-15T10:49:16Z</cp:lastPrinted>
  <dcterms:created xsi:type="dcterms:W3CDTF">2014-01-17T10:52:16Z</dcterms:created>
  <dcterms:modified xsi:type="dcterms:W3CDTF">2025-04-16T05:56:01Z</dcterms:modified>
</cp:coreProperties>
</file>