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Дод.2" sheetId="1" r:id="rId1"/>
    <sheet name="Дод.3" sheetId="2" r:id="rId2"/>
  </sheets>
  <definedNames>
    <definedName name="_xlnm.Print_Titles" localSheetId="0">Дод.2!$10:$13</definedName>
    <definedName name="_xlnm.Print_Titles" localSheetId="1">Дод.3!$10:$12</definedName>
    <definedName name="_xlnm.Print_Area" localSheetId="0">Дод.2!$A$1:$N$147</definedName>
    <definedName name="_xlnm.Print_Area" localSheetId="1">Дод.3!$A$1:$G$195</definedName>
  </definedNames>
  <calcPr calcId="162913"/>
</workbook>
</file>

<file path=xl/calcChain.xml><?xml version="1.0" encoding="utf-8"?>
<calcChain xmlns="http://schemas.openxmlformats.org/spreadsheetml/2006/main">
  <c r="E177" i="2" l="1"/>
  <c r="N119" i="1" l="1"/>
  <c r="K119" i="1"/>
  <c r="H129" i="1"/>
  <c r="F129" i="1" s="1"/>
  <c r="F142" i="1"/>
  <c r="H141" i="1"/>
  <c r="F141" i="1" s="1"/>
  <c r="F144" i="1"/>
  <c r="H133" i="1"/>
  <c r="H113" i="1" l="1"/>
  <c r="H112" i="1" s="1"/>
  <c r="H111" i="1" s="1"/>
  <c r="H115" i="1"/>
  <c r="F115" i="1" s="1"/>
  <c r="E66" i="2" l="1"/>
  <c r="E65" i="2"/>
  <c r="G175" i="2" l="1"/>
  <c r="F175" i="2"/>
  <c r="E175" i="2"/>
  <c r="H18" i="1"/>
  <c r="F18" i="1"/>
  <c r="O111" i="1" l="1"/>
  <c r="H127" i="1" l="1"/>
  <c r="G104" i="2" l="1"/>
  <c r="F104" i="2"/>
  <c r="G75" i="1" l="1"/>
  <c r="F76" i="1"/>
  <c r="F75" i="1" l="1"/>
  <c r="E104" i="2"/>
  <c r="E106" i="2" s="1"/>
  <c r="H128" i="1" l="1"/>
  <c r="H120" i="1" s="1"/>
  <c r="H17" i="1" s="1"/>
  <c r="H134" i="1"/>
  <c r="H126" i="1" s="1"/>
  <c r="F143" i="1"/>
  <c r="F140" i="1"/>
  <c r="H125" i="1" l="1"/>
  <c r="H124" i="1" s="1"/>
  <c r="F120" i="1"/>
  <c r="F134" i="1"/>
  <c r="F14" i="2"/>
  <c r="F16" i="2"/>
  <c r="E16" i="2"/>
  <c r="O125" i="1" l="1"/>
  <c r="H119" i="1"/>
  <c r="H118" i="1" s="1"/>
  <c r="F17" i="1"/>
  <c r="G106" i="1"/>
  <c r="H15" i="1" l="1"/>
  <c r="H16" i="1"/>
  <c r="F119" i="1"/>
  <c r="I85" i="1"/>
  <c r="L85" i="1"/>
  <c r="G85" i="1" l="1"/>
  <c r="F86" i="1"/>
  <c r="F85" i="1" l="1"/>
  <c r="E118" i="2"/>
  <c r="G131" i="2"/>
  <c r="F131" i="2"/>
  <c r="E131" i="2"/>
  <c r="G129" i="2"/>
  <c r="F129" i="2"/>
  <c r="E129" i="2"/>
  <c r="G16" i="2" l="1"/>
  <c r="E14" i="2"/>
  <c r="L125" i="1"/>
  <c r="L124" i="1"/>
  <c r="I125" i="1"/>
  <c r="I124" i="1"/>
  <c r="F130" i="1"/>
  <c r="F131" i="1"/>
  <c r="F132" i="1"/>
  <c r="F133" i="1"/>
  <c r="F135" i="1"/>
  <c r="F136" i="1"/>
  <c r="F137" i="1"/>
  <c r="F138" i="1"/>
  <c r="F139" i="1"/>
  <c r="F130" i="2" l="1"/>
  <c r="G130" i="2"/>
  <c r="G104" i="1"/>
  <c r="G103" i="1"/>
  <c r="O89" i="1" l="1"/>
  <c r="L106" i="1"/>
  <c r="I106" i="1"/>
  <c r="M105" i="1"/>
  <c r="L105" i="1" s="1"/>
  <c r="J105" i="1"/>
  <c r="F146" i="2" s="1"/>
  <c r="F148" i="2" s="1"/>
  <c r="F106" i="1"/>
  <c r="G105" i="1"/>
  <c r="E146" i="2" s="1"/>
  <c r="E148" i="2" s="1"/>
  <c r="G37" i="1"/>
  <c r="G36" i="1"/>
  <c r="F37" i="2"/>
  <c r="G37" i="2"/>
  <c r="F36" i="2"/>
  <c r="G36" i="2"/>
  <c r="E37" i="2"/>
  <c r="E36" i="2"/>
  <c r="O23" i="1" l="1"/>
  <c r="O22" i="1"/>
  <c r="O16" i="1"/>
  <c r="I105" i="1"/>
  <c r="G146" i="2"/>
  <c r="G148" i="2" s="1"/>
  <c r="F105" i="1"/>
  <c r="E156" i="2"/>
  <c r="G156" i="2"/>
  <c r="F156" i="2"/>
  <c r="F154" i="2"/>
  <c r="G154" i="2"/>
  <c r="E154" i="2"/>
  <c r="F102" i="2" l="1"/>
  <c r="G102" i="2"/>
  <c r="E102" i="2"/>
  <c r="F66" i="2"/>
  <c r="G66" i="2"/>
  <c r="F65" i="2"/>
  <c r="G65" i="2"/>
  <c r="E139" i="2" l="1"/>
  <c r="E130" i="2" s="1"/>
  <c r="G135" i="2"/>
  <c r="G128" i="2" s="1"/>
  <c r="F135" i="2"/>
  <c r="F128" i="2" s="1"/>
  <c r="E135" i="2"/>
  <c r="E128" i="2" s="1"/>
  <c r="G43" i="2"/>
  <c r="F43" i="2"/>
  <c r="E45" i="2"/>
  <c r="E44" i="2"/>
  <c r="F45" i="2" l="1"/>
  <c r="G45" i="2"/>
  <c r="F44" i="2"/>
  <c r="G44" i="2"/>
  <c r="F128" i="1" l="1"/>
  <c r="F127" i="1"/>
  <c r="F126" i="1"/>
  <c r="F125" i="1"/>
  <c r="F124" i="1" l="1"/>
  <c r="H122" i="1"/>
  <c r="H121" i="1" s="1"/>
  <c r="F123" i="1"/>
  <c r="F122" i="1" l="1"/>
  <c r="F121" i="1" s="1"/>
  <c r="G183" i="2"/>
  <c r="E183" i="2"/>
  <c r="F183" i="2"/>
  <c r="J27" i="1" l="1"/>
  <c r="M27" i="1" s="1"/>
  <c r="L114" i="1"/>
  <c r="J108" i="1"/>
  <c r="J107" i="1" s="1"/>
  <c r="I107" i="1" s="1"/>
  <c r="J104" i="1"/>
  <c r="M104" i="1" s="1"/>
  <c r="L104" i="1" s="1"/>
  <c r="J103" i="1"/>
  <c r="J100" i="1"/>
  <c r="M100" i="1" s="1"/>
  <c r="J101" i="1"/>
  <c r="M101" i="1" s="1"/>
  <c r="J99" i="1"/>
  <c r="M99" i="1" s="1"/>
  <c r="J96" i="1"/>
  <c r="M96" i="1" s="1"/>
  <c r="J97" i="1"/>
  <c r="M97" i="1" s="1"/>
  <c r="J95" i="1"/>
  <c r="J84" i="1"/>
  <c r="M84" i="1" s="1"/>
  <c r="J80" i="1"/>
  <c r="M80" i="1" s="1"/>
  <c r="M73" i="1"/>
  <c r="L73" i="1" s="1"/>
  <c r="J72" i="1"/>
  <c r="J71" i="1"/>
  <c r="M71" i="1" s="1"/>
  <c r="J69" i="1"/>
  <c r="M69" i="1" s="1"/>
  <c r="L69" i="1" s="1"/>
  <c r="J68" i="1"/>
  <c r="M68" i="1" s="1"/>
  <c r="L68" i="1" s="1"/>
  <c r="J66" i="1"/>
  <c r="M66" i="1" s="1"/>
  <c r="L66" i="1" s="1"/>
  <c r="J64" i="1"/>
  <c r="M64" i="1" s="1"/>
  <c r="J63" i="1"/>
  <c r="M63" i="1" s="1"/>
  <c r="J61" i="1"/>
  <c r="M61" i="1" s="1"/>
  <c r="L61" i="1" s="1"/>
  <c r="J60" i="1"/>
  <c r="M60" i="1" s="1"/>
  <c r="J56" i="1"/>
  <c r="M56" i="1" s="1"/>
  <c r="L56" i="1" s="1"/>
  <c r="J57" i="1"/>
  <c r="J55" i="1"/>
  <c r="M55" i="1" s="1"/>
  <c r="L55" i="1" s="1"/>
  <c r="J54" i="1"/>
  <c r="M54" i="1" s="1"/>
  <c r="J50" i="1"/>
  <c r="M50" i="1" s="1"/>
  <c r="J43" i="1"/>
  <c r="J44" i="1"/>
  <c r="M44" i="1" s="1"/>
  <c r="L44" i="1" s="1"/>
  <c r="J45" i="1"/>
  <c r="J46" i="1"/>
  <c r="M46" i="1" s="1"/>
  <c r="L46" i="1" s="1"/>
  <c r="J42" i="1"/>
  <c r="M42" i="1" s="1"/>
  <c r="J34" i="1"/>
  <c r="J32" i="1"/>
  <c r="M32" i="1" s="1"/>
  <c r="L32" i="1" s="1"/>
  <c r="J31" i="1"/>
  <c r="M31" i="1" s="1"/>
  <c r="J30" i="1"/>
  <c r="M30" i="1" s="1"/>
  <c r="J28" i="1"/>
  <c r="M28" i="1" s="1"/>
  <c r="G26" i="1"/>
  <c r="E23" i="2" s="1"/>
  <c r="F104" i="1"/>
  <c r="F103" i="1"/>
  <c r="F55" i="1"/>
  <c r="F56" i="1"/>
  <c r="F57" i="1"/>
  <c r="F54" i="1"/>
  <c r="F43" i="1"/>
  <c r="F44" i="1"/>
  <c r="F45" i="1"/>
  <c r="F46" i="1"/>
  <c r="F42" i="1"/>
  <c r="F34" i="1"/>
  <c r="F74" i="1"/>
  <c r="F66" i="1"/>
  <c r="F69" i="1"/>
  <c r="F68" i="1"/>
  <c r="G67" i="1"/>
  <c r="G53" i="1"/>
  <c r="E68" i="2" s="1"/>
  <c r="G70" i="1"/>
  <c r="F70" i="1" s="1"/>
  <c r="E25" i="2" l="1"/>
  <c r="M72" i="1"/>
  <c r="M95" i="1"/>
  <c r="E71" i="2"/>
  <c r="E72" i="2"/>
  <c r="M103" i="1"/>
  <c r="P89" i="1"/>
  <c r="I71" i="1"/>
  <c r="I97" i="1"/>
  <c r="I80" i="1"/>
  <c r="F67" i="1"/>
  <c r="E87" i="2"/>
  <c r="M34" i="1"/>
  <c r="L34" i="1" s="1"/>
  <c r="M108" i="1"/>
  <c r="I101" i="1"/>
  <c r="M45" i="1"/>
  <c r="L45" i="1" s="1"/>
  <c r="M43" i="1"/>
  <c r="L43" i="1" s="1"/>
  <c r="M57" i="1"/>
  <c r="L57" i="1" s="1"/>
  <c r="J26" i="1"/>
  <c r="F23" i="2" s="1"/>
  <c r="P111" i="1"/>
  <c r="J79" i="1"/>
  <c r="J78" i="1" s="1"/>
  <c r="J77" i="1" s="1"/>
  <c r="Q111" i="1"/>
  <c r="J67" i="1"/>
  <c r="I68" i="1"/>
  <c r="I66" i="1"/>
  <c r="I72" i="1"/>
  <c r="L74" i="1"/>
  <c r="I34" i="1"/>
  <c r="I45" i="1"/>
  <c r="I43" i="1"/>
  <c r="I57" i="1"/>
  <c r="I55" i="1"/>
  <c r="L54" i="1"/>
  <c r="I61" i="1"/>
  <c r="I103" i="1"/>
  <c r="I114" i="1"/>
  <c r="M67" i="1"/>
  <c r="I69" i="1"/>
  <c r="I74" i="1"/>
  <c r="J73" i="1"/>
  <c r="I73" i="1" s="1"/>
  <c r="I46" i="1"/>
  <c r="I44" i="1"/>
  <c r="I54" i="1"/>
  <c r="I56" i="1"/>
  <c r="I104" i="1"/>
  <c r="J53" i="1"/>
  <c r="I32" i="1"/>
  <c r="J70" i="1"/>
  <c r="I70" i="1" s="1"/>
  <c r="L97" i="1"/>
  <c r="L101" i="1"/>
  <c r="F25" i="2" l="1"/>
  <c r="F30" i="2"/>
  <c r="L72" i="1"/>
  <c r="L103" i="1"/>
  <c r="Q89" i="1"/>
  <c r="F186" i="2"/>
  <c r="I53" i="1"/>
  <c r="F68" i="2"/>
  <c r="L67" i="1"/>
  <c r="G87" i="2"/>
  <c r="I67" i="1"/>
  <c r="F87" i="2"/>
  <c r="I79" i="1"/>
  <c r="M53" i="1"/>
  <c r="G68" i="2" s="1"/>
  <c r="M26" i="1"/>
  <c r="G23" i="2" s="1"/>
  <c r="G25" i="2" s="1"/>
  <c r="M70" i="1"/>
  <c r="L70" i="1" s="1"/>
  <c r="L71" i="1"/>
  <c r="M79" i="1"/>
  <c r="L79" i="1" s="1"/>
  <c r="L80" i="1"/>
  <c r="F114" i="1"/>
  <c r="G79" i="1"/>
  <c r="F79" i="1" s="1"/>
  <c r="F80" i="1"/>
  <c r="G73" i="1"/>
  <c r="F72" i="1"/>
  <c r="F32" i="1"/>
  <c r="M113" i="1"/>
  <c r="M112" i="1" s="1"/>
  <c r="J113" i="1"/>
  <c r="J112" i="1" s="1"/>
  <c r="G113" i="1"/>
  <c r="F113" i="1" s="1"/>
  <c r="E163" i="2" s="1"/>
  <c r="G112" i="1" l="1"/>
  <c r="F191" i="2"/>
  <c r="F181" i="2"/>
  <c r="G71" i="2"/>
  <c r="G72" i="2"/>
  <c r="F71" i="2"/>
  <c r="F72" i="2"/>
  <c r="G186" i="2"/>
  <c r="K118" i="1"/>
  <c r="I118" i="1" s="1"/>
  <c r="I119" i="1"/>
  <c r="K16" i="1"/>
  <c r="K15" i="1" s="1"/>
  <c r="F73" i="1"/>
  <c r="E95" i="2"/>
  <c r="I78" i="1"/>
  <c r="I77" i="1"/>
  <c r="M78" i="1"/>
  <c r="L113" i="1"/>
  <c r="G78" i="1"/>
  <c r="I113" i="1"/>
  <c r="F112" i="1" l="1"/>
  <c r="G111" i="1"/>
  <c r="G191" i="2"/>
  <c r="G181" i="2"/>
  <c r="L119" i="1"/>
  <c r="N118" i="1"/>
  <c r="L118" i="1" s="1"/>
  <c r="N16" i="1"/>
  <c r="N15" i="1" s="1"/>
  <c r="F78" i="1"/>
  <c r="G77" i="1"/>
  <c r="F77" i="1" s="1"/>
  <c r="L78" i="1"/>
  <c r="M77" i="1"/>
  <c r="L77" i="1" s="1"/>
  <c r="L112" i="1"/>
  <c r="M111" i="1"/>
  <c r="L111" i="1" s="1"/>
  <c r="I112" i="1"/>
  <c r="J111" i="1"/>
  <c r="I111" i="1" s="1"/>
  <c r="G83" i="1"/>
  <c r="G82" i="1" s="1"/>
  <c r="J83" i="1"/>
  <c r="M83" i="1"/>
  <c r="F84" i="1"/>
  <c r="I84" i="1"/>
  <c r="L84" i="1"/>
  <c r="F111" i="1" l="1"/>
  <c r="L83" i="1"/>
  <c r="M82" i="1"/>
  <c r="M81" i="1" s="1"/>
  <c r="I83" i="1"/>
  <c r="J82" i="1"/>
  <c r="J81" i="1" s="1"/>
  <c r="I81" i="1" s="1"/>
  <c r="F83" i="1"/>
  <c r="E114" i="2"/>
  <c r="E116" i="2" s="1"/>
  <c r="E186" i="2"/>
  <c r="I82" i="1"/>
  <c r="M107" i="1"/>
  <c r="L107" i="1" s="1"/>
  <c r="J93" i="1"/>
  <c r="I93" i="1" s="1"/>
  <c r="G107" i="1"/>
  <c r="M102" i="1"/>
  <c r="J102" i="1"/>
  <c r="G102" i="1"/>
  <c r="M98" i="1"/>
  <c r="L98" i="1" s="1"/>
  <c r="J98" i="1"/>
  <c r="I98" i="1" s="1"/>
  <c r="G98" i="1"/>
  <c r="F101" i="1"/>
  <c r="F97" i="1"/>
  <c r="M94" i="1"/>
  <c r="G134" i="2" s="1"/>
  <c r="J94" i="1"/>
  <c r="F134" i="2" s="1"/>
  <c r="G94" i="1"/>
  <c r="E134" i="2" s="1"/>
  <c r="E137" i="2" s="1"/>
  <c r="F61" i="1"/>
  <c r="G137" i="2" l="1"/>
  <c r="F137" i="2"/>
  <c r="E136" i="2"/>
  <c r="G136" i="2"/>
  <c r="F136" i="2"/>
  <c r="E191" i="2"/>
  <c r="E181" i="2"/>
  <c r="G90" i="1"/>
  <c r="G89" i="1" s="1"/>
  <c r="F89" i="1" s="1"/>
  <c r="G92" i="1"/>
  <c r="F92" i="1" s="1"/>
  <c r="L102" i="1"/>
  <c r="M90" i="1"/>
  <c r="M89" i="1" s="1"/>
  <c r="L89" i="1" s="1"/>
  <c r="M92" i="1"/>
  <c r="L92" i="1" s="1"/>
  <c r="I102" i="1"/>
  <c r="J92" i="1"/>
  <c r="I92" i="1" s="1"/>
  <c r="J90" i="1"/>
  <c r="J89" i="1" s="1"/>
  <c r="I89" i="1" s="1"/>
  <c r="F118" i="1"/>
  <c r="F98" i="1"/>
  <c r="E138" i="2"/>
  <c r="G93" i="1"/>
  <c r="F93" i="1" s="1"/>
  <c r="E149" i="2"/>
  <c r="F102" i="1"/>
  <c r="E142" i="2"/>
  <c r="E144" i="2" s="1"/>
  <c r="I94" i="1"/>
  <c r="L94" i="1"/>
  <c r="L90" i="1" s="1"/>
  <c r="G91" i="1"/>
  <c r="F91" i="1" s="1"/>
  <c r="F94" i="1"/>
  <c r="M93" i="1"/>
  <c r="L93" i="1" s="1"/>
  <c r="L82" i="1"/>
  <c r="L81" i="1"/>
  <c r="M91" i="1"/>
  <c r="L91" i="1" s="1"/>
  <c r="F107" i="1"/>
  <c r="F82" i="1"/>
  <c r="G81" i="1"/>
  <c r="F81" i="1" s="1"/>
  <c r="J91" i="1"/>
  <c r="I91" i="1" s="1"/>
  <c r="G59" i="1"/>
  <c r="M65" i="1"/>
  <c r="J65" i="1"/>
  <c r="G65" i="1"/>
  <c r="M62" i="1"/>
  <c r="J62" i="1"/>
  <c r="G62" i="1"/>
  <c r="M59" i="1"/>
  <c r="J59" i="1"/>
  <c r="G29" i="1"/>
  <c r="E27" i="2" s="1"/>
  <c r="E30" i="2" s="1"/>
  <c r="L26" i="1"/>
  <c r="J24" i="1"/>
  <c r="G24" i="1"/>
  <c r="E29" i="2" l="1"/>
  <c r="E140" i="2"/>
  <c r="H131" i="2"/>
  <c r="E180" i="2"/>
  <c r="F180" i="2"/>
  <c r="H129" i="2"/>
  <c r="E132" i="2"/>
  <c r="L59" i="1"/>
  <c r="G76" i="2"/>
  <c r="G80" i="2" s="1"/>
  <c r="I62" i="1"/>
  <c r="F77" i="2"/>
  <c r="F81" i="2" s="1"/>
  <c r="F65" i="1"/>
  <c r="E83" i="2"/>
  <c r="E85" i="2" s="1"/>
  <c r="L65" i="1"/>
  <c r="G83" i="2"/>
  <c r="I59" i="1"/>
  <c r="F76" i="2"/>
  <c r="F80" i="2" s="1"/>
  <c r="F62" i="1"/>
  <c r="E77" i="2"/>
  <c r="E81" i="2" s="1"/>
  <c r="L62" i="1"/>
  <c r="G77" i="2"/>
  <c r="G81" i="2" s="1"/>
  <c r="I65" i="1"/>
  <c r="F83" i="2"/>
  <c r="F59" i="1"/>
  <c r="E76" i="2"/>
  <c r="E80" i="2" s="1"/>
  <c r="F90" i="1"/>
  <c r="I90" i="1"/>
  <c r="M24" i="1"/>
  <c r="M58" i="1"/>
  <c r="L58" i="1" s="1"/>
  <c r="F24" i="1"/>
  <c r="I24" i="1"/>
  <c r="L24" i="1"/>
  <c r="J58" i="1"/>
  <c r="I58" i="1" s="1"/>
  <c r="F26" i="1"/>
  <c r="I26" i="1"/>
  <c r="G58" i="1"/>
  <c r="F58" i="1" s="1"/>
  <c r="L64" i="1"/>
  <c r="L63" i="1"/>
  <c r="I64" i="1"/>
  <c r="I63" i="1"/>
  <c r="F64" i="1"/>
  <c r="F63" i="1"/>
  <c r="L53" i="1"/>
  <c r="F53" i="1"/>
  <c r="G51" i="1"/>
  <c r="F51" i="1" s="1"/>
  <c r="J51" i="1"/>
  <c r="I51" i="1" s="1"/>
  <c r="M51" i="1"/>
  <c r="L51" i="1" s="1"/>
  <c r="L52" i="1"/>
  <c r="I52" i="1"/>
  <c r="F52" i="1"/>
  <c r="M49" i="1"/>
  <c r="J49" i="1"/>
  <c r="J40" i="1" s="1"/>
  <c r="G49" i="1"/>
  <c r="M47" i="1"/>
  <c r="L47" i="1" s="1"/>
  <c r="J47" i="1"/>
  <c r="I47" i="1" s="1"/>
  <c r="G47" i="1"/>
  <c r="F47" i="1" s="1"/>
  <c r="G41" i="1"/>
  <c r="J41" i="1"/>
  <c r="J39" i="1" s="1"/>
  <c r="M41" i="1"/>
  <c r="M33" i="1"/>
  <c r="J33" i="1"/>
  <c r="G33" i="1"/>
  <c r="M29" i="1"/>
  <c r="G27" i="2" s="1"/>
  <c r="J29" i="1"/>
  <c r="F29" i="1"/>
  <c r="L31" i="1"/>
  <c r="L30" i="1"/>
  <c r="I31" i="1"/>
  <c r="I30" i="1"/>
  <c r="F31" i="1"/>
  <c r="F30" i="1"/>
  <c r="L28" i="1"/>
  <c r="L27" i="1"/>
  <c r="I28" i="1"/>
  <c r="I27" i="1"/>
  <c r="F28" i="1"/>
  <c r="F27" i="1"/>
  <c r="L100" i="1"/>
  <c r="L99" i="1"/>
  <c r="I100" i="1"/>
  <c r="I99" i="1"/>
  <c r="F100" i="1"/>
  <c r="F99" i="1"/>
  <c r="L96" i="1"/>
  <c r="L95" i="1"/>
  <c r="I96" i="1"/>
  <c r="I95" i="1"/>
  <c r="F96" i="1"/>
  <c r="F95" i="1"/>
  <c r="J37" i="1"/>
  <c r="M37" i="1" s="1"/>
  <c r="M39" i="1" l="1"/>
  <c r="G38" i="1"/>
  <c r="F38" i="1" s="1"/>
  <c r="G39" i="1"/>
  <c r="G29" i="2"/>
  <c r="F85" i="2"/>
  <c r="F86" i="2"/>
  <c r="G85" i="2"/>
  <c r="G86" i="2"/>
  <c r="I33" i="1"/>
  <c r="F31" i="2"/>
  <c r="F33" i="1"/>
  <c r="E31" i="2"/>
  <c r="L33" i="1"/>
  <c r="G31" i="2"/>
  <c r="I29" i="1"/>
  <c r="F27" i="2"/>
  <c r="F29" i="2" s="1"/>
  <c r="M38" i="1"/>
  <c r="L38" i="1" s="1"/>
  <c r="J38" i="1"/>
  <c r="I38" i="1" s="1"/>
  <c r="F37" i="1"/>
  <c r="F49" i="1"/>
  <c r="G40" i="1"/>
  <c r="L49" i="1"/>
  <c r="M40" i="1"/>
  <c r="I49" i="1"/>
  <c r="L29" i="1"/>
  <c r="G30" i="2" l="1"/>
  <c r="J36" i="1"/>
  <c r="L37" i="1"/>
  <c r="I37" i="1"/>
  <c r="I39" i="1"/>
  <c r="I40" i="1"/>
  <c r="L39" i="1"/>
  <c r="L40" i="1"/>
  <c r="F39" i="1"/>
  <c r="F40" i="1"/>
  <c r="G35" i="1"/>
  <c r="E39" i="2" s="1"/>
  <c r="E46" i="2" s="1"/>
  <c r="F36" i="1"/>
  <c r="L108" i="1"/>
  <c r="I108" i="1"/>
  <c r="F108" i="1"/>
  <c r="P22" i="1" l="1"/>
  <c r="P16" i="1"/>
  <c r="M36" i="1"/>
  <c r="P23" i="1"/>
  <c r="I36" i="1"/>
  <c r="J35" i="1"/>
  <c r="F35" i="1"/>
  <c r="G25" i="1"/>
  <c r="Q16" i="1" l="1"/>
  <c r="Q22" i="1"/>
  <c r="I35" i="1"/>
  <c r="F39" i="2"/>
  <c r="F46" i="2" s="1"/>
  <c r="L36" i="1"/>
  <c r="Q23" i="1"/>
  <c r="M35" i="1"/>
  <c r="J25" i="1"/>
  <c r="J23" i="1" s="1"/>
  <c r="F25" i="1"/>
  <c r="G23" i="1"/>
  <c r="L50" i="1"/>
  <c r="I50" i="1"/>
  <c r="F50" i="1"/>
  <c r="G22" i="1" l="1"/>
  <c r="L35" i="1"/>
  <c r="G39" i="2"/>
  <c r="G46" i="2" s="1"/>
  <c r="I25" i="1"/>
  <c r="M25" i="1"/>
  <c r="I23" i="1"/>
  <c r="J22" i="1"/>
  <c r="J16" i="1" s="1"/>
  <c r="F23" i="1"/>
  <c r="F71" i="1"/>
  <c r="L60" i="1"/>
  <c r="I60" i="1"/>
  <c r="F60" i="1"/>
  <c r="L48" i="1"/>
  <c r="I48" i="1"/>
  <c r="F48" i="1"/>
  <c r="G21" i="1" l="1"/>
  <c r="O15" i="1" s="1"/>
  <c r="G16" i="1"/>
  <c r="M23" i="1"/>
  <c r="L25" i="1"/>
  <c r="J15" i="1"/>
  <c r="I15" i="1" s="1"/>
  <c r="I16" i="1"/>
  <c r="F21" i="1"/>
  <c r="F22" i="1"/>
  <c r="J21" i="1"/>
  <c r="I21" i="1" s="1"/>
  <c r="I22" i="1"/>
  <c r="G14" i="2"/>
  <c r="G15" i="1" l="1"/>
  <c r="F15" i="1" s="1"/>
  <c r="P15" i="1" s="1"/>
  <c r="F16" i="1"/>
  <c r="L23" i="1"/>
  <c r="M22" i="1"/>
  <c r="M16" i="1" l="1"/>
  <c r="L22" i="1"/>
  <c r="M21" i="1"/>
  <c r="L21" i="1" s="1"/>
  <c r="L16" i="1" l="1"/>
  <c r="M15" i="1"/>
  <c r="L15" i="1" s="1"/>
  <c r="E165" i="2"/>
  <c r="E161" i="2" l="1"/>
  <c r="E160" i="2" s="1"/>
  <c r="G95" i="2"/>
  <c r="G165" i="2" l="1"/>
  <c r="F165" i="2"/>
  <c r="G114" i="2" l="1"/>
  <c r="F114" i="2"/>
  <c r="G109" i="2"/>
  <c r="G111" i="2" s="1"/>
  <c r="F109" i="2"/>
  <c r="F111" i="2" s="1"/>
  <c r="E109" i="2"/>
  <c r="E111" i="2" s="1"/>
  <c r="F95" i="2"/>
  <c r="G91" i="2"/>
  <c r="E91" i="2"/>
  <c r="G116" i="2" l="1"/>
  <c r="F116" i="2"/>
  <c r="G74" i="2"/>
  <c r="F91" i="2" l="1"/>
  <c r="E48" i="2" l="1"/>
  <c r="E50" i="2" l="1"/>
  <c r="G163" i="2"/>
  <c r="G161" i="2" s="1"/>
  <c r="G180" i="2"/>
  <c r="F163" i="2"/>
  <c r="F161" i="2" s="1"/>
  <c r="F160" i="2" s="1"/>
  <c r="F142" i="2"/>
  <c r="F149" i="2"/>
  <c r="G142" i="2"/>
  <c r="G149" i="2"/>
  <c r="G160" i="2" l="1"/>
  <c r="G144" i="2"/>
  <c r="J129" i="2"/>
  <c r="F144" i="2"/>
  <c r="I129" i="2"/>
  <c r="G138" i="2"/>
  <c r="G132" i="2" l="1"/>
  <c r="J131" i="2"/>
  <c r="G140" i="2"/>
  <c r="F138" i="2"/>
  <c r="F132" i="2" l="1"/>
  <c r="I131" i="2"/>
  <c r="F140" i="2"/>
  <c r="E52" i="2"/>
  <c r="L42" i="1"/>
  <c r="I42" i="1"/>
  <c r="F48" i="2"/>
  <c r="F41" i="1"/>
  <c r="F50" i="2" l="1"/>
  <c r="E54" i="2"/>
  <c r="G48" i="2"/>
  <c r="F52" i="2"/>
  <c r="E56" i="2"/>
  <c r="E58" i="2" s="1"/>
  <c r="G56" i="2"/>
  <c r="G58" i="2" s="1"/>
  <c r="E60" i="2"/>
  <c r="G60" i="2"/>
  <c r="G52" i="2"/>
  <c r="F56" i="2"/>
  <c r="F58" i="2" s="1"/>
  <c r="F60" i="2"/>
  <c r="I41" i="1"/>
  <c r="L41" i="1"/>
  <c r="G50" i="2" l="1"/>
  <c r="G21" i="2"/>
  <c r="G54" i="2"/>
  <c r="G55" i="2"/>
  <c r="F54" i="2"/>
  <c r="F55" i="2"/>
  <c r="E74" i="2"/>
  <c r="F74" i="2"/>
  <c r="F21" i="2" l="1"/>
  <c r="G20" i="2" s="1"/>
  <c r="F82" i="2"/>
  <c r="G82" i="2"/>
  <c r="E21" i="2"/>
  <c r="E20" i="2" s="1"/>
  <c r="E82" i="2"/>
  <c r="G17" i="2"/>
  <c r="F17" i="2" l="1"/>
  <c r="E17" i="2"/>
  <c r="F20" i="2"/>
  <c r="I17" i="2" l="1"/>
</calcChain>
</file>

<file path=xl/sharedStrings.xml><?xml version="1.0" encoding="utf-8"?>
<sst xmlns="http://schemas.openxmlformats.org/spreadsheetml/2006/main" count="915" uniqueCount="319">
  <si>
    <t>№ оперативної цілі</t>
  </si>
  <si>
    <t>Назва завдання та заходу</t>
  </si>
  <si>
    <t>КПКВК</t>
  </si>
  <si>
    <t>Виконавець ГРБК</t>
  </si>
  <si>
    <t>Джерела фінансування</t>
  </si>
  <si>
    <t>Обсяги фінансування програми,тис.грн.</t>
  </si>
  <si>
    <t>Усього</t>
  </si>
  <si>
    <t>заг.фонд</t>
  </si>
  <si>
    <t>спец.фонд.</t>
  </si>
  <si>
    <t>Всього на виконання програми, у т.ч.</t>
  </si>
  <si>
    <t>Бюджет ТГ</t>
  </si>
  <si>
    <t>Додаток 2</t>
  </si>
  <si>
    <t>Перелік завдань і заходів цільової програми</t>
  </si>
  <si>
    <t>Додаток 3</t>
  </si>
  <si>
    <t>Результативні показники/індикатори програми</t>
  </si>
  <si>
    <t>Назва індикатора,завдання, заходу , відповідального виконавця, головного розпорядника бюджетних коштів,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</si>
  <si>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</si>
  <si>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</si>
  <si>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</si>
  <si>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значення показників за роками виконання</t>
  </si>
  <si>
    <t>Продукту</t>
  </si>
  <si>
    <t xml:space="preserve">Якості </t>
  </si>
  <si>
    <t>Витрат</t>
  </si>
  <si>
    <t>Ефективності</t>
  </si>
  <si>
    <t>Розвиток первинної медико-санітарної допомоги</t>
  </si>
  <si>
    <t>1.1.2. Сприяння забезпеченню проведення туберкулінодіагностики (закупівля туберкуліну)</t>
  </si>
  <si>
    <t>1.1.1. Покриття вартості комунальних послуг та енергоносіїв</t>
  </si>
  <si>
    <t>Завдання 1.1., усього</t>
  </si>
  <si>
    <t>Завдання 1.2., усього</t>
  </si>
  <si>
    <t>Розвиток вторинної (спеціалізованої)/третинної (високоспеціалізованої) медичної допомоги</t>
  </si>
  <si>
    <t>1.2.1. Покриття вартості комунальних послуг та енергоносіїв</t>
  </si>
  <si>
    <t>1.2.2. Сприяння забезпеченню надання антирабічної допомоги</t>
  </si>
  <si>
    <t xml:space="preserve">Забезпечення надання акушерсько - гінекологічної допомоги </t>
  </si>
  <si>
    <t>Завдання 1.3., усього</t>
  </si>
  <si>
    <t>1.3.1. Покриття вартості комунальних послуг та енергоносіїв</t>
  </si>
  <si>
    <t>Завдання 1.4., усього</t>
  </si>
  <si>
    <t xml:space="preserve">Збереження стоматологічного здоров'я населення </t>
  </si>
  <si>
    <t>Завдання 2.1., усього</t>
  </si>
  <si>
    <t>Виконання соціальних гарантій пільгових категорій громадян</t>
  </si>
  <si>
    <t>Інші заклади</t>
  </si>
  <si>
    <t>Зміцнення та оновлення матеріально-технічної бази закладів охорони здоров'я</t>
  </si>
  <si>
    <t>Управління охорони здоров'я СМР</t>
  </si>
  <si>
    <t>0712111</t>
  </si>
  <si>
    <t>КНП "Центр первинної медико-санітарної допомоги №1" СМР</t>
  </si>
  <si>
    <t>КНП "Центр первинної медико-санітарної допомоги №2" СМР</t>
  </si>
  <si>
    <t>0712152</t>
  </si>
  <si>
    <t>0712010</t>
  </si>
  <si>
    <t>КНП "Центральна міська клінічна лікарня" СМР</t>
  </si>
  <si>
    <t>КНП "Клінічна ліарня №4" СМР</t>
  </si>
  <si>
    <t>КНП "Клінічна ліарня №5" СМР</t>
  </si>
  <si>
    <t>КНП "Дитяча клінічна лікарня Св.Зінаїди"СМР</t>
  </si>
  <si>
    <t>КНП "Клінічна лікарня Св.Пантлеймона" СМР</t>
  </si>
  <si>
    <t>0712030</t>
  </si>
  <si>
    <t>0712100</t>
  </si>
  <si>
    <t>КНП "Клінічна стоматологічна поліклініка" СМР</t>
  </si>
  <si>
    <t>0712151</t>
  </si>
  <si>
    <t>КНП "Дитяча клінічна лікарня Святої Зінаїди" СМР</t>
  </si>
  <si>
    <t>Усього по підпрограмі 1</t>
  </si>
  <si>
    <t>Усього по підпрограмі 2</t>
  </si>
  <si>
    <t xml:space="preserve">Усього по підпрограмі 4 </t>
  </si>
  <si>
    <t>Разом по заходу 4.1.1.</t>
  </si>
  <si>
    <t xml:space="preserve">Усього по підпрограмі 3 </t>
  </si>
  <si>
    <t>Програма 1 Покращення надання медичної допомоги населенню</t>
  </si>
  <si>
    <t>обсяг видатків</t>
  </si>
  <si>
    <t>од.</t>
  </si>
  <si>
    <t>грн.</t>
  </si>
  <si>
    <t>кількість установ</t>
  </si>
  <si>
    <t>%</t>
  </si>
  <si>
    <t>1.1.1. Покриття вартості комунальних послуг та енергоносіїв, КПКВК 0712111</t>
  </si>
  <si>
    <t>Всього на виконання підпрограми 1</t>
  </si>
  <si>
    <t>1.1.2. Сприяння забезпеченню проведення туберкулінодіагностики (закупівля туберкуліну), КПКВК 0712152</t>
  </si>
  <si>
    <t xml:space="preserve"> 1.2.1. Покриття вартості комунальних послуг та енергоносіїв, КПКВК 0712010</t>
  </si>
  <si>
    <t>1.2.2. Сприяння забезпеченню надання антирабічної допомоги, КПКВК 0712010</t>
  </si>
  <si>
    <t>1.3.1. Покриття вартості комунальних послуг та енергоносіїв, КПКВК 0712030</t>
  </si>
  <si>
    <t>ПІДПРОГРАМА 2. Забезпечення соціальних стандартів у сфері охорони здоров'я</t>
  </si>
  <si>
    <t>кількість дітей, яким планується  провести туберкулінодіагностику</t>
  </si>
  <si>
    <t>осіб</t>
  </si>
  <si>
    <t>рівень забезпечення видатками</t>
  </si>
  <si>
    <t>кількість осіб, яким проводиться щеплення ( по медичним висновкам)</t>
  </si>
  <si>
    <t>середні витрати на одну особу</t>
  </si>
  <si>
    <t>динаміка забезпечення надання антирабічної допомоги порівняно до попереднього року</t>
  </si>
  <si>
    <t>грн</t>
  </si>
  <si>
    <t>кількість працівників бюджетної сфери,  яким проводяться обов'язкові  профілактичні огляди  з видачею  особистих медичних книжок</t>
  </si>
  <si>
    <t>середня вартість проведеного медичного огляду однієї особи</t>
  </si>
  <si>
    <t xml:space="preserve"> од.</t>
  </si>
  <si>
    <t>в т.ч. лікарі</t>
  </si>
  <si>
    <t>кількість лікарських відвідувань</t>
  </si>
  <si>
    <t>кількість  проведених бесід, семінарів, лекцій</t>
  </si>
  <si>
    <t>кількість проведених лекцій, бесід, семінарів на 1 лікаря</t>
  </si>
  <si>
    <t>середні витрати на 1 обстеження</t>
  </si>
  <si>
    <t>середні витрати на одного медичного працівника</t>
  </si>
  <si>
    <t>в т.ч.:</t>
  </si>
  <si>
    <t>витрати на закупівлю ендопротезів колінних і кульшових суглобів</t>
  </si>
  <si>
    <t>витрати на закупівлю ендопротезів судин</t>
  </si>
  <si>
    <t>кількість пацієнтів, яким проводиться ендопротезування колінних і кульшових суглобів</t>
  </si>
  <si>
    <t>кількість пацієнтів, яким проводиться ендопротезування судин</t>
  </si>
  <si>
    <t>середні витрати на одного пацієнта при  ендопротезвунні  колінних і кульшових суглобів</t>
  </si>
  <si>
    <t>середні витрати на одного пацієнта при ендопротезвунні  судин</t>
  </si>
  <si>
    <t>кількість осіб, яким планується встановлення ортопедичних металоконструкцій</t>
  </si>
  <si>
    <t>середні видатки на одну особу</t>
  </si>
  <si>
    <t>кількість штатних посад,од.</t>
  </si>
  <si>
    <t>у т.ч.</t>
  </si>
  <si>
    <t>лікарів</t>
  </si>
  <si>
    <t>жінки</t>
  </si>
  <si>
    <t>чоловіки</t>
  </si>
  <si>
    <t>кількість пролікованих хворих</t>
  </si>
  <si>
    <t xml:space="preserve"> %</t>
  </si>
  <si>
    <t xml:space="preserve">грн. </t>
  </si>
  <si>
    <t>Всього на виконання підпрограми 2</t>
  </si>
  <si>
    <t>кількість осіб пільгової категорії  населення, які отримають ліки на пільгових умовах</t>
  </si>
  <si>
    <t>динамика обсягу витрат на забезпечення пільгової категорії населення лікарськими засобами за безкоштовними рецептами порвняно до попереднього року</t>
  </si>
  <si>
    <t>динамика обсягу витрат на забезпечення пільгової категорії населення  технічними та іншими засобами порівняно до попереднього року</t>
  </si>
  <si>
    <t>кількість осіб, які отримають послуги з зубного протезування</t>
  </si>
  <si>
    <t>середня вартість зубопротезування на одного пацієнта</t>
  </si>
  <si>
    <t>динамика обсягу витрат на забезпечення надання громадянам послуг по зубопротезуванню на пільгових умовах порвняно до попереднього року</t>
  </si>
  <si>
    <t>середні видатки на одну особу,щодо встановлення слухового апарату</t>
  </si>
  <si>
    <t>Всього на виконання підпрограми 3</t>
  </si>
  <si>
    <t>ПІДПРОГРАМА3. Інші заходи та заклади у сфері охорони здоров'я</t>
  </si>
  <si>
    <t>кількість установ:</t>
  </si>
  <si>
    <t>обсяг витрат</t>
  </si>
  <si>
    <t>кількість рахунків на одного працівника централізованої бухгалтерії</t>
  </si>
  <si>
    <t>кількість рахунків</t>
  </si>
  <si>
    <t>кількість звітних форм та інформацій працівників бухгалтерії</t>
  </si>
  <si>
    <t>кількість штатних одиниць:</t>
  </si>
  <si>
    <t xml:space="preserve">середні видатки на придбання одиниці обладнання </t>
  </si>
  <si>
    <t>Всього на виконання підпрограми 4</t>
  </si>
  <si>
    <t>ПІДПРОГРАМА 4. Приведення закладів охорони здоров'я у відповідність до сучасних потреб (зазначити назву та мету програми)</t>
  </si>
  <si>
    <t>обсяг видатків на придбання довгострокового обладнаня</t>
  </si>
  <si>
    <t>кількість  обладнання</t>
  </si>
  <si>
    <t>Обсяг видатків:</t>
  </si>
  <si>
    <t>обсяг видатків на реконструкцію</t>
  </si>
  <si>
    <t>обсяг видатків на проведення капітальних ремонтів</t>
  </si>
  <si>
    <t>кількість установ,для яких передбачено кошти на проведення капітальних ремонтів</t>
  </si>
  <si>
    <t>середній обсяг витрат на реконструкцію 1 об'єкта</t>
  </si>
  <si>
    <t>середній обсяг витрат на проведення капітального ремонту в розрахунку на 1 установу</t>
  </si>
  <si>
    <t>кількість об'єктів,які планується реконструювати</t>
  </si>
  <si>
    <t>Всього на виконання програми (без коштів на виконання інших цільових програм)</t>
  </si>
  <si>
    <t>Всього</t>
  </si>
  <si>
    <t>1.</t>
  </si>
  <si>
    <t>2.</t>
  </si>
  <si>
    <t>3.</t>
  </si>
  <si>
    <t>4.</t>
  </si>
  <si>
    <t>Підпрограма 1 Покращення надання медичної допомоги населенню</t>
  </si>
  <si>
    <t>мета: Реалізація державної політики в галузі охорони здоров'я на території СМТГ</t>
  </si>
  <si>
    <t>Підпрограма4 Приведення закладів охорони здоров'я у відповідність до сучасних потреб</t>
  </si>
  <si>
    <t>Підпрограма3 Інші заходи та заклади у сфері охорони здоров'я</t>
  </si>
  <si>
    <t xml:space="preserve">Підпрограма 2 Забезпечення соціальних стандартів у сфері охорони здоров'я </t>
  </si>
  <si>
    <t>Завдання 1.1. Розвиток первинної медико-санітарної допомоги</t>
  </si>
  <si>
    <t>Завдання 2.1. Виконання соціальних гарантій пільгових категорій громадян</t>
  </si>
  <si>
    <t>Завдання 4.1. Зміцнення та оновлення матеріально-технічної бази закладів охорони здоров'я</t>
  </si>
  <si>
    <t>кількість дітей з хворобою Крона</t>
  </si>
  <si>
    <t>середні витрати на одну дитину з хворобою Крона</t>
  </si>
  <si>
    <t>Мета програми: Збереження та зміцнення здоров’я мешканців Сумської міської ТГ, підвищення ефективності заходів, спрямованих на профілактику захворювань, зниження рівнів захворюваності, інвалідності і смертності населення, підвищення якості життя, поліпшення рівня надання медичної допомоги, забезпечення захисту прав громадян на охорону здоров’я</t>
  </si>
  <si>
    <t>КНП "Клінічна лікарня Святого Пантелеймона" СМР</t>
  </si>
  <si>
    <t xml:space="preserve">                  адміністрації</t>
  </si>
  <si>
    <t xml:space="preserve">                  від                           №           - СМР</t>
  </si>
  <si>
    <t>Сумської міської ради</t>
  </si>
  <si>
    <t xml:space="preserve"> Завдання 1.2. Розвиток вторинної (спеціалізованої)/третинної (високоспеціалізованої) медичної допомоги</t>
  </si>
  <si>
    <t>Завдання 1.3. Забезпечення надання акушерсько - гінекологічної допомоги</t>
  </si>
  <si>
    <t>Завдання 1.4. Збереження стоматологічного здоров'я населення</t>
  </si>
  <si>
    <t>Завдання 3.1. Інші заклади</t>
  </si>
  <si>
    <t>Якості</t>
  </si>
  <si>
    <t>динаміка обсягу витрат в порівнянні до попереднього року,%</t>
  </si>
  <si>
    <t>кількість осіб пільгової категорії  населення</t>
  </si>
  <si>
    <t>кількість осіб з інвалідністю які отримують послуги та мед засоби</t>
  </si>
  <si>
    <t>динаміка обсягу витрат в порівнянні до попереднього року</t>
  </si>
  <si>
    <t>кількість хворих пролікованих в стаціонарах</t>
  </si>
  <si>
    <t>рівень росту пролікованих хворих до попереднього року</t>
  </si>
  <si>
    <t>кількість відвідувань до поліклінічних відділень</t>
  </si>
  <si>
    <t>динаміка відвідувань до попереднього року</t>
  </si>
  <si>
    <t>Начальник  управління охорони здоров'я</t>
  </si>
  <si>
    <t>Олена ЧУМАЧЕНКО</t>
  </si>
  <si>
    <t>обсяг видатків для сприяння наданню вторинної допомоги</t>
  </si>
  <si>
    <t>кількість дітей, які отримають дороговартісні медичні препарати</t>
  </si>
  <si>
    <t>КНП "Клінічна лікарня №5"СМР</t>
  </si>
  <si>
    <t>середні витрати на 1 дитину (з розрахунку 2 дози на дитину)</t>
  </si>
  <si>
    <t>1.1.3.  Сприяння забезпеченню лікувальним харчуванням дітей хворих на   рідкісні (орфанні) захворювання та спеціальним харчуванням дітей хворих на  хворобу Крона</t>
  </si>
  <si>
    <t>1.1.4. Сприяння забезпеченню продуктами харчування дітей   віком від 0-2 років з малозабезпечених  сімей та народжених від ВІЛ  інфікованих матерів</t>
  </si>
  <si>
    <t>забезпечення лікувальним харчуванням  дітей  з рідкісними (орфанними) захворюваннями</t>
  </si>
  <si>
    <t>забезпечення продуктами харчування дітей віком від 0-2 років  з малозабезпечених сімей</t>
  </si>
  <si>
    <t>забезпечення продуктами  дитячого харчування дітей народжених від ВІЛ-інфікованих матерів</t>
  </si>
  <si>
    <t>забезпечення спеціальним харчуванням дітей з хворобою Крона</t>
  </si>
  <si>
    <t>кількість дітей  з рідкісними (орфанними) захворюваннями, які потребують специфічного харчування</t>
  </si>
  <si>
    <t>кількість дітей   віком від 0-2 років з малозабезпечених  сімей, які потребують безкоштовного харчування</t>
  </si>
  <si>
    <t>середні витрати  на одну дитину,які хворіють на орфанні рідкісні захворювання</t>
  </si>
  <si>
    <t>середні витрати  на одну дитинувіком від 0-2 років з малозабезпечених  сімей</t>
  </si>
  <si>
    <t>середні витрати  на одну дитину народжену від Віл інфікованих матерів</t>
  </si>
  <si>
    <t>динамика обсягу витрат на забезпечення  лікувальним харчуванням  дітей хворих на орфанні  рідкісні захворювання</t>
  </si>
  <si>
    <t>кількість військовозобов'язаних, яким проведено медичний огляд</t>
  </si>
  <si>
    <t>кількість штатних одиниць, які  входять до складу комісії</t>
  </si>
  <si>
    <t>середні витрати на одну дитину на рік,яка отримає  дороговартісні медичні препарати</t>
  </si>
  <si>
    <t>кількість установ , для яких передбачені видатки, які направлені на сприяння наданню вторинної допомоги</t>
  </si>
  <si>
    <t xml:space="preserve"> середні витрати на 1 установу</t>
  </si>
  <si>
    <t>рівень забезпечення видатками на покриття  вартості комунальних послуг та енергоносіїв</t>
  </si>
  <si>
    <t>2025 рік (план)</t>
  </si>
  <si>
    <t>2026 рік (план)</t>
  </si>
  <si>
    <t>2027 рік (план)</t>
  </si>
  <si>
    <t>КНП "Клінічний перинатальний центр Пресвятої Діви Марії" СМР</t>
  </si>
  <si>
    <t>Пантелеймон</t>
  </si>
  <si>
    <t>Разом по заходу 3.1.</t>
  </si>
  <si>
    <t xml:space="preserve">2.1.1. 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 </t>
  </si>
  <si>
    <t>2.1.2. Сприяння забезпеченню осіб з інвалідністю, дітей з інвалідністю медичними засобами та іншими засобами для використання в амбулаторних умовах</t>
  </si>
  <si>
    <t>2.1.3. Сприяння забезпеченню надання громадянам послуг з проведення зубопротезування на пільгових умовах</t>
  </si>
  <si>
    <t>1.2.3. Проведення обов'язкових  профілактичних оглядів  з видачею  особистих медичних книжок працівникам бюджетної сфери</t>
  </si>
  <si>
    <t>1.2.4. Забезпечення функціонування відділення медико-соціальної допомоги дітям та молоді "Клініка, дружня до молоді" та утримання лікарів логопедів</t>
  </si>
  <si>
    <t>1.2.6. Проведення ендопротезування в т.ч.:</t>
  </si>
  <si>
    <t>1.2.6.1 Ендопротезування великих суглобів</t>
  </si>
  <si>
    <t>1.2.6.2. Ендопротезування судин</t>
  </si>
  <si>
    <t>1.2.8. Сприяння наданню вторинної допомоги</t>
  </si>
  <si>
    <t>1.2.9.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</t>
  </si>
  <si>
    <t>1.2.3. Проведення обов'язкових  профілактичних оглядів  з видачею  особистих медичних книжок працівникам бюджетної сфери, КПКВК 0712152</t>
  </si>
  <si>
    <t>1.1.3.  Сприяння забезпеченню лікувальним харчуванням дітей хворих на   рідкісні (орфанні) захворювання та спеціальним харчуванням дітей хворих на  хворобу Крона, КПКВК 0712152</t>
  </si>
  <si>
    <t>1.1.4. Сприяння забезпеченню продуктами харчування дітей   віком від 0-2 років з малозабезпечених  сімей та народжених від ВІЛ  інфікованих матерів, КПКВК 0712152</t>
  </si>
  <si>
    <t>1.2.4. Забезпечення функціонування відділення медико-соціальної допомоги дітям та молоді "Клініка, дружня до молоді" та утримання лікарів логопедів, КПКВК 0712010</t>
  </si>
  <si>
    <t>1.2.6. Проведення ендопротезування, КПКВК 0712010</t>
  </si>
  <si>
    <t>1.2.8. Сприяння наданню вторинної допомоги, КПКВК 0712010</t>
  </si>
  <si>
    <t>1.2.9.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апарату). КПКВК 0712010</t>
  </si>
  <si>
    <t>2.1.1. 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 , КПКВК 0712152</t>
  </si>
  <si>
    <t>2.1.2. Сприяння забезпеченню осіб з інвалідністю, дітей з інвалідністю медичними засобами та іншими засобами для використання в амбулаторних умовах, КПКВК 0712152</t>
  </si>
  <si>
    <t>кількість осіб, які отримають медичніи засоби та іншіи засоби для використання в амбулаторних умовах</t>
  </si>
  <si>
    <t>витрати на одну особу, які отримали медичні засоби та інші засоби для використання в амбулаторних умовах</t>
  </si>
  <si>
    <t>2.1.3. Сприяння забезпеченню надання громадянам послуг з проведення зубопротезування на пільгових умовах,КПКВК 0712152</t>
  </si>
  <si>
    <t>віддл інформаційно-аналітичного забезпечення та комунікацій управління охорони здоров'я СМР</t>
  </si>
  <si>
    <t>відділ централізованого бухгалтерського обліку та економічного планування при Управлінні охорони здоров'я СМР</t>
  </si>
  <si>
    <t>кількість медичних закладів, які обслуговує відділ централізованого бухгалтерського обліку та економічного планування</t>
  </si>
  <si>
    <t>кількість звітних форм на одного працівника відділ централізованого бухгалтерського обліку та економічного планування</t>
  </si>
  <si>
    <t xml:space="preserve">кількість аналітичних довідок, письмових роз`яснень, іншої інформації працівників відділу інформаційно-аналітичного забезпечення та комунікацій </t>
  </si>
  <si>
    <t xml:space="preserve">кількість аналітичних довідок, письмових роз`яснень, іншої інформації наданих відділом інформаційно-аналітичного забезпечення та комунікацій </t>
  </si>
  <si>
    <r>
      <t xml:space="preserve">4.1.1. Придбання обладнання, </t>
    </r>
    <r>
      <rPr>
        <sz val="11"/>
        <color rgb="FFFF0000"/>
        <rFont val="Times New Roman"/>
        <family val="1"/>
        <charset val="204"/>
      </rPr>
      <t>КПКВК …………….</t>
    </r>
  </si>
  <si>
    <t>біоматеріали</t>
  </si>
  <si>
    <t>середні видатки на одну особу,щодо встановлення мовного процесора</t>
  </si>
  <si>
    <t>динаміка обсягу витрат на забезпечення слуховими апаратами дорослого населення порівняно до попереднього року</t>
  </si>
  <si>
    <t>динаміка обсягу витрат на забезпечення мовними процесорами дорослого населення порівняно до попереднього року</t>
  </si>
  <si>
    <t>4+стом</t>
  </si>
  <si>
    <t>пант+цмкл</t>
  </si>
  <si>
    <t>ц1+ц2</t>
  </si>
  <si>
    <t>пант(47)+ц1 (12458)+ц2(6199)</t>
  </si>
  <si>
    <t>ц1+пант+ц2</t>
  </si>
  <si>
    <t>цмкл+5</t>
  </si>
  <si>
    <t>пант+цмкл+5</t>
  </si>
  <si>
    <t>2025 рік</t>
  </si>
  <si>
    <t>2026 рік</t>
  </si>
  <si>
    <t>2027 рік</t>
  </si>
  <si>
    <t xml:space="preserve">кількість пролікованих хворих на одну лікарську посаду у інфекційно  боксованому відділення №3 </t>
  </si>
  <si>
    <t>витрати на придбання мовних процесорів  для дорослого населення з інвалідністю</t>
  </si>
  <si>
    <t>витрати на придбання слухових апаратів для дорослого населення з інвалідністю</t>
  </si>
  <si>
    <t>чисельність осіб пільгової категорії, яким необхідні допоміжні засоби слуху</t>
  </si>
  <si>
    <t>кількість осіб, яким планується/встановлено до кінця року мовні процесори</t>
  </si>
  <si>
    <t>ц1+ц2+пант</t>
  </si>
  <si>
    <t>кількість дорослого наелення з пільгової категорії населення СМТГ, яке отримає амбулаторну стоматологічну допомогу</t>
  </si>
  <si>
    <t xml:space="preserve">3.1.1. Забезпечення діяльності відділу централізованого бухгалтерського обліку та економічного планування при Управлінні охорони здоров'я СМР / віддлу інформаційно-аналітичного забезпечення та комунікацій при Управлінні охорони здоров'я СМР                          КПКВК 0712151                         </t>
  </si>
  <si>
    <t xml:space="preserve">3.1.1. Забезпечення діяльності відділу централізованого бухгалтерського обліку та економічного планування при Управлінні охорони здоров'я СМР / віддлу інформаційно-аналітичного забезпечення та комунікацій при Управлінні охорони здоров'я СМР                   </t>
  </si>
  <si>
    <t>.-АТО</t>
  </si>
  <si>
    <t>1.2.8. Сприяння забезпеченню безперебійного функціонування Інфекційного боксованого відділення №3 КНП "Дитяча клінічна лікарня Святої Зінаїди"СМР</t>
  </si>
  <si>
    <t>1.4.1. Покриття вартості комунальних послуг та енергоносіїв</t>
  </si>
  <si>
    <t>Разом по заходу 4…..</t>
  </si>
  <si>
    <t xml:space="preserve">4... Придбання обладнання          </t>
  </si>
  <si>
    <t>1.2.8. Сприяння забезпеченню безперебійного функціонування Інфекційного боксованого відділення №3 КНП "Дитяча клінічна лікарня Святої Зінаїди"СМР, КПКВК 0712010</t>
  </si>
  <si>
    <t>1.4.1. Покриття вартості комунальних послуг та енергоносіїв, КПКВК 0712100</t>
  </si>
  <si>
    <t xml:space="preserve">територіальної громади "Охорона здоров'я" </t>
  </si>
  <si>
    <t xml:space="preserve">до комплексної Програми Сумської міської </t>
  </si>
  <si>
    <t>Комплексна Програма Сумської міської територіальної громади "Охорона здоров'я" на 2025-2027 роки</t>
  </si>
  <si>
    <t>2.1.5. Сприяння забезпеченню слуховими апаратами, мовними процесорами та іншими технічними виробами пільгових категорій дорослого населення</t>
  </si>
  <si>
    <t>2.1.5.  Сприяння забезпеченню слуховими апаратами, мовними процесорами та іншими технічними виробами пільгових категорій дорослого населення, КПКВК 0712010</t>
  </si>
  <si>
    <t xml:space="preserve">Комплексна Програма Сумської міської територіальної громади "Охорона здоров'я" на 2025-2027 роки </t>
  </si>
  <si>
    <t xml:space="preserve">1.4.2. Сприяння наданню амбулаторної стоматологічної допомоги  дорослому населенню пільгових категорій  </t>
  </si>
  <si>
    <t>кількість штатних одиниць</t>
  </si>
  <si>
    <t>кількість пролікованих пацієнтів</t>
  </si>
  <si>
    <t>кількість пролікованих пацієнтів на одного лікаря</t>
  </si>
  <si>
    <t>кількість відвідувань на одну штатну посаду лікаря</t>
  </si>
  <si>
    <t>середня вартість 1 лікарського відвідування (враховані видатки на комунальні послуги та енергоносії)</t>
  </si>
  <si>
    <t>1.2.5. Забезпечення  проведення лікарською комісією медичного огляду військовозобов'язаних  за направленням Сумського міського територіального центру комплектування та соціальної підтримки</t>
  </si>
  <si>
    <t>1.2.5. Забезпечення  проведення лікарською комісією медичного огляду військовозобов'язаних  за направленням Сумського міського територіального центру комплектування та соціальної підтримки,КПКВК 0712010</t>
  </si>
  <si>
    <t xml:space="preserve">2.1.4. Сприяння наданню амбулаторної стоматологічної допомоги пільговій категорії дорослого населення СМТГ </t>
  </si>
  <si>
    <t>2.1.4. Сприяння наданню амбулаторної стоматологічної допомоги пільговій категорії дорослого населення СМТГ  ,КПКВК 0712152</t>
  </si>
  <si>
    <t>1.4.2. Сприяння наданню амбулаторної стоматологічної допомоги  дорослому населенню пільгових категорій, КПКВК 0712100</t>
  </si>
  <si>
    <t>кількість дітей   народжених від Віл інфікованих матерів, які потребують безкоштовного харчування</t>
  </si>
  <si>
    <t>середня вартість надання амбулаторної стоматологічної допомоги пільговій категорії дорослого населення СМТГ з розрахнку на 1 особу</t>
  </si>
  <si>
    <t xml:space="preserve">Комплексна Програма Сумської міської територіальної громади "Охорона здоров'я" на 2025-2027 роки" </t>
  </si>
  <si>
    <t>4.1.1. Проведення капітальних ремонтів/будівництво (реконструкція)</t>
  </si>
  <si>
    <t>0712170</t>
  </si>
  <si>
    <t>1512170</t>
  </si>
  <si>
    <t>1517330</t>
  </si>
  <si>
    <t>Реконструкція захисних споруд цивільного захисту неврологічного корпусу КНП «Клінічна лікарня №4» СМР за адресою: м. Суми, вул. Металургів, 38</t>
  </si>
  <si>
    <t>Реконструкція будівлі господарчого корпусу (Т-1) КНП «Клінічна лікарня №5 СМР, за адресою м.Суми, вул.Марко Вовчок,2</t>
  </si>
  <si>
    <t>Управління капітальногг будівництва та дорожнього господарства СМР</t>
  </si>
  <si>
    <t>на 2025-2027 роки (зі змінами)</t>
  </si>
  <si>
    <t>Управління капітального будівництва та дорожнього господарства СМР</t>
  </si>
  <si>
    <t>3.1.2. Сприяння розвитку закладів охорони здоров'я за рахунок надходжень благодійної допомоги</t>
  </si>
  <si>
    <t>Інші надходження (спеціальний фонд)</t>
  </si>
  <si>
    <t xml:space="preserve">3.1.2. Сприяння розвитку закладів охорони здоров'я за рахунок надходжень благодійної допомоги, КПКВК 0712152  </t>
  </si>
  <si>
    <t>обсяг надходжень в натуральній формі</t>
  </si>
  <si>
    <t xml:space="preserve"> середні витрати на 1 заклад </t>
  </si>
  <si>
    <t>Кап.ремонт ІІ поверху полікл.від.№1 КНП "ЦМКЛ" за адресою м.Суми,вул.Сумської артбригади,13</t>
  </si>
  <si>
    <t>1.2.7. Сприяння забезпеченню дитячого населення доровартісними медичними препаратами</t>
  </si>
  <si>
    <t>1.2.9. Сприяння забезпеченню умов для функціонування закладів, які надають вторинну допомогу</t>
  </si>
  <si>
    <t>1.2.9. Сприяння забезпеченню умов для функціонування закладів, які надають вторинну допомогу КПКВК 0712010</t>
  </si>
  <si>
    <t xml:space="preserve">динаміка обсягу витрат на проведення туберкулінодіагностики (придбання туберкуліну) порівняно до попереднього року </t>
  </si>
  <si>
    <t>Якість</t>
  </si>
  <si>
    <t>рівень охоплення медичними оглядами</t>
  </si>
  <si>
    <t>динаміка обсягу витрат  на забезпечення покриття вартості  дороговартісних  медичних препаратів до попереднього року</t>
  </si>
  <si>
    <t>рівень охоплення профілактичними оглядами</t>
  </si>
  <si>
    <t>1.2.7. Сприяння забезпеченню дитячого населення дороговартісними медичними препаратами, КПКВК 0712010</t>
  </si>
  <si>
    <t>обсяг витрат на придбання дітям дороговартісних медичних препаратів</t>
  </si>
  <si>
    <t>відсоток осіб, що отримали лікування до потребуючих</t>
  </si>
  <si>
    <t xml:space="preserve">кількість штатних посад </t>
  </si>
  <si>
    <t>динаміка обсягу витрат на забезпечення  продуктами харчування дітей   віком від 0-2 років з малозабезпечених  сімей та народжених від ВІЛ  інфікованих матерів до попереднього року</t>
  </si>
  <si>
    <t xml:space="preserve">кількість  лікарських відівідувань відділення  </t>
  </si>
  <si>
    <t>динаміка обсягу витрат на проведення ендопротезування в порівнянні до попереднього року</t>
  </si>
  <si>
    <t>Питома вага освідчених осіб після відвідування лікарів КДМ</t>
  </si>
  <si>
    <t>Капітальний ремонт 1-го поверху конс.-діагност. Відділення №1 КНП "ДКЛ Св.Зынаъди"СМР за адресою: м.Суми,вул.Хворостянка,3"</t>
  </si>
  <si>
    <t>1512010</t>
  </si>
  <si>
    <t>середні витрати  в розрахунку на один заклад на покриття комунальних послуг та енергоносіїв</t>
  </si>
  <si>
    <t xml:space="preserve"> середні витрати  в розрахунку на один заклад на покриття комунальних послуг та енергоносіїв</t>
  </si>
  <si>
    <t>обсяг видатків на покриття вартості комунальних послуг  та енергоносіїв</t>
  </si>
  <si>
    <t>середній обсяг надходжень в розрахунку на одну установу</t>
  </si>
  <si>
    <r>
      <t>4.1.1. Проведення капітальних ремонтів/будівництво (реконструкція)</t>
    </r>
    <r>
      <rPr>
        <sz val="11"/>
        <rFont val="Times New Roman"/>
        <family val="1"/>
        <charset val="204"/>
      </rPr>
      <t>, КПКВК 0712010, 0712170, 1512010, 1517330, 1512170</t>
    </r>
  </si>
  <si>
    <t>від 17.04.2025 № 90 - СМВА</t>
  </si>
  <si>
    <t>від  17.04.2025  № 90 -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</si>
</sst>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>
      <alignment horizontal="left"/>
    </xf>
  </cellStyleXfs>
  <cellXfs count="187">
    <xf numFmtId="0" fontId="0" fillId="0" borderId="0" xfId="0"/>
    <xf numFmtId="3" fontId="2" fillId="2" borderId="1" xfId="0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left" vertical="top" wrapText="1"/>
    </xf>
    <xf numFmtId="3" fontId="2" fillId="2" borderId="1" xfId="2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/>
    <xf numFmtId="0" fontId="5" fillId="2" borderId="0" xfId="0" applyFont="1" applyFill="1" applyAlignment="1"/>
    <xf numFmtId="0" fontId="12" fillId="2" borderId="0" xfId="0" applyFont="1" applyFill="1" applyBorder="1" applyAlignment="1"/>
    <xf numFmtId="0" fontId="1" fillId="2" borderId="1" xfId="0" applyFont="1" applyFill="1" applyBorder="1"/>
    <xf numFmtId="3" fontId="1" fillId="2" borderId="0" xfId="0" applyNumberFormat="1" applyFont="1" applyFill="1"/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" fontId="1" fillId="2" borderId="0" xfId="0" applyNumberFormat="1" applyFont="1" applyFill="1"/>
    <xf numFmtId="0" fontId="1" fillId="2" borderId="0" xfId="0" applyFont="1" applyFill="1" applyBorder="1"/>
    <xf numFmtId="0" fontId="5" fillId="2" borderId="0" xfId="0" applyFont="1" applyFill="1"/>
    <xf numFmtId="0" fontId="1" fillId="2" borderId="1" xfId="0" applyFont="1" applyFill="1" applyBorder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2" borderId="0" xfId="0" applyFont="1" applyFill="1"/>
    <xf numFmtId="0" fontId="0" fillId="2" borderId="0" xfId="0" applyFill="1"/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4" fontId="0" fillId="2" borderId="0" xfId="0" applyNumberFormat="1" applyFill="1"/>
    <xf numFmtId="164" fontId="9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164" fontId="9" fillId="2" borderId="1" xfId="0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164" fontId="7" fillId="2" borderId="4" xfId="0" applyNumberFormat="1" applyFont="1" applyFill="1" applyBorder="1" applyAlignment="1">
      <alignment horizontal="right" vertical="top" wrapText="1"/>
    </xf>
    <xf numFmtId="164" fontId="7" fillId="2" borderId="1" xfId="0" applyNumberFormat="1" applyFont="1" applyFill="1" applyBorder="1"/>
    <xf numFmtId="0" fontId="7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vertical="top"/>
    </xf>
    <xf numFmtId="0" fontId="16" fillId="2" borderId="14" xfId="0" applyFont="1" applyFill="1" applyBorder="1" applyAlignment="1">
      <alignment horizontal="center" vertical="top" wrapText="1"/>
    </xf>
    <xf numFmtId="164" fontId="0" fillId="2" borderId="0" xfId="0" applyNumberFormat="1" applyFill="1" applyAlignment="1">
      <alignment horizontal="center"/>
    </xf>
    <xf numFmtId="0" fontId="17" fillId="2" borderId="1" xfId="0" applyFont="1" applyFill="1" applyBorder="1" applyAlignment="1">
      <alignment vertical="top" wrapText="1"/>
    </xf>
    <xf numFmtId="0" fontId="18" fillId="2" borderId="0" xfId="0" applyFont="1" applyFill="1"/>
    <xf numFmtId="164" fontId="0" fillId="2" borderId="0" xfId="0" applyNumberFormat="1" applyFill="1" applyAlignment="1">
      <alignment horizontal="center" vertical="top" wrapText="1"/>
    </xf>
    <xf numFmtId="164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20" fillId="2" borderId="0" xfId="0" applyFont="1" applyFill="1"/>
    <xf numFmtId="0" fontId="1" fillId="2" borderId="0" xfId="0" applyFont="1" applyFill="1" applyAlignment="1">
      <alignment vertical="top"/>
    </xf>
    <xf numFmtId="0" fontId="21" fillId="2" borderId="0" xfId="0" applyFont="1" applyFill="1"/>
    <xf numFmtId="164" fontId="9" fillId="2" borderId="4" xfId="0" applyNumberFormat="1" applyFont="1" applyFill="1" applyBorder="1" applyAlignment="1">
      <alignment horizontal="righ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vertical="top" wrapText="1"/>
    </xf>
    <xf numFmtId="0" fontId="23" fillId="2" borderId="1" xfId="0" applyFont="1" applyFill="1" applyBorder="1" applyAlignment="1">
      <alignment vertical="top" wrapText="1"/>
    </xf>
    <xf numFmtId="0" fontId="23" fillId="2" borderId="0" xfId="0" applyFont="1" applyFill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7" fillId="2" borderId="1" xfId="0" applyFont="1" applyFill="1" applyBorder="1"/>
    <xf numFmtId="164" fontId="7" fillId="3" borderId="1" xfId="0" applyNumberFormat="1" applyFont="1" applyFill="1" applyBorder="1" applyAlignment="1">
      <alignment horizontal="right" vertical="top" wrapText="1"/>
    </xf>
    <xf numFmtId="164" fontId="7" fillId="2" borderId="2" xfId="0" applyNumberFormat="1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right" vertical="top" wrapText="1"/>
    </xf>
    <xf numFmtId="0" fontId="23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24" fillId="2" borderId="0" xfId="0" applyFont="1" applyFill="1"/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3">
    <cellStyle name="Обычный" xfId="0" builtinId="0"/>
    <cellStyle name="Обычный 4" xfId="2"/>
    <cellStyle name="Обычный_Запит ПЦМ 2012 свод4 по уо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tabSelected="1" view="pageBreakPreview" zoomScale="80" zoomScaleNormal="80" zoomScaleSheetLayoutView="80" workbookViewId="0">
      <pane ySplit="13" topLeftCell="A102" activePane="bottomLeft" state="frozen"/>
      <selection pane="bottomLeft" activeCell="K5" sqref="K5:N5"/>
    </sheetView>
  </sheetViews>
  <sheetFormatPr defaultColWidth="9.140625" defaultRowHeight="15.75" outlineLevelRow="4" x14ac:dyDescent="0.25"/>
  <cols>
    <col min="1" max="1" width="5.42578125" style="28" customWidth="1"/>
    <col min="2" max="2" width="34.28515625" style="28" customWidth="1"/>
    <col min="3" max="3" width="10" style="28" bestFit="1" customWidth="1"/>
    <col min="4" max="4" width="14.42578125" style="103" customWidth="1"/>
    <col min="5" max="5" width="18.140625" style="28" customWidth="1"/>
    <col min="6" max="6" width="12.42578125" style="28" bestFit="1" customWidth="1"/>
    <col min="7" max="7" width="10.5703125" style="28" bestFit="1" customWidth="1"/>
    <col min="8" max="8" width="10.7109375" style="28" customWidth="1"/>
    <col min="9" max="9" width="14.140625" style="28" customWidth="1"/>
    <col min="10" max="10" width="10.85546875" style="28" bestFit="1" customWidth="1"/>
    <col min="11" max="11" width="12.140625" style="28" customWidth="1"/>
    <col min="12" max="12" width="11.85546875" style="28" bestFit="1" customWidth="1"/>
    <col min="13" max="13" width="12.42578125" style="28" customWidth="1"/>
    <col min="14" max="14" width="11.140625" style="28" customWidth="1"/>
    <col min="15" max="15" width="13.85546875" style="28" customWidth="1"/>
    <col min="16" max="16" width="10.140625" style="28" customWidth="1"/>
    <col min="17" max="17" width="10.85546875" style="28" customWidth="1"/>
    <col min="18" max="16384" width="9.140625" style="28"/>
  </cols>
  <sheetData>
    <row r="1" spans="1:25" ht="27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138" t="s">
        <v>11</v>
      </c>
      <c r="L1" s="138"/>
      <c r="M1" s="138"/>
      <c r="N1" s="138"/>
    </row>
    <row r="2" spans="1:25" ht="21.7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1"/>
      <c r="K2" s="139" t="s">
        <v>260</v>
      </c>
      <c r="L2" s="139"/>
      <c r="M2" s="139"/>
      <c r="N2" s="139"/>
    </row>
    <row r="3" spans="1:25" ht="18.7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1" t="s">
        <v>154</v>
      </c>
      <c r="K3" s="139" t="s">
        <v>259</v>
      </c>
      <c r="L3" s="139"/>
      <c r="M3" s="139"/>
      <c r="N3" s="139"/>
    </row>
    <row r="4" spans="1:25" ht="18.75" customHeight="1" x14ac:dyDescent="0.3">
      <c r="A4" s="27"/>
      <c r="B4" s="27"/>
      <c r="C4" s="27"/>
      <c r="D4" s="27"/>
      <c r="E4" s="27"/>
      <c r="F4" s="27"/>
      <c r="G4" s="27"/>
      <c r="H4" s="27"/>
      <c r="I4" s="27"/>
      <c r="J4" s="21"/>
      <c r="K4" s="139" t="s">
        <v>286</v>
      </c>
      <c r="L4" s="139"/>
      <c r="M4" s="139"/>
      <c r="N4" s="139"/>
    </row>
    <row r="5" spans="1:25" ht="19.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1" t="s">
        <v>155</v>
      </c>
      <c r="K5" s="139" t="s">
        <v>317</v>
      </c>
      <c r="L5" s="139"/>
      <c r="M5" s="139"/>
      <c r="N5" s="139"/>
    </row>
    <row r="6" spans="1:25" ht="17.2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5" ht="21" customHeight="1" x14ac:dyDescent="0.3">
      <c r="A7" s="27"/>
      <c r="B7" s="7"/>
      <c r="C7" s="7"/>
      <c r="D7" s="140" t="s">
        <v>12</v>
      </c>
      <c r="E7" s="140"/>
      <c r="F7" s="140"/>
      <c r="G7" s="140"/>
      <c r="H7" s="140"/>
      <c r="I7" s="140"/>
      <c r="J7" s="140"/>
      <c r="K7" s="7"/>
      <c r="L7" s="7"/>
      <c r="M7" s="7"/>
      <c r="N7" s="7"/>
    </row>
    <row r="8" spans="1:25" ht="19.5" customHeight="1" x14ac:dyDescent="0.3">
      <c r="A8" s="27"/>
      <c r="B8" s="141" t="s">
        <v>278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7"/>
    </row>
    <row r="9" spans="1:25" ht="18.7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25" ht="25.5" customHeight="1" x14ac:dyDescent="0.25">
      <c r="A10" s="150" t="s">
        <v>0</v>
      </c>
      <c r="B10" s="144" t="s">
        <v>1</v>
      </c>
      <c r="C10" s="147" t="s">
        <v>2</v>
      </c>
      <c r="D10" s="144" t="s">
        <v>3</v>
      </c>
      <c r="E10" s="144" t="s">
        <v>4</v>
      </c>
      <c r="F10" s="153" t="s">
        <v>5</v>
      </c>
      <c r="G10" s="153"/>
      <c r="H10" s="153"/>
      <c r="I10" s="153"/>
      <c r="J10" s="153"/>
      <c r="K10" s="153"/>
      <c r="L10" s="153"/>
      <c r="M10" s="153"/>
      <c r="N10" s="153"/>
    </row>
    <row r="11" spans="1:25" ht="22.5" customHeight="1" x14ac:dyDescent="0.25">
      <c r="A11" s="151"/>
      <c r="B11" s="145"/>
      <c r="C11" s="148"/>
      <c r="D11" s="145"/>
      <c r="E11" s="145"/>
      <c r="F11" s="126" t="s">
        <v>194</v>
      </c>
      <c r="G11" s="126"/>
      <c r="H11" s="126"/>
      <c r="I11" s="126" t="s">
        <v>195</v>
      </c>
      <c r="J11" s="126"/>
      <c r="K11" s="126"/>
      <c r="L11" s="126" t="s">
        <v>196</v>
      </c>
      <c r="M11" s="126"/>
      <c r="N11" s="126"/>
    </row>
    <row r="12" spans="1:25" ht="18.75" customHeight="1" x14ac:dyDescent="0.25">
      <c r="A12" s="152"/>
      <c r="B12" s="146"/>
      <c r="C12" s="149"/>
      <c r="D12" s="146"/>
      <c r="E12" s="146"/>
      <c r="F12" s="29" t="s">
        <v>6</v>
      </c>
      <c r="G12" s="29" t="s">
        <v>7</v>
      </c>
      <c r="H12" s="29" t="s">
        <v>8</v>
      </c>
      <c r="I12" s="29" t="s">
        <v>6</v>
      </c>
      <c r="J12" s="29" t="s">
        <v>7</v>
      </c>
      <c r="K12" s="29" t="s">
        <v>8</v>
      </c>
      <c r="L12" s="29" t="s">
        <v>6</v>
      </c>
      <c r="M12" s="29" t="s">
        <v>7</v>
      </c>
      <c r="N12" s="29" t="s">
        <v>8</v>
      </c>
    </row>
    <row r="13" spans="1:25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  <c r="J13" s="30">
        <v>10</v>
      </c>
      <c r="K13" s="30">
        <v>11</v>
      </c>
      <c r="L13" s="30">
        <v>12</v>
      </c>
      <c r="M13" s="30">
        <v>13</v>
      </c>
      <c r="N13" s="30">
        <v>14</v>
      </c>
    </row>
    <row r="14" spans="1:25" ht="51" customHeight="1" x14ac:dyDescent="0.25">
      <c r="A14" s="154" t="s">
        <v>152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25" ht="29.25" customHeight="1" x14ac:dyDescent="0.25">
      <c r="A15" s="114" t="s">
        <v>9</v>
      </c>
      <c r="B15" s="155"/>
      <c r="C15" s="115"/>
      <c r="D15" s="142" t="s">
        <v>137</v>
      </c>
      <c r="E15" s="143"/>
      <c r="F15" s="40">
        <f>G15+H15</f>
        <v>148504.6</v>
      </c>
      <c r="G15" s="40">
        <f>G16+G18</f>
        <v>134119.6</v>
      </c>
      <c r="H15" s="40">
        <f>H119+H120+H115+H113</f>
        <v>14385.000000000002</v>
      </c>
      <c r="I15" s="40">
        <f>J15+K15</f>
        <v>166358.5</v>
      </c>
      <c r="J15" s="40">
        <f>J16</f>
        <v>146358.5</v>
      </c>
      <c r="K15" s="40">
        <f>K16</f>
        <v>20000</v>
      </c>
      <c r="L15" s="40">
        <f>M15+N15</f>
        <v>181175.30000000002</v>
      </c>
      <c r="M15" s="40">
        <f>M16</f>
        <v>156175.30000000002</v>
      </c>
      <c r="N15" s="40">
        <f>N16</f>
        <v>25000</v>
      </c>
      <c r="O15" s="31">
        <f>G21+G89+G111+H118</f>
        <v>148003.80000000002</v>
      </c>
      <c r="P15" s="31">
        <f>F15-O15</f>
        <v>500.79999999998836</v>
      </c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68.25" customHeight="1" x14ac:dyDescent="0.25">
      <c r="A16" s="156"/>
      <c r="B16" s="157"/>
      <c r="C16" s="158"/>
      <c r="D16" s="94" t="s">
        <v>41</v>
      </c>
      <c r="E16" s="160" t="s">
        <v>10</v>
      </c>
      <c r="F16" s="40">
        <f>G16+H16</f>
        <v>144264.9</v>
      </c>
      <c r="G16" s="40">
        <f>G22+G90+G113</f>
        <v>134119.6</v>
      </c>
      <c r="H16" s="40">
        <f>H119+H113</f>
        <v>10145.300000000001</v>
      </c>
      <c r="I16" s="40">
        <f>J16+K16</f>
        <v>166358.5</v>
      </c>
      <c r="J16" s="40">
        <f>J22+J90+J113</f>
        <v>146358.5</v>
      </c>
      <c r="K16" s="40">
        <f>K119</f>
        <v>20000</v>
      </c>
      <c r="L16" s="40">
        <f>M16+N16</f>
        <v>181175.30000000002</v>
      </c>
      <c r="M16" s="40">
        <f>M22+M90+M113</f>
        <v>156175.30000000002</v>
      </c>
      <c r="N16" s="40">
        <f>N119</f>
        <v>25000</v>
      </c>
      <c r="O16" s="48">
        <f>G27+G28+G30+G31+G32+G34+G36+G37+G42+G43+G44+G45+G46+G48+G50+G52+G54+G55+G56+G57+G60+G61+G63+G64+G66+G68+G69+G71+G72+G74+G80+G84+G95+G96+G97+G99+G100+G101+G103+G104+G108+G114+G106</f>
        <v>132330.4</v>
      </c>
      <c r="P16" s="48">
        <f>J27+J28+J30+J31+J32+J34+J36+J37+J42+J43+J44+J45+J46+J48+J50+J52+J54+J55+J56+J57+J60+J61+J63+J64+J66+J68+J69+J71+J72+J74+J80+J84+J95+J96+J97+J99+J100+J101+J103+J104+J108+J114+J106</f>
        <v>146358.5</v>
      </c>
      <c r="Q16" s="48">
        <f>M27+M28+M30+M31+M32+M34+M36+M37+M42+M43+M44+M45+M46+M48+M50+M52+M54+M55+M56+M57+M60+M61+M63+M64+M66+M68+M69+M71+M72+M74+M80+M84+M95+M96+M97+M99+M100+M101+M103+M104+M108+M114+M106</f>
        <v>156175.30000000002</v>
      </c>
      <c r="R16" s="31"/>
      <c r="S16" s="31"/>
      <c r="T16" s="31"/>
      <c r="U16" s="31"/>
      <c r="V16" s="31"/>
      <c r="W16" s="31"/>
      <c r="X16" s="31"/>
    </row>
    <row r="17" spans="1:24" ht="73.5" customHeight="1" x14ac:dyDescent="0.25">
      <c r="A17" s="156"/>
      <c r="B17" s="157"/>
      <c r="C17" s="158"/>
      <c r="D17" s="93" t="s">
        <v>287</v>
      </c>
      <c r="E17" s="161"/>
      <c r="F17" s="40">
        <f>G17+H17</f>
        <v>3739</v>
      </c>
      <c r="G17" s="40"/>
      <c r="H17" s="40">
        <f>H120</f>
        <v>3739</v>
      </c>
      <c r="I17" s="40"/>
      <c r="J17" s="40"/>
      <c r="K17" s="40"/>
      <c r="L17" s="40"/>
      <c r="M17" s="40"/>
      <c r="N17" s="40"/>
      <c r="O17" s="48"/>
      <c r="P17" s="48"/>
      <c r="Q17" s="48"/>
      <c r="R17" s="31"/>
      <c r="S17" s="31"/>
      <c r="T17" s="31"/>
      <c r="U17" s="31"/>
      <c r="V17" s="31"/>
      <c r="W17" s="31"/>
      <c r="X17" s="31"/>
    </row>
    <row r="18" spans="1:24" ht="73.5" customHeight="1" x14ac:dyDescent="0.25">
      <c r="A18" s="116"/>
      <c r="B18" s="159"/>
      <c r="C18" s="117"/>
      <c r="D18" s="94" t="s">
        <v>41</v>
      </c>
      <c r="E18" s="81" t="s">
        <v>289</v>
      </c>
      <c r="F18" s="40">
        <f>F115</f>
        <v>500.7</v>
      </c>
      <c r="G18" s="40"/>
      <c r="H18" s="40">
        <f>H115</f>
        <v>500.7</v>
      </c>
      <c r="I18" s="40"/>
      <c r="J18" s="40"/>
      <c r="K18" s="40"/>
      <c r="L18" s="40"/>
      <c r="M18" s="40"/>
      <c r="N18" s="40"/>
      <c r="O18" s="48"/>
      <c r="P18" s="48"/>
      <c r="Q18" s="48"/>
      <c r="R18" s="31"/>
      <c r="S18" s="31"/>
      <c r="T18" s="31"/>
      <c r="U18" s="31"/>
      <c r="V18" s="31"/>
      <c r="W18" s="31"/>
      <c r="X18" s="31"/>
    </row>
    <row r="19" spans="1:24" ht="21.75" customHeight="1" x14ac:dyDescent="0.25">
      <c r="A19" s="137" t="s">
        <v>142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  <c r="O19" s="53"/>
      <c r="P19" s="53"/>
      <c r="Q19" s="53"/>
    </row>
    <row r="20" spans="1:24" ht="24.75" customHeight="1" x14ac:dyDescent="0.25">
      <c r="A20" s="122" t="s">
        <v>143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3"/>
    </row>
    <row r="21" spans="1:24" x14ac:dyDescent="0.25">
      <c r="A21" s="104" t="s">
        <v>138</v>
      </c>
      <c r="B21" s="119" t="s">
        <v>57</v>
      </c>
      <c r="C21" s="120"/>
      <c r="D21" s="120"/>
      <c r="E21" s="121"/>
      <c r="F21" s="32">
        <f>G21</f>
        <v>98359.1</v>
      </c>
      <c r="G21" s="32">
        <f>G22</f>
        <v>98359.1</v>
      </c>
      <c r="H21" s="32"/>
      <c r="I21" s="32">
        <f>J21</f>
        <v>107289.49999999999</v>
      </c>
      <c r="J21" s="32">
        <f>J22</f>
        <v>107289.49999999999</v>
      </c>
      <c r="K21" s="32"/>
      <c r="L21" s="32">
        <f>M21</f>
        <v>115030.90000000001</v>
      </c>
      <c r="M21" s="32">
        <f>M22</f>
        <v>115030.90000000001</v>
      </c>
      <c r="N21" s="32"/>
    </row>
    <row r="22" spans="1:24" ht="66" customHeight="1" x14ac:dyDescent="0.25">
      <c r="A22" s="105"/>
      <c r="B22" s="166"/>
      <c r="C22" s="167"/>
      <c r="D22" s="94" t="s">
        <v>41</v>
      </c>
      <c r="E22" s="81" t="s">
        <v>10</v>
      </c>
      <c r="F22" s="33">
        <f>G22</f>
        <v>98359.1</v>
      </c>
      <c r="G22" s="33">
        <f>G23+G38+G77+G81</f>
        <v>98359.1</v>
      </c>
      <c r="H22" s="33"/>
      <c r="I22" s="33">
        <f>J22</f>
        <v>107289.49999999999</v>
      </c>
      <c r="J22" s="33">
        <f>J23+J38+J77+J81</f>
        <v>107289.49999999999</v>
      </c>
      <c r="K22" s="33"/>
      <c r="L22" s="33">
        <f>M22</f>
        <v>115030.90000000001</v>
      </c>
      <c r="M22" s="33">
        <f>M23+M38+M77+M81</f>
        <v>115030.90000000001</v>
      </c>
      <c r="N22" s="33"/>
      <c r="O22" s="51">
        <f>G27+G28+G30+G31+G32+G34+G36+G37+G42+G43+G44+G45+G46+G48+G50+G52+G54+G55+G56+G57+G60+G61+G63+G64+G66+G68+G69+G71+G72+G74+G80+G84</f>
        <v>96569.9</v>
      </c>
      <c r="P22" s="51">
        <f>J27+J28+J30+J31+J32+J34+J36+J37+J42+J43+J44+J45+J46+J48+J50+J52+J54+J55+J56+J57+J60+J61+J63+J64+J66+J68+J69+J71+J72+J74+J80+J84</f>
        <v>107289.49999999999</v>
      </c>
      <c r="Q22" s="52">
        <f>M27+M28+M30+M31+M32+M34+M36+M37+M42+M43+M44+M45+M46+M48+M50+M52+M54+M55+M56+M57+M60+M61+M63+M64+M66+M68+M69+M71+M72+M74+M80+M84</f>
        <v>115030.90000000001</v>
      </c>
      <c r="S22" s="31"/>
    </row>
    <row r="23" spans="1:24" x14ac:dyDescent="0.25">
      <c r="A23" s="105"/>
      <c r="B23" s="111" t="s">
        <v>27</v>
      </c>
      <c r="C23" s="112"/>
      <c r="D23" s="112"/>
      <c r="E23" s="113"/>
      <c r="F23" s="32">
        <f>G23</f>
        <v>7596.1999999999989</v>
      </c>
      <c r="G23" s="32">
        <f>G24+G25</f>
        <v>7596.1999999999989</v>
      </c>
      <c r="H23" s="32"/>
      <c r="I23" s="32">
        <f>J23</f>
        <v>8508</v>
      </c>
      <c r="J23" s="32">
        <f>J24+J25</f>
        <v>8508</v>
      </c>
      <c r="K23" s="32"/>
      <c r="L23" s="32">
        <f>M23</f>
        <v>9139</v>
      </c>
      <c r="M23" s="32">
        <f>M24+M25</f>
        <v>9139</v>
      </c>
      <c r="N23" s="32"/>
      <c r="O23" s="48">
        <f>G27+G28+G30+G31+G32+G34+G36+G37</f>
        <v>7596.1999999999989</v>
      </c>
      <c r="P23" s="48">
        <f>J27+J28+J30+J31+J34+J36+J37</f>
        <v>8506</v>
      </c>
      <c r="Q23" s="48">
        <f>M27+M28+M30+M31+M32+M34+M36+M37</f>
        <v>9139</v>
      </c>
    </row>
    <row r="24" spans="1:24" ht="69.75" customHeight="1" x14ac:dyDescent="0.25">
      <c r="A24" s="105"/>
      <c r="B24" s="154" t="s">
        <v>24</v>
      </c>
      <c r="C24" s="36" t="s">
        <v>42</v>
      </c>
      <c r="D24" s="93" t="s">
        <v>41</v>
      </c>
      <c r="E24" s="81" t="s">
        <v>10</v>
      </c>
      <c r="F24" s="33">
        <f t="shared" ref="F24:F25" si="0">G24</f>
        <v>6034.7999999999993</v>
      </c>
      <c r="G24" s="33">
        <f>G26</f>
        <v>6034.7999999999993</v>
      </c>
      <c r="H24" s="33"/>
      <c r="I24" s="33">
        <f t="shared" ref="I24:I25" si="1">J24</f>
        <v>6783</v>
      </c>
      <c r="J24" s="33">
        <f>J26</f>
        <v>6783</v>
      </c>
      <c r="K24" s="33"/>
      <c r="L24" s="33">
        <f t="shared" ref="L24:L25" si="2">M24</f>
        <v>7312</v>
      </c>
      <c r="M24" s="33">
        <f>M26</f>
        <v>7312</v>
      </c>
      <c r="N24" s="33"/>
    </row>
    <row r="25" spans="1:24" ht="62.25" customHeight="1" x14ac:dyDescent="0.25">
      <c r="A25" s="105"/>
      <c r="B25" s="154"/>
      <c r="C25" s="37" t="s">
        <v>45</v>
      </c>
      <c r="D25" s="93" t="s">
        <v>41</v>
      </c>
      <c r="E25" s="81" t="s">
        <v>10</v>
      </c>
      <c r="F25" s="33">
        <f t="shared" si="0"/>
        <v>1561.4</v>
      </c>
      <c r="G25" s="33">
        <f>G29+G33+G35</f>
        <v>1561.4</v>
      </c>
      <c r="H25" s="33"/>
      <c r="I25" s="33">
        <f t="shared" si="1"/>
        <v>1725</v>
      </c>
      <c r="J25" s="33">
        <f>J29+J33+J35</f>
        <v>1725</v>
      </c>
      <c r="K25" s="33"/>
      <c r="L25" s="33">
        <f t="shared" si="2"/>
        <v>1827</v>
      </c>
      <c r="M25" s="33">
        <f>M29+M33+M35</f>
        <v>1827</v>
      </c>
      <c r="N25" s="33"/>
    </row>
    <row r="26" spans="1:24" ht="69.75" customHeight="1" x14ac:dyDescent="0.25">
      <c r="A26" s="105"/>
      <c r="B26" s="34" t="s">
        <v>26</v>
      </c>
      <c r="C26" s="36" t="s">
        <v>42</v>
      </c>
      <c r="D26" s="93" t="s">
        <v>41</v>
      </c>
      <c r="E26" s="81" t="s">
        <v>10</v>
      </c>
      <c r="F26" s="33">
        <f t="shared" ref="F26:F31" si="3">G26</f>
        <v>6034.7999999999993</v>
      </c>
      <c r="G26" s="33">
        <f>G27+G28</f>
        <v>6034.7999999999993</v>
      </c>
      <c r="H26" s="33"/>
      <c r="I26" s="33">
        <f t="shared" ref="I26:I32" si="4">J26</f>
        <v>6783</v>
      </c>
      <c r="J26" s="33">
        <f>J27+J28</f>
        <v>6783</v>
      </c>
      <c r="K26" s="33"/>
      <c r="L26" s="33">
        <f t="shared" ref="L26:L32" si="5">M26</f>
        <v>7312</v>
      </c>
      <c r="M26" s="33">
        <f>M27+M28</f>
        <v>7312</v>
      </c>
      <c r="N26" s="33"/>
    </row>
    <row r="27" spans="1:24" ht="33.75" hidden="1" customHeight="1" outlineLevel="1" x14ac:dyDescent="0.25">
      <c r="A27" s="105"/>
      <c r="B27" s="34" t="s">
        <v>43</v>
      </c>
      <c r="C27" s="36" t="s">
        <v>42</v>
      </c>
      <c r="D27" s="104" t="s">
        <v>41</v>
      </c>
      <c r="E27" s="104" t="s">
        <v>10</v>
      </c>
      <c r="F27" s="33">
        <f t="shared" si="3"/>
        <v>3283.2</v>
      </c>
      <c r="G27" s="33">
        <v>3283.2</v>
      </c>
      <c r="H27" s="33"/>
      <c r="I27" s="33">
        <f t="shared" si="4"/>
        <v>3690</v>
      </c>
      <c r="J27" s="33">
        <f>ROUND(G27*12.4%+G27,0)</f>
        <v>3690</v>
      </c>
      <c r="K27" s="33"/>
      <c r="L27" s="33">
        <f t="shared" si="5"/>
        <v>3978</v>
      </c>
      <c r="M27" s="33">
        <f>ROUND(J27*7.8%+J27,0)</f>
        <v>3978</v>
      </c>
      <c r="N27" s="33"/>
    </row>
    <row r="28" spans="1:24" ht="33" hidden="1" customHeight="1" outlineLevel="1" x14ac:dyDescent="0.25">
      <c r="A28" s="105"/>
      <c r="B28" s="34" t="s">
        <v>44</v>
      </c>
      <c r="C28" s="36" t="s">
        <v>42</v>
      </c>
      <c r="D28" s="107"/>
      <c r="E28" s="107"/>
      <c r="F28" s="33">
        <f t="shared" si="3"/>
        <v>2751.6</v>
      </c>
      <c r="G28" s="33">
        <v>2751.6</v>
      </c>
      <c r="H28" s="33"/>
      <c r="I28" s="33">
        <f t="shared" si="4"/>
        <v>3093</v>
      </c>
      <c r="J28" s="33">
        <f>ROUND(G28*12.4%+G28,0)</f>
        <v>3093</v>
      </c>
      <c r="K28" s="33"/>
      <c r="L28" s="33">
        <f t="shared" si="5"/>
        <v>3334</v>
      </c>
      <c r="M28" s="33">
        <f>ROUND(J28*7.8%+J28,0)</f>
        <v>3334</v>
      </c>
      <c r="N28" s="33"/>
    </row>
    <row r="29" spans="1:24" ht="72.75" customHeight="1" collapsed="1" x14ac:dyDescent="0.25">
      <c r="A29" s="105"/>
      <c r="B29" s="24" t="s">
        <v>25</v>
      </c>
      <c r="C29" s="37" t="s">
        <v>45</v>
      </c>
      <c r="D29" s="93" t="s">
        <v>41</v>
      </c>
      <c r="E29" s="81" t="s">
        <v>10</v>
      </c>
      <c r="F29" s="33">
        <f t="shared" si="3"/>
        <v>166.20000000000002</v>
      </c>
      <c r="G29" s="33">
        <f>G30+G31+G32</f>
        <v>166.20000000000002</v>
      </c>
      <c r="H29" s="33"/>
      <c r="I29" s="33">
        <f t="shared" si="4"/>
        <v>184</v>
      </c>
      <c r="J29" s="33">
        <f>J30+J31+J32</f>
        <v>184</v>
      </c>
      <c r="K29" s="33"/>
      <c r="L29" s="33">
        <f t="shared" si="5"/>
        <v>195</v>
      </c>
      <c r="M29" s="33">
        <f>M30+M31+M32</f>
        <v>195</v>
      </c>
      <c r="N29" s="33"/>
    </row>
    <row r="30" spans="1:24" ht="34.5" hidden="1" customHeight="1" outlineLevel="2" x14ac:dyDescent="0.25">
      <c r="A30" s="105"/>
      <c r="B30" s="34" t="s">
        <v>43</v>
      </c>
      <c r="C30" s="37" t="s">
        <v>45</v>
      </c>
      <c r="D30" s="104" t="s">
        <v>41</v>
      </c>
      <c r="E30" s="104" t="s">
        <v>10</v>
      </c>
      <c r="F30" s="33">
        <f t="shared" si="3"/>
        <v>49</v>
      </c>
      <c r="G30" s="33">
        <v>49</v>
      </c>
      <c r="H30" s="33"/>
      <c r="I30" s="33">
        <f t="shared" si="4"/>
        <v>54</v>
      </c>
      <c r="J30" s="33">
        <f>ROUND(G30*10.4%+G30,0)</f>
        <v>54</v>
      </c>
      <c r="K30" s="33"/>
      <c r="L30" s="33">
        <f t="shared" si="5"/>
        <v>57</v>
      </c>
      <c r="M30" s="33">
        <f>ROUND(J30*5.9%+J30,0)</f>
        <v>57</v>
      </c>
      <c r="N30" s="33"/>
    </row>
    <row r="31" spans="1:24" ht="40.5" hidden="1" customHeight="1" outlineLevel="2" x14ac:dyDescent="0.25">
      <c r="A31" s="105"/>
      <c r="B31" s="34" t="s">
        <v>44</v>
      </c>
      <c r="C31" s="37" t="s">
        <v>45</v>
      </c>
      <c r="D31" s="105"/>
      <c r="E31" s="105"/>
      <c r="F31" s="33">
        <f t="shared" si="3"/>
        <v>115.8</v>
      </c>
      <c r="G31" s="33">
        <v>115.8</v>
      </c>
      <c r="H31" s="33"/>
      <c r="I31" s="33">
        <f t="shared" si="4"/>
        <v>128</v>
      </c>
      <c r="J31" s="33">
        <f>ROUND(G31*10.4%+G31,0)</f>
        <v>128</v>
      </c>
      <c r="K31" s="33"/>
      <c r="L31" s="33">
        <f t="shared" si="5"/>
        <v>136</v>
      </c>
      <c r="M31" s="33">
        <f>ROUND(J31*5.9%+J31,0)</f>
        <v>136</v>
      </c>
      <c r="N31" s="33"/>
    </row>
    <row r="32" spans="1:24" ht="32.25" hidden="1" customHeight="1" outlineLevel="2" x14ac:dyDescent="0.25">
      <c r="A32" s="105"/>
      <c r="B32" s="34" t="s">
        <v>153</v>
      </c>
      <c r="C32" s="37" t="s">
        <v>45</v>
      </c>
      <c r="D32" s="107"/>
      <c r="E32" s="107"/>
      <c r="F32" s="33">
        <f t="shared" ref="F32:F42" si="6">G32</f>
        <v>1.4</v>
      </c>
      <c r="G32" s="33">
        <v>1.4</v>
      </c>
      <c r="H32" s="33"/>
      <c r="I32" s="33">
        <f t="shared" si="4"/>
        <v>2</v>
      </c>
      <c r="J32" s="33">
        <f>ROUND(G32*10.4%+G32,0)</f>
        <v>2</v>
      </c>
      <c r="K32" s="33"/>
      <c r="L32" s="33">
        <f t="shared" si="5"/>
        <v>2</v>
      </c>
      <c r="M32" s="33">
        <f>ROUND(J32*5.9%+J32,0)</f>
        <v>2</v>
      </c>
      <c r="N32" s="33"/>
    </row>
    <row r="33" spans="1:14" ht="99.75" customHeight="1" collapsed="1" x14ac:dyDescent="0.25">
      <c r="A33" s="105"/>
      <c r="B33" s="24" t="s">
        <v>176</v>
      </c>
      <c r="C33" s="37" t="s">
        <v>45</v>
      </c>
      <c r="D33" s="93" t="s">
        <v>41</v>
      </c>
      <c r="E33" s="81" t="s">
        <v>10</v>
      </c>
      <c r="F33" s="33">
        <f t="shared" si="6"/>
        <v>995.2</v>
      </c>
      <c r="G33" s="33">
        <f>G34</f>
        <v>995.2</v>
      </c>
      <c r="H33" s="33"/>
      <c r="I33" s="33">
        <f t="shared" ref="I33:I40" si="7">J33</f>
        <v>1099</v>
      </c>
      <c r="J33" s="33">
        <f>J34</f>
        <v>1099</v>
      </c>
      <c r="K33" s="33"/>
      <c r="L33" s="33">
        <f t="shared" ref="L33:L42" si="8">M33</f>
        <v>1164</v>
      </c>
      <c r="M33" s="33">
        <f>M34</f>
        <v>1164</v>
      </c>
      <c r="N33" s="33"/>
    </row>
    <row r="34" spans="1:14" ht="36.75" hidden="1" customHeight="1" outlineLevel="1" x14ac:dyDescent="0.25">
      <c r="A34" s="105"/>
      <c r="B34" s="34" t="s">
        <v>44</v>
      </c>
      <c r="C34" s="37" t="s">
        <v>45</v>
      </c>
      <c r="D34" s="93" t="s">
        <v>41</v>
      </c>
      <c r="E34" s="81" t="s">
        <v>10</v>
      </c>
      <c r="F34" s="33">
        <f t="shared" si="6"/>
        <v>995.2</v>
      </c>
      <c r="G34" s="33">
        <v>995.2</v>
      </c>
      <c r="H34" s="33"/>
      <c r="I34" s="33">
        <f t="shared" si="7"/>
        <v>1099</v>
      </c>
      <c r="J34" s="33">
        <f>ROUND(G34*10.4%+G34,0)</f>
        <v>1099</v>
      </c>
      <c r="K34" s="33"/>
      <c r="L34" s="33">
        <f t="shared" si="8"/>
        <v>1164</v>
      </c>
      <c r="M34" s="33">
        <f>ROUND(J34*5.9%+J34,0)</f>
        <v>1164</v>
      </c>
      <c r="N34" s="33"/>
    </row>
    <row r="35" spans="1:14" ht="98.25" customHeight="1" collapsed="1" x14ac:dyDescent="0.25">
      <c r="A35" s="105"/>
      <c r="B35" s="34" t="s">
        <v>177</v>
      </c>
      <c r="C35" s="37" t="s">
        <v>45</v>
      </c>
      <c r="D35" s="93" t="s">
        <v>41</v>
      </c>
      <c r="E35" s="81" t="s">
        <v>10</v>
      </c>
      <c r="F35" s="33">
        <f t="shared" si="6"/>
        <v>400</v>
      </c>
      <c r="G35" s="33">
        <f>G36+G37</f>
        <v>400</v>
      </c>
      <c r="H35" s="33"/>
      <c r="I35" s="33">
        <f t="shared" si="7"/>
        <v>442</v>
      </c>
      <c r="J35" s="33">
        <f>J36+J37</f>
        <v>442</v>
      </c>
      <c r="K35" s="33"/>
      <c r="L35" s="33">
        <f t="shared" si="8"/>
        <v>468</v>
      </c>
      <c r="M35" s="33">
        <f>M36+M37</f>
        <v>468</v>
      </c>
      <c r="N35" s="33"/>
    </row>
    <row r="36" spans="1:14" ht="33" hidden="1" customHeight="1" outlineLevel="2" x14ac:dyDescent="0.25">
      <c r="A36" s="105"/>
      <c r="B36" s="34" t="s">
        <v>43</v>
      </c>
      <c r="C36" s="37" t="s">
        <v>45</v>
      </c>
      <c r="D36" s="104" t="s">
        <v>41</v>
      </c>
      <c r="E36" s="104" t="s">
        <v>10</v>
      </c>
      <c r="F36" s="33">
        <f t="shared" si="6"/>
        <v>318.60000000000002</v>
      </c>
      <c r="G36" s="33">
        <f>248.6+70</f>
        <v>318.60000000000002</v>
      </c>
      <c r="H36" s="33"/>
      <c r="I36" s="33">
        <f t="shared" si="7"/>
        <v>352</v>
      </c>
      <c r="J36" s="33">
        <f>ROUND(G36*10.4%+G36,0)</f>
        <v>352</v>
      </c>
      <c r="K36" s="33"/>
      <c r="L36" s="33">
        <f t="shared" si="8"/>
        <v>373</v>
      </c>
      <c r="M36" s="33">
        <f>ROUND(J36*5.9%+J36,0)</f>
        <v>373</v>
      </c>
      <c r="N36" s="33"/>
    </row>
    <row r="37" spans="1:14" ht="33" hidden="1" customHeight="1" outlineLevel="2" x14ac:dyDescent="0.25">
      <c r="A37" s="105"/>
      <c r="B37" s="34" t="s">
        <v>44</v>
      </c>
      <c r="C37" s="37" t="s">
        <v>45</v>
      </c>
      <c r="D37" s="107"/>
      <c r="E37" s="107"/>
      <c r="F37" s="33">
        <f t="shared" si="6"/>
        <v>81.400000000000006</v>
      </c>
      <c r="G37" s="33">
        <f>30+51.4</f>
        <v>81.400000000000006</v>
      </c>
      <c r="H37" s="33"/>
      <c r="I37" s="33">
        <f t="shared" si="7"/>
        <v>90</v>
      </c>
      <c r="J37" s="33">
        <f>ROUND(G37*10.4%+G37,0)</f>
        <v>90</v>
      </c>
      <c r="K37" s="33"/>
      <c r="L37" s="33">
        <f t="shared" si="8"/>
        <v>95</v>
      </c>
      <c r="M37" s="33">
        <f>ROUND(J37*5.9%+J37,0)</f>
        <v>95</v>
      </c>
      <c r="N37" s="33"/>
    </row>
    <row r="38" spans="1:14" collapsed="1" x14ac:dyDescent="0.25">
      <c r="A38" s="105"/>
      <c r="B38" s="111" t="s">
        <v>28</v>
      </c>
      <c r="C38" s="112"/>
      <c r="D38" s="112"/>
      <c r="E38" s="113"/>
      <c r="F38" s="32">
        <f t="shared" si="6"/>
        <v>81124.800000000003</v>
      </c>
      <c r="G38" s="32">
        <f>G41+G47+G49+G51+G53+G58+G65+G67+G70+G73+G75</f>
        <v>81124.800000000003</v>
      </c>
      <c r="H38" s="32"/>
      <c r="I38" s="32">
        <f t="shared" si="7"/>
        <v>89870.499999999985</v>
      </c>
      <c r="J38" s="32">
        <f>J41+J47+J49+J51+J53+J58+J65+J67+J70+J73</f>
        <v>89870.499999999985</v>
      </c>
      <c r="K38" s="32"/>
      <c r="L38" s="32">
        <f t="shared" si="8"/>
        <v>96285.900000000009</v>
      </c>
      <c r="M38" s="32">
        <f>M41+M47+M49+M51+M53+M58+M65+M67+M70+M73</f>
        <v>96285.900000000009</v>
      </c>
      <c r="N38" s="32"/>
    </row>
    <row r="39" spans="1:14" ht="37.5" customHeight="1" x14ac:dyDescent="0.25">
      <c r="A39" s="105"/>
      <c r="B39" s="135" t="s">
        <v>29</v>
      </c>
      <c r="C39" s="37" t="s">
        <v>46</v>
      </c>
      <c r="D39" s="104" t="s">
        <v>41</v>
      </c>
      <c r="E39" s="81" t="s">
        <v>10</v>
      </c>
      <c r="F39" s="33">
        <f t="shared" si="6"/>
        <v>78924.800000000003</v>
      </c>
      <c r="G39" s="33">
        <f>G41+G47+G51+G53+G58+G65+G73+G75</f>
        <v>78924.800000000003</v>
      </c>
      <c r="H39" s="33"/>
      <c r="I39" s="33">
        <f t="shared" si="7"/>
        <v>87441.499999999985</v>
      </c>
      <c r="J39" s="33">
        <f>J41+J47+J51+J53+J58+J65+J73+J75</f>
        <v>87441.499999999985</v>
      </c>
      <c r="K39" s="33"/>
      <c r="L39" s="33">
        <f t="shared" si="8"/>
        <v>93713.900000000009</v>
      </c>
      <c r="M39" s="33">
        <f>M41+M47+M51+M53+M58+M65+M73+M75</f>
        <v>93713.900000000009</v>
      </c>
      <c r="N39" s="33"/>
    </row>
    <row r="40" spans="1:14" ht="36" customHeight="1" x14ac:dyDescent="0.25">
      <c r="A40" s="105"/>
      <c r="B40" s="162"/>
      <c r="C40" s="37" t="s">
        <v>45</v>
      </c>
      <c r="D40" s="105"/>
      <c r="E40" s="81" t="s">
        <v>10</v>
      </c>
      <c r="F40" s="33">
        <f t="shared" si="6"/>
        <v>2200</v>
      </c>
      <c r="G40" s="33">
        <f>G49</f>
        <v>2200</v>
      </c>
      <c r="H40" s="33"/>
      <c r="I40" s="33">
        <f t="shared" si="7"/>
        <v>2429</v>
      </c>
      <c r="J40" s="33">
        <f>J49</f>
        <v>2429</v>
      </c>
      <c r="K40" s="33"/>
      <c r="L40" s="33">
        <f t="shared" si="8"/>
        <v>2572</v>
      </c>
      <c r="M40" s="33">
        <f>M49</f>
        <v>2572</v>
      </c>
      <c r="N40" s="33"/>
    </row>
    <row r="41" spans="1:14" ht="69" customHeight="1" x14ac:dyDescent="0.25">
      <c r="A41" s="105"/>
      <c r="B41" s="24" t="s">
        <v>30</v>
      </c>
      <c r="C41" s="37" t="s">
        <v>46</v>
      </c>
      <c r="D41" s="38" t="s">
        <v>41</v>
      </c>
      <c r="E41" s="81" t="s">
        <v>10</v>
      </c>
      <c r="F41" s="33">
        <f t="shared" si="6"/>
        <v>58991.700000000004</v>
      </c>
      <c r="G41" s="33">
        <f>G42+G43+G44+G45+G46</f>
        <v>58991.700000000004</v>
      </c>
      <c r="H41" s="33"/>
      <c r="I41" s="33">
        <f t="shared" ref="I41:I46" si="9">J41</f>
        <v>66307</v>
      </c>
      <c r="J41" s="33">
        <f>J42+J43+J44+J45+J46</f>
        <v>66307</v>
      </c>
      <c r="K41" s="33"/>
      <c r="L41" s="33">
        <f t="shared" si="8"/>
        <v>71478</v>
      </c>
      <c r="M41" s="33">
        <f>M42+M43+M44+M45+M46</f>
        <v>71478</v>
      </c>
      <c r="N41" s="33"/>
    </row>
    <row r="42" spans="1:14" ht="25.5" hidden="1" customHeight="1" outlineLevel="3" x14ac:dyDescent="0.25">
      <c r="A42" s="105"/>
      <c r="B42" s="49" t="s">
        <v>47</v>
      </c>
      <c r="C42" s="37" t="s">
        <v>46</v>
      </c>
      <c r="D42" s="104" t="s">
        <v>41</v>
      </c>
      <c r="E42" s="104" t="s">
        <v>10</v>
      </c>
      <c r="F42" s="33">
        <f t="shared" si="6"/>
        <v>11444</v>
      </c>
      <c r="G42" s="33">
        <v>11444</v>
      </c>
      <c r="H42" s="33"/>
      <c r="I42" s="33">
        <f t="shared" si="9"/>
        <v>12863</v>
      </c>
      <c r="J42" s="33">
        <f>ROUND(G42*12.4%+G42,0)</f>
        <v>12863</v>
      </c>
      <c r="K42" s="33"/>
      <c r="L42" s="33">
        <f t="shared" si="8"/>
        <v>13866</v>
      </c>
      <c r="M42" s="33">
        <f>ROUND(J42*7.8%+J42,0)</f>
        <v>13866</v>
      </c>
      <c r="N42" s="33"/>
    </row>
    <row r="43" spans="1:14" ht="22.5" hidden="1" customHeight="1" outlineLevel="3" x14ac:dyDescent="0.25">
      <c r="A43" s="105"/>
      <c r="B43" s="49" t="s">
        <v>48</v>
      </c>
      <c r="C43" s="37" t="s">
        <v>46</v>
      </c>
      <c r="D43" s="105"/>
      <c r="E43" s="105"/>
      <c r="F43" s="33">
        <f t="shared" ref="F43:F46" si="10">G43</f>
        <v>9343</v>
      </c>
      <c r="G43" s="33">
        <v>9343</v>
      </c>
      <c r="H43" s="33"/>
      <c r="I43" s="33">
        <f t="shared" si="9"/>
        <v>10502</v>
      </c>
      <c r="J43" s="33">
        <f t="shared" ref="J43:J46" si="11">ROUND(G43*12.4%+G43,0)</f>
        <v>10502</v>
      </c>
      <c r="K43" s="33"/>
      <c r="L43" s="33">
        <f t="shared" ref="L43:L46" si="12">M43</f>
        <v>11321</v>
      </c>
      <c r="M43" s="33">
        <f t="shared" ref="M43:M46" si="13">ROUND(J43*7.8%+J43,0)</f>
        <v>11321</v>
      </c>
      <c r="N43" s="33"/>
    </row>
    <row r="44" spans="1:14" ht="16.5" hidden="1" customHeight="1" outlineLevel="3" x14ac:dyDescent="0.25">
      <c r="A44" s="105"/>
      <c r="B44" s="49" t="s">
        <v>49</v>
      </c>
      <c r="C44" s="37" t="s">
        <v>46</v>
      </c>
      <c r="D44" s="105"/>
      <c r="E44" s="105"/>
      <c r="F44" s="33">
        <f t="shared" si="10"/>
        <v>17933.599999999999</v>
      </c>
      <c r="G44" s="33">
        <v>17933.599999999999</v>
      </c>
      <c r="H44" s="33"/>
      <c r="I44" s="33">
        <f t="shared" si="9"/>
        <v>20157</v>
      </c>
      <c r="J44" s="33">
        <f t="shared" si="11"/>
        <v>20157</v>
      </c>
      <c r="K44" s="33"/>
      <c r="L44" s="33">
        <f t="shared" si="12"/>
        <v>21729</v>
      </c>
      <c r="M44" s="33">
        <f t="shared" si="13"/>
        <v>21729</v>
      </c>
      <c r="N44" s="33"/>
    </row>
    <row r="45" spans="1:14" ht="31.5" hidden="1" customHeight="1" outlineLevel="3" x14ac:dyDescent="0.25">
      <c r="A45" s="105"/>
      <c r="B45" s="49" t="s">
        <v>50</v>
      </c>
      <c r="C45" s="37" t="s">
        <v>46</v>
      </c>
      <c r="D45" s="105"/>
      <c r="E45" s="105"/>
      <c r="F45" s="33">
        <f t="shared" si="10"/>
        <v>11271.2</v>
      </c>
      <c r="G45" s="33">
        <v>11271.2</v>
      </c>
      <c r="H45" s="33"/>
      <c r="I45" s="33">
        <f t="shared" si="9"/>
        <v>12669</v>
      </c>
      <c r="J45" s="33">
        <f t="shared" si="11"/>
        <v>12669</v>
      </c>
      <c r="K45" s="33"/>
      <c r="L45" s="33">
        <f t="shared" si="12"/>
        <v>13657</v>
      </c>
      <c r="M45" s="33">
        <f t="shared" si="13"/>
        <v>13657</v>
      </c>
      <c r="N45" s="33"/>
    </row>
    <row r="46" spans="1:14" ht="29.25" hidden="1" customHeight="1" outlineLevel="3" x14ac:dyDescent="0.25">
      <c r="A46" s="105"/>
      <c r="B46" s="49" t="s">
        <v>51</v>
      </c>
      <c r="C46" s="37" t="s">
        <v>46</v>
      </c>
      <c r="D46" s="107"/>
      <c r="E46" s="107"/>
      <c r="F46" s="33">
        <f t="shared" si="10"/>
        <v>8999.9</v>
      </c>
      <c r="G46" s="33">
        <v>8999.9</v>
      </c>
      <c r="H46" s="33"/>
      <c r="I46" s="33">
        <f t="shared" si="9"/>
        <v>10116</v>
      </c>
      <c r="J46" s="33">
        <f t="shared" si="11"/>
        <v>10116</v>
      </c>
      <c r="K46" s="33"/>
      <c r="L46" s="33">
        <f t="shared" si="12"/>
        <v>10905</v>
      </c>
      <c r="M46" s="33">
        <f t="shared" si="13"/>
        <v>10905</v>
      </c>
      <c r="N46" s="33"/>
    </row>
    <row r="47" spans="1:14" ht="72" customHeight="1" collapsed="1" x14ac:dyDescent="0.25">
      <c r="A47" s="105"/>
      <c r="B47" s="24" t="s">
        <v>31</v>
      </c>
      <c r="C47" s="37" t="s">
        <v>46</v>
      </c>
      <c r="D47" s="38" t="s">
        <v>41</v>
      </c>
      <c r="E47" s="81" t="s">
        <v>10</v>
      </c>
      <c r="F47" s="33">
        <f t="shared" ref="F47:F52" si="14">G47</f>
        <v>350</v>
      </c>
      <c r="G47" s="33">
        <f>G48</f>
        <v>350</v>
      </c>
      <c r="H47" s="33"/>
      <c r="I47" s="33">
        <f t="shared" ref="I47:I52" si="15">J47</f>
        <v>386.4</v>
      </c>
      <c r="J47" s="33">
        <f>J48</f>
        <v>386.4</v>
      </c>
      <c r="K47" s="33"/>
      <c r="L47" s="33">
        <f t="shared" ref="L47:L52" si="16">M47</f>
        <v>708.5</v>
      </c>
      <c r="M47" s="33">
        <f>M48</f>
        <v>708.5</v>
      </c>
      <c r="N47" s="33"/>
    </row>
    <row r="48" spans="1:14" ht="30.75" hidden="1" customHeight="1" outlineLevel="1" x14ac:dyDescent="0.25">
      <c r="A48" s="105"/>
      <c r="B48" s="24" t="s">
        <v>47</v>
      </c>
      <c r="C48" s="37" t="s">
        <v>46</v>
      </c>
      <c r="D48" s="93" t="s">
        <v>41</v>
      </c>
      <c r="E48" s="39" t="s">
        <v>10</v>
      </c>
      <c r="F48" s="33">
        <f t="shared" si="14"/>
        <v>350</v>
      </c>
      <c r="G48" s="33">
        <v>350</v>
      </c>
      <c r="H48" s="33"/>
      <c r="I48" s="33">
        <f t="shared" si="15"/>
        <v>386.4</v>
      </c>
      <c r="J48" s="33">
        <v>386.4</v>
      </c>
      <c r="K48" s="33"/>
      <c r="L48" s="33">
        <f t="shared" si="16"/>
        <v>708.5</v>
      </c>
      <c r="M48" s="33">
        <v>708.5</v>
      </c>
      <c r="N48" s="33"/>
    </row>
    <row r="49" spans="1:15" ht="86.25" customHeight="1" collapsed="1" x14ac:dyDescent="0.25">
      <c r="A49" s="105"/>
      <c r="B49" s="24" t="s">
        <v>203</v>
      </c>
      <c r="C49" s="37" t="s">
        <v>45</v>
      </c>
      <c r="D49" s="38" t="s">
        <v>41</v>
      </c>
      <c r="E49" s="81" t="s">
        <v>10</v>
      </c>
      <c r="F49" s="33">
        <f t="shared" si="14"/>
        <v>2200</v>
      </c>
      <c r="G49" s="33">
        <f>G50</f>
        <v>2200</v>
      </c>
      <c r="H49" s="33"/>
      <c r="I49" s="33">
        <f t="shared" si="15"/>
        <v>2429</v>
      </c>
      <c r="J49" s="33">
        <f>J50</f>
        <v>2429</v>
      </c>
      <c r="K49" s="33"/>
      <c r="L49" s="33">
        <f t="shared" si="16"/>
        <v>2572</v>
      </c>
      <c r="M49" s="33">
        <f>M50</f>
        <v>2572</v>
      </c>
      <c r="N49" s="33"/>
    </row>
    <row r="50" spans="1:15" ht="35.25" hidden="1" customHeight="1" outlineLevel="4" x14ac:dyDescent="0.25">
      <c r="A50" s="105"/>
      <c r="B50" s="24" t="s">
        <v>48</v>
      </c>
      <c r="C50" s="37" t="s">
        <v>45</v>
      </c>
      <c r="D50" s="93" t="s">
        <v>41</v>
      </c>
      <c r="E50" s="39" t="s">
        <v>10</v>
      </c>
      <c r="F50" s="33">
        <f t="shared" si="14"/>
        <v>2200</v>
      </c>
      <c r="G50" s="33">
        <v>2200</v>
      </c>
      <c r="H50" s="33">
        <v>0</v>
      </c>
      <c r="I50" s="33">
        <f t="shared" si="15"/>
        <v>2429</v>
      </c>
      <c r="J50" s="33">
        <f>ROUND(G50*10.4%+G50,0)</f>
        <v>2429</v>
      </c>
      <c r="K50" s="33">
        <v>0</v>
      </c>
      <c r="L50" s="33">
        <f t="shared" si="16"/>
        <v>2572</v>
      </c>
      <c r="M50" s="33">
        <f>ROUND(J50*5.9%+J50,0)</f>
        <v>2572</v>
      </c>
      <c r="N50" s="33">
        <v>0</v>
      </c>
    </row>
    <row r="51" spans="1:15" ht="107.25" customHeight="1" collapsed="1" x14ac:dyDescent="0.25">
      <c r="A51" s="105"/>
      <c r="B51" s="24" t="s">
        <v>204</v>
      </c>
      <c r="C51" s="37" t="s">
        <v>46</v>
      </c>
      <c r="D51" s="38" t="s">
        <v>41</v>
      </c>
      <c r="E51" s="81" t="s">
        <v>10</v>
      </c>
      <c r="F51" s="33">
        <f t="shared" si="14"/>
        <v>2446.9</v>
      </c>
      <c r="G51" s="33">
        <f>G52</f>
        <v>2446.9</v>
      </c>
      <c r="H51" s="33"/>
      <c r="I51" s="33">
        <f t="shared" si="15"/>
        <v>2463.6999999999998</v>
      </c>
      <c r="J51" s="33">
        <f>J52</f>
        <v>2463.6999999999998</v>
      </c>
      <c r="K51" s="33"/>
      <c r="L51" s="33">
        <f t="shared" si="16"/>
        <v>2474.3000000000002</v>
      </c>
      <c r="M51" s="33">
        <f>M52</f>
        <v>2474.3000000000002</v>
      </c>
      <c r="N51" s="33"/>
    </row>
    <row r="52" spans="1:15" ht="31.5" hidden="1" customHeight="1" outlineLevel="2" x14ac:dyDescent="0.25">
      <c r="A52" s="105"/>
      <c r="B52" s="24" t="s">
        <v>50</v>
      </c>
      <c r="C52" s="37" t="s">
        <v>46</v>
      </c>
      <c r="D52" s="93" t="s">
        <v>41</v>
      </c>
      <c r="E52" s="81" t="s">
        <v>10</v>
      </c>
      <c r="F52" s="33">
        <f t="shared" si="14"/>
        <v>2446.9</v>
      </c>
      <c r="G52" s="33">
        <v>2446.9</v>
      </c>
      <c r="H52" s="33"/>
      <c r="I52" s="33">
        <f t="shared" si="15"/>
        <v>2463.6999999999998</v>
      </c>
      <c r="J52" s="33">
        <v>2463.6999999999998</v>
      </c>
      <c r="K52" s="33"/>
      <c r="L52" s="33">
        <f t="shared" si="16"/>
        <v>2474.3000000000002</v>
      </c>
      <c r="M52" s="33">
        <v>2474.3000000000002</v>
      </c>
      <c r="N52" s="33"/>
    </row>
    <row r="53" spans="1:15" ht="115.5" customHeight="1" collapsed="1" x14ac:dyDescent="0.25">
      <c r="A53" s="105"/>
      <c r="B53" s="34" t="s">
        <v>271</v>
      </c>
      <c r="C53" s="37" t="s">
        <v>46</v>
      </c>
      <c r="D53" s="38" t="s">
        <v>41</v>
      </c>
      <c r="E53" s="81" t="s">
        <v>10</v>
      </c>
      <c r="F53" s="33">
        <f>G53</f>
        <v>6368.6</v>
      </c>
      <c r="G53" s="33">
        <f>G54+G55+G56+G57</f>
        <v>6368.6</v>
      </c>
      <c r="H53" s="33"/>
      <c r="I53" s="33">
        <f>J53</f>
        <v>7030</v>
      </c>
      <c r="J53" s="33">
        <f>J54+J55+J56+J57</f>
        <v>7030</v>
      </c>
      <c r="K53" s="33"/>
      <c r="L53" s="33">
        <f>M53</f>
        <v>7445</v>
      </c>
      <c r="M53" s="33">
        <f>M54+M55+M56+M57</f>
        <v>7445</v>
      </c>
      <c r="N53" s="33"/>
      <c r="O53" s="47"/>
    </row>
    <row r="54" spans="1:15" ht="31.5" hidden="1" customHeight="1" outlineLevel="1" x14ac:dyDescent="0.25">
      <c r="A54" s="105"/>
      <c r="B54" s="24" t="s">
        <v>174</v>
      </c>
      <c r="C54" s="37" t="s">
        <v>46</v>
      </c>
      <c r="D54" s="104" t="s">
        <v>41</v>
      </c>
      <c r="E54" s="163" t="s">
        <v>10</v>
      </c>
      <c r="F54" s="33">
        <f>G54</f>
        <v>2128</v>
      </c>
      <c r="G54" s="33">
        <v>2128</v>
      </c>
      <c r="H54" s="33"/>
      <c r="I54" s="33">
        <f>J54</f>
        <v>2349</v>
      </c>
      <c r="J54" s="33">
        <f>ROUND(G54*10.4%+G54,0)</f>
        <v>2349</v>
      </c>
      <c r="K54" s="33"/>
      <c r="L54" s="33">
        <f>M54</f>
        <v>2488</v>
      </c>
      <c r="M54" s="33">
        <f>ROUND(J54*5.9%+J54,0)</f>
        <v>2488</v>
      </c>
      <c r="N54" s="33"/>
    </row>
    <row r="55" spans="1:15" ht="33" hidden="1" customHeight="1" outlineLevel="1" x14ac:dyDescent="0.25">
      <c r="A55" s="105"/>
      <c r="B55" s="24" t="s">
        <v>47</v>
      </c>
      <c r="C55" s="37" t="s">
        <v>46</v>
      </c>
      <c r="D55" s="105"/>
      <c r="E55" s="164"/>
      <c r="F55" s="33">
        <f t="shared" ref="F55:F57" si="17">G55</f>
        <v>3748.3</v>
      </c>
      <c r="G55" s="33">
        <v>3748.3</v>
      </c>
      <c r="H55" s="33"/>
      <c r="I55" s="33">
        <f t="shared" ref="I55:I57" si="18">J55</f>
        <v>4138</v>
      </c>
      <c r="J55" s="33">
        <f>ROUND(G55*10.4%+G55,0)</f>
        <v>4138</v>
      </c>
      <c r="K55" s="33"/>
      <c r="L55" s="33">
        <f t="shared" ref="L55:L57" si="19">M55</f>
        <v>4382</v>
      </c>
      <c r="M55" s="33">
        <f>ROUND(J55*5.9%+J55,0)</f>
        <v>4382</v>
      </c>
      <c r="N55" s="33"/>
    </row>
    <row r="56" spans="1:15" ht="31.5" hidden="1" customHeight="1" outlineLevel="1" x14ac:dyDescent="0.25">
      <c r="A56" s="105"/>
      <c r="B56" s="24" t="s">
        <v>56</v>
      </c>
      <c r="C56" s="37" t="s">
        <v>46</v>
      </c>
      <c r="D56" s="105"/>
      <c r="E56" s="164"/>
      <c r="F56" s="33">
        <f t="shared" si="17"/>
        <v>492.3</v>
      </c>
      <c r="G56" s="33">
        <v>492.3</v>
      </c>
      <c r="H56" s="33"/>
      <c r="I56" s="33">
        <f t="shared" si="18"/>
        <v>543</v>
      </c>
      <c r="J56" s="33">
        <f>ROUND(G56*10.4%+G56,0)</f>
        <v>543</v>
      </c>
      <c r="K56" s="33"/>
      <c r="L56" s="33">
        <f t="shared" si="19"/>
        <v>575</v>
      </c>
      <c r="M56" s="33">
        <f>ROUND(J56*5.9%+J56,0)</f>
        <v>575</v>
      </c>
      <c r="N56" s="33"/>
    </row>
    <row r="57" spans="1:15" ht="31.5" hidden="1" customHeight="1" outlineLevel="1" x14ac:dyDescent="0.25">
      <c r="A57" s="105"/>
      <c r="B57" s="24" t="s">
        <v>198</v>
      </c>
      <c r="C57" s="37" t="s">
        <v>46</v>
      </c>
      <c r="D57" s="107"/>
      <c r="E57" s="165"/>
      <c r="F57" s="33">
        <f t="shared" si="17"/>
        <v>0</v>
      </c>
      <c r="G57" s="33">
        <v>0</v>
      </c>
      <c r="H57" s="33"/>
      <c r="I57" s="33">
        <f t="shared" si="18"/>
        <v>0</v>
      </c>
      <c r="J57" s="33">
        <f>ROUND(G57*10.4%+G57,0)</f>
        <v>0</v>
      </c>
      <c r="K57" s="33"/>
      <c r="L57" s="33">
        <f t="shared" si="19"/>
        <v>0</v>
      </c>
      <c r="M57" s="33">
        <f>ROUND(J57*5.9%+J57,0)</f>
        <v>0</v>
      </c>
      <c r="N57" s="33"/>
    </row>
    <row r="58" spans="1:15" ht="65.25" customHeight="1" collapsed="1" x14ac:dyDescent="0.25">
      <c r="A58" s="105"/>
      <c r="B58" s="24" t="s">
        <v>205</v>
      </c>
      <c r="C58" s="37" t="s">
        <v>46</v>
      </c>
      <c r="D58" s="38" t="s">
        <v>41</v>
      </c>
      <c r="E58" s="81" t="s">
        <v>10</v>
      </c>
      <c r="F58" s="32">
        <f>G58</f>
        <v>2200</v>
      </c>
      <c r="G58" s="32">
        <f>G59+G62</f>
        <v>2200</v>
      </c>
      <c r="H58" s="32"/>
      <c r="I58" s="32">
        <f t="shared" ref="I58:I80" si="20">J58</f>
        <v>2429</v>
      </c>
      <c r="J58" s="32">
        <f>J59+J62</f>
        <v>2429</v>
      </c>
      <c r="K58" s="32"/>
      <c r="L58" s="32">
        <f t="shared" ref="L58:L80" si="21">M58</f>
        <v>2572</v>
      </c>
      <c r="M58" s="32">
        <f>M59+M62</f>
        <v>2572</v>
      </c>
      <c r="N58" s="32"/>
    </row>
    <row r="59" spans="1:15" ht="63" x14ac:dyDescent="0.25">
      <c r="A59" s="105"/>
      <c r="B59" s="24" t="s">
        <v>206</v>
      </c>
      <c r="C59" s="37" t="s">
        <v>46</v>
      </c>
      <c r="D59" s="93" t="s">
        <v>41</v>
      </c>
      <c r="E59" s="81" t="s">
        <v>10</v>
      </c>
      <c r="F59" s="33">
        <f>G59</f>
        <v>2000</v>
      </c>
      <c r="G59" s="33">
        <f>G60+G61</f>
        <v>2000</v>
      </c>
      <c r="H59" s="33"/>
      <c r="I59" s="33">
        <f t="shared" si="20"/>
        <v>2208</v>
      </c>
      <c r="J59" s="33">
        <f>J60+J61</f>
        <v>2208</v>
      </c>
      <c r="K59" s="33"/>
      <c r="L59" s="33">
        <f t="shared" si="21"/>
        <v>2338</v>
      </c>
      <c r="M59" s="33">
        <f>M60+M61</f>
        <v>2338</v>
      </c>
      <c r="N59" s="33"/>
    </row>
    <row r="60" spans="1:15" ht="33" hidden="1" customHeight="1" outlineLevel="3" x14ac:dyDescent="0.25">
      <c r="A60" s="105"/>
      <c r="B60" s="24" t="s">
        <v>47</v>
      </c>
      <c r="C60" s="37" t="s">
        <v>46</v>
      </c>
      <c r="D60" s="104" t="s">
        <v>41</v>
      </c>
      <c r="E60" s="104" t="s">
        <v>10</v>
      </c>
      <c r="F60" s="33">
        <f t="shared" ref="F60:F64" si="22">G60</f>
        <v>1000</v>
      </c>
      <c r="G60" s="33">
        <v>1000</v>
      </c>
      <c r="H60" s="33"/>
      <c r="I60" s="33">
        <f t="shared" si="20"/>
        <v>1104</v>
      </c>
      <c r="J60" s="33">
        <f>ROUND(G60*10.4%+G60,0)</f>
        <v>1104</v>
      </c>
      <c r="K60" s="33"/>
      <c r="L60" s="33">
        <f t="shared" si="21"/>
        <v>1169</v>
      </c>
      <c r="M60" s="33">
        <f>ROUND(J60*5.9%+J60,0)</f>
        <v>1169</v>
      </c>
      <c r="N60" s="33"/>
    </row>
    <row r="61" spans="1:15" ht="33.75" hidden="1" customHeight="1" outlineLevel="3" x14ac:dyDescent="0.25">
      <c r="A61" s="105"/>
      <c r="B61" s="24" t="s">
        <v>51</v>
      </c>
      <c r="C61" s="37" t="s">
        <v>46</v>
      </c>
      <c r="D61" s="107"/>
      <c r="E61" s="107"/>
      <c r="F61" s="33">
        <f t="shared" si="22"/>
        <v>1000</v>
      </c>
      <c r="G61" s="33">
        <v>1000</v>
      </c>
      <c r="H61" s="33"/>
      <c r="I61" s="33">
        <f t="shared" si="20"/>
        <v>1104</v>
      </c>
      <c r="J61" s="33">
        <f>ROUND(G61*10.4%+G61,0)</f>
        <v>1104</v>
      </c>
      <c r="K61" s="33"/>
      <c r="L61" s="33">
        <f t="shared" si="21"/>
        <v>1169</v>
      </c>
      <c r="M61" s="33">
        <f>ROUND(J61*5.9%+J61,0)</f>
        <v>1169</v>
      </c>
      <c r="N61" s="33"/>
    </row>
    <row r="62" spans="1:15" ht="63" collapsed="1" x14ac:dyDescent="0.25">
      <c r="A62" s="105"/>
      <c r="B62" s="24" t="s">
        <v>207</v>
      </c>
      <c r="C62" s="37" t="s">
        <v>46</v>
      </c>
      <c r="D62" s="93" t="s">
        <v>41</v>
      </c>
      <c r="E62" s="81" t="s">
        <v>10</v>
      </c>
      <c r="F62" s="33">
        <f t="shared" si="22"/>
        <v>200</v>
      </c>
      <c r="G62" s="33">
        <f>G63+G64</f>
        <v>200</v>
      </c>
      <c r="H62" s="33"/>
      <c r="I62" s="33">
        <f t="shared" si="20"/>
        <v>221</v>
      </c>
      <c r="J62" s="33">
        <f>J63+J64</f>
        <v>221</v>
      </c>
      <c r="K62" s="33"/>
      <c r="L62" s="33">
        <f t="shared" si="21"/>
        <v>234</v>
      </c>
      <c r="M62" s="33">
        <f>M63+M64</f>
        <v>234</v>
      </c>
      <c r="N62" s="33"/>
    </row>
    <row r="63" spans="1:15" ht="30" hidden="1" customHeight="1" outlineLevel="1" x14ac:dyDescent="0.25">
      <c r="A63" s="105"/>
      <c r="B63" s="24" t="s">
        <v>47</v>
      </c>
      <c r="C63" s="37" t="s">
        <v>46</v>
      </c>
      <c r="D63" s="93" t="s">
        <v>41</v>
      </c>
      <c r="E63" s="81" t="s">
        <v>10</v>
      </c>
      <c r="F63" s="33">
        <f t="shared" si="22"/>
        <v>0</v>
      </c>
      <c r="G63" s="33"/>
      <c r="H63" s="33"/>
      <c r="I63" s="33">
        <f t="shared" si="20"/>
        <v>0</v>
      </c>
      <c r="J63" s="33">
        <f>ROUND(G63*10.4%+G63,0)</f>
        <v>0</v>
      </c>
      <c r="K63" s="33"/>
      <c r="L63" s="33">
        <f t="shared" si="21"/>
        <v>0</v>
      </c>
      <c r="M63" s="33">
        <f>ROUND(J63*5.9%+J63,0)</f>
        <v>0</v>
      </c>
      <c r="N63" s="33"/>
    </row>
    <row r="64" spans="1:15" ht="18.75" hidden="1" customHeight="1" outlineLevel="1" x14ac:dyDescent="0.25">
      <c r="A64" s="105"/>
      <c r="B64" s="24" t="s">
        <v>49</v>
      </c>
      <c r="C64" s="37" t="s">
        <v>46</v>
      </c>
      <c r="D64" s="93" t="s">
        <v>41</v>
      </c>
      <c r="E64" s="81" t="s">
        <v>10</v>
      </c>
      <c r="F64" s="33">
        <f t="shared" si="22"/>
        <v>200</v>
      </c>
      <c r="G64" s="33">
        <v>200</v>
      </c>
      <c r="H64" s="33"/>
      <c r="I64" s="33">
        <f t="shared" si="20"/>
        <v>221</v>
      </c>
      <c r="J64" s="33">
        <f>ROUND(G64*10.4%+G64,0)</f>
        <v>221</v>
      </c>
      <c r="K64" s="33"/>
      <c r="L64" s="33">
        <f t="shared" si="21"/>
        <v>234</v>
      </c>
      <c r="M64" s="33">
        <f>ROUND(J64*5.9%+J64,0)</f>
        <v>234</v>
      </c>
      <c r="N64" s="33"/>
    </row>
    <row r="65" spans="1:15" ht="63.75" customHeight="1" collapsed="1" x14ac:dyDescent="0.25">
      <c r="A65" s="105"/>
      <c r="B65" s="24" t="s">
        <v>294</v>
      </c>
      <c r="C65" s="37" t="s">
        <v>46</v>
      </c>
      <c r="D65" s="93" t="s">
        <v>41</v>
      </c>
      <c r="E65" s="81" t="s">
        <v>10</v>
      </c>
      <c r="F65" s="33">
        <f t="shared" ref="F65:F80" si="23">G65</f>
        <v>1740</v>
      </c>
      <c r="G65" s="33">
        <f>G66</f>
        <v>1740</v>
      </c>
      <c r="H65" s="33"/>
      <c r="I65" s="33">
        <f t="shared" si="20"/>
        <v>1921</v>
      </c>
      <c r="J65" s="33">
        <f>J66</f>
        <v>1921</v>
      </c>
      <c r="K65" s="33"/>
      <c r="L65" s="33">
        <f t="shared" si="21"/>
        <v>2034</v>
      </c>
      <c r="M65" s="33">
        <f>M66</f>
        <v>2034</v>
      </c>
      <c r="N65" s="33"/>
    </row>
    <row r="66" spans="1:15" ht="33" hidden="1" customHeight="1" outlineLevel="1" x14ac:dyDescent="0.25">
      <c r="A66" s="105"/>
      <c r="B66" s="34" t="s">
        <v>56</v>
      </c>
      <c r="C66" s="37"/>
      <c r="D66" s="93"/>
      <c r="E66" s="81"/>
      <c r="F66" s="33">
        <f t="shared" si="23"/>
        <v>1740</v>
      </c>
      <c r="G66" s="33">
        <v>1740</v>
      </c>
      <c r="H66" s="33"/>
      <c r="I66" s="33">
        <f t="shared" si="20"/>
        <v>1921</v>
      </c>
      <c r="J66" s="33">
        <f>ROUND(G66*10.4%+G66,0)</f>
        <v>1921</v>
      </c>
      <c r="K66" s="33"/>
      <c r="L66" s="33">
        <f t="shared" si="21"/>
        <v>2034</v>
      </c>
      <c r="M66" s="33">
        <f>ROUND(J66*5.9%+J66,0)</f>
        <v>2034</v>
      </c>
      <c r="N66" s="33"/>
    </row>
    <row r="67" spans="1:15" ht="63" hidden="1" customHeight="1" collapsed="1" x14ac:dyDescent="0.45">
      <c r="A67" s="105"/>
      <c r="B67" s="34" t="s">
        <v>208</v>
      </c>
      <c r="C67" s="37" t="s">
        <v>46</v>
      </c>
      <c r="D67" s="38" t="s">
        <v>41</v>
      </c>
      <c r="E67" s="81" t="s">
        <v>10</v>
      </c>
      <c r="F67" s="33">
        <f t="shared" si="23"/>
        <v>0</v>
      </c>
      <c r="G67" s="33">
        <f>G68+G69</f>
        <v>0</v>
      </c>
      <c r="H67" s="33"/>
      <c r="I67" s="33">
        <f t="shared" si="20"/>
        <v>0</v>
      </c>
      <c r="J67" s="33">
        <f>J68+J69</f>
        <v>0</v>
      </c>
      <c r="K67" s="33"/>
      <c r="L67" s="33">
        <f t="shared" si="21"/>
        <v>0</v>
      </c>
      <c r="M67" s="33">
        <f>M68+M69</f>
        <v>0</v>
      </c>
      <c r="N67" s="33"/>
      <c r="O67" s="50"/>
    </row>
    <row r="68" spans="1:15" ht="36" hidden="1" customHeight="1" outlineLevel="1" x14ac:dyDescent="0.25">
      <c r="A68" s="105"/>
      <c r="B68" s="24" t="s">
        <v>50</v>
      </c>
      <c r="C68" s="37" t="s">
        <v>46</v>
      </c>
      <c r="D68" s="104" t="s">
        <v>41</v>
      </c>
      <c r="E68" s="104" t="s">
        <v>10</v>
      </c>
      <c r="F68" s="33">
        <f t="shared" si="23"/>
        <v>0</v>
      </c>
      <c r="G68" s="33"/>
      <c r="H68" s="33"/>
      <c r="I68" s="33">
        <f t="shared" si="20"/>
        <v>0</v>
      </c>
      <c r="J68" s="33">
        <f>ROUND(G68*10.4%+G68,0)</f>
        <v>0</v>
      </c>
      <c r="K68" s="33"/>
      <c r="L68" s="33">
        <f t="shared" si="21"/>
        <v>0</v>
      </c>
      <c r="M68" s="33">
        <f>ROUND(J68*5.9%+J68,0)</f>
        <v>0</v>
      </c>
      <c r="N68" s="33"/>
    </row>
    <row r="69" spans="1:15" ht="32.25" hidden="1" customHeight="1" outlineLevel="1" x14ac:dyDescent="0.35">
      <c r="A69" s="105"/>
      <c r="B69" s="24" t="s">
        <v>51</v>
      </c>
      <c r="C69" s="37" t="s">
        <v>46</v>
      </c>
      <c r="D69" s="105"/>
      <c r="E69" s="107"/>
      <c r="F69" s="33">
        <f t="shared" si="23"/>
        <v>0</v>
      </c>
      <c r="G69" s="33"/>
      <c r="H69" s="33"/>
      <c r="I69" s="33">
        <f t="shared" si="20"/>
        <v>0</v>
      </c>
      <c r="J69" s="33">
        <f>ROUND(G69*10.4%+G69,0)</f>
        <v>0</v>
      </c>
      <c r="K69" s="33"/>
      <c r="L69" s="33">
        <f t="shared" si="21"/>
        <v>0</v>
      </c>
      <c r="M69" s="33">
        <f>ROUND(J69*5.9%+J69,0)</f>
        <v>0</v>
      </c>
      <c r="N69" s="33"/>
      <c r="O69" s="54" t="s">
        <v>229</v>
      </c>
    </row>
    <row r="70" spans="1:15" ht="122.25" hidden="1" customHeight="1" collapsed="1" x14ac:dyDescent="0.25">
      <c r="A70" s="105"/>
      <c r="B70" s="24" t="s">
        <v>209</v>
      </c>
      <c r="C70" s="37" t="s">
        <v>46</v>
      </c>
      <c r="D70" s="38" t="s">
        <v>41</v>
      </c>
      <c r="E70" s="81" t="s">
        <v>10</v>
      </c>
      <c r="F70" s="33">
        <f t="shared" si="23"/>
        <v>0</v>
      </c>
      <c r="G70" s="33">
        <f>G71+G72</f>
        <v>0</v>
      </c>
      <c r="H70" s="33"/>
      <c r="I70" s="33">
        <f t="shared" si="20"/>
        <v>0</v>
      </c>
      <c r="J70" s="33">
        <f>J71+J72</f>
        <v>0</v>
      </c>
      <c r="K70" s="33"/>
      <c r="L70" s="33">
        <f t="shared" si="21"/>
        <v>0</v>
      </c>
      <c r="M70" s="33">
        <f>M71+M72</f>
        <v>0</v>
      </c>
      <c r="N70" s="33"/>
    </row>
    <row r="71" spans="1:15" ht="33" hidden="1" customHeight="1" outlineLevel="1" x14ac:dyDescent="0.25">
      <c r="A71" s="105"/>
      <c r="B71" s="24" t="s">
        <v>47</v>
      </c>
      <c r="C71" s="37" t="s">
        <v>46</v>
      </c>
      <c r="D71" s="104" t="s">
        <v>41</v>
      </c>
      <c r="E71" s="104" t="s">
        <v>10</v>
      </c>
      <c r="F71" s="33">
        <f t="shared" si="23"/>
        <v>0</v>
      </c>
      <c r="G71" s="33"/>
      <c r="H71" s="33"/>
      <c r="I71" s="33">
        <f t="shared" si="20"/>
        <v>0</v>
      </c>
      <c r="J71" s="33">
        <f>ROUND(G71*10.4%+G71,0)</f>
        <v>0</v>
      </c>
      <c r="K71" s="33"/>
      <c r="L71" s="33">
        <f t="shared" si="21"/>
        <v>0</v>
      </c>
      <c r="M71" s="33">
        <f>ROUND(J71*5.9%+J71,0)</f>
        <v>0</v>
      </c>
      <c r="N71" s="33"/>
    </row>
    <row r="72" spans="1:15" ht="30.75" hidden="1" customHeight="1" outlineLevel="1" x14ac:dyDescent="0.25">
      <c r="A72" s="105"/>
      <c r="B72" s="24" t="s">
        <v>51</v>
      </c>
      <c r="C72" s="37" t="s">
        <v>46</v>
      </c>
      <c r="D72" s="107"/>
      <c r="E72" s="107"/>
      <c r="F72" s="33">
        <f t="shared" si="23"/>
        <v>0</v>
      </c>
      <c r="G72" s="33"/>
      <c r="H72" s="33"/>
      <c r="I72" s="33">
        <f t="shared" si="20"/>
        <v>0</v>
      </c>
      <c r="J72" s="33">
        <f>ROUND(G72*10.4%+G72,0)</f>
        <v>0</v>
      </c>
      <c r="K72" s="33"/>
      <c r="L72" s="33">
        <f t="shared" si="21"/>
        <v>0</v>
      </c>
      <c r="M72" s="33">
        <f>ROUND(J72*5.9%+J72,0)</f>
        <v>0</v>
      </c>
      <c r="N72" s="33"/>
    </row>
    <row r="73" spans="1:15" ht="111" customHeight="1" collapsed="1" x14ac:dyDescent="0.25">
      <c r="A73" s="105"/>
      <c r="B73" s="24" t="s">
        <v>253</v>
      </c>
      <c r="C73" s="37" t="s">
        <v>46</v>
      </c>
      <c r="D73" s="38" t="s">
        <v>41</v>
      </c>
      <c r="E73" s="81" t="s">
        <v>10</v>
      </c>
      <c r="F73" s="33">
        <f t="shared" si="23"/>
        <v>6748.4</v>
      </c>
      <c r="G73" s="33">
        <f>G74</f>
        <v>6748.4</v>
      </c>
      <c r="H73" s="33"/>
      <c r="I73" s="33">
        <f t="shared" si="20"/>
        <v>6904.4</v>
      </c>
      <c r="J73" s="33">
        <f>J74</f>
        <v>6904.4</v>
      </c>
      <c r="K73" s="33"/>
      <c r="L73" s="33">
        <f t="shared" si="21"/>
        <v>7002.1</v>
      </c>
      <c r="M73" s="33">
        <f>M74</f>
        <v>7002.1</v>
      </c>
      <c r="N73" s="33"/>
    </row>
    <row r="74" spans="1:15" ht="30.75" hidden="1" customHeight="1" outlineLevel="1" x14ac:dyDescent="0.25">
      <c r="A74" s="105"/>
      <c r="B74" s="24" t="s">
        <v>50</v>
      </c>
      <c r="C74" s="37" t="s">
        <v>46</v>
      </c>
      <c r="D74" s="38" t="s">
        <v>41</v>
      </c>
      <c r="E74" s="81" t="s">
        <v>10</v>
      </c>
      <c r="F74" s="33">
        <f t="shared" si="23"/>
        <v>6748.4</v>
      </c>
      <c r="G74" s="33">
        <v>6748.4</v>
      </c>
      <c r="H74" s="33"/>
      <c r="I74" s="33">
        <f t="shared" si="20"/>
        <v>6904.4</v>
      </c>
      <c r="J74" s="33">
        <v>6904.4</v>
      </c>
      <c r="K74" s="33"/>
      <c r="L74" s="33">
        <f t="shared" si="21"/>
        <v>7002.1</v>
      </c>
      <c r="M74" s="33">
        <v>7002.1</v>
      </c>
      <c r="N74" s="33"/>
    </row>
    <row r="75" spans="1:15" ht="72.75" customHeight="1" collapsed="1" x14ac:dyDescent="0.25">
      <c r="A75" s="105"/>
      <c r="B75" s="24" t="s">
        <v>295</v>
      </c>
      <c r="C75" s="37" t="s">
        <v>46</v>
      </c>
      <c r="D75" s="38" t="s">
        <v>41</v>
      </c>
      <c r="E75" s="81" t="s">
        <v>10</v>
      </c>
      <c r="F75" s="33">
        <f>G75</f>
        <v>79.2</v>
      </c>
      <c r="G75" s="33">
        <f>G76</f>
        <v>79.2</v>
      </c>
      <c r="H75" s="33"/>
      <c r="I75" s="33"/>
      <c r="J75" s="33"/>
      <c r="K75" s="33"/>
      <c r="L75" s="33"/>
      <c r="M75" s="33"/>
      <c r="N75" s="33"/>
    </row>
    <row r="76" spans="1:15" ht="51" hidden="1" customHeight="1" outlineLevel="1" x14ac:dyDescent="0.25">
      <c r="A76" s="105"/>
      <c r="B76" s="24" t="s">
        <v>50</v>
      </c>
      <c r="C76" s="37" t="s">
        <v>46</v>
      </c>
      <c r="D76" s="38" t="s">
        <v>41</v>
      </c>
      <c r="E76" s="81" t="s">
        <v>10</v>
      </c>
      <c r="F76" s="33">
        <f>G76</f>
        <v>79.2</v>
      </c>
      <c r="G76" s="33">
        <v>79.2</v>
      </c>
      <c r="H76" s="33"/>
      <c r="I76" s="33"/>
      <c r="J76" s="33"/>
      <c r="K76" s="33"/>
      <c r="L76" s="33"/>
      <c r="M76" s="33"/>
      <c r="N76" s="33"/>
    </row>
    <row r="77" spans="1:15" collapsed="1" x14ac:dyDescent="0.25">
      <c r="A77" s="105"/>
      <c r="B77" s="127" t="s">
        <v>33</v>
      </c>
      <c r="C77" s="128"/>
      <c r="D77" s="128"/>
      <c r="E77" s="129"/>
      <c r="F77" s="32">
        <f t="shared" si="23"/>
        <v>6632.3</v>
      </c>
      <c r="G77" s="32">
        <f>G78</f>
        <v>6632.3</v>
      </c>
      <c r="H77" s="32"/>
      <c r="I77" s="32">
        <f t="shared" si="20"/>
        <v>7455</v>
      </c>
      <c r="J77" s="32">
        <f>J78</f>
        <v>7455</v>
      </c>
      <c r="K77" s="32"/>
      <c r="L77" s="32">
        <f t="shared" si="21"/>
        <v>8036</v>
      </c>
      <c r="M77" s="32">
        <f>M78</f>
        <v>8036</v>
      </c>
      <c r="N77" s="32"/>
    </row>
    <row r="78" spans="1:15" ht="63" x14ac:dyDescent="0.25">
      <c r="A78" s="105"/>
      <c r="B78" s="82" t="s">
        <v>32</v>
      </c>
      <c r="C78" s="37" t="s">
        <v>52</v>
      </c>
      <c r="D78" s="38" t="s">
        <v>41</v>
      </c>
      <c r="E78" s="81" t="s">
        <v>10</v>
      </c>
      <c r="F78" s="33">
        <f t="shared" si="23"/>
        <v>6632.3</v>
      </c>
      <c r="G78" s="33">
        <f>G79</f>
        <v>6632.3</v>
      </c>
      <c r="H78" s="33"/>
      <c r="I78" s="33">
        <f t="shared" si="20"/>
        <v>7455</v>
      </c>
      <c r="J78" s="33">
        <f>J79</f>
        <v>7455</v>
      </c>
      <c r="K78" s="33"/>
      <c r="L78" s="33">
        <f t="shared" si="21"/>
        <v>8036</v>
      </c>
      <c r="M78" s="33">
        <f>M79</f>
        <v>8036</v>
      </c>
      <c r="N78" s="33"/>
    </row>
    <row r="79" spans="1:15" ht="63" x14ac:dyDescent="0.25">
      <c r="A79" s="105"/>
      <c r="B79" s="24" t="s">
        <v>34</v>
      </c>
      <c r="C79" s="37" t="s">
        <v>52</v>
      </c>
      <c r="D79" s="93" t="s">
        <v>41</v>
      </c>
      <c r="E79" s="81" t="s">
        <v>10</v>
      </c>
      <c r="F79" s="33">
        <f t="shared" si="23"/>
        <v>6632.3</v>
      </c>
      <c r="G79" s="33">
        <f>G80</f>
        <v>6632.3</v>
      </c>
      <c r="H79" s="33"/>
      <c r="I79" s="33">
        <f t="shared" si="20"/>
        <v>7455</v>
      </c>
      <c r="J79" s="33">
        <f>J80</f>
        <v>7455</v>
      </c>
      <c r="K79" s="33"/>
      <c r="L79" s="33">
        <f t="shared" si="21"/>
        <v>8036</v>
      </c>
      <c r="M79" s="33">
        <f>M80</f>
        <v>8036</v>
      </c>
      <c r="N79" s="33"/>
    </row>
    <row r="80" spans="1:15" ht="38.25" hidden="1" customHeight="1" outlineLevel="2" x14ac:dyDescent="0.25">
      <c r="A80" s="105"/>
      <c r="B80" s="24" t="s">
        <v>197</v>
      </c>
      <c r="C80" s="37" t="s">
        <v>52</v>
      </c>
      <c r="D80" s="93" t="s">
        <v>41</v>
      </c>
      <c r="E80" s="81" t="s">
        <v>10</v>
      </c>
      <c r="F80" s="33">
        <f t="shared" si="23"/>
        <v>6632.3</v>
      </c>
      <c r="G80" s="33">
        <v>6632.3</v>
      </c>
      <c r="H80" s="33"/>
      <c r="I80" s="33">
        <f t="shared" si="20"/>
        <v>7455</v>
      </c>
      <c r="J80" s="33">
        <f>ROUND(G80*12.4%+G80,0)</f>
        <v>7455</v>
      </c>
      <c r="K80" s="33"/>
      <c r="L80" s="33">
        <f t="shared" si="21"/>
        <v>8036</v>
      </c>
      <c r="M80" s="33">
        <f>ROUND(J80*7.8%+J80,0)</f>
        <v>8036</v>
      </c>
      <c r="N80" s="33"/>
    </row>
    <row r="81" spans="1:17" ht="24.75" customHeight="1" collapsed="1" x14ac:dyDescent="0.25">
      <c r="A81" s="105"/>
      <c r="B81" s="127" t="s">
        <v>35</v>
      </c>
      <c r="C81" s="128"/>
      <c r="D81" s="129"/>
      <c r="E81" s="29"/>
      <c r="F81" s="32">
        <f t="shared" ref="F81:F84" si="24">G81</f>
        <v>3005.8</v>
      </c>
      <c r="G81" s="32">
        <f>G82</f>
        <v>3005.8</v>
      </c>
      <c r="H81" s="32"/>
      <c r="I81" s="32">
        <f t="shared" ref="I81:I84" si="25">J81</f>
        <v>1456</v>
      </c>
      <c r="J81" s="32">
        <f>J82</f>
        <v>1456</v>
      </c>
      <c r="K81" s="32"/>
      <c r="L81" s="32">
        <f t="shared" ref="L81:L84" si="26">M81</f>
        <v>1570</v>
      </c>
      <c r="M81" s="32">
        <f>M82</f>
        <v>1570</v>
      </c>
      <c r="N81" s="33"/>
    </row>
    <row r="82" spans="1:17" ht="63.75" customHeight="1" x14ac:dyDescent="0.25">
      <c r="A82" s="105"/>
      <c r="B82" s="83" t="s">
        <v>36</v>
      </c>
      <c r="C82" s="37" t="s">
        <v>53</v>
      </c>
      <c r="D82" s="35" t="s">
        <v>41</v>
      </c>
      <c r="E82" s="81" t="s">
        <v>10</v>
      </c>
      <c r="F82" s="33">
        <f t="shared" si="24"/>
        <v>3005.8</v>
      </c>
      <c r="G82" s="33">
        <f>G83+G85</f>
        <v>3005.8</v>
      </c>
      <c r="H82" s="33"/>
      <c r="I82" s="33">
        <f t="shared" si="25"/>
        <v>1456</v>
      </c>
      <c r="J82" s="33">
        <f>J83</f>
        <v>1456</v>
      </c>
      <c r="K82" s="33"/>
      <c r="L82" s="33">
        <f t="shared" si="26"/>
        <v>1570</v>
      </c>
      <c r="M82" s="33">
        <f>M83</f>
        <v>1570</v>
      </c>
      <c r="N82" s="33"/>
    </row>
    <row r="83" spans="1:17" ht="63" x14ac:dyDescent="0.25">
      <c r="A83" s="105"/>
      <c r="B83" s="24" t="s">
        <v>254</v>
      </c>
      <c r="C83" s="37" t="s">
        <v>53</v>
      </c>
      <c r="D83" s="93" t="s">
        <v>41</v>
      </c>
      <c r="E83" s="39" t="s">
        <v>10</v>
      </c>
      <c r="F83" s="33">
        <f t="shared" si="24"/>
        <v>1295.8</v>
      </c>
      <c r="G83" s="33">
        <f>G84</f>
        <v>1295.8</v>
      </c>
      <c r="H83" s="33"/>
      <c r="I83" s="33">
        <f t="shared" si="25"/>
        <v>1456</v>
      </c>
      <c r="J83" s="33">
        <f>J84</f>
        <v>1456</v>
      </c>
      <c r="K83" s="33"/>
      <c r="L83" s="33">
        <f t="shared" si="26"/>
        <v>1570</v>
      </c>
      <c r="M83" s="33">
        <f>M84</f>
        <v>1570</v>
      </c>
      <c r="N83" s="33"/>
    </row>
    <row r="84" spans="1:17" ht="53.25" hidden="1" customHeight="1" outlineLevel="1" x14ac:dyDescent="0.25">
      <c r="A84" s="105"/>
      <c r="B84" s="24" t="s">
        <v>54</v>
      </c>
      <c r="C84" s="37" t="s">
        <v>53</v>
      </c>
      <c r="D84" s="93" t="s">
        <v>41</v>
      </c>
      <c r="E84" s="39" t="s">
        <v>10</v>
      </c>
      <c r="F84" s="24">
        <f t="shared" si="24"/>
        <v>1295.8</v>
      </c>
      <c r="G84" s="24">
        <v>1295.8</v>
      </c>
      <c r="H84" s="24"/>
      <c r="I84" s="24">
        <f t="shared" si="25"/>
        <v>1456</v>
      </c>
      <c r="J84" s="33">
        <f>ROUND(G84*12.4%+G84,0)</f>
        <v>1456</v>
      </c>
      <c r="K84" s="24"/>
      <c r="L84" s="33">
        <f t="shared" si="26"/>
        <v>1570</v>
      </c>
      <c r="M84" s="33">
        <f>ROUND(J84*7.8%+J84,0)</f>
        <v>1570</v>
      </c>
      <c r="N84" s="24"/>
    </row>
    <row r="85" spans="1:17" ht="66.75" customHeight="1" collapsed="1" x14ac:dyDescent="0.25">
      <c r="A85" s="105"/>
      <c r="B85" s="24" t="s">
        <v>265</v>
      </c>
      <c r="C85" s="37" t="s">
        <v>53</v>
      </c>
      <c r="D85" s="93" t="s">
        <v>41</v>
      </c>
      <c r="E85" s="39" t="s">
        <v>10</v>
      </c>
      <c r="F85" s="33">
        <f>G85</f>
        <v>1710</v>
      </c>
      <c r="G85" s="33">
        <f>G86</f>
        <v>1710</v>
      </c>
      <c r="H85" s="24"/>
      <c r="I85" s="33">
        <f>J85</f>
        <v>0</v>
      </c>
      <c r="J85" s="33">
        <v>0</v>
      </c>
      <c r="K85" s="24"/>
      <c r="L85" s="33">
        <f>M85</f>
        <v>0</v>
      </c>
      <c r="M85" s="33">
        <v>0</v>
      </c>
      <c r="N85" s="24"/>
    </row>
    <row r="86" spans="1:17" ht="54.75" hidden="1" customHeight="1" outlineLevel="1" x14ac:dyDescent="0.25">
      <c r="A86" s="107"/>
      <c r="B86" s="24" t="s">
        <v>54</v>
      </c>
      <c r="C86" s="37" t="s">
        <v>53</v>
      </c>
      <c r="D86" s="93" t="s">
        <v>41</v>
      </c>
      <c r="E86" s="39" t="s">
        <v>10</v>
      </c>
      <c r="F86" s="33">
        <f>G86</f>
        <v>1710</v>
      </c>
      <c r="G86" s="33">
        <v>1710</v>
      </c>
      <c r="H86" s="24"/>
      <c r="I86" s="24"/>
      <c r="J86" s="33"/>
      <c r="K86" s="24"/>
      <c r="L86" s="33"/>
      <c r="M86" s="33"/>
      <c r="N86" s="24"/>
    </row>
    <row r="87" spans="1:17" collapsed="1" x14ac:dyDescent="0.25">
      <c r="A87" s="126" t="s">
        <v>146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</row>
    <row r="88" spans="1:17" x14ac:dyDescent="0.25">
      <c r="A88" s="122" t="s">
        <v>143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3"/>
    </row>
    <row r="89" spans="1:17" x14ac:dyDescent="0.25">
      <c r="A89" s="106" t="s">
        <v>139</v>
      </c>
      <c r="B89" s="111" t="s">
        <v>58</v>
      </c>
      <c r="C89" s="112"/>
      <c r="D89" s="112"/>
      <c r="E89" s="113"/>
      <c r="F89" s="40">
        <f>G89</f>
        <v>31405.3</v>
      </c>
      <c r="G89" s="40">
        <f>G90</f>
        <v>31405.3</v>
      </c>
      <c r="H89" s="40"/>
      <c r="I89" s="40">
        <f>J89</f>
        <v>34670</v>
      </c>
      <c r="J89" s="40">
        <f>J90</f>
        <v>34670</v>
      </c>
      <c r="K89" s="40"/>
      <c r="L89" s="40">
        <f>M89</f>
        <v>36716.400000000001</v>
      </c>
      <c r="M89" s="40">
        <f>M90</f>
        <v>36716.400000000001</v>
      </c>
      <c r="N89" s="40"/>
      <c r="O89" s="31">
        <f>G95+G96+G97+G99+G100+G101+G103+G104+G108+G106</f>
        <v>31405.3</v>
      </c>
      <c r="P89" s="31">
        <f>J95+J96+J97+J99+J100+J101+J103+J104+J108+J106</f>
        <v>34670</v>
      </c>
      <c r="Q89" s="31">
        <f>M95+M96+M97+M99+M100+M101+M103+M104+M108+M106</f>
        <v>36716.400000000001</v>
      </c>
    </row>
    <row r="90" spans="1:17" ht="68.25" customHeight="1" x14ac:dyDescent="0.25">
      <c r="A90" s="106"/>
      <c r="B90" s="137"/>
      <c r="C90" s="123"/>
      <c r="D90" s="93" t="s">
        <v>41</v>
      </c>
      <c r="E90" s="81" t="s">
        <v>10</v>
      </c>
      <c r="F90" s="41">
        <f>F94+F98+F102+F107</f>
        <v>21405.3</v>
      </c>
      <c r="G90" s="41">
        <f>G94+G98+G102+G107+G105</f>
        <v>31405.3</v>
      </c>
      <c r="H90" s="41"/>
      <c r="I90" s="41">
        <f>I94+I98+I102+I107</f>
        <v>23630</v>
      </c>
      <c r="J90" s="41">
        <f>J94+J98+J102+J107+J105</f>
        <v>34670</v>
      </c>
      <c r="K90" s="41"/>
      <c r="L90" s="41">
        <f>L94+L98+L102+L107</f>
        <v>25025</v>
      </c>
      <c r="M90" s="41">
        <f>M94+M98+M102+M107+M105</f>
        <v>36716.400000000001</v>
      </c>
      <c r="N90" s="41"/>
    </row>
    <row r="91" spans="1:17" x14ac:dyDescent="0.25">
      <c r="A91" s="106"/>
      <c r="B91" s="111" t="s">
        <v>37</v>
      </c>
      <c r="C91" s="112"/>
      <c r="D91" s="112"/>
      <c r="E91" s="113"/>
      <c r="F91" s="40">
        <f t="shared" ref="F91:F102" si="27">G91</f>
        <v>21405.3</v>
      </c>
      <c r="G91" s="40">
        <f>G94+G98+G102+G107</f>
        <v>21405.3</v>
      </c>
      <c r="H91" s="40"/>
      <c r="I91" s="40">
        <f t="shared" ref="I91:I97" si="28">J91</f>
        <v>23630</v>
      </c>
      <c r="J91" s="40">
        <f>J94+J98+J102+J107</f>
        <v>23630</v>
      </c>
      <c r="K91" s="40"/>
      <c r="L91" s="40">
        <f t="shared" ref="L91:L97" si="29">M91</f>
        <v>25025</v>
      </c>
      <c r="M91" s="40">
        <f>M94+M98+M102+M107</f>
        <v>25025</v>
      </c>
      <c r="N91" s="40"/>
    </row>
    <row r="92" spans="1:17" ht="24.75" customHeight="1" x14ac:dyDescent="0.25">
      <c r="A92" s="106"/>
      <c r="B92" s="135" t="s">
        <v>38</v>
      </c>
      <c r="C92" s="37" t="s">
        <v>45</v>
      </c>
      <c r="D92" s="104" t="s">
        <v>41</v>
      </c>
      <c r="E92" s="104" t="s">
        <v>10</v>
      </c>
      <c r="F92" s="42">
        <f>G92</f>
        <v>31105.3</v>
      </c>
      <c r="G92" s="42">
        <f>G94+G98+G102+G105</f>
        <v>31105.3</v>
      </c>
      <c r="H92" s="42"/>
      <c r="I92" s="42">
        <f t="shared" si="28"/>
        <v>34339</v>
      </c>
      <c r="J92" s="42">
        <f>J94+J98+J102+J105</f>
        <v>34339</v>
      </c>
      <c r="K92" s="42"/>
      <c r="L92" s="42">
        <f t="shared" si="29"/>
        <v>36365.4</v>
      </c>
      <c r="M92" s="42">
        <f>M94+M98+M102+M105</f>
        <v>36365.4</v>
      </c>
      <c r="N92" s="42"/>
    </row>
    <row r="93" spans="1:17" ht="38.25" customHeight="1" x14ac:dyDescent="0.25">
      <c r="A93" s="106"/>
      <c r="B93" s="136"/>
      <c r="C93" s="37" t="s">
        <v>46</v>
      </c>
      <c r="D93" s="107"/>
      <c r="E93" s="107"/>
      <c r="F93" s="42">
        <f t="shared" si="27"/>
        <v>300</v>
      </c>
      <c r="G93" s="42">
        <f>G107</f>
        <v>300</v>
      </c>
      <c r="H93" s="42"/>
      <c r="I93" s="42">
        <f t="shared" si="28"/>
        <v>331</v>
      </c>
      <c r="J93" s="42">
        <f>J107</f>
        <v>331</v>
      </c>
      <c r="K93" s="42"/>
      <c r="L93" s="42">
        <f t="shared" si="29"/>
        <v>351</v>
      </c>
      <c r="M93" s="42">
        <f>M107</f>
        <v>351</v>
      </c>
      <c r="N93" s="42"/>
    </row>
    <row r="94" spans="1:17" ht="117" customHeight="1" x14ac:dyDescent="0.25">
      <c r="A94" s="106"/>
      <c r="B94" s="24" t="s">
        <v>200</v>
      </c>
      <c r="C94" s="37" t="s">
        <v>45</v>
      </c>
      <c r="D94" s="93" t="s">
        <v>41</v>
      </c>
      <c r="E94" s="81" t="s">
        <v>10</v>
      </c>
      <c r="F94" s="41">
        <f t="shared" si="27"/>
        <v>15290</v>
      </c>
      <c r="G94" s="41">
        <f>G95+G96+G97</f>
        <v>15290</v>
      </c>
      <c r="H94" s="41"/>
      <c r="I94" s="41">
        <f t="shared" si="28"/>
        <v>16879</v>
      </c>
      <c r="J94" s="41">
        <f>J95+J96+J97</f>
        <v>16879</v>
      </c>
      <c r="K94" s="41"/>
      <c r="L94" s="41">
        <f t="shared" si="29"/>
        <v>17875</v>
      </c>
      <c r="M94" s="41">
        <f>M95+M96+M97</f>
        <v>17875</v>
      </c>
      <c r="N94" s="41"/>
    </row>
    <row r="95" spans="1:17" ht="33" hidden="1" customHeight="1" outlineLevel="1" x14ac:dyDescent="0.25">
      <c r="A95" s="106"/>
      <c r="B95" s="34" t="s">
        <v>43</v>
      </c>
      <c r="C95" s="37" t="s">
        <v>45</v>
      </c>
      <c r="D95" s="104" t="s">
        <v>41</v>
      </c>
      <c r="E95" s="104" t="s">
        <v>10</v>
      </c>
      <c r="F95" s="41">
        <f t="shared" si="27"/>
        <v>7100</v>
      </c>
      <c r="G95" s="41">
        <v>7100</v>
      </c>
      <c r="H95" s="41"/>
      <c r="I95" s="41">
        <f t="shared" si="28"/>
        <v>7838</v>
      </c>
      <c r="J95" s="41">
        <f>ROUND(G95*10.4%+G95,0)</f>
        <v>7838</v>
      </c>
      <c r="K95" s="41"/>
      <c r="L95" s="41">
        <f t="shared" si="29"/>
        <v>8300</v>
      </c>
      <c r="M95" s="41">
        <f>ROUND(J95*5.9%+J95,0)</f>
        <v>8300</v>
      </c>
      <c r="N95" s="41"/>
    </row>
    <row r="96" spans="1:17" ht="31.5" hidden="1" customHeight="1" outlineLevel="1" x14ac:dyDescent="0.25">
      <c r="A96" s="106"/>
      <c r="B96" s="34" t="s">
        <v>44</v>
      </c>
      <c r="C96" s="37" t="s">
        <v>45</v>
      </c>
      <c r="D96" s="105"/>
      <c r="E96" s="105"/>
      <c r="F96" s="41">
        <f t="shared" si="27"/>
        <v>8100</v>
      </c>
      <c r="G96" s="41">
        <v>8100</v>
      </c>
      <c r="H96" s="41"/>
      <c r="I96" s="41">
        <f t="shared" si="28"/>
        <v>8942</v>
      </c>
      <c r="J96" s="41">
        <f t="shared" ref="J96:J108" si="30">ROUND(G96*10.4%+G96,0)</f>
        <v>8942</v>
      </c>
      <c r="K96" s="41"/>
      <c r="L96" s="41">
        <f t="shared" si="29"/>
        <v>9470</v>
      </c>
      <c r="M96" s="41">
        <f>ROUND(J96*5.9%+J96,0)</f>
        <v>9470</v>
      </c>
      <c r="N96" s="41"/>
    </row>
    <row r="97" spans="1:17" ht="30" hidden="1" customHeight="1" outlineLevel="1" x14ac:dyDescent="0.25">
      <c r="A97" s="106"/>
      <c r="B97" s="24" t="s">
        <v>51</v>
      </c>
      <c r="C97" s="37" t="s">
        <v>45</v>
      </c>
      <c r="D97" s="107"/>
      <c r="E97" s="107"/>
      <c r="F97" s="41">
        <f t="shared" si="27"/>
        <v>90</v>
      </c>
      <c r="G97" s="41">
        <v>90</v>
      </c>
      <c r="H97" s="41"/>
      <c r="I97" s="41">
        <f t="shared" si="28"/>
        <v>99</v>
      </c>
      <c r="J97" s="41">
        <f t="shared" si="30"/>
        <v>99</v>
      </c>
      <c r="K97" s="41"/>
      <c r="L97" s="41">
        <f t="shared" si="29"/>
        <v>105</v>
      </c>
      <c r="M97" s="41">
        <f>ROUND(J97*5.9%+J97,0)</f>
        <v>105</v>
      </c>
      <c r="N97" s="41"/>
    </row>
    <row r="98" spans="1:17" ht="101.25" customHeight="1" collapsed="1" x14ac:dyDescent="0.25">
      <c r="A98" s="106"/>
      <c r="B98" s="24" t="s">
        <v>201</v>
      </c>
      <c r="C98" s="37" t="s">
        <v>45</v>
      </c>
      <c r="D98" s="93" t="s">
        <v>41</v>
      </c>
      <c r="E98" s="81" t="s">
        <v>10</v>
      </c>
      <c r="F98" s="41">
        <f t="shared" si="27"/>
        <v>3000</v>
      </c>
      <c r="G98" s="41">
        <f>G99+G100+G101</f>
        <v>3000</v>
      </c>
      <c r="H98" s="41"/>
      <c r="I98" s="41">
        <f t="shared" ref="I98:I108" si="31">J98</f>
        <v>3312</v>
      </c>
      <c r="J98" s="41">
        <f>J99+J100+J101</f>
        <v>3312</v>
      </c>
      <c r="K98" s="41"/>
      <c r="L98" s="41">
        <f t="shared" ref="L98:L108" si="32">M98</f>
        <v>3508</v>
      </c>
      <c r="M98" s="41">
        <f>M99+M100+M101</f>
        <v>3508</v>
      </c>
      <c r="N98" s="41"/>
    </row>
    <row r="99" spans="1:17" ht="36.75" hidden="1" customHeight="1" outlineLevel="2" x14ac:dyDescent="0.25">
      <c r="A99" s="106"/>
      <c r="B99" s="34" t="s">
        <v>43</v>
      </c>
      <c r="C99" s="37" t="s">
        <v>45</v>
      </c>
      <c r="D99" s="104" t="s">
        <v>41</v>
      </c>
      <c r="E99" s="104" t="s">
        <v>10</v>
      </c>
      <c r="F99" s="41">
        <f t="shared" si="27"/>
        <v>1575</v>
      </c>
      <c r="G99" s="41">
        <v>1575</v>
      </c>
      <c r="H99" s="41"/>
      <c r="I99" s="41">
        <f t="shared" si="31"/>
        <v>1739</v>
      </c>
      <c r="J99" s="41">
        <f t="shared" si="30"/>
        <v>1739</v>
      </c>
      <c r="K99" s="41"/>
      <c r="L99" s="41">
        <f t="shared" si="32"/>
        <v>1842</v>
      </c>
      <c r="M99" s="41">
        <f>ROUND(J99*5.9%+J99,0)</f>
        <v>1842</v>
      </c>
      <c r="N99" s="41"/>
    </row>
    <row r="100" spans="1:17" ht="38.25" hidden="1" customHeight="1" outlineLevel="2" x14ac:dyDescent="0.25">
      <c r="A100" s="106"/>
      <c r="B100" s="34" t="s">
        <v>44</v>
      </c>
      <c r="C100" s="37" t="s">
        <v>45</v>
      </c>
      <c r="D100" s="105"/>
      <c r="E100" s="105"/>
      <c r="F100" s="41">
        <f t="shared" si="27"/>
        <v>1375</v>
      </c>
      <c r="G100" s="41">
        <v>1375</v>
      </c>
      <c r="H100" s="41"/>
      <c r="I100" s="41">
        <f t="shared" si="31"/>
        <v>1518</v>
      </c>
      <c r="J100" s="41">
        <f t="shared" si="30"/>
        <v>1518</v>
      </c>
      <c r="K100" s="41"/>
      <c r="L100" s="41">
        <f t="shared" si="32"/>
        <v>1608</v>
      </c>
      <c r="M100" s="41">
        <f>ROUND(J100*5.9%+J100,0)</f>
        <v>1608</v>
      </c>
      <c r="N100" s="41"/>
    </row>
    <row r="101" spans="1:17" ht="33" hidden="1" customHeight="1" outlineLevel="2" x14ac:dyDescent="0.25">
      <c r="A101" s="106"/>
      <c r="B101" s="24" t="s">
        <v>51</v>
      </c>
      <c r="C101" s="37" t="s">
        <v>45</v>
      </c>
      <c r="D101" s="107"/>
      <c r="E101" s="107"/>
      <c r="F101" s="41">
        <f t="shared" si="27"/>
        <v>50</v>
      </c>
      <c r="G101" s="41">
        <v>50</v>
      </c>
      <c r="H101" s="41"/>
      <c r="I101" s="41">
        <f t="shared" si="31"/>
        <v>55</v>
      </c>
      <c r="J101" s="41">
        <f t="shared" si="30"/>
        <v>55</v>
      </c>
      <c r="K101" s="41"/>
      <c r="L101" s="41">
        <f t="shared" si="32"/>
        <v>58</v>
      </c>
      <c r="M101" s="41">
        <f>ROUND(J101*5.9%+J101,0)</f>
        <v>58</v>
      </c>
      <c r="N101" s="41"/>
    </row>
    <row r="102" spans="1:17" ht="75" customHeight="1" collapsed="1" x14ac:dyDescent="0.25">
      <c r="A102" s="106"/>
      <c r="B102" s="24" t="s">
        <v>202</v>
      </c>
      <c r="C102" s="37" t="s">
        <v>45</v>
      </c>
      <c r="D102" s="93" t="s">
        <v>41</v>
      </c>
      <c r="E102" s="81" t="s">
        <v>10</v>
      </c>
      <c r="F102" s="33">
        <f t="shared" si="27"/>
        <v>2815.3</v>
      </c>
      <c r="G102" s="33">
        <f>G103+G104</f>
        <v>2815.3</v>
      </c>
      <c r="H102" s="43"/>
      <c r="I102" s="33">
        <f t="shared" si="31"/>
        <v>3108</v>
      </c>
      <c r="J102" s="33">
        <f>J103+J104</f>
        <v>3108</v>
      </c>
      <c r="K102" s="33"/>
      <c r="L102" s="33">
        <f t="shared" si="32"/>
        <v>3291</v>
      </c>
      <c r="M102" s="33">
        <f>M103+M104</f>
        <v>3291</v>
      </c>
      <c r="N102" s="43"/>
    </row>
    <row r="103" spans="1:17" ht="33" hidden="1" customHeight="1" outlineLevel="1" x14ac:dyDescent="0.25">
      <c r="A103" s="106"/>
      <c r="B103" s="24" t="s">
        <v>48</v>
      </c>
      <c r="C103" s="37" t="s">
        <v>45</v>
      </c>
      <c r="D103" s="104" t="s">
        <v>41</v>
      </c>
      <c r="E103" s="104" t="s">
        <v>10</v>
      </c>
      <c r="F103" s="43">
        <f t="shared" ref="F103:F108" si="33">G103</f>
        <v>694</v>
      </c>
      <c r="G103" s="43">
        <f>814-120</f>
        <v>694</v>
      </c>
      <c r="H103" s="43"/>
      <c r="I103" s="43">
        <f t="shared" si="31"/>
        <v>766</v>
      </c>
      <c r="J103" s="43">
        <f t="shared" si="30"/>
        <v>766</v>
      </c>
      <c r="K103" s="43"/>
      <c r="L103" s="43">
        <f t="shared" si="32"/>
        <v>811</v>
      </c>
      <c r="M103" s="43">
        <f>ROUND(J103*5.9%+J103,0)</f>
        <v>811</v>
      </c>
      <c r="N103" s="43"/>
      <c r="O103" s="56" t="s">
        <v>252</v>
      </c>
    </row>
    <row r="104" spans="1:17" ht="39.75" hidden="1" customHeight="1" outlineLevel="1" x14ac:dyDescent="0.25">
      <c r="A104" s="106"/>
      <c r="B104" s="24" t="s">
        <v>54</v>
      </c>
      <c r="C104" s="37" t="s">
        <v>45</v>
      </c>
      <c r="D104" s="107"/>
      <c r="E104" s="107"/>
      <c r="F104" s="43">
        <f t="shared" si="33"/>
        <v>2121.3000000000002</v>
      </c>
      <c r="G104" s="43">
        <f>2701.3-580</f>
        <v>2121.3000000000002</v>
      </c>
      <c r="H104" s="43"/>
      <c r="I104" s="43">
        <f t="shared" si="31"/>
        <v>2342</v>
      </c>
      <c r="J104" s="43">
        <f t="shared" si="30"/>
        <v>2342</v>
      </c>
      <c r="K104" s="43"/>
      <c r="L104" s="43">
        <f t="shared" si="32"/>
        <v>2480</v>
      </c>
      <c r="M104" s="43">
        <f>ROUND(J104*5.9%+J104,0)</f>
        <v>2480</v>
      </c>
      <c r="N104" s="43"/>
    </row>
    <row r="105" spans="1:17" ht="75" customHeight="1" collapsed="1" x14ac:dyDescent="0.25">
      <c r="A105" s="106"/>
      <c r="B105" s="24" t="s">
        <v>273</v>
      </c>
      <c r="C105" s="37" t="s">
        <v>45</v>
      </c>
      <c r="D105" s="93" t="s">
        <v>41</v>
      </c>
      <c r="E105" s="81" t="s">
        <v>10</v>
      </c>
      <c r="F105" s="46">
        <f t="shared" si="33"/>
        <v>10000</v>
      </c>
      <c r="G105" s="46">
        <f>G106</f>
        <v>10000</v>
      </c>
      <c r="H105" s="46"/>
      <c r="I105" s="46">
        <f>J105</f>
        <v>11040</v>
      </c>
      <c r="J105" s="46">
        <f>J106</f>
        <v>11040</v>
      </c>
      <c r="K105" s="46"/>
      <c r="L105" s="46">
        <f>M105</f>
        <v>11691.4</v>
      </c>
      <c r="M105" s="46">
        <f>M106</f>
        <v>11691.4</v>
      </c>
      <c r="N105" s="43"/>
    </row>
    <row r="106" spans="1:17" ht="51.75" hidden="1" customHeight="1" outlineLevel="1" x14ac:dyDescent="0.25">
      <c r="A106" s="106"/>
      <c r="B106" s="24" t="s">
        <v>54</v>
      </c>
      <c r="C106" s="37" t="s">
        <v>45</v>
      </c>
      <c r="D106" s="95" t="s">
        <v>41</v>
      </c>
      <c r="E106" s="80" t="s">
        <v>10</v>
      </c>
      <c r="F106" s="43">
        <f t="shared" si="33"/>
        <v>10000</v>
      </c>
      <c r="G106" s="43">
        <f>10000</f>
        <v>10000</v>
      </c>
      <c r="H106" s="43"/>
      <c r="I106" s="43">
        <f>J106</f>
        <v>11040</v>
      </c>
      <c r="J106" s="43">
        <v>11040</v>
      </c>
      <c r="K106" s="43"/>
      <c r="L106" s="43">
        <f>M106</f>
        <v>11691.4</v>
      </c>
      <c r="M106" s="43">
        <v>11691.4</v>
      </c>
      <c r="N106" s="43"/>
    </row>
    <row r="107" spans="1:17" ht="87.75" customHeight="1" collapsed="1" x14ac:dyDescent="0.25">
      <c r="A107" s="106"/>
      <c r="B107" s="24" t="s">
        <v>262</v>
      </c>
      <c r="C107" s="37" t="s">
        <v>46</v>
      </c>
      <c r="D107" s="93" t="s">
        <v>41</v>
      </c>
      <c r="E107" s="81" t="s">
        <v>10</v>
      </c>
      <c r="F107" s="33">
        <f t="shared" si="33"/>
        <v>300</v>
      </c>
      <c r="G107" s="33">
        <f>G108</f>
        <v>300</v>
      </c>
      <c r="H107" s="33"/>
      <c r="I107" s="33">
        <f t="shared" si="31"/>
        <v>331</v>
      </c>
      <c r="J107" s="33">
        <f>J108</f>
        <v>331</v>
      </c>
      <c r="K107" s="33"/>
      <c r="L107" s="33">
        <f t="shared" si="32"/>
        <v>351</v>
      </c>
      <c r="M107" s="33">
        <f>M108</f>
        <v>351</v>
      </c>
      <c r="N107" s="33"/>
    </row>
    <row r="108" spans="1:17" ht="22.5" hidden="1" customHeight="1" outlineLevel="1" x14ac:dyDescent="0.25">
      <c r="A108" s="106"/>
      <c r="B108" s="24" t="s">
        <v>49</v>
      </c>
      <c r="C108" s="37" t="s">
        <v>46</v>
      </c>
      <c r="D108" s="93" t="s">
        <v>41</v>
      </c>
      <c r="E108" s="81" t="s">
        <v>10</v>
      </c>
      <c r="F108" s="33">
        <f t="shared" si="33"/>
        <v>300</v>
      </c>
      <c r="G108" s="33">
        <v>300</v>
      </c>
      <c r="H108" s="24"/>
      <c r="I108" s="33">
        <f t="shared" si="31"/>
        <v>331</v>
      </c>
      <c r="J108" s="33">
        <f t="shared" si="30"/>
        <v>331</v>
      </c>
      <c r="K108" s="24"/>
      <c r="L108" s="33">
        <f t="shared" si="32"/>
        <v>351</v>
      </c>
      <c r="M108" s="33">
        <f>ROUND(J108*5.9%+J108,0)</f>
        <v>351</v>
      </c>
      <c r="N108" s="24"/>
    </row>
    <row r="109" spans="1:17" collapsed="1" x14ac:dyDescent="0.25">
      <c r="A109" s="126" t="s">
        <v>145</v>
      </c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</row>
    <row r="110" spans="1:17" x14ac:dyDescent="0.25">
      <c r="A110" s="122" t="s">
        <v>143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3"/>
    </row>
    <row r="111" spans="1:17" ht="23.25" customHeight="1" x14ac:dyDescent="0.25">
      <c r="A111" s="106" t="s">
        <v>140</v>
      </c>
      <c r="B111" s="132" t="s">
        <v>61</v>
      </c>
      <c r="C111" s="133"/>
      <c r="D111" s="133"/>
      <c r="E111" s="134"/>
      <c r="F111" s="57">
        <f>G111+H111</f>
        <v>4856</v>
      </c>
      <c r="G111" s="57">
        <f>G112</f>
        <v>4355.2</v>
      </c>
      <c r="H111" s="57">
        <f>H112</f>
        <v>500.8</v>
      </c>
      <c r="I111" s="57">
        <f>J111</f>
        <v>4399</v>
      </c>
      <c r="J111" s="57">
        <f>J112</f>
        <v>4399</v>
      </c>
      <c r="K111" s="57"/>
      <c r="L111" s="25">
        <f>M111</f>
        <v>4428</v>
      </c>
      <c r="M111" s="25">
        <f>M112</f>
        <v>4428</v>
      </c>
      <c r="N111" s="42"/>
      <c r="O111" s="31">
        <f>G114+G115</f>
        <v>4355.2</v>
      </c>
      <c r="P111" s="31">
        <f>J114</f>
        <v>4399</v>
      </c>
      <c r="Q111" s="31">
        <f>M114</f>
        <v>4428</v>
      </c>
    </row>
    <row r="112" spans="1:17" ht="22.5" customHeight="1" x14ac:dyDescent="0.25">
      <c r="A112" s="106"/>
      <c r="B112" s="83" t="s">
        <v>39</v>
      </c>
      <c r="C112" s="119" t="s">
        <v>199</v>
      </c>
      <c r="D112" s="120"/>
      <c r="E112" s="121"/>
      <c r="F112" s="25">
        <f>G112+H112</f>
        <v>4856</v>
      </c>
      <c r="G112" s="25">
        <f>G113+G115</f>
        <v>4355.2</v>
      </c>
      <c r="H112" s="25">
        <f>H113+H115</f>
        <v>500.8</v>
      </c>
      <c r="I112" s="25">
        <f>J112</f>
        <v>4399</v>
      </c>
      <c r="J112" s="25">
        <f>J113+J115</f>
        <v>4399</v>
      </c>
      <c r="K112" s="25"/>
      <c r="L112" s="25">
        <f>M112</f>
        <v>4428</v>
      </c>
      <c r="M112" s="25">
        <f>M113+M115</f>
        <v>4428</v>
      </c>
      <c r="N112" s="25"/>
    </row>
    <row r="113" spans="1:16" ht="143.25" customHeight="1" x14ac:dyDescent="0.25">
      <c r="A113" s="106"/>
      <c r="B113" s="24" t="s">
        <v>251</v>
      </c>
      <c r="C113" s="37" t="s">
        <v>55</v>
      </c>
      <c r="D113" s="93" t="s">
        <v>41</v>
      </c>
      <c r="E113" s="81" t="s">
        <v>10</v>
      </c>
      <c r="F113" s="25">
        <f>G113+H113</f>
        <v>4355.3</v>
      </c>
      <c r="G113" s="25">
        <f>G114</f>
        <v>4355.2</v>
      </c>
      <c r="H113" s="25">
        <f>H114</f>
        <v>0.1</v>
      </c>
      <c r="I113" s="25">
        <f>J113</f>
        <v>4399</v>
      </c>
      <c r="J113" s="25">
        <f>J114</f>
        <v>4399</v>
      </c>
      <c r="K113" s="25"/>
      <c r="L113" s="25">
        <f>M113</f>
        <v>4428</v>
      </c>
      <c r="M113" s="25">
        <f>M114</f>
        <v>4428</v>
      </c>
      <c r="N113" s="25"/>
    </row>
    <row r="114" spans="1:16" ht="35.25" hidden="1" customHeight="1" outlineLevel="1" x14ac:dyDescent="0.25">
      <c r="A114" s="106"/>
      <c r="B114" s="24" t="s">
        <v>41</v>
      </c>
      <c r="C114" s="37" t="s">
        <v>55</v>
      </c>
      <c r="D114" s="93" t="s">
        <v>41</v>
      </c>
      <c r="E114" s="81" t="s">
        <v>10</v>
      </c>
      <c r="F114" s="26">
        <f>G114</f>
        <v>4355.2</v>
      </c>
      <c r="G114" s="26">
        <v>4355.2</v>
      </c>
      <c r="H114" s="26">
        <v>0.1</v>
      </c>
      <c r="I114" s="25">
        <f>J114</f>
        <v>4399</v>
      </c>
      <c r="J114" s="25">
        <v>4399</v>
      </c>
      <c r="K114" s="26"/>
      <c r="L114" s="25">
        <f>M114</f>
        <v>4428</v>
      </c>
      <c r="M114" s="25">
        <v>4428</v>
      </c>
      <c r="N114" s="26"/>
    </row>
    <row r="115" spans="1:16" ht="64.5" customHeight="1" collapsed="1" x14ac:dyDescent="0.25">
      <c r="A115" s="106"/>
      <c r="B115" s="24" t="s">
        <v>288</v>
      </c>
      <c r="C115" s="37" t="s">
        <v>45</v>
      </c>
      <c r="D115" s="93" t="s">
        <v>41</v>
      </c>
      <c r="E115" s="81" t="s">
        <v>289</v>
      </c>
      <c r="F115" s="25">
        <f>G115+H115</f>
        <v>500.7</v>
      </c>
      <c r="G115" s="25"/>
      <c r="H115" s="25">
        <f>210+91.2+199.5</f>
        <v>500.7</v>
      </c>
      <c r="I115" s="25"/>
      <c r="J115" s="25"/>
      <c r="K115" s="26"/>
      <c r="L115" s="25"/>
      <c r="M115" s="25"/>
      <c r="N115" s="26"/>
    </row>
    <row r="116" spans="1:16" x14ac:dyDescent="0.25">
      <c r="A116" s="130" t="s">
        <v>144</v>
      </c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1"/>
    </row>
    <row r="117" spans="1:16" x14ac:dyDescent="0.25">
      <c r="A117" s="122" t="s">
        <v>143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3"/>
    </row>
    <row r="118" spans="1:16" ht="21.75" customHeight="1" x14ac:dyDescent="0.25">
      <c r="A118" s="104" t="s">
        <v>141</v>
      </c>
      <c r="B118" s="111" t="s">
        <v>59</v>
      </c>
      <c r="C118" s="112"/>
      <c r="D118" s="112"/>
      <c r="E118" s="113"/>
      <c r="F118" s="40">
        <f>H118</f>
        <v>13884.2</v>
      </c>
      <c r="G118" s="40"/>
      <c r="H118" s="40">
        <f>H119+H120</f>
        <v>13884.2</v>
      </c>
      <c r="I118" s="40">
        <f>K118</f>
        <v>20000</v>
      </c>
      <c r="J118" s="40"/>
      <c r="K118" s="40">
        <f>K119</f>
        <v>20000</v>
      </c>
      <c r="L118" s="40">
        <f>N118</f>
        <v>25000</v>
      </c>
      <c r="M118" s="40"/>
      <c r="N118" s="40">
        <f>N119</f>
        <v>25000</v>
      </c>
      <c r="P118" s="31"/>
    </row>
    <row r="119" spans="1:16" ht="69" customHeight="1" x14ac:dyDescent="0.25">
      <c r="A119" s="105"/>
      <c r="B119" s="114" t="s">
        <v>40</v>
      </c>
      <c r="C119" s="115"/>
      <c r="D119" s="93" t="s">
        <v>41</v>
      </c>
      <c r="E119" s="81" t="s">
        <v>10</v>
      </c>
      <c r="F119" s="41">
        <f>H119</f>
        <v>10145.200000000001</v>
      </c>
      <c r="G119" s="41"/>
      <c r="H119" s="41">
        <f>H125+H126</f>
        <v>10145.200000000001</v>
      </c>
      <c r="I119" s="41">
        <f>K119</f>
        <v>20000</v>
      </c>
      <c r="J119" s="41"/>
      <c r="K119" s="41">
        <f>K121+K124</f>
        <v>20000</v>
      </c>
      <c r="L119" s="41">
        <f>N119</f>
        <v>25000</v>
      </c>
      <c r="M119" s="41"/>
      <c r="N119" s="41">
        <f>N121+N124</f>
        <v>25000</v>
      </c>
    </row>
    <row r="120" spans="1:16" ht="120.75" customHeight="1" x14ac:dyDescent="0.25">
      <c r="A120" s="105"/>
      <c r="B120" s="116"/>
      <c r="C120" s="117"/>
      <c r="D120" s="93" t="s">
        <v>287</v>
      </c>
      <c r="E120" s="81" t="s">
        <v>10</v>
      </c>
      <c r="F120" s="41">
        <f>H120</f>
        <v>3739</v>
      </c>
      <c r="G120" s="41"/>
      <c r="H120" s="41">
        <f>H127+H128+H129</f>
        <v>3739</v>
      </c>
      <c r="I120" s="41"/>
      <c r="J120" s="41"/>
      <c r="K120" s="41"/>
      <c r="L120" s="41"/>
      <c r="M120" s="41"/>
      <c r="N120" s="41"/>
    </row>
    <row r="121" spans="1:16" ht="23.25" hidden="1" customHeight="1" x14ac:dyDescent="0.25">
      <c r="A121" s="105"/>
      <c r="B121" s="124" t="s">
        <v>256</v>
      </c>
      <c r="C121" s="119" t="s">
        <v>255</v>
      </c>
      <c r="D121" s="120"/>
      <c r="E121" s="121"/>
      <c r="F121" s="58">
        <f>F122</f>
        <v>0</v>
      </c>
      <c r="G121" s="58"/>
      <c r="H121" s="58">
        <f>H122</f>
        <v>0</v>
      </c>
      <c r="I121" s="58"/>
      <c r="J121" s="58"/>
      <c r="K121" s="58"/>
      <c r="L121" s="58"/>
      <c r="M121" s="58"/>
      <c r="N121" s="58"/>
    </row>
    <row r="122" spans="1:16" ht="33.75" hidden="1" customHeight="1" x14ac:dyDescent="0.25">
      <c r="A122" s="105"/>
      <c r="B122" s="125"/>
      <c r="C122" s="45" t="s">
        <v>45</v>
      </c>
      <c r="D122" s="94" t="s">
        <v>41</v>
      </c>
      <c r="E122" s="79" t="s">
        <v>10</v>
      </c>
      <c r="F122" s="25">
        <f>H122</f>
        <v>0</v>
      </c>
      <c r="G122" s="25"/>
      <c r="H122" s="25">
        <f>H123</f>
        <v>0</v>
      </c>
      <c r="I122" s="25"/>
      <c r="J122" s="25"/>
      <c r="K122" s="25"/>
      <c r="L122" s="25"/>
      <c r="M122" s="25"/>
      <c r="N122" s="25"/>
    </row>
    <row r="123" spans="1:16" ht="21" hidden="1" customHeight="1" x14ac:dyDescent="0.25">
      <c r="A123" s="105"/>
      <c r="B123" s="44" t="s">
        <v>41</v>
      </c>
      <c r="C123" s="45" t="s">
        <v>45</v>
      </c>
      <c r="D123" s="93"/>
      <c r="E123" s="81"/>
      <c r="F123" s="25">
        <f>H123</f>
        <v>0</v>
      </c>
      <c r="G123" s="25"/>
      <c r="H123" s="25"/>
      <c r="I123" s="25"/>
      <c r="J123" s="25"/>
      <c r="K123" s="25"/>
      <c r="L123" s="25"/>
      <c r="M123" s="25"/>
      <c r="N123" s="25"/>
    </row>
    <row r="124" spans="1:16" ht="26.25" customHeight="1" x14ac:dyDescent="0.25">
      <c r="A124" s="105"/>
      <c r="B124" s="104" t="s">
        <v>279</v>
      </c>
      <c r="C124" s="119" t="s">
        <v>60</v>
      </c>
      <c r="D124" s="120"/>
      <c r="E124" s="121"/>
      <c r="F124" s="58">
        <f>F125+F126+F127+F128+F129</f>
        <v>13884.2</v>
      </c>
      <c r="G124" s="58"/>
      <c r="H124" s="58">
        <f>H125+H126+H127+H128+H129</f>
        <v>13884.2</v>
      </c>
      <c r="I124" s="25">
        <f>K124</f>
        <v>20000</v>
      </c>
      <c r="J124" s="25"/>
      <c r="K124" s="58">
        <v>20000</v>
      </c>
      <c r="L124" s="58">
        <f>N124</f>
        <v>25000</v>
      </c>
      <c r="M124" s="58"/>
      <c r="N124" s="58">
        <v>25000</v>
      </c>
    </row>
    <row r="125" spans="1:16" ht="66" customHeight="1" x14ac:dyDescent="0.25">
      <c r="A125" s="105"/>
      <c r="B125" s="105"/>
      <c r="C125" s="37" t="s">
        <v>46</v>
      </c>
      <c r="D125" s="104" t="s">
        <v>41</v>
      </c>
      <c r="E125" s="108" t="s">
        <v>10</v>
      </c>
      <c r="F125" s="25">
        <f>H125</f>
        <v>6500</v>
      </c>
      <c r="G125" s="25"/>
      <c r="H125" s="25">
        <f>H130+H131+H132+H133+H135</f>
        <v>6500</v>
      </c>
      <c r="I125" s="25">
        <f>K125</f>
        <v>20000</v>
      </c>
      <c r="J125" s="25"/>
      <c r="K125" s="25">
        <v>20000</v>
      </c>
      <c r="L125" s="25">
        <f>N125</f>
        <v>25000</v>
      </c>
      <c r="M125" s="25"/>
      <c r="N125" s="25">
        <v>25000</v>
      </c>
      <c r="O125" s="31">
        <f>H125+H126+H127+H128</f>
        <v>12085.2</v>
      </c>
    </row>
    <row r="126" spans="1:16" ht="24" customHeight="1" x14ac:dyDescent="0.25">
      <c r="A126" s="105"/>
      <c r="B126" s="105"/>
      <c r="C126" s="84" t="s">
        <v>280</v>
      </c>
      <c r="D126" s="105"/>
      <c r="E126" s="110"/>
      <c r="F126" s="25">
        <f t="shared" ref="F126:F128" si="34">H126</f>
        <v>3645.2</v>
      </c>
      <c r="G126" s="25"/>
      <c r="H126" s="25">
        <f>H134</f>
        <v>3645.2</v>
      </c>
      <c r="I126" s="25"/>
      <c r="J126" s="25"/>
      <c r="K126" s="25"/>
      <c r="L126" s="25"/>
      <c r="M126" s="26"/>
      <c r="N126" s="25"/>
    </row>
    <row r="127" spans="1:16" ht="36.75" customHeight="1" x14ac:dyDescent="0.25">
      <c r="A127" s="105"/>
      <c r="B127" s="105"/>
      <c r="C127" s="45" t="s">
        <v>281</v>
      </c>
      <c r="D127" s="104" t="s">
        <v>287</v>
      </c>
      <c r="E127" s="108" t="s">
        <v>10</v>
      </c>
      <c r="F127" s="25">
        <f t="shared" si="34"/>
        <v>900</v>
      </c>
      <c r="G127" s="25"/>
      <c r="H127" s="25">
        <f>H140+H141</f>
        <v>900</v>
      </c>
      <c r="I127" s="25"/>
      <c r="J127" s="25"/>
      <c r="K127" s="25"/>
      <c r="L127" s="25"/>
      <c r="M127" s="26"/>
      <c r="N127" s="25"/>
    </row>
    <row r="128" spans="1:16" ht="39.75" customHeight="1" x14ac:dyDescent="0.25">
      <c r="A128" s="105"/>
      <c r="B128" s="105"/>
      <c r="C128" s="37" t="s">
        <v>282</v>
      </c>
      <c r="D128" s="105"/>
      <c r="E128" s="109"/>
      <c r="F128" s="25">
        <f t="shared" si="34"/>
        <v>1040</v>
      </c>
      <c r="G128" s="25"/>
      <c r="H128" s="25">
        <f>H143</f>
        <v>1040</v>
      </c>
      <c r="I128" s="25"/>
      <c r="J128" s="25"/>
      <c r="K128" s="25"/>
      <c r="L128" s="25"/>
      <c r="M128" s="26"/>
      <c r="N128" s="25"/>
    </row>
    <row r="129" spans="1:14" ht="39.75" customHeight="1" x14ac:dyDescent="0.25">
      <c r="A129" s="107"/>
      <c r="B129" s="107"/>
      <c r="C129" s="37" t="s">
        <v>311</v>
      </c>
      <c r="D129" s="107"/>
      <c r="E129" s="110"/>
      <c r="F129" s="25">
        <f>H129</f>
        <v>1799</v>
      </c>
      <c r="G129" s="25"/>
      <c r="H129" s="25">
        <f>H144+H142</f>
        <v>1799</v>
      </c>
      <c r="I129" s="25"/>
      <c r="J129" s="25"/>
      <c r="K129" s="25"/>
      <c r="L129" s="25"/>
      <c r="M129" s="26"/>
      <c r="N129" s="25"/>
    </row>
    <row r="130" spans="1:14" ht="30" hidden="1" customHeight="1" outlineLevel="1" x14ac:dyDescent="0.25">
      <c r="A130" s="104"/>
      <c r="B130" s="24" t="s">
        <v>47</v>
      </c>
      <c r="C130" s="37" t="s">
        <v>46</v>
      </c>
      <c r="D130" s="104" t="s">
        <v>41</v>
      </c>
      <c r="E130" s="81" t="s">
        <v>10</v>
      </c>
      <c r="F130" s="26">
        <f>H130</f>
        <v>0</v>
      </c>
      <c r="G130" s="26"/>
      <c r="H130" s="26"/>
      <c r="I130" s="25"/>
      <c r="J130" s="25"/>
      <c r="K130" s="25"/>
      <c r="L130" s="25"/>
      <c r="M130" s="26"/>
      <c r="N130" s="25"/>
    </row>
    <row r="131" spans="1:14" ht="21.75" hidden="1" customHeight="1" outlineLevel="1" x14ac:dyDescent="0.25">
      <c r="A131" s="105"/>
      <c r="B131" s="24" t="s">
        <v>48</v>
      </c>
      <c r="C131" s="37" t="s">
        <v>46</v>
      </c>
      <c r="D131" s="105"/>
      <c r="E131" s="81" t="s">
        <v>10</v>
      </c>
      <c r="F131" s="26">
        <f t="shared" ref="F131:F136" si="35">H131</f>
        <v>0</v>
      </c>
      <c r="G131" s="26"/>
      <c r="H131" s="26"/>
      <c r="I131" s="25"/>
      <c r="J131" s="25"/>
      <c r="K131" s="25"/>
      <c r="L131" s="25"/>
      <c r="M131" s="26"/>
      <c r="N131" s="25"/>
    </row>
    <row r="132" spans="1:14" ht="22.5" hidden="1" customHeight="1" outlineLevel="1" x14ac:dyDescent="0.25">
      <c r="A132" s="105"/>
      <c r="B132" s="24" t="s">
        <v>49</v>
      </c>
      <c r="C132" s="37" t="s">
        <v>46</v>
      </c>
      <c r="D132" s="105"/>
      <c r="E132" s="81" t="s">
        <v>10</v>
      </c>
      <c r="F132" s="26">
        <f t="shared" si="35"/>
        <v>0</v>
      </c>
      <c r="G132" s="26"/>
      <c r="H132" s="26"/>
      <c r="I132" s="25"/>
      <c r="J132" s="25"/>
      <c r="K132" s="25"/>
      <c r="L132" s="25"/>
      <c r="M132" s="26"/>
      <c r="N132" s="25"/>
    </row>
    <row r="133" spans="1:14" ht="30" hidden="1" customHeight="1" outlineLevel="1" x14ac:dyDescent="0.25">
      <c r="A133" s="105"/>
      <c r="B133" s="24" t="s">
        <v>50</v>
      </c>
      <c r="C133" s="37" t="s">
        <v>46</v>
      </c>
      <c r="D133" s="105"/>
      <c r="E133" s="81" t="s">
        <v>10</v>
      </c>
      <c r="F133" s="25">
        <f t="shared" si="35"/>
        <v>6500</v>
      </c>
      <c r="G133" s="26"/>
      <c r="H133" s="25">
        <f>3500+3000+1467-1467</f>
        <v>6500</v>
      </c>
      <c r="I133" s="25"/>
      <c r="J133" s="25"/>
      <c r="K133" s="25"/>
      <c r="L133" s="25"/>
      <c r="M133" s="26"/>
      <c r="N133" s="25"/>
    </row>
    <row r="134" spans="1:14" ht="30" hidden="1" customHeight="1" outlineLevel="1" x14ac:dyDescent="0.25">
      <c r="A134" s="105"/>
      <c r="B134" s="24" t="s">
        <v>50</v>
      </c>
      <c r="C134" s="37" t="s">
        <v>280</v>
      </c>
      <c r="D134" s="105"/>
      <c r="E134" s="81"/>
      <c r="F134" s="25">
        <f t="shared" si="35"/>
        <v>3645.2</v>
      </c>
      <c r="G134" s="26"/>
      <c r="H134" s="25">
        <f>1467+2178.2</f>
        <v>3645.2</v>
      </c>
      <c r="I134" s="25"/>
      <c r="J134" s="25"/>
      <c r="K134" s="25"/>
      <c r="L134" s="25"/>
      <c r="M134" s="26"/>
      <c r="N134" s="25"/>
    </row>
    <row r="135" spans="1:14" ht="30" hidden="1" customHeight="1" outlineLevel="1" x14ac:dyDescent="0.25">
      <c r="A135" s="105"/>
      <c r="B135" s="24" t="s">
        <v>51</v>
      </c>
      <c r="C135" s="37" t="s">
        <v>46</v>
      </c>
      <c r="D135" s="105"/>
      <c r="E135" s="81" t="s">
        <v>10</v>
      </c>
      <c r="F135" s="26">
        <f t="shared" si="35"/>
        <v>0</v>
      </c>
      <c r="G135" s="26"/>
      <c r="H135" s="26"/>
      <c r="I135" s="25"/>
      <c r="J135" s="25"/>
      <c r="K135" s="25"/>
      <c r="L135" s="25"/>
      <c r="M135" s="26"/>
      <c r="N135" s="25"/>
    </row>
    <row r="136" spans="1:14" ht="30" hidden="1" customHeight="1" outlineLevel="1" x14ac:dyDescent="0.25">
      <c r="A136" s="105"/>
      <c r="B136" s="24" t="s">
        <v>197</v>
      </c>
      <c r="C136" s="37" t="s">
        <v>52</v>
      </c>
      <c r="D136" s="105"/>
      <c r="E136" s="81" t="s">
        <v>10</v>
      </c>
      <c r="F136" s="26">
        <f t="shared" si="35"/>
        <v>0</v>
      </c>
      <c r="G136" s="26"/>
      <c r="H136" s="26"/>
      <c r="I136" s="25"/>
      <c r="J136" s="25"/>
      <c r="K136" s="25"/>
      <c r="L136" s="25"/>
      <c r="M136" s="26"/>
      <c r="N136" s="25"/>
    </row>
    <row r="137" spans="1:14" ht="33.75" hidden="1" customHeight="1" outlineLevel="1" x14ac:dyDescent="0.25">
      <c r="A137" s="105"/>
      <c r="B137" s="24" t="s">
        <v>54</v>
      </c>
      <c r="C137" s="45" t="s">
        <v>53</v>
      </c>
      <c r="D137" s="105"/>
      <c r="E137" s="81" t="s">
        <v>10</v>
      </c>
      <c r="F137" s="26">
        <f>H137</f>
        <v>0</v>
      </c>
      <c r="G137" s="26"/>
      <c r="H137" s="26"/>
      <c r="I137" s="25"/>
      <c r="J137" s="25"/>
      <c r="K137" s="25"/>
      <c r="L137" s="25"/>
      <c r="M137" s="26"/>
      <c r="N137" s="25"/>
    </row>
    <row r="138" spans="1:14" ht="33.75" hidden="1" customHeight="1" outlineLevel="1" x14ac:dyDescent="0.25">
      <c r="A138" s="105"/>
      <c r="B138" s="34" t="s">
        <v>43</v>
      </c>
      <c r="C138" s="37" t="s">
        <v>42</v>
      </c>
      <c r="D138" s="105"/>
      <c r="E138" s="81" t="s">
        <v>10</v>
      </c>
      <c r="F138" s="26">
        <f t="shared" ref="F138:F139" si="36">H138</f>
        <v>0</v>
      </c>
      <c r="G138" s="26"/>
      <c r="H138" s="26"/>
      <c r="I138" s="25"/>
      <c r="J138" s="25"/>
      <c r="K138" s="25"/>
      <c r="L138" s="25"/>
      <c r="M138" s="26"/>
      <c r="N138" s="25"/>
    </row>
    <row r="139" spans="1:14" ht="33.75" hidden="1" customHeight="1" outlineLevel="1" x14ac:dyDescent="0.25">
      <c r="A139" s="105"/>
      <c r="B139" s="34" t="s">
        <v>44</v>
      </c>
      <c r="C139" s="37" t="s">
        <v>42</v>
      </c>
      <c r="D139" s="107"/>
      <c r="E139" s="81" t="s">
        <v>10</v>
      </c>
      <c r="F139" s="26">
        <f t="shared" si="36"/>
        <v>0</v>
      </c>
      <c r="G139" s="26"/>
      <c r="H139" s="26"/>
      <c r="I139" s="25"/>
      <c r="J139" s="25"/>
      <c r="K139" s="25"/>
      <c r="L139" s="25"/>
      <c r="M139" s="26"/>
      <c r="N139" s="25"/>
    </row>
    <row r="140" spans="1:14" ht="33.75" hidden="1" customHeight="1" outlineLevel="1" x14ac:dyDescent="0.25">
      <c r="A140" s="105"/>
      <c r="B140" s="85" t="s">
        <v>283</v>
      </c>
      <c r="C140" s="37" t="s">
        <v>281</v>
      </c>
      <c r="D140" s="104" t="s">
        <v>285</v>
      </c>
      <c r="E140" s="104" t="s">
        <v>10</v>
      </c>
      <c r="F140" s="25">
        <f>H140</f>
        <v>900</v>
      </c>
      <c r="G140" s="26"/>
      <c r="H140" s="25">
        <v>900</v>
      </c>
      <c r="I140" s="25"/>
      <c r="J140" s="25"/>
      <c r="K140" s="25"/>
      <c r="L140" s="25"/>
      <c r="M140" s="26"/>
      <c r="N140" s="25"/>
    </row>
    <row r="141" spans="1:14" ht="33.75" hidden="1" customHeight="1" outlineLevel="1" x14ac:dyDescent="0.25">
      <c r="A141" s="105"/>
      <c r="B141" s="85" t="s">
        <v>293</v>
      </c>
      <c r="C141" s="37" t="s">
        <v>281</v>
      </c>
      <c r="D141" s="105"/>
      <c r="E141" s="105"/>
      <c r="F141" s="25">
        <f>H141</f>
        <v>0</v>
      </c>
      <c r="G141" s="26"/>
      <c r="H141" s="25">
        <f>1500-1500</f>
        <v>0</v>
      </c>
      <c r="I141" s="25"/>
      <c r="J141" s="25"/>
      <c r="K141" s="25"/>
      <c r="L141" s="25"/>
      <c r="M141" s="26"/>
      <c r="N141" s="25"/>
    </row>
    <row r="142" spans="1:14" ht="33.75" hidden="1" customHeight="1" outlineLevel="1" x14ac:dyDescent="0.25">
      <c r="A142" s="105"/>
      <c r="B142" s="92" t="s">
        <v>293</v>
      </c>
      <c r="C142" s="37" t="s">
        <v>46</v>
      </c>
      <c r="D142" s="105"/>
      <c r="E142" s="105"/>
      <c r="F142" s="90">
        <f>H142</f>
        <v>1500</v>
      </c>
      <c r="G142" s="91"/>
      <c r="H142" s="89">
        <v>1500</v>
      </c>
      <c r="I142" s="25"/>
      <c r="J142" s="25"/>
      <c r="K142" s="25"/>
      <c r="L142" s="25"/>
      <c r="M142" s="26"/>
      <c r="N142" s="25"/>
    </row>
    <row r="143" spans="1:14" ht="33.75" hidden="1" customHeight="1" outlineLevel="1" x14ac:dyDescent="0.25">
      <c r="A143" s="105"/>
      <c r="B143" s="86" t="s">
        <v>284</v>
      </c>
      <c r="C143" s="84" t="s">
        <v>282</v>
      </c>
      <c r="D143" s="105"/>
      <c r="E143" s="105"/>
      <c r="F143" s="90">
        <f>H143</f>
        <v>1040</v>
      </c>
      <c r="G143" s="91"/>
      <c r="H143" s="25">
        <v>1040</v>
      </c>
      <c r="I143" s="25"/>
      <c r="J143" s="25"/>
      <c r="K143" s="25"/>
      <c r="L143" s="25"/>
      <c r="M143" s="26"/>
      <c r="N143" s="25"/>
    </row>
    <row r="144" spans="1:14" ht="50.25" hidden="1" customHeight="1" outlineLevel="1" x14ac:dyDescent="0.25">
      <c r="A144" s="107"/>
      <c r="B144" s="85" t="s">
        <v>310</v>
      </c>
      <c r="C144" s="37" t="s">
        <v>46</v>
      </c>
      <c r="D144" s="107"/>
      <c r="E144" s="107"/>
      <c r="F144" s="25">
        <f>H144</f>
        <v>299</v>
      </c>
      <c r="G144" s="26"/>
      <c r="H144" s="89">
        <v>299</v>
      </c>
      <c r="I144" s="25"/>
      <c r="J144" s="25"/>
      <c r="K144" s="25"/>
      <c r="L144" s="25"/>
      <c r="M144" s="26"/>
      <c r="N144" s="25"/>
    </row>
    <row r="145" spans="2:14" collapsed="1" x14ac:dyDescent="0.25">
      <c r="B145" s="27"/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2:14" ht="18.75" x14ac:dyDescent="0.3">
      <c r="B146" s="7" t="s">
        <v>170</v>
      </c>
      <c r="C146" s="27"/>
      <c r="D146" s="27"/>
      <c r="E146" s="27"/>
      <c r="F146" s="27"/>
      <c r="G146" s="27"/>
      <c r="H146" s="27"/>
    </row>
    <row r="147" spans="2:14" ht="18.75" x14ac:dyDescent="0.3">
      <c r="B147" s="7" t="s">
        <v>156</v>
      </c>
      <c r="I147" s="118" t="s">
        <v>171</v>
      </c>
      <c r="J147" s="118"/>
      <c r="K147" s="118"/>
      <c r="L147" s="118"/>
      <c r="M147" s="118"/>
      <c r="N147" s="118"/>
    </row>
    <row r="148" spans="2:14" ht="26.25" customHeight="1" x14ac:dyDescent="0.25">
      <c r="B148" s="8"/>
    </row>
  </sheetData>
  <mergeCells count="86">
    <mergeCell ref="A15:C18"/>
    <mergeCell ref="E16:E17"/>
    <mergeCell ref="A14:N14"/>
    <mergeCell ref="A88:N88"/>
    <mergeCell ref="B77:E77"/>
    <mergeCell ref="D36:D37"/>
    <mergeCell ref="E42:E46"/>
    <mergeCell ref="B39:B40"/>
    <mergeCell ref="E71:E72"/>
    <mergeCell ref="A21:A86"/>
    <mergeCell ref="D54:D57"/>
    <mergeCell ref="E54:E57"/>
    <mergeCell ref="E27:E28"/>
    <mergeCell ref="B23:E23"/>
    <mergeCell ref="B22:C22"/>
    <mergeCell ref="E30:E32"/>
    <mergeCell ref="B21:E21"/>
    <mergeCell ref="D42:D46"/>
    <mergeCell ref="D68:D69"/>
    <mergeCell ref="D39:D40"/>
    <mergeCell ref="B24:B25"/>
    <mergeCell ref="D27:D28"/>
    <mergeCell ref="E36:E37"/>
    <mergeCell ref="E10:E12"/>
    <mergeCell ref="C10:C12"/>
    <mergeCell ref="B10:B12"/>
    <mergeCell ref="A10:A12"/>
    <mergeCell ref="F10:N10"/>
    <mergeCell ref="F11:H11"/>
    <mergeCell ref="I11:K11"/>
    <mergeCell ref="L11:N11"/>
    <mergeCell ref="K1:N1"/>
    <mergeCell ref="A87:N87"/>
    <mergeCell ref="D60:D61"/>
    <mergeCell ref="E60:E61"/>
    <mergeCell ref="K2:N2"/>
    <mergeCell ref="K3:N3"/>
    <mergeCell ref="K5:N5"/>
    <mergeCell ref="K4:N4"/>
    <mergeCell ref="D7:J7"/>
    <mergeCell ref="B8:M8"/>
    <mergeCell ref="A20:N20"/>
    <mergeCell ref="D15:E15"/>
    <mergeCell ref="A19:N19"/>
    <mergeCell ref="D10:D12"/>
    <mergeCell ref="D30:D32"/>
    <mergeCell ref="B38:E38"/>
    <mergeCell ref="E103:E104"/>
    <mergeCell ref="A89:A108"/>
    <mergeCell ref="D95:D97"/>
    <mergeCell ref="E95:E97"/>
    <mergeCell ref="E99:E101"/>
    <mergeCell ref="B92:B93"/>
    <mergeCell ref="D92:D93"/>
    <mergeCell ref="E92:E93"/>
    <mergeCell ref="B91:E91"/>
    <mergeCell ref="D103:D104"/>
    <mergeCell ref="B90:C90"/>
    <mergeCell ref="I147:N147"/>
    <mergeCell ref="E68:E69"/>
    <mergeCell ref="C112:E112"/>
    <mergeCell ref="A110:N110"/>
    <mergeCell ref="B121:B122"/>
    <mergeCell ref="D130:D139"/>
    <mergeCell ref="C124:E124"/>
    <mergeCell ref="C121:E121"/>
    <mergeCell ref="B89:E89"/>
    <mergeCell ref="A109:N109"/>
    <mergeCell ref="D99:D101"/>
    <mergeCell ref="B81:D81"/>
    <mergeCell ref="D71:D72"/>
    <mergeCell ref="A117:N117"/>
    <mergeCell ref="A116:N116"/>
    <mergeCell ref="B111:E111"/>
    <mergeCell ref="D125:D126"/>
    <mergeCell ref="A111:A115"/>
    <mergeCell ref="D127:D129"/>
    <mergeCell ref="E127:E129"/>
    <mergeCell ref="A130:A144"/>
    <mergeCell ref="D140:D144"/>
    <mergeCell ref="E140:E144"/>
    <mergeCell ref="B124:B129"/>
    <mergeCell ref="A118:A129"/>
    <mergeCell ref="B118:E118"/>
    <mergeCell ref="E125:E126"/>
    <mergeCell ref="B119:C120"/>
  </mergeCells>
  <pageMargins left="0.78740157480314965" right="0.78740157480314965" top="1.1811023622047245" bottom="0.39370078740157483" header="0.31496062992125984" footer="0.31496062992125984"/>
  <pageSetup paperSize="9" scale="68" orientation="landscape" r:id="rId1"/>
  <rowBreaks count="3" manualBreakCount="3">
    <brk id="72" max="13" man="1"/>
    <brk id="110" max="13" man="1"/>
    <brk id="12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view="pageBreakPreview" zoomScaleSheetLayoutView="100" workbookViewId="0">
      <selection activeCell="D5" sqref="D5:G5"/>
    </sheetView>
  </sheetViews>
  <sheetFormatPr defaultColWidth="9.140625" defaultRowHeight="15" x14ac:dyDescent="0.25"/>
  <cols>
    <col min="1" max="1" width="35.42578125" style="8" customWidth="1"/>
    <col min="2" max="2" width="14" style="8" customWidth="1"/>
    <col min="3" max="3" width="34.28515625" style="8" customWidth="1"/>
    <col min="4" max="4" width="9.28515625" style="8" bestFit="1" customWidth="1"/>
    <col min="5" max="5" width="13" style="8" customWidth="1"/>
    <col min="6" max="6" width="12.85546875" style="8" customWidth="1"/>
    <col min="7" max="7" width="13.28515625" style="8" customWidth="1"/>
    <col min="8" max="8" width="20.7109375" style="8" customWidth="1"/>
    <col min="9" max="9" width="16.28515625" style="8" customWidth="1"/>
    <col min="10" max="16384" width="9.140625" style="8"/>
  </cols>
  <sheetData>
    <row r="1" spans="1:14" ht="18.75" x14ac:dyDescent="0.3">
      <c r="C1" s="7"/>
      <c r="D1" s="138" t="s">
        <v>13</v>
      </c>
      <c r="E1" s="138"/>
      <c r="F1" s="138"/>
      <c r="G1" s="138"/>
      <c r="H1" s="9"/>
    </row>
    <row r="2" spans="1:14" ht="18.75" x14ac:dyDescent="0.3">
      <c r="C2" s="21"/>
      <c r="D2" s="139" t="s">
        <v>260</v>
      </c>
      <c r="E2" s="139"/>
      <c r="F2" s="139"/>
      <c r="G2" s="139"/>
      <c r="H2" s="9"/>
    </row>
    <row r="3" spans="1:14" ht="18.75" x14ac:dyDescent="0.3">
      <c r="C3" s="21"/>
      <c r="D3" s="139" t="s">
        <v>259</v>
      </c>
      <c r="E3" s="139"/>
      <c r="F3" s="139"/>
      <c r="G3" s="139"/>
      <c r="H3" s="9"/>
    </row>
    <row r="4" spans="1:14" ht="18.75" x14ac:dyDescent="0.3">
      <c r="C4" s="21"/>
      <c r="D4" s="139" t="s">
        <v>286</v>
      </c>
      <c r="E4" s="139"/>
      <c r="F4" s="139"/>
      <c r="G4" s="139"/>
      <c r="H4" s="9"/>
    </row>
    <row r="5" spans="1:14" ht="18.75" x14ac:dyDescent="0.3">
      <c r="C5" s="21"/>
      <c r="D5" s="139" t="s">
        <v>318</v>
      </c>
      <c r="E5" s="139"/>
      <c r="F5" s="139"/>
      <c r="G5" s="139"/>
      <c r="H5" s="9"/>
    </row>
    <row r="7" spans="1:14" ht="18.75" x14ac:dyDescent="0.3">
      <c r="A7" s="172" t="s">
        <v>14</v>
      </c>
      <c r="B7" s="172"/>
      <c r="C7" s="172"/>
      <c r="D7" s="172"/>
      <c r="E7" s="172"/>
      <c r="F7" s="172"/>
      <c r="G7" s="172"/>
      <c r="H7" s="10"/>
      <c r="I7" s="10"/>
      <c r="J7" s="10"/>
    </row>
    <row r="8" spans="1:14" ht="15.75" x14ac:dyDescent="0.25">
      <c r="A8" s="175" t="s">
        <v>264</v>
      </c>
      <c r="B8" s="175"/>
      <c r="C8" s="175"/>
      <c r="D8" s="175"/>
      <c r="E8" s="175"/>
      <c r="F8" s="175"/>
      <c r="G8" s="175"/>
      <c r="H8" s="11"/>
      <c r="I8" s="11"/>
      <c r="J8" s="11"/>
      <c r="K8" s="11"/>
      <c r="L8" s="11"/>
      <c r="M8" s="11"/>
    </row>
    <row r="9" spans="1:14" ht="18" customHeight="1" x14ac:dyDescent="0.25">
      <c r="A9" s="185"/>
      <c r="B9" s="185"/>
      <c r="C9" s="185"/>
      <c r="D9" s="185"/>
      <c r="E9" s="185"/>
      <c r="F9" s="185"/>
      <c r="G9" s="9"/>
      <c r="H9" s="9"/>
      <c r="L9" s="176"/>
      <c r="M9" s="176"/>
      <c r="N9" s="176"/>
    </row>
    <row r="10" spans="1:14" ht="40.5" customHeight="1" x14ac:dyDescent="0.25">
      <c r="A10" s="108" t="s">
        <v>15</v>
      </c>
      <c r="B10" s="108" t="s">
        <v>16</v>
      </c>
      <c r="C10" s="108" t="s">
        <v>17</v>
      </c>
      <c r="D10" s="108" t="s">
        <v>18</v>
      </c>
      <c r="E10" s="171" t="s">
        <v>19</v>
      </c>
      <c r="F10" s="171"/>
      <c r="G10" s="171"/>
    </row>
    <row r="11" spans="1:14" ht="18.75" customHeight="1" x14ac:dyDescent="0.25">
      <c r="A11" s="110"/>
      <c r="B11" s="110"/>
      <c r="C11" s="110"/>
      <c r="D11" s="110"/>
      <c r="E11" s="16" t="s">
        <v>240</v>
      </c>
      <c r="F11" s="16" t="s">
        <v>241</v>
      </c>
      <c r="G11" s="16" t="s">
        <v>242</v>
      </c>
    </row>
    <row r="12" spans="1:14" x14ac:dyDescent="0.2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</row>
    <row r="13" spans="1:14" ht="30" x14ac:dyDescent="0.25">
      <c r="A13" s="108" t="s">
        <v>261</v>
      </c>
      <c r="B13" s="14" t="s">
        <v>20</v>
      </c>
      <c r="C13" s="14" t="s">
        <v>166</v>
      </c>
      <c r="D13" s="14" t="s">
        <v>76</v>
      </c>
      <c r="E13" s="70">
        <v>70300</v>
      </c>
      <c r="F13" s="70">
        <v>70800</v>
      </c>
      <c r="G13" s="70">
        <v>71200</v>
      </c>
    </row>
    <row r="14" spans="1:14" ht="30" x14ac:dyDescent="0.25">
      <c r="A14" s="109"/>
      <c r="B14" s="101" t="s">
        <v>161</v>
      </c>
      <c r="C14" s="14" t="s">
        <v>167</v>
      </c>
      <c r="D14" s="14" t="s">
        <v>67</v>
      </c>
      <c r="E14" s="70">
        <f>E13/69900*100-100</f>
        <v>0.57224606580830084</v>
      </c>
      <c r="F14" s="70">
        <f>F13/E13*100-100</f>
        <v>0.71123755334281213</v>
      </c>
      <c r="G14" s="70">
        <f>G13/F13*100-100</f>
        <v>0.56497175141242906</v>
      </c>
    </row>
    <row r="15" spans="1:14" ht="30" x14ac:dyDescent="0.25">
      <c r="A15" s="109"/>
      <c r="B15" s="14" t="s">
        <v>20</v>
      </c>
      <c r="C15" s="14" t="s">
        <v>168</v>
      </c>
      <c r="D15" s="14" t="s">
        <v>76</v>
      </c>
      <c r="E15" s="70">
        <v>1440500</v>
      </c>
      <c r="F15" s="70">
        <v>1460000</v>
      </c>
      <c r="G15" s="70">
        <v>1480000</v>
      </c>
    </row>
    <row r="16" spans="1:14" ht="30" x14ac:dyDescent="0.25">
      <c r="A16" s="110"/>
      <c r="B16" s="101" t="s">
        <v>161</v>
      </c>
      <c r="C16" s="14" t="s">
        <v>169</v>
      </c>
      <c r="D16" s="14" t="s">
        <v>67</v>
      </c>
      <c r="E16" s="70">
        <f>E15/1424963*100-100</f>
        <v>1.0903441001625964</v>
      </c>
      <c r="F16" s="70">
        <f>F15/E15*100-100</f>
        <v>1.3536966331135147</v>
      </c>
      <c r="G16" s="70">
        <f>G15/F15*100-100</f>
        <v>1.3698630136986338</v>
      </c>
    </row>
    <row r="17" spans="1:9" ht="24" customHeight="1" x14ac:dyDescent="0.25">
      <c r="A17" s="64" t="s">
        <v>136</v>
      </c>
      <c r="B17" s="65"/>
      <c r="C17" s="65"/>
      <c r="D17" s="66" t="s">
        <v>65</v>
      </c>
      <c r="E17" s="67">
        <f>E21+E132+E161+E181</f>
        <v>148504600</v>
      </c>
      <c r="F17" s="67">
        <f>F21+F132+F161+F181</f>
        <v>166358500</v>
      </c>
      <c r="G17" s="67">
        <f>G21+G132+G161+G181</f>
        <v>181175300</v>
      </c>
      <c r="I17" s="13">
        <f>E17+F17+G17</f>
        <v>496038400</v>
      </c>
    </row>
    <row r="18" spans="1:9" ht="20.25" customHeight="1" x14ac:dyDescent="0.25">
      <c r="A18" s="182" t="s">
        <v>62</v>
      </c>
      <c r="B18" s="183"/>
      <c r="C18" s="183"/>
      <c r="D18" s="183"/>
      <c r="E18" s="183"/>
      <c r="F18" s="183"/>
      <c r="G18" s="184"/>
    </row>
    <row r="19" spans="1:9" ht="20.25" customHeight="1" x14ac:dyDescent="0.25">
      <c r="A19" s="180"/>
      <c r="B19" s="14" t="s">
        <v>20</v>
      </c>
      <c r="C19" s="14" t="s">
        <v>66</v>
      </c>
      <c r="D19" s="99"/>
      <c r="E19" s="70">
        <v>9</v>
      </c>
      <c r="F19" s="70">
        <v>9</v>
      </c>
      <c r="G19" s="70">
        <v>9</v>
      </c>
    </row>
    <row r="20" spans="1:9" ht="30.75" customHeight="1" x14ac:dyDescent="0.25">
      <c r="A20" s="181"/>
      <c r="B20" s="101" t="s">
        <v>161</v>
      </c>
      <c r="C20" s="101" t="s">
        <v>162</v>
      </c>
      <c r="D20" s="99"/>
      <c r="E20" s="75">
        <f>E21/103466700*100</f>
        <v>95.063532518191835</v>
      </c>
      <c r="F20" s="75">
        <f>F21/E21*100</f>
        <v>109.07938360558403</v>
      </c>
      <c r="G20" s="75">
        <f>G21/F21*100</f>
        <v>107.21543114657072</v>
      </c>
    </row>
    <row r="21" spans="1:9" ht="23.25" customHeight="1" x14ac:dyDescent="0.25">
      <c r="A21" s="182" t="s">
        <v>69</v>
      </c>
      <c r="B21" s="183"/>
      <c r="C21" s="183"/>
      <c r="D21" s="184"/>
      <c r="E21" s="68">
        <f>E23+E27+E31+E39+E48+E52+E56+E60+E68+E74+E83+E87+E91+E95+E109+E114+E118+E104</f>
        <v>98359100</v>
      </c>
      <c r="F21" s="68">
        <f>F23+F27+F31+F39+F48+F52+F56+F60+F68+F74+F83+F87+F91+F95+F109+F114</f>
        <v>107289500</v>
      </c>
      <c r="G21" s="68">
        <f>G23+G27+G31+G39+G48+G52+G56+G60+G68+G74+G83+G87+G91+G95+G109+G114</f>
        <v>115030900</v>
      </c>
    </row>
    <row r="22" spans="1:9" ht="16.5" customHeight="1" x14ac:dyDescent="0.25">
      <c r="A22" s="182" t="s">
        <v>147</v>
      </c>
      <c r="B22" s="183"/>
      <c r="C22" s="183"/>
      <c r="D22" s="183"/>
      <c r="E22" s="183"/>
      <c r="F22" s="183"/>
      <c r="G22" s="184"/>
    </row>
    <row r="23" spans="1:9" ht="33.75" customHeight="1" x14ac:dyDescent="0.25">
      <c r="A23" s="108" t="s">
        <v>68</v>
      </c>
      <c r="B23" s="101" t="s">
        <v>22</v>
      </c>
      <c r="C23" s="101" t="s">
        <v>314</v>
      </c>
      <c r="D23" s="14" t="s">
        <v>65</v>
      </c>
      <c r="E23" s="71">
        <f>Дод.2!G26*1000</f>
        <v>6034799.9999999991</v>
      </c>
      <c r="F23" s="71">
        <f>Дод.2!J26*1000</f>
        <v>6783000</v>
      </c>
      <c r="G23" s="71">
        <f>Дод.2!M26*1000</f>
        <v>7312000</v>
      </c>
    </row>
    <row r="24" spans="1:9" ht="17.25" customHeight="1" x14ac:dyDescent="0.25">
      <c r="A24" s="109"/>
      <c r="B24" s="101" t="s">
        <v>20</v>
      </c>
      <c r="C24" s="101" t="s">
        <v>66</v>
      </c>
      <c r="D24" s="14" t="s">
        <v>64</v>
      </c>
      <c r="E24" s="69">
        <v>2</v>
      </c>
      <c r="F24" s="69">
        <v>2</v>
      </c>
      <c r="G24" s="69">
        <v>2</v>
      </c>
    </row>
    <row r="25" spans="1:9" ht="45" x14ac:dyDescent="0.25">
      <c r="A25" s="109"/>
      <c r="B25" s="101" t="s">
        <v>23</v>
      </c>
      <c r="C25" s="101" t="s">
        <v>312</v>
      </c>
      <c r="D25" s="14" t="s">
        <v>65</v>
      </c>
      <c r="E25" s="69">
        <f>E23/E24</f>
        <v>3017399.9999999995</v>
      </c>
      <c r="F25" s="69">
        <f t="shared" ref="F25:G25" si="0">F23/F24</f>
        <v>3391500</v>
      </c>
      <c r="G25" s="69">
        <f t="shared" si="0"/>
        <v>3656000</v>
      </c>
    </row>
    <row r="26" spans="1:9" ht="45" x14ac:dyDescent="0.25">
      <c r="A26" s="109"/>
      <c r="B26" s="97" t="s">
        <v>21</v>
      </c>
      <c r="C26" s="101" t="s">
        <v>193</v>
      </c>
      <c r="D26" s="14" t="s">
        <v>67</v>
      </c>
      <c r="E26" s="69">
        <v>100</v>
      </c>
      <c r="F26" s="69">
        <v>100</v>
      </c>
      <c r="G26" s="69">
        <v>100</v>
      </c>
    </row>
    <row r="27" spans="1:9" ht="20.25" customHeight="1" x14ac:dyDescent="0.25">
      <c r="A27" s="108" t="s">
        <v>70</v>
      </c>
      <c r="B27" s="76" t="s">
        <v>22</v>
      </c>
      <c r="C27" s="101" t="s">
        <v>63</v>
      </c>
      <c r="D27" s="14" t="s">
        <v>65</v>
      </c>
      <c r="E27" s="71">
        <f>Дод.2!G29*1000</f>
        <v>166200.00000000003</v>
      </c>
      <c r="F27" s="71">
        <f>Дод.2!J29*1000</f>
        <v>184000</v>
      </c>
      <c r="G27" s="71">
        <f>Дод.2!M29*1000</f>
        <v>195000</v>
      </c>
    </row>
    <row r="28" spans="1:9" ht="32.25" customHeight="1" x14ac:dyDescent="0.25">
      <c r="A28" s="109"/>
      <c r="B28" s="76" t="s">
        <v>20</v>
      </c>
      <c r="C28" s="101" t="s">
        <v>75</v>
      </c>
      <c r="D28" s="14" t="s">
        <v>76</v>
      </c>
      <c r="E28" s="59">
        <v>2374</v>
      </c>
      <c r="F28" s="69">
        <v>2374</v>
      </c>
      <c r="G28" s="59">
        <v>2374</v>
      </c>
      <c r="H28" s="22" t="s">
        <v>248</v>
      </c>
    </row>
    <row r="29" spans="1:9" ht="29.25" customHeight="1" x14ac:dyDescent="0.25">
      <c r="A29" s="109"/>
      <c r="B29" s="76" t="s">
        <v>23</v>
      </c>
      <c r="C29" s="101" t="s">
        <v>175</v>
      </c>
      <c r="D29" s="14" t="s">
        <v>65</v>
      </c>
      <c r="E29" s="69">
        <f>E27/E28</f>
        <v>70.008424599831514</v>
      </c>
      <c r="F29" s="69">
        <f>F27/F28</f>
        <v>77.506318449873632</v>
      </c>
      <c r="G29" s="69">
        <f t="shared" ref="G29" si="1">G27/G28</f>
        <v>82.139848357203036</v>
      </c>
    </row>
    <row r="30" spans="1:9" ht="83.25" customHeight="1" x14ac:dyDescent="0.25">
      <c r="A30" s="110"/>
      <c r="B30" s="97" t="s">
        <v>21</v>
      </c>
      <c r="C30" s="24" t="s">
        <v>297</v>
      </c>
      <c r="D30" s="24" t="s">
        <v>67</v>
      </c>
      <c r="E30" s="69">
        <f>E27/201300*100</f>
        <v>82.563338301043231</v>
      </c>
      <c r="F30" s="69">
        <f>F23/E23*100</f>
        <v>112.39809107178367</v>
      </c>
      <c r="G30" s="69">
        <f>G27/F27*100</f>
        <v>105.9782608695652</v>
      </c>
    </row>
    <row r="31" spans="1:9" ht="20.25" customHeight="1" x14ac:dyDescent="0.25">
      <c r="A31" s="171" t="s">
        <v>211</v>
      </c>
      <c r="B31" s="168" t="s">
        <v>22</v>
      </c>
      <c r="C31" s="101" t="s">
        <v>63</v>
      </c>
      <c r="D31" s="14" t="s">
        <v>65</v>
      </c>
      <c r="E31" s="71">
        <f>Дод.2!G33*1000</f>
        <v>995200</v>
      </c>
      <c r="F31" s="71">
        <f>Дод.2!J33*1000</f>
        <v>1099000</v>
      </c>
      <c r="G31" s="71">
        <f>Дод.2!M33*1000</f>
        <v>1164000</v>
      </c>
    </row>
    <row r="32" spans="1:9" ht="43.5" customHeight="1" x14ac:dyDescent="0.25">
      <c r="A32" s="171"/>
      <c r="B32" s="173"/>
      <c r="C32" s="101" t="s">
        <v>178</v>
      </c>
      <c r="D32" s="14" t="s">
        <v>65</v>
      </c>
      <c r="E32" s="69">
        <v>316600</v>
      </c>
      <c r="F32" s="69">
        <v>350000</v>
      </c>
      <c r="G32" s="69">
        <v>370000</v>
      </c>
    </row>
    <row r="33" spans="1:9" ht="29.25" customHeight="1" x14ac:dyDescent="0.25">
      <c r="A33" s="171"/>
      <c r="B33" s="169"/>
      <c r="C33" s="101" t="s">
        <v>181</v>
      </c>
      <c r="D33" s="14" t="s">
        <v>65</v>
      </c>
      <c r="E33" s="69">
        <v>678600</v>
      </c>
      <c r="F33" s="69">
        <v>749000</v>
      </c>
      <c r="G33" s="69">
        <v>794000</v>
      </c>
    </row>
    <row r="34" spans="1:9" ht="58.5" customHeight="1" x14ac:dyDescent="0.25">
      <c r="A34" s="171"/>
      <c r="B34" s="168" t="s">
        <v>20</v>
      </c>
      <c r="C34" s="101" t="s">
        <v>182</v>
      </c>
      <c r="D34" s="14" t="s">
        <v>76</v>
      </c>
      <c r="E34" s="69">
        <v>2</v>
      </c>
      <c r="F34" s="69">
        <v>4</v>
      </c>
      <c r="G34" s="69">
        <v>4</v>
      </c>
    </row>
    <row r="35" spans="1:9" ht="18.75" customHeight="1" x14ac:dyDescent="0.25">
      <c r="A35" s="171"/>
      <c r="B35" s="169"/>
      <c r="C35" s="101" t="s">
        <v>150</v>
      </c>
      <c r="D35" s="14" t="s">
        <v>76</v>
      </c>
      <c r="E35" s="69">
        <v>1</v>
      </c>
      <c r="F35" s="69">
        <v>1</v>
      </c>
      <c r="G35" s="69">
        <v>1</v>
      </c>
    </row>
    <row r="36" spans="1:9" ht="43.5" customHeight="1" x14ac:dyDescent="0.25">
      <c r="A36" s="171"/>
      <c r="B36" s="168" t="s">
        <v>23</v>
      </c>
      <c r="C36" s="101" t="s">
        <v>184</v>
      </c>
      <c r="D36" s="14" t="s">
        <v>65</v>
      </c>
      <c r="E36" s="69">
        <f>E32/E34</f>
        <v>158300</v>
      </c>
      <c r="F36" s="69">
        <f t="shared" ref="F36:G36" si="2">F32/F34</f>
        <v>87500</v>
      </c>
      <c r="G36" s="69">
        <f t="shared" si="2"/>
        <v>92500</v>
      </c>
    </row>
    <row r="37" spans="1:9" ht="30" customHeight="1" x14ac:dyDescent="0.25">
      <c r="A37" s="171"/>
      <c r="B37" s="169"/>
      <c r="C37" s="101" t="s">
        <v>151</v>
      </c>
      <c r="D37" s="14" t="s">
        <v>65</v>
      </c>
      <c r="E37" s="69">
        <f>E33/E35</f>
        <v>678600</v>
      </c>
      <c r="F37" s="69">
        <f t="shared" ref="F37:G37" si="3">F33/F35</f>
        <v>749000</v>
      </c>
      <c r="G37" s="69">
        <f t="shared" si="3"/>
        <v>794000</v>
      </c>
    </row>
    <row r="38" spans="1:9" ht="58.5" customHeight="1" x14ac:dyDescent="0.25">
      <c r="A38" s="171"/>
      <c r="B38" s="101" t="s">
        <v>21</v>
      </c>
      <c r="C38" s="101" t="s">
        <v>187</v>
      </c>
      <c r="D38" s="14" t="s">
        <v>67</v>
      </c>
      <c r="E38" s="69">
        <v>86.6</v>
      </c>
      <c r="F38" s="69">
        <v>110.4</v>
      </c>
      <c r="G38" s="69">
        <v>105.9</v>
      </c>
    </row>
    <row r="39" spans="1:9" ht="17.25" customHeight="1" x14ac:dyDescent="0.25">
      <c r="A39" s="108" t="s">
        <v>212</v>
      </c>
      <c r="B39" s="174" t="s">
        <v>22</v>
      </c>
      <c r="C39" s="101" t="s">
        <v>63</v>
      </c>
      <c r="D39" s="87" t="s">
        <v>65</v>
      </c>
      <c r="E39" s="71">
        <f>Дод.2!G35*1000</f>
        <v>400000</v>
      </c>
      <c r="F39" s="71">
        <f>Дод.2!J35*1000</f>
        <v>442000</v>
      </c>
      <c r="G39" s="71">
        <f>Дод.2!M35*1000</f>
        <v>468000</v>
      </c>
    </row>
    <row r="40" spans="1:9" ht="45" customHeight="1" x14ac:dyDescent="0.25">
      <c r="A40" s="109"/>
      <c r="B40" s="174"/>
      <c r="C40" s="101" t="s">
        <v>179</v>
      </c>
      <c r="D40" s="87" t="s">
        <v>65</v>
      </c>
      <c r="E40" s="69">
        <v>300000</v>
      </c>
      <c r="F40" s="69">
        <v>331200</v>
      </c>
      <c r="G40" s="69">
        <v>350000</v>
      </c>
      <c r="H40" s="55" t="s">
        <v>235</v>
      </c>
      <c r="I40" s="17"/>
    </row>
    <row r="41" spans="1:9" ht="45" customHeight="1" x14ac:dyDescent="0.25">
      <c r="A41" s="109"/>
      <c r="B41" s="174"/>
      <c r="C41" s="101" t="s">
        <v>180</v>
      </c>
      <c r="D41" s="87" t="s">
        <v>65</v>
      </c>
      <c r="E41" s="69">
        <v>100000</v>
      </c>
      <c r="F41" s="69">
        <v>110800</v>
      </c>
      <c r="G41" s="69">
        <v>118000</v>
      </c>
      <c r="H41" s="55" t="s">
        <v>235</v>
      </c>
    </row>
    <row r="42" spans="1:9" ht="63.75" customHeight="1" x14ac:dyDescent="0.25">
      <c r="A42" s="109"/>
      <c r="B42" s="174" t="s">
        <v>20</v>
      </c>
      <c r="C42" s="101" t="s">
        <v>183</v>
      </c>
      <c r="D42" s="87" t="s">
        <v>76</v>
      </c>
      <c r="E42" s="69">
        <v>16</v>
      </c>
      <c r="F42" s="69">
        <v>16</v>
      </c>
      <c r="G42" s="69">
        <v>16</v>
      </c>
      <c r="H42" s="55" t="s">
        <v>235</v>
      </c>
    </row>
    <row r="43" spans="1:9" ht="45" customHeight="1" x14ac:dyDescent="0.25">
      <c r="A43" s="109"/>
      <c r="B43" s="174"/>
      <c r="C43" s="101" t="s">
        <v>276</v>
      </c>
      <c r="D43" s="87" t="s">
        <v>76</v>
      </c>
      <c r="E43" s="69">
        <v>5</v>
      </c>
      <c r="F43" s="69">
        <f>3+2</f>
        <v>5</v>
      </c>
      <c r="G43" s="69">
        <f>3+2</f>
        <v>5</v>
      </c>
      <c r="H43" s="55" t="s">
        <v>235</v>
      </c>
    </row>
    <row r="44" spans="1:9" ht="47.25" customHeight="1" x14ac:dyDescent="0.25">
      <c r="A44" s="109"/>
      <c r="B44" s="174" t="s">
        <v>23</v>
      </c>
      <c r="C44" s="101" t="s">
        <v>185</v>
      </c>
      <c r="D44" s="87" t="s">
        <v>65</v>
      </c>
      <c r="E44" s="69">
        <f>E40/E42</f>
        <v>18750</v>
      </c>
      <c r="F44" s="69">
        <f t="shared" ref="F44:G44" si="4">F40/F42</f>
        <v>20700</v>
      </c>
      <c r="G44" s="69">
        <f t="shared" si="4"/>
        <v>21875</v>
      </c>
    </row>
    <row r="45" spans="1:9" ht="49.5" customHeight="1" x14ac:dyDescent="0.25">
      <c r="A45" s="109"/>
      <c r="B45" s="174"/>
      <c r="C45" s="101" t="s">
        <v>186</v>
      </c>
      <c r="D45" s="87" t="s">
        <v>65</v>
      </c>
      <c r="E45" s="69">
        <f>E41/E43</f>
        <v>20000</v>
      </c>
      <c r="F45" s="69">
        <f t="shared" ref="F45:G45" si="5">F41/F43</f>
        <v>22160</v>
      </c>
      <c r="G45" s="69">
        <f t="shared" si="5"/>
        <v>23600</v>
      </c>
    </row>
    <row r="46" spans="1:9" ht="93.75" customHeight="1" x14ac:dyDescent="0.25">
      <c r="A46" s="110"/>
      <c r="B46" s="101" t="s">
        <v>21</v>
      </c>
      <c r="C46" s="101" t="s">
        <v>306</v>
      </c>
      <c r="D46" s="14" t="s">
        <v>67</v>
      </c>
      <c r="E46" s="69">
        <f>E39/217500*100</f>
        <v>183.90804597701148</v>
      </c>
      <c r="F46" s="69">
        <f>F39/E39*100</f>
        <v>110.5</v>
      </c>
      <c r="G46" s="69">
        <f>G39/F39*100</f>
        <v>105.88235294117648</v>
      </c>
    </row>
    <row r="47" spans="1:9" ht="16.5" customHeight="1" x14ac:dyDescent="0.25">
      <c r="A47" s="177" t="s">
        <v>157</v>
      </c>
      <c r="B47" s="178"/>
      <c r="C47" s="178"/>
      <c r="D47" s="178"/>
      <c r="E47" s="178"/>
      <c r="F47" s="178"/>
      <c r="G47" s="179"/>
    </row>
    <row r="48" spans="1:9" ht="34.5" customHeight="1" x14ac:dyDescent="0.25">
      <c r="A48" s="108" t="s">
        <v>71</v>
      </c>
      <c r="B48" s="101" t="s">
        <v>22</v>
      </c>
      <c r="C48" s="101" t="s">
        <v>314</v>
      </c>
      <c r="D48" s="14" t="s">
        <v>65</v>
      </c>
      <c r="E48" s="71">
        <f>Дод.2!G41*1000</f>
        <v>58991700.000000007</v>
      </c>
      <c r="F48" s="71">
        <f>Дод.2!J41*1000</f>
        <v>66307000</v>
      </c>
      <c r="G48" s="71">
        <f>Дод.2!M41*1000</f>
        <v>71478000</v>
      </c>
    </row>
    <row r="49" spans="1:8" x14ac:dyDescent="0.25">
      <c r="A49" s="109"/>
      <c r="B49" s="101" t="s">
        <v>20</v>
      </c>
      <c r="C49" s="101" t="s">
        <v>66</v>
      </c>
      <c r="D49" s="14" t="s">
        <v>64</v>
      </c>
      <c r="E49" s="69">
        <v>5</v>
      </c>
      <c r="F49" s="69">
        <v>5</v>
      </c>
      <c r="G49" s="69">
        <v>5</v>
      </c>
    </row>
    <row r="50" spans="1:8" ht="45" x14ac:dyDescent="0.25">
      <c r="A50" s="109"/>
      <c r="B50" s="101" t="s">
        <v>23</v>
      </c>
      <c r="C50" s="101" t="s">
        <v>313</v>
      </c>
      <c r="D50" s="14" t="s">
        <v>65</v>
      </c>
      <c r="E50" s="69">
        <f>E48/E49</f>
        <v>11798340.000000002</v>
      </c>
      <c r="F50" s="69">
        <f t="shared" ref="F50:G50" si="6">F48/F49</f>
        <v>13261400</v>
      </c>
      <c r="G50" s="69">
        <f t="shared" si="6"/>
        <v>14295600</v>
      </c>
    </row>
    <row r="51" spans="1:8" ht="45" x14ac:dyDescent="0.25">
      <c r="A51" s="109"/>
      <c r="B51" s="97" t="s">
        <v>21</v>
      </c>
      <c r="C51" s="1" t="s">
        <v>193</v>
      </c>
      <c r="D51" s="14" t="s">
        <v>67</v>
      </c>
      <c r="E51" s="69">
        <v>100</v>
      </c>
      <c r="F51" s="69">
        <v>100</v>
      </c>
      <c r="G51" s="69">
        <v>100</v>
      </c>
    </row>
    <row r="52" spans="1:8" x14ac:dyDescent="0.25">
      <c r="A52" s="108" t="s">
        <v>72</v>
      </c>
      <c r="B52" s="101" t="s">
        <v>22</v>
      </c>
      <c r="C52" s="101" t="s">
        <v>63</v>
      </c>
      <c r="D52" s="14" t="s">
        <v>65</v>
      </c>
      <c r="E52" s="71">
        <f>Дод.2!G47*1000</f>
        <v>350000</v>
      </c>
      <c r="F52" s="71">
        <f>Дод.2!J47*1000</f>
        <v>386400</v>
      </c>
      <c r="G52" s="71">
        <f>Дод.2!M47*1000</f>
        <v>708500</v>
      </c>
    </row>
    <row r="53" spans="1:8" ht="33.75" customHeight="1" x14ac:dyDescent="0.25">
      <c r="A53" s="109"/>
      <c r="B53" s="101" t="s">
        <v>20</v>
      </c>
      <c r="C53" s="101" t="s">
        <v>78</v>
      </c>
      <c r="D53" s="14" t="s">
        <v>76</v>
      </c>
      <c r="E53" s="69">
        <v>180</v>
      </c>
      <c r="F53" s="69">
        <v>180</v>
      </c>
      <c r="G53" s="69">
        <v>180</v>
      </c>
    </row>
    <row r="54" spans="1:8" x14ac:dyDescent="0.25">
      <c r="A54" s="109"/>
      <c r="B54" s="101" t="s">
        <v>23</v>
      </c>
      <c r="C54" s="101" t="s">
        <v>79</v>
      </c>
      <c r="D54" s="14" t="s">
        <v>65</v>
      </c>
      <c r="E54" s="69">
        <f>E52/E53</f>
        <v>1944.4444444444443</v>
      </c>
      <c r="F54" s="69">
        <f t="shared" ref="F54:G54" si="7">F52/F53</f>
        <v>2146.6666666666665</v>
      </c>
      <c r="G54" s="69">
        <f t="shared" si="7"/>
        <v>3936.1111111111113</v>
      </c>
    </row>
    <row r="55" spans="1:8" ht="45" x14ac:dyDescent="0.25">
      <c r="A55" s="110"/>
      <c r="B55" s="101" t="s">
        <v>21</v>
      </c>
      <c r="C55" s="101" t="s">
        <v>80</v>
      </c>
      <c r="D55" s="14" t="s">
        <v>67</v>
      </c>
      <c r="E55" s="69">
        <v>98.3</v>
      </c>
      <c r="F55" s="69">
        <f>F52/E52*100</f>
        <v>110.4</v>
      </c>
      <c r="G55" s="69">
        <f>G52/F52*100</f>
        <v>183.3592132505176</v>
      </c>
    </row>
    <row r="56" spans="1:8" ht="20.25" customHeight="1" x14ac:dyDescent="0.25">
      <c r="A56" s="108" t="s">
        <v>210</v>
      </c>
      <c r="B56" s="101" t="s">
        <v>22</v>
      </c>
      <c r="C56" s="101" t="s">
        <v>63</v>
      </c>
      <c r="D56" s="14" t="s">
        <v>65</v>
      </c>
      <c r="E56" s="71">
        <f>Дод.2!G49*1000</f>
        <v>2200000</v>
      </c>
      <c r="F56" s="71">
        <f>Дод.2!J49*1000</f>
        <v>2429000</v>
      </c>
      <c r="G56" s="71">
        <f>Дод.2!M49*1000</f>
        <v>2572000</v>
      </c>
    </row>
    <row r="57" spans="1:8" ht="63" customHeight="1" x14ac:dyDescent="0.25">
      <c r="A57" s="109"/>
      <c r="B57" s="101" t="s">
        <v>20</v>
      </c>
      <c r="C57" s="101" t="s">
        <v>82</v>
      </c>
      <c r="D57" s="14" t="s">
        <v>76</v>
      </c>
      <c r="E57" s="69">
        <v>7350</v>
      </c>
      <c r="F57" s="69">
        <v>7350</v>
      </c>
      <c r="G57" s="69">
        <v>7350</v>
      </c>
    </row>
    <row r="58" spans="1:8" ht="30.75" customHeight="1" x14ac:dyDescent="0.25">
      <c r="A58" s="109"/>
      <c r="B58" s="101" t="s">
        <v>23</v>
      </c>
      <c r="C58" s="101" t="s">
        <v>83</v>
      </c>
      <c r="D58" s="14" t="s">
        <v>81</v>
      </c>
      <c r="E58" s="69">
        <f>E56/E57</f>
        <v>299.31972789115645</v>
      </c>
      <c r="F58" s="69">
        <f t="shared" ref="F58:G58" si="8">F56/F57</f>
        <v>330.47619047619048</v>
      </c>
      <c r="G58" s="69">
        <f t="shared" si="8"/>
        <v>349.93197278911566</v>
      </c>
      <c r="H58" s="17"/>
    </row>
    <row r="59" spans="1:8" ht="29.25" customHeight="1" x14ac:dyDescent="0.25">
      <c r="A59" s="110"/>
      <c r="B59" s="101" t="s">
        <v>21</v>
      </c>
      <c r="C59" s="101" t="s">
        <v>301</v>
      </c>
      <c r="D59" s="14" t="s">
        <v>67</v>
      </c>
      <c r="E59" s="69">
        <v>100</v>
      </c>
      <c r="F59" s="69">
        <v>100</v>
      </c>
      <c r="G59" s="69">
        <v>100</v>
      </c>
    </row>
    <row r="60" spans="1:8" ht="20.25" customHeight="1" x14ac:dyDescent="0.25">
      <c r="A60" s="108" t="s">
        <v>213</v>
      </c>
      <c r="B60" s="168" t="s">
        <v>22</v>
      </c>
      <c r="C60" s="1" t="s">
        <v>63</v>
      </c>
      <c r="D60" s="14" t="s">
        <v>81</v>
      </c>
      <c r="E60" s="61">
        <f>Дод.2!G51*1000</f>
        <v>2446900</v>
      </c>
      <c r="F60" s="61">
        <f>Дод.2!J51*1000</f>
        <v>2463700</v>
      </c>
      <c r="G60" s="61">
        <f>Дод.2!M51*1000</f>
        <v>2474300</v>
      </c>
    </row>
    <row r="61" spans="1:8" ht="20.25" customHeight="1" x14ac:dyDescent="0.25">
      <c r="A61" s="109"/>
      <c r="B61" s="173"/>
      <c r="C61" s="2" t="s">
        <v>305</v>
      </c>
      <c r="D61" s="14" t="s">
        <v>84</v>
      </c>
      <c r="E61" s="59">
        <v>10.75</v>
      </c>
      <c r="F61" s="59">
        <v>10.75</v>
      </c>
      <c r="G61" s="59">
        <v>10.75</v>
      </c>
    </row>
    <row r="62" spans="1:8" ht="20.25" customHeight="1" x14ac:dyDescent="0.25">
      <c r="A62" s="109"/>
      <c r="B62" s="169"/>
      <c r="C62" s="2" t="s">
        <v>85</v>
      </c>
      <c r="D62" s="14" t="s">
        <v>64</v>
      </c>
      <c r="E62" s="69">
        <v>3.75</v>
      </c>
      <c r="F62" s="69">
        <v>3.75</v>
      </c>
      <c r="G62" s="69">
        <v>3.75</v>
      </c>
    </row>
    <row r="63" spans="1:8" ht="21.75" customHeight="1" x14ac:dyDescent="0.25">
      <c r="A63" s="109"/>
      <c r="B63" s="168" t="s">
        <v>20</v>
      </c>
      <c r="C63" s="3" t="s">
        <v>86</v>
      </c>
      <c r="D63" s="14" t="s">
        <v>76</v>
      </c>
      <c r="E63" s="59">
        <v>1535</v>
      </c>
      <c r="F63" s="59">
        <v>1538</v>
      </c>
      <c r="G63" s="59">
        <v>1535</v>
      </c>
    </row>
    <row r="64" spans="1:8" ht="32.25" customHeight="1" x14ac:dyDescent="0.25">
      <c r="A64" s="109"/>
      <c r="B64" s="169"/>
      <c r="C64" s="3" t="s">
        <v>87</v>
      </c>
      <c r="D64" s="14" t="s">
        <v>64</v>
      </c>
      <c r="E64" s="59">
        <v>127</v>
      </c>
      <c r="F64" s="59">
        <v>127</v>
      </c>
      <c r="G64" s="59">
        <v>127</v>
      </c>
    </row>
    <row r="65" spans="1:8" ht="28.5" customHeight="1" x14ac:dyDescent="0.25">
      <c r="A65" s="109"/>
      <c r="B65" s="168" t="s">
        <v>23</v>
      </c>
      <c r="C65" s="2" t="s">
        <v>307</v>
      </c>
      <c r="D65" s="14" t="s">
        <v>76</v>
      </c>
      <c r="E65" s="69">
        <f>E63/E62</f>
        <v>409.33333333333331</v>
      </c>
      <c r="F65" s="69">
        <f t="shared" ref="F65:G65" si="9">F63/F62</f>
        <v>410.13333333333333</v>
      </c>
      <c r="G65" s="69">
        <f t="shared" si="9"/>
        <v>409.33333333333331</v>
      </c>
    </row>
    <row r="66" spans="1:8" ht="28.5" customHeight="1" x14ac:dyDescent="0.25">
      <c r="A66" s="109"/>
      <c r="B66" s="169"/>
      <c r="C66" s="2" t="s">
        <v>88</v>
      </c>
      <c r="D66" s="14" t="s">
        <v>64</v>
      </c>
      <c r="E66" s="69">
        <f>E64/E62</f>
        <v>33.866666666666667</v>
      </c>
      <c r="F66" s="69">
        <f t="shared" ref="F66:G66" si="10">F64/F62</f>
        <v>33.866666666666667</v>
      </c>
      <c r="G66" s="69">
        <f t="shared" si="10"/>
        <v>33.866666666666667</v>
      </c>
    </row>
    <row r="67" spans="1:8" ht="28.5" customHeight="1" x14ac:dyDescent="0.25">
      <c r="A67" s="110"/>
      <c r="B67" s="98" t="s">
        <v>298</v>
      </c>
      <c r="C67" s="2" t="s">
        <v>309</v>
      </c>
      <c r="D67" s="14" t="s">
        <v>67</v>
      </c>
      <c r="E67" s="69">
        <v>100</v>
      </c>
      <c r="F67" s="69">
        <v>100</v>
      </c>
      <c r="G67" s="69">
        <v>100</v>
      </c>
    </row>
    <row r="68" spans="1:8" ht="18.75" customHeight="1" x14ac:dyDescent="0.25">
      <c r="A68" s="108" t="s">
        <v>272</v>
      </c>
      <c r="B68" s="101" t="s">
        <v>22</v>
      </c>
      <c r="C68" s="1" t="s">
        <v>63</v>
      </c>
      <c r="D68" s="14" t="s">
        <v>65</v>
      </c>
      <c r="E68" s="71">
        <f>Дод.2!G53*1000</f>
        <v>6368600</v>
      </c>
      <c r="F68" s="71">
        <f>Дод.2!J53*1000</f>
        <v>7030000</v>
      </c>
      <c r="G68" s="71">
        <f>Дод.2!M53*1000</f>
        <v>7445000</v>
      </c>
    </row>
    <row r="69" spans="1:8" ht="35.25" customHeight="1" x14ac:dyDescent="0.25">
      <c r="A69" s="109"/>
      <c r="B69" s="168" t="s">
        <v>20</v>
      </c>
      <c r="C69" s="3" t="s">
        <v>188</v>
      </c>
      <c r="D69" s="14" t="s">
        <v>76</v>
      </c>
      <c r="E69" s="69">
        <v>10031</v>
      </c>
      <c r="F69" s="69">
        <v>10031</v>
      </c>
      <c r="G69" s="69">
        <v>10031</v>
      </c>
      <c r="H69" s="55" t="s">
        <v>238</v>
      </c>
    </row>
    <row r="70" spans="1:8" ht="34.5" customHeight="1" x14ac:dyDescent="0.25">
      <c r="A70" s="109"/>
      <c r="B70" s="173"/>
      <c r="C70" s="3" t="s">
        <v>189</v>
      </c>
      <c r="D70" s="14" t="s">
        <v>76</v>
      </c>
      <c r="E70" s="69">
        <v>40.5</v>
      </c>
      <c r="F70" s="69">
        <v>40.5</v>
      </c>
      <c r="G70" s="69">
        <v>40.5</v>
      </c>
      <c r="H70" s="55" t="s">
        <v>239</v>
      </c>
    </row>
    <row r="71" spans="1:8" ht="25.5" customHeight="1" x14ac:dyDescent="0.25">
      <c r="A71" s="109"/>
      <c r="B71" s="168" t="s">
        <v>23</v>
      </c>
      <c r="C71" s="1" t="s">
        <v>89</v>
      </c>
      <c r="D71" s="14" t="s">
        <v>65</v>
      </c>
      <c r="E71" s="69">
        <f>E68/E69</f>
        <v>634.89183531053732</v>
      </c>
      <c r="F71" s="69">
        <f>F68/F69</f>
        <v>700.82743495164993</v>
      </c>
      <c r="G71" s="69">
        <f t="shared" ref="G71" si="11">G68/G69</f>
        <v>742.19918253414414</v>
      </c>
    </row>
    <row r="72" spans="1:8" ht="33" customHeight="1" x14ac:dyDescent="0.25">
      <c r="A72" s="109"/>
      <c r="B72" s="173"/>
      <c r="C72" s="1" t="s">
        <v>90</v>
      </c>
      <c r="D72" s="14" t="s">
        <v>65</v>
      </c>
      <c r="E72" s="69">
        <f>E68/E70</f>
        <v>157249.38271604938</v>
      </c>
      <c r="F72" s="69">
        <f t="shared" ref="F72:G72" si="12">F68/F70</f>
        <v>173580.24691358025</v>
      </c>
      <c r="G72" s="69">
        <f t="shared" si="12"/>
        <v>183827.16049382716</v>
      </c>
    </row>
    <row r="73" spans="1:8" ht="33" customHeight="1" x14ac:dyDescent="0.25">
      <c r="A73" s="110"/>
      <c r="B73" s="101" t="s">
        <v>298</v>
      </c>
      <c r="C73" s="24" t="s">
        <v>299</v>
      </c>
      <c r="D73" s="88" t="s">
        <v>67</v>
      </c>
      <c r="E73" s="69">
        <v>100</v>
      </c>
      <c r="F73" s="69">
        <v>100</v>
      </c>
      <c r="G73" s="69">
        <v>100</v>
      </c>
    </row>
    <row r="74" spans="1:8" x14ac:dyDescent="0.25">
      <c r="A74" s="108" t="s">
        <v>214</v>
      </c>
      <c r="B74" s="168" t="s">
        <v>22</v>
      </c>
      <c r="C74" s="1" t="s">
        <v>63</v>
      </c>
      <c r="D74" s="14" t="s">
        <v>65</v>
      </c>
      <c r="E74" s="71">
        <f>Дод.2!G58*1000</f>
        <v>2200000</v>
      </c>
      <c r="F74" s="71">
        <f>Дод.2!J58*1000</f>
        <v>2429000</v>
      </c>
      <c r="G74" s="71">
        <f>Дод.2!M58*1000</f>
        <v>2572000</v>
      </c>
    </row>
    <row r="75" spans="1:8" x14ac:dyDescent="0.25">
      <c r="A75" s="109"/>
      <c r="B75" s="173"/>
      <c r="C75" s="101" t="s">
        <v>91</v>
      </c>
      <c r="D75" s="14"/>
      <c r="E75" s="69"/>
      <c r="F75" s="69"/>
      <c r="G75" s="69"/>
    </row>
    <row r="76" spans="1:8" ht="29.25" customHeight="1" x14ac:dyDescent="0.25">
      <c r="A76" s="109"/>
      <c r="B76" s="173"/>
      <c r="C76" s="1" t="s">
        <v>92</v>
      </c>
      <c r="D76" s="14" t="s">
        <v>64</v>
      </c>
      <c r="E76" s="69">
        <f>Дод.2!G59*1000</f>
        <v>2000000</v>
      </c>
      <c r="F76" s="69">
        <f>Дод.2!J59*1000</f>
        <v>2208000</v>
      </c>
      <c r="G76" s="69">
        <f>Дод.2!M59*1000</f>
        <v>2338000</v>
      </c>
    </row>
    <row r="77" spans="1:8" ht="30" x14ac:dyDescent="0.25">
      <c r="A77" s="109"/>
      <c r="B77" s="169"/>
      <c r="C77" s="1" t="s">
        <v>93</v>
      </c>
      <c r="D77" s="14" t="s">
        <v>64</v>
      </c>
      <c r="E77" s="69">
        <f>Дод.2!G62*1000</f>
        <v>200000</v>
      </c>
      <c r="F77" s="69">
        <f>Дод.2!J62*1000</f>
        <v>221000</v>
      </c>
      <c r="G77" s="69">
        <f>Дод.2!M62*1000</f>
        <v>234000</v>
      </c>
    </row>
    <row r="78" spans="1:8" ht="45" x14ac:dyDescent="0.25">
      <c r="A78" s="109"/>
      <c r="B78" s="168" t="s">
        <v>20</v>
      </c>
      <c r="C78" s="4" t="s">
        <v>94</v>
      </c>
      <c r="D78" s="14" t="s">
        <v>76</v>
      </c>
      <c r="E78" s="69">
        <v>28</v>
      </c>
      <c r="F78" s="69">
        <v>28</v>
      </c>
      <c r="G78" s="69">
        <v>28</v>
      </c>
      <c r="H78" s="22" t="s">
        <v>234</v>
      </c>
    </row>
    <row r="79" spans="1:8" ht="32.25" customHeight="1" x14ac:dyDescent="0.25">
      <c r="A79" s="109"/>
      <c r="B79" s="169"/>
      <c r="C79" s="4" t="s">
        <v>95</v>
      </c>
      <c r="D79" s="14" t="s">
        <v>76</v>
      </c>
      <c r="E79" s="69">
        <v>10</v>
      </c>
      <c r="F79" s="69">
        <v>10</v>
      </c>
      <c r="G79" s="69">
        <v>10</v>
      </c>
      <c r="H79" s="55" t="s">
        <v>238</v>
      </c>
    </row>
    <row r="80" spans="1:8" ht="45" x14ac:dyDescent="0.25">
      <c r="A80" s="109"/>
      <c r="B80" s="168" t="s">
        <v>23</v>
      </c>
      <c r="C80" s="5" t="s">
        <v>96</v>
      </c>
      <c r="D80" s="14" t="s">
        <v>65</v>
      </c>
      <c r="E80" s="69">
        <f>E76/E78</f>
        <v>71428.571428571435</v>
      </c>
      <c r="F80" s="69">
        <f t="shared" ref="F80:G80" si="13">F76/F78</f>
        <v>78857.142857142855</v>
      </c>
      <c r="G80" s="69">
        <f t="shared" si="13"/>
        <v>83500</v>
      </c>
    </row>
    <row r="81" spans="1:12" ht="30" customHeight="1" x14ac:dyDescent="0.25">
      <c r="A81" s="109"/>
      <c r="B81" s="169"/>
      <c r="C81" s="5" t="s">
        <v>97</v>
      </c>
      <c r="D81" s="14" t="s">
        <v>65</v>
      </c>
      <c r="E81" s="69">
        <f>E77/E79</f>
        <v>20000</v>
      </c>
      <c r="F81" s="69">
        <f t="shared" ref="F81:G81" si="14">F77/F79</f>
        <v>22100</v>
      </c>
      <c r="G81" s="69">
        <f t="shared" si="14"/>
        <v>23400</v>
      </c>
    </row>
    <row r="82" spans="1:12" ht="54" customHeight="1" x14ac:dyDescent="0.25">
      <c r="A82" s="96"/>
      <c r="B82" s="98" t="s">
        <v>161</v>
      </c>
      <c r="C82" s="5" t="s">
        <v>308</v>
      </c>
      <c r="D82" s="14" t="s">
        <v>67</v>
      </c>
      <c r="E82" s="69">
        <f>E74/2192500*100</f>
        <v>100.34207525655646</v>
      </c>
      <c r="F82" s="69">
        <f>F74/E74*100</f>
        <v>110.40909090909091</v>
      </c>
      <c r="G82" s="69">
        <f>G74/F74*100</f>
        <v>105.88719637710993</v>
      </c>
    </row>
    <row r="83" spans="1:12" ht="46.5" customHeight="1" x14ac:dyDescent="0.25">
      <c r="A83" s="108" t="s">
        <v>302</v>
      </c>
      <c r="B83" s="101" t="s">
        <v>22</v>
      </c>
      <c r="C83" s="5" t="s">
        <v>303</v>
      </c>
      <c r="D83" s="14" t="s">
        <v>65</v>
      </c>
      <c r="E83" s="71">
        <f>Дод.2!G65*1000</f>
        <v>1740000</v>
      </c>
      <c r="F83" s="71">
        <f>Дод.2!J65*1000</f>
        <v>1921000</v>
      </c>
      <c r="G83" s="71">
        <f>Дод.2!M65*1000</f>
        <v>2034000</v>
      </c>
    </row>
    <row r="84" spans="1:12" ht="33.75" customHeight="1" x14ac:dyDescent="0.25">
      <c r="A84" s="109"/>
      <c r="B84" s="101" t="s">
        <v>20</v>
      </c>
      <c r="C84" s="5" t="s">
        <v>173</v>
      </c>
      <c r="D84" s="14" t="s">
        <v>76</v>
      </c>
      <c r="E84" s="69">
        <v>34</v>
      </c>
      <c r="F84" s="69">
        <v>34</v>
      </c>
      <c r="G84" s="69">
        <v>34</v>
      </c>
    </row>
    <row r="85" spans="1:12" ht="45" customHeight="1" x14ac:dyDescent="0.25">
      <c r="A85" s="109"/>
      <c r="B85" s="101" t="s">
        <v>23</v>
      </c>
      <c r="C85" s="5" t="s">
        <v>190</v>
      </c>
      <c r="D85" s="14" t="s">
        <v>65</v>
      </c>
      <c r="E85" s="69">
        <f>E83/E84</f>
        <v>51176.470588235294</v>
      </c>
      <c r="F85" s="69">
        <f t="shared" ref="F85:G85" si="15">F83/F84</f>
        <v>56500</v>
      </c>
      <c r="G85" s="69">
        <f t="shared" si="15"/>
        <v>59823.529411764706</v>
      </c>
    </row>
    <row r="86" spans="1:12" ht="62.25" customHeight="1" x14ac:dyDescent="0.25">
      <c r="A86" s="110"/>
      <c r="B86" s="101" t="s">
        <v>21</v>
      </c>
      <c r="C86" s="5" t="s">
        <v>300</v>
      </c>
      <c r="D86" s="14" t="s">
        <v>67</v>
      </c>
      <c r="E86" s="69">
        <v>242</v>
      </c>
      <c r="F86" s="69">
        <f>F83/E83*100</f>
        <v>110.40229885057471</v>
      </c>
      <c r="G86" s="69">
        <f>G83/F83*100</f>
        <v>105.88235294117648</v>
      </c>
    </row>
    <row r="87" spans="1:12" ht="30" hidden="1" x14ac:dyDescent="0.25">
      <c r="A87" s="171" t="s">
        <v>215</v>
      </c>
      <c r="B87" s="101" t="s">
        <v>22</v>
      </c>
      <c r="C87" s="1" t="s">
        <v>172</v>
      </c>
      <c r="D87" s="14" t="s">
        <v>65</v>
      </c>
      <c r="E87" s="71">
        <f>Дод.2!G67*1000</f>
        <v>0</v>
      </c>
      <c r="F87" s="71">
        <f>Дод.2!J67*1000</f>
        <v>0</v>
      </c>
      <c r="G87" s="71">
        <f>Дод.2!M67*1000</f>
        <v>0</v>
      </c>
    </row>
    <row r="88" spans="1:12" ht="60" hidden="1" x14ac:dyDescent="0.25">
      <c r="A88" s="171"/>
      <c r="B88" s="101" t="s">
        <v>20</v>
      </c>
      <c r="C88" s="1" t="s">
        <v>191</v>
      </c>
      <c r="D88" s="14" t="s">
        <v>64</v>
      </c>
      <c r="E88" s="69"/>
      <c r="F88" s="69"/>
      <c r="G88" s="69"/>
      <c r="H88" s="55"/>
    </row>
    <row r="89" spans="1:12" hidden="1" x14ac:dyDescent="0.25">
      <c r="A89" s="171"/>
      <c r="B89" s="101" t="s">
        <v>23</v>
      </c>
      <c r="C89" s="1" t="s">
        <v>192</v>
      </c>
      <c r="D89" s="14" t="s">
        <v>65</v>
      </c>
      <c r="E89" s="69"/>
      <c r="F89" s="69"/>
      <c r="G89" s="69"/>
    </row>
    <row r="90" spans="1:12" ht="17.25" hidden="1" customHeight="1" x14ac:dyDescent="0.25">
      <c r="A90" s="171"/>
      <c r="B90" s="101" t="s">
        <v>21</v>
      </c>
      <c r="C90" s="1" t="s">
        <v>77</v>
      </c>
      <c r="D90" s="14" t="s">
        <v>67</v>
      </c>
      <c r="E90" s="69"/>
      <c r="F90" s="69"/>
      <c r="G90" s="69"/>
    </row>
    <row r="91" spans="1:12" ht="24.75" hidden="1" customHeight="1" x14ac:dyDescent="0.25">
      <c r="A91" s="108" t="s">
        <v>216</v>
      </c>
      <c r="B91" s="101" t="s">
        <v>22</v>
      </c>
      <c r="C91" s="101" t="s">
        <v>63</v>
      </c>
      <c r="D91" s="14" t="s">
        <v>65</v>
      </c>
      <c r="E91" s="71">
        <f>Дод.2!G70*1000</f>
        <v>0</v>
      </c>
      <c r="F91" s="71">
        <f>Дод.2!J70*1000</f>
        <v>0</v>
      </c>
      <c r="G91" s="71">
        <f>Дод.2!M70*1000</f>
        <v>0</v>
      </c>
      <c r="L91" s="6"/>
    </row>
    <row r="92" spans="1:12" ht="21.75" hidden="1" customHeight="1" x14ac:dyDescent="0.25">
      <c r="A92" s="109"/>
      <c r="B92" s="168" t="s">
        <v>20</v>
      </c>
      <c r="C92" s="1" t="s">
        <v>66</v>
      </c>
      <c r="D92" s="14" t="s">
        <v>64</v>
      </c>
      <c r="E92" s="69"/>
      <c r="F92" s="69"/>
      <c r="G92" s="69"/>
      <c r="L92" s="18"/>
    </row>
    <row r="93" spans="1:12" ht="28.5" hidden="1" customHeight="1" x14ac:dyDescent="0.25">
      <c r="A93" s="109"/>
      <c r="B93" s="169"/>
      <c r="C93" s="1" t="s">
        <v>98</v>
      </c>
      <c r="D93" s="14" t="s">
        <v>76</v>
      </c>
      <c r="E93" s="69"/>
      <c r="F93" s="69"/>
      <c r="G93" s="69"/>
      <c r="H93" s="55"/>
      <c r="L93" s="18"/>
    </row>
    <row r="94" spans="1:12" ht="23.25" hidden="1" customHeight="1" x14ac:dyDescent="0.25">
      <c r="A94" s="109"/>
      <c r="B94" s="101" t="s">
        <v>23</v>
      </c>
      <c r="C94" s="101" t="s">
        <v>99</v>
      </c>
      <c r="D94" s="14" t="s">
        <v>65</v>
      </c>
      <c r="E94" s="69"/>
      <c r="F94" s="69"/>
      <c r="G94" s="69"/>
    </row>
    <row r="95" spans="1:12" ht="19.5" customHeight="1" x14ac:dyDescent="0.25">
      <c r="A95" s="108" t="s">
        <v>257</v>
      </c>
      <c r="B95" s="168" t="s">
        <v>22</v>
      </c>
      <c r="C95" s="1" t="s">
        <v>63</v>
      </c>
      <c r="D95" s="14" t="s">
        <v>65</v>
      </c>
      <c r="E95" s="71">
        <f>Дод.2!G73*1000</f>
        <v>6748400</v>
      </c>
      <c r="F95" s="71">
        <f>Дод.2!J73*1000</f>
        <v>6904400</v>
      </c>
      <c r="G95" s="71">
        <f>Дод.2!M73*1000</f>
        <v>7002100</v>
      </c>
    </row>
    <row r="96" spans="1:12" ht="19.5" customHeight="1" x14ac:dyDescent="0.25">
      <c r="A96" s="109"/>
      <c r="B96" s="173"/>
      <c r="C96" s="1" t="s">
        <v>100</v>
      </c>
      <c r="D96" s="1" t="s">
        <v>64</v>
      </c>
      <c r="E96" s="69">
        <v>25.5</v>
      </c>
      <c r="F96" s="59">
        <v>25.5</v>
      </c>
      <c r="G96" s="69">
        <v>25.5</v>
      </c>
    </row>
    <row r="97" spans="1:10" ht="19.5" customHeight="1" x14ac:dyDescent="0.25">
      <c r="A97" s="109"/>
      <c r="B97" s="173"/>
      <c r="C97" s="1" t="s">
        <v>101</v>
      </c>
      <c r="D97" s="14"/>
      <c r="E97" s="69"/>
      <c r="F97" s="59"/>
      <c r="G97" s="69"/>
    </row>
    <row r="98" spans="1:10" ht="19.5" customHeight="1" x14ac:dyDescent="0.25">
      <c r="A98" s="109"/>
      <c r="B98" s="173"/>
      <c r="C98" s="1" t="s">
        <v>102</v>
      </c>
      <c r="D98" s="14" t="s">
        <v>76</v>
      </c>
      <c r="E98" s="69">
        <v>2.5</v>
      </c>
      <c r="F98" s="59">
        <v>2.5</v>
      </c>
      <c r="G98" s="69">
        <v>2.5</v>
      </c>
      <c r="J98" s="6"/>
    </row>
    <row r="99" spans="1:10" ht="19.5" customHeight="1" x14ac:dyDescent="0.25">
      <c r="A99" s="109"/>
      <c r="B99" s="173"/>
      <c r="C99" s="1" t="s">
        <v>103</v>
      </c>
      <c r="D99" s="14" t="s">
        <v>76</v>
      </c>
      <c r="E99" s="69">
        <v>24</v>
      </c>
      <c r="F99" s="59">
        <v>24</v>
      </c>
      <c r="G99" s="69">
        <v>24</v>
      </c>
      <c r="J99" s="6"/>
    </row>
    <row r="100" spans="1:10" ht="19.5" customHeight="1" x14ac:dyDescent="0.25">
      <c r="A100" s="109"/>
      <c r="B100" s="169"/>
      <c r="C100" s="1" t="s">
        <v>104</v>
      </c>
      <c r="D100" s="14" t="s">
        <v>76</v>
      </c>
      <c r="E100" s="69">
        <v>0</v>
      </c>
      <c r="F100" s="69">
        <v>0</v>
      </c>
      <c r="G100" s="69">
        <v>0</v>
      </c>
      <c r="J100" s="6"/>
    </row>
    <row r="101" spans="1:10" x14ac:dyDescent="0.25">
      <c r="A101" s="109"/>
      <c r="B101" s="101" t="s">
        <v>20</v>
      </c>
      <c r="C101" s="1" t="s">
        <v>105</v>
      </c>
      <c r="D101" s="14" t="s">
        <v>64</v>
      </c>
      <c r="E101" s="69">
        <v>1400</v>
      </c>
      <c r="F101" s="69">
        <v>1400</v>
      </c>
      <c r="G101" s="69">
        <v>1400</v>
      </c>
      <c r="J101" s="6"/>
    </row>
    <row r="102" spans="1:10" ht="45.75" customHeight="1" x14ac:dyDescent="0.25">
      <c r="A102" s="109"/>
      <c r="B102" s="101" t="s">
        <v>23</v>
      </c>
      <c r="C102" s="1" t="s">
        <v>243</v>
      </c>
      <c r="D102" s="14" t="s">
        <v>64</v>
      </c>
      <c r="E102" s="69">
        <f>E101/E98</f>
        <v>560</v>
      </c>
      <c r="F102" s="69">
        <f t="shared" ref="F102:G102" si="16">F101/F98</f>
        <v>560</v>
      </c>
      <c r="G102" s="69">
        <f t="shared" si="16"/>
        <v>560</v>
      </c>
      <c r="J102" s="6"/>
    </row>
    <row r="103" spans="1:10" ht="41.25" customHeight="1" x14ac:dyDescent="0.25">
      <c r="A103" s="110"/>
      <c r="B103" s="101" t="s">
        <v>21</v>
      </c>
      <c r="C103" s="1" t="s">
        <v>304</v>
      </c>
      <c r="D103" s="14" t="s">
        <v>106</v>
      </c>
      <c r="E103" s="69">
        <v>100</v>
      </c>
      <c r="F103" s="69">
        <v>100</v>
      </c>
      <c r="G103" s="69">
        <v>100</v>
      </c>
      <c r="J103" s="6"/>
    </row>
    <row r="104" spans="1:10" ht="29.25" customHeight="1" x14ac:dyDescent="0.25">
      <c r="A104" s="108" t="s">
        <v>296</v>
      </c>
      <c r="B104" s="14" t="s">
        <v>22</v>
      </c>
      <c r="C104" s="1" t="s">
        <v>172</v>
      </c>
      <c r="D104" s="14" t="s">
        <v>65</v>
      </c>
      <c r="E104" s="69">
        <f>Дод.2!G75*1000</f>
        <v>79200</v>
      </c>
      <c r="F104" s="69">
        <f>Дод.2!J75*1000</f>
        <v>0</v>
      </c>
      <c r="G104" s="69">
        <f>Дод.2!M75*1000</f>
        <v>0</v>
      </c>
      <c r="J104" s="6"/>
    </row>
    <row r="105" spans="1:10" ht="29.25" customHeight="1" x14ac:dyDescent="0.25">
      <c r="A105" s="109"/>
      <c r="B105" s="14" t="s">
        <v>20</v>
      </c>
      <c r="C105" s="1" t="s">
        <v>66</v>
      </c>
      <c r="D105" s="14" t="s">
        <v>64</v>
      </c>
      <c r="E105" s="69">
        <v>1</v>
      </c>
      <c r="F105" s="69"/>
      <c r="G105" s="69"/>
      <c r="J105" s="6"/>
    </row>
    <row r="106" spans="1:10" ht="29.25" customHeight="1" x14ac:dyDescent="0.25">
      <c r="A106" s="109"/>
      <c r="B106" s="14" t="s">
        <v>23</v>
      </c>
      <c r="C106" s="1" t="s">
        <v>292</v>
      </c>
      <c r="D106" s="14" t="s">
        <v>65</v>
      </c>
      <c r="E106" s="69">
        <f>E104/E105</f>
        <v>79200</v>
      </c>
      <c r="F106" s="69"/>
      <c r="G106" s="69"/>
      <c r="J106" s="6"/>
    </row>
    <row r="107" spans="1:10" ht="29.25" customHeight="1" x14ac:dyDescent="0.25">
      <c r="A107" s="110"/>
      <c r="B107" s="14" t="s">
        <v>21</v>
      </c>
      <c r="C107" s="1" t="s">
        <v>77</v>
      </c>
      <c r="D107" s="14" t="s">
        <v>67</v>
      </c>
      <c r="E107" s="69">
        <v>100</v>
      </c>
      <c r="F107" s="69"/>
      <c r="G107" s="69"/>
      <c r="J107" s="6"/>
    </row>
    <row r="108" spans="1:10" x14ac:dyDescent="0.25">
      <c r="A108" s="170" t="s">
        <v>158</v>
      </c>
      <c r="B108" s="170"/>
      <c r="C108" s="170"/>
      <c r="D108" s="170"/>
      <c r="E108" s="170"/>
      <c r="F108" s="170"/>
      <c r="G108" s="170"/>
    </row>
    <row r="109" spans="1:10" ht="42" customHeight="1" x14ac:dyDescent="0.25">
      <c r="A109" s="108" t="s">
        <v>73</v>
      </c>
      <c r="B109" s="14" t="s">
        <v>22</v>
      </c>
      <c r="C109" s="14" t="s">
        <v>314</v>
      </c>
      <c r="D109" s="14" t="s">
        <v>107</v>
      </c>
      <c r="E109" s="71">
        <f>Дод.2!G79*1000</f>
        <v>6632300</v>
      </c>
      <c r="F109" s="71">
        <f>Дод.2!J79*1000</f>
        <v>7455000</v>
      </c>
      <c r="G109" s="71">
        <f>Дод.2!M79*1000</f>
        <v>8036000</v>
      </c>
    </row>
    <row r="110" spans="1:10" x14ac:dyDescent="0.25">
      <c r="A110" s="109"/>
      <c r="B110" s="14" t="s">
        <v>20</v>
      </c>
      <c r="C110" s="1" t="s">
        <v>66</v>
      </c>
      <c r="D110" s="14" t="s">
        <v>64</v>
      </c>
      <c r="E110" s="69">
        <v>1</v>
      </c>
      <c r="F110" s="69">
        <v>1</v>
      </c>
      <c r="G110" s="69">
        <v>1</v>
      </c>
    </row>
    <row r="111" spans="1:10" ht="45" x14ac:dyDescent="0.25">
      <c r="A111" s="109"/>
      <c r="B111" s="14" t="s">
        <v>23</v>
      </c>
      <c r="C111" s="1" t="s">
        <v>312</v>
      </c>
      <c r="D111" s="14" t="s">
        <v>65</v>
      </c>
      <c r="E111" s="69">
        <f>E109/E110</f>
        <v>6632300</v>
      </c>
      <c r="F111" s="69">
        <f t="shared" ref="F111:G111" si="17">F109/F110</f>
        <v>7455000</v>
      </c>
      <c r="G111" s="69">
        <f t="shared" si="17"/>
        <v>8036000</v>
      </c>
    </row>
    <row r="112" spans="1:10" ht="45" x14ac:dyDescent="0.25">
      <c r="A112" s="109"/>
      <c r="B112" s="97" t="s">
        <v>21</v>
      </c>
      <c r="C112" s="1" t="s">
        <v>193</v>
      </c>
      <c r="D112" s="14" t="s">
        <v>67</v>
      </c>
      <c r="E112" s="69">
        <v>100</v>
      </c>
      <c r="F112" s="69">
        <v>100</v>
      </c>
      <c r="G112" s="69">
        <v>100</v>
      </c>
    </row>
    <row r="113" spans="1:7" x14ac:dyDescent="0.25">
      <c r="A113" s="182" t="s">
        <v>159</v>
      </c>
      <c r="B113" s="183"/>
      <c r="C113" s="183"/>
      <c r="D113" s="183"/>
      <c r="E113" s="183"/>
      <c r="F113" s="183"/>
      <c r="G113" s="184"/>
    </row>
    <row r="114" spans="1:7" ht="36.75" customHeight="1" x14ac:dyDescent="0.25">
      <c r="A114" s="108" t="s">
        <v>258</v>
      </c>
      <c r="B114" s="101" t="s">
        <v>22</v>
      </c>
      <c r="C114" s="1" t="s">
        <v>314</v>
      </c>
      <c r="D114" s="14" t="s">
        <v>65</v>
      </c>
      <c r="E114" s="71">
        <f>Дод.2!G83*1000</f>
        <v>1295800</v>
      </c>
      <c r="F114" s="71">
        <f>Дод.2!J83*1000</f>
        <v>1456000</v>
      </c>
      <c r="G114" s="71">
        <f>Дод.2!M83*1000</f>
        <v>1570000</v>
      </c>
    </row>
    <row r="115" spans="1:7" ht="18.75" customHeight="1" x14ac:dyDescent="0.25">
      <c r="A115" s="109"/>
      <c r="B115" s="101" t="s">
        <v>20</v>
      </c>
      <c r="C115" s="1" t="s">
        <v>66</v>
      </c>
      <c r="D115" s="14" t="s">
        <v>64</v>
      </c>
      <c r="E115" s="69">
        <v>1</v>
      </c>
      <c r="F115" s="69">
        <v>1</v>
      </c>
      <c r="G115" s="69">
        <v>1</v>
      </c>
    </row>
    <row r="116" spans="1:7" ht="46.5" customHeight="1" x14ac:dyDescent="0.25">
      <c r="A116" s="109"/>
      <c r="B116" s="101" t="s">
        <v>23</v>
      </c>
      <c r="C116" s="101" t="s">
        <v>312</v>
      </c>
      <c r="D116" s="14" t="s">
        <v>65</v>
      </c>
      <c r="E116" s="69">
        <f>E114/E115</f>
        <v>1295800</v>
      </c>
      <c r="F116" s="69">
        <f t="shared" ref="F116:G116" si="18">F114/F115</f>
        <v>1456000</v>
      </c>
      <c r="G116" s="69">
        <f t="shared" si="18"/>
        <v>1570000</v>
      </c>
    </row>
    <row r="117" spans="1:7" ht="45" customHeight="1" x14ac:dyDescent="0.25">
      <c r="A117" s="110"/>
      <c r="B117" s="98" t="s">
        <v>161</v>
      </c>
      <c r="C117" s="1" t="s">
        <v>193</v>
      </c>
      <c r="D117" s="14" t="s">
        <v>67</v>
      </c>
      <c r="E117" s="59">
        <v>100</v>
      </c>
      <c r="F117" s="69">
        <v>100</v>
      </c>
      <c r="G117" s="69">
        <v>100</v>
      </c>
    </row>
    <row r="118" spans="1:7" ht="17.25" customHeight="1" x14ac:dyDescent="0.25">
      <c r="A118" s="108" t="s">
        <v>275</v>
      </c>
      <c r="B118" s="168" t="s">
        <v>22</v>
      </c>
      <c r="C118" s="1" t="s">
        <v>63</v>
      </c>
      <c r="D118" s="14" t="s">
        <v>65</v>
      </c>
      <c r="E118" s="61">
        <f>Дод.2!G85*1000</f>
        <v>1710000</v>
      </c>
      <c r="F118" s="69">
        <v>0</v>
      </c>
      <c r="G118" s="69">
        <v>0</v>
      </c>
    </row>
    <row r="119" spans="1:7" ht="18.75" customHeight="1" x14ac:dyDescent="0.25">
      <c r="A119" s="109"/>
      <c r="B119" s="173"/>
      <c r="C119" s="1" t="s">
        <v>66</v>
      </c>
      <c r="D119" s="14" t="s">
        <v>64</v>
      </c>
      <c r="E119" s="59">
        <v>1</v>
      </c>
      <c r="F119" s="69"/>
      <c r="G119" s="69"/>
    </row>
    <row r="120" spans="1:7" ht="17.25" customHeight="1" x14ac:dyDescent="0.25">
      <c r="A120" s="109"/>
      <c r="B120" s="173"/>
      <c r="C120" s="1" t="s">
        <v>266</v>
      </c>
      <c r="D120" s="14" t="s">
        <v>64</v>
      </c>
      <c r="E120" s="62">
        <v>36.5</v>
      </c>
      <c r="F120" s="69"/>
      <c r="G120" s="69"/>
    </row>
    <row r="121" spans="1:7" ht="16.5" customHeight="1" x14ac:dyDescent="0.25">
      <c r="A121" s="109"/>
      <c r="B121" s="169"/>
      <c r="C121" s="1" t="s">
        <v>85</v>
      </c>
      <c r="D121" s="14" t="s">
        <v>64</v>
      </c>
      <c r="E121" s="62">
        <v>11.25</v>
      </c>
      <c r="F121" s="69"/>
      <c r="G121" s="69"/>
    </row>
    <row r="122" spans="1:7" ht="18.75" customHeight="1" x14ac:dyDescent="0.25">
      <c r="A122" s="109"/>
      <c r="B122" s="168" t="s">
        <v>20</v>
      </c>
      <c r="C122" s="1" t="s">
        <v>86</v>
      </c>
      <c r="D122" s="14" t="s">
        <v>64</v>
      </c>
      <c r="E122" s="59">
        <v>1612</v>
      </c>
      <c r="F122" s="69"/>
      <c r="G122" s="69"/>
    </row>
    <row r="123" spans="1:7" ht="19.5" customHeight="1" x14ac:dyDescent="0.25">
      <c r="A123" s="109"/>
      <c r="B123" s="169"/>
      <c r="C123" s="1" t="s">
        <v>267</v>
      </c>
      <c r="D123" s="14" t="s">
        <v>64</v>
      </c>
      <c r="E123" s="59">
        <v>403</v>
      </c>
      <c r="F123" s="69"/>
      <c r="G123" s="69"/>
    </row>
    <row r="124" spans="1:7" ht="30.75" customHeight="1" x14ac:dyDescent="0.25">
      <c r="A124" s="109"/>
      <c r="B124" s="168" t="s">
        <v>23</v>
      </c>
      <c r="C124" s="1" t="s">
        <v>268</v>
      </c>
      <c r="D124" s="14" t="s">
        <v>76</v>
      </c>
      <c r="E124" s="59">
        <v>36</v>
      </c>
      <c r="F124" s="69"/>
      <c r="G124" s="69"/>
    </row>
    <row r="125" spans="1:7" ht="30.75" customHeight="1" x14ac:dyDescent="0.25">
      <c r="A125" s="109"/>
      <c r="B125" s="173"/>
      <c r="C125" s="1" t="s">
        <v>269</v>
      </c>
      <c r="D125" s="14" t="s">
        <v>76</v>
      </c>
      <c r="E125" s="59">
        <v>143</v>
      </c>
      <c r="F125" s="69"/>
      <c r="G125" s="69"/>
    </row>
    <row r="126" spans="1:7" ht="45.75" customHeight="1" x14ac:dyDescent="0.25">
      <c r="A126" s="110"/>
      <c r="B126" s="169"/>
      <c r="C126" s="1" t="s">
        <v>270</v>
      </c>
      <c r="D126" s="14" t="s">
        <v>65</v>
      </c>
      <c r="E126" s="63">
        <v>1364.8</v>
      </c>
      <c r="F126" s="69"/>
      <c r="G126" s="69"/>
    </row>
    <row r="127" spans="1:7" ht="20.25" customHeight="1" x14ac:dyDescent="0.25">
      <c r="A127" s="170" t="s">
        <v>74</v>
      </c>
      <c r="B127" s="170"/>
      <c r="C127" s="170"/>
      <c r="D127" s="170"/>
      <c r="E127" s="170"/>
      <c r="F127" s="170"/>
      <c r="G127" s="170"/>
    </row>
    <row r="128" spans="1:7" ht="30.75" customHeight="1" x14ac:dyDescent="0.25">
      <c r="A128" s="180"/>
      <c r="B128" s="14" t="s">
        <v>20</v>
      </c>
      <c r="C128" s="101" t="s">
        <v>163</v>
      </c>
      <c r="D128" s="101" t="s">
        <v>76</v>
      </c>
      <c r="E128" s="69">
        <f>E135+E143+E147+E152</f>
        <v>21713</v>
      </c>
      <c r="F128" s="69">
        <f t="shared" ref="F128:G128" si="19">F135+F143+F147+F152</f>
        <v>22006</v>
      </c>
      <c r="G128" s="69">
        <f t="shared" si="19"/>
        <v>22189</v>
      </c>
    </row>
    <row r="129" spans="1:10" ht="33" customHeight="1" x14ac:dyDescent="0.25">
      <c r="A129" s="186"/>
      <c r="B129" s="101" t="s">
        <v>21</v>
      </c>
      <c r="C129" s="22" t="s">
        <v>165</v>
      </c>
      <c r="D129" s="101" t="s">
        <v>67</v>
      </c>
      <c r="E129" s="74">
        <f>28405300/17515300*100</f>
        <v>162.17421340199712</v>
      </c>
      <c r="F129" s="74">
        <f>31358000/28405300*100</f>
        <v>110.39489109426761</v>
      </c>
      <c r="G129" s="74">
        <f>33208400/31358000*100</f>
        <v>105.90088653613113</v>
      </c>
      <c r="H129" s="8">
        <f>E134+E142+E146+E149</f>
        <v>28405300</v>
      </c>
      <c r="I129" s="17">
        <f>F134+F142+F146+F149</f>
        <v>31358000</v>
      </c>
      <c r="J129" s="8">
        <f t="shared" ref="J129" si="20">G134+G142+G146+G149</f>
        <v>33208400</v>
      </c>
    </row>
    <row r="130" spans="1:10" ht="31.5" customHeight="1" x14ac:dyDescent="0.25">
      <c r="A130" s="186"/>
      <c r="B130" s="14" t="s">
        <v>20</v>
      </c>
      <c r="C130" s="101" t="s">
        <v>164</v>
      </c>
      <c r="D130" s="101" t="s">
        <v>76</v>
      </c>
      <c r="E130" s="69">
        <f>E139</f>
        <v>595</v>
      </c>
      <c r="F130" s="69">
        <f t="shared" ref="F130:G130" si="21">F139</f>
        <v>595</v>
      </c>
      <c r="G130" s="69">
        <f t="shared" si="21"/>
        <v>595</v>
      </c>
    </row>
    <row r="131" spans="1:10" ht="30" customHeight="1" x14ac:dyDescent="0.25">
      <c r="A131" s="181"/>
      <c r="B131" s="101" t="s">
        <v>21</v>
      </c>
      <c r="C131" s="22" t="s">
        <v>165</v>
      </c>
      <c r="D131" s="101" t="s">
        <v>67</v>
      </c>
      <c r="E131" s="70">
        <f>3000000/3300000*100</f>
        <v>90.909090909090907</v>
      </c>
      <c r="F131" s="70">
        <f>3312000/3000000*100</f>
        <v>110.4</v>
      </c>
      <c r="G131" s="70">
        <f>3508000/3312000*100</f>
        <v>105.91787439613528</v>
      </c>
      <c r="H131" s="8">
        <f>E138</f>
        <v>3000000</v>
      </c>
      <c r="I131" s="8">
        <f t="shared" ref="I131:J131" si="22">F138</f>
        <v>3312000</v>
      </c>
      <c r="J131" s="8">
        <f t="shared" si="22"/>
        <v>3508000</v>
      </c>
    </row>
    <row r="132" spans="1:10" ht="22.5" customHeight="1" x14ac:dyDescent="0.25">
      <c r="A132" s="170" t="s">
        <v>108</v>
      </c>
      <c r="B132" s="170"/>
      <c r="C132" s="170"/>
      <c r="D132" s="170"/>
      <c r="E132" s="68">
        <f>E134+E138+E142+E149+E146</f>
        <v>31405300</v>
      </c>
      <c r="F132" s="68">
        <f t="shared" ref="F132:G132" si="23">F134+F138+F142+F149+F146</f>
        <v>34670000</v>
      </c>
      <c r="G132" s="68">
        <f t="shared" si="23"/>
        <v>36716400</v>
      </c>
    </row>
    <row r="133" spans="1:10" ht="18" customHeight="1" x14ac:dyDescent="0.25">
      <c r="A133" s="182" t="s">
        <v>148</v>
      </c>
      <c r="B133" s="183"/>
      <c r="C133" s="183"/>
      <c r="D133" s="183"/>
      <c r="E133" s="183"/>
      <c r="F133" s="183"/>
      <c r="G133" s="184"/>
    </row>
    <row r="134" spans="1:10" ht="20.25" customHeight="1" x14ac:dyDescent="0.25">
      <c r="A134" s="108" t="s">
        <v>217</v>
      </c>
      <c r="B134" s="14" t="s">
        <v>22</v>
      </c>
      <c r="C134" s="1" t="s">
        <v>63</v>
      </c>
      <c r="D134" s="14"/>
      <c r="E134" s="72">
        <f>Дод.2!G94*1000</f>
        <v>15290000</v>
      </c>
      <c r="F134" s="71">
        <f>Дод.2!J94*1000</f>
        <v>16879000</v>
      </c>
      <c r="G134" s="71">
        <f>Дод.2!M94*1000</f>
        <v>17875000</v>
      </c>
    </row>
    <row r="135" spans="1:10" ht="49.5" customHeight="1" x14ac:dyDescent="0.25">
      <c r="A135" s="109"/>
      <c r="B135" s="14" t="s">
        <v>20</v>
      </c>
      <c r="C135" s="1" t="s">
        <v>109</v>
      </c>
      <c r="D135" s="14" t="s">
        <v>76</v>
      </c>
      <c r="E135" s="69">
        <f>47+12458+6199</f>
        <v>18704</v>
      </c>
      <c r="F135" s="69">
        <f>47+12458+6199</f>
        <v>18704</v>
      </c>
      <c r="G135" s="69">
        <f>47+12458+6199</f>
        <v>18704</v>
      </c>
      <c r="H135" s="55" t="s">
        <v>236</v>
      </c>
    </row>
    <row r="136" spans="1:10" ht="19.5" customHeight="1" x14ac:dyDescent="0.25">
      <c r="A136" s="109"/>
      <c r="B136" s="14" t="s">
        <v>23</v>
      </c>
      <c r="C136" s="2" t="s">
        <v>79</v>
      </c>
      <c r="D136" s="14" t="s">
        <v>65</v>
      </c>
      <c r="E136" s="69">
        <f>E134/E135</f>
        <v>817.47219846022244</v>
      </c>
      <c r="F136" s="69">
        <f t="shared" ref="F136:G136" si="24">F134/F135</f>
        <v>902.42728828058171</v>
      </c>
      <c r="G136" s="69">
        <f t="shared" si="24"/>
        <v>955.67792985457652</v>
      </c>
    </row>
    <row r="137" spans="1:10" ht="75" customHeight="1" x14ac:dyDescent="0.25">
      <c r="A137" s="110"/>
      <c r="B137" s="20" t="s">
        <v>21</v>
      </c>
      <c r="C137" s="1" t="s">
        <v>110</v>
      </c>
      <c r="D137" s="14" t="s">
        <v>67</v>
      </c>
      <c r="E137" s="69">
        <f>E134/14135500*100</f>
        <v>108.16738000070745</v>
      </c>
      <c r="F137" s="69">
        <f>F134/E134*100</f>
        <v>110.39241334205363</v>
      </c>
      <c r="G137" s="69">
        <f>G134/F134*100</f>
        <v>105.9008235085017</v>
      </c>
    </row>
    <row r="138" spans="1:10" ht="15" customHeight="1" x14ac:dyDescent="0.25">
      <c r="A138" s="171" t="s">
        <v>218</v>
      </c>
      <c r="B138" s="97" t="s">
        <v>22</v>
      </c>
      <c r="C138" s="1" t="s">
        <v>63</v>
      </c>
      <c r="D138" s="14" t="s">
        <v>65</v>
      </c>
      <c r="E138" s="71">
        <f>Дод.2!G98*1000</f>
        <v>3000000</v>
      </c>
      <c r="F138" s="71">
        <f>Дод.2!J98*1000</f>
        <v>3312000</v>
      </c>
      <c r="G138" s="71">
        <f>Дод.2!M98*1000</f>
        <v>3508000</v>
      </c>
    </row>
    <row r="139" spans="1:10" ht="60" x14ac:dyDescent="0.25">
      <c r="A139" s="171"/>
      <c r="B139" s="97" t="s">
        <v>20</v>
      </c>
      <c r="C139" s="1" t="s">
        <v>219</v>
      </c>
      <c r="D139" s="14" t="s">
        <v>76</v>
      </c>
      <c r="E139" s="69">
        <f>341+5+249</f>
        <v>595</v>
      </c>
      <c r="F139" s="59">
        <v>595</v>
      </c>
      <c r="G139" s="59">
        <v>595</v>
      </c>
      <c r="H139" s="55" t="s">
        <v>237</v>
      </c>
    </row>
    <row r="140" spans="1:10" ht="60" x14ac:dyDescent="0.25">
      <c r="A140" s="171"/>
      <c r="B140" s="97" t="s">
        <v>23</v>
      </c>
      <c r="C140" s="2" t="s">
        <v>220</v>
      </c>
      <c r="D140" s="14" t="s">
        <v>65</v>
      </c>
      <c r="E140" s="69">
        <f>E138/E139</f>
        <v>5042.0168067226887</v>
      </c>
      <c r="F140" s="69">
        <f t="shared" ref="F140:G140" si="25">F138/F139</f>
        <v>5566.3865546218485</v>
      </c>
      <c r="G140" s="69">
        <f t="shared" si="25"/>
        <v>5895.7983193277314</v>
      </c>
    </row>
    <row r="141" spans="1:10" ht="75" x14ac:dyDescent="0.25">
      <c r="A141" s="171"/>
      <c r="B141" s="14" t="s">
        <v>21</v>
      </c>
      <c r="C141" s="1" t="s">
        <v>111</v>
      </c>
      <c r="D141" s="14" t="s">
        <v>67</v>
      </c>
      <c r="E141" s="69">
        <v>100</v>
      </c>
      <c r="F141" s="69">
        <v>110.4</v>
      </c>
      <c r="G141" s="69">
        <v>105.9</v>
      </c>
    </row>
    <row r="142" spans="1:10" x14ac:dyDescent="0.25">
      <c r="A142" s="171" t="s">
        <v>221</v>
      </c>
      <c r="B142" s="12" t="s">
        <v>22</v>
      </c>
      <c r="C142" s="1" t="s">
        <v>63</v>
      </c>
      <c r="D142" s="14" t="s">
        <v>65</v>
      </c>
      <c r="E142" s="71">
        <f>Дод.2!G102*1000</f>
        <v>2815300</v>
      </c>
      <c r="F142" s="71">
        <f>Дод.2!J102*1000</f>
        <v>3108000</v>
      </c>
      <c r="G142" s="71">
        <f>Дод.2!M102*1000</f>
        <v>3291000</v>
      </c>
    </row>
    <row r="143" spans="1:10" ht="30" x14ac:dyDescent="0.25">
      <c r="A143" s="171"/>
      <c r="B143" s="12" t="s">
        <v>20</v>
      </c>
      <c r="C143" s="1" t="s">
        <v>112</v>
      </c>
      <c r="D143" s="14" t="s">
        <v>76</v>
      </c>
      <c r="E143" s="69">
        <v>588</v>
      </c>
      <c r="F143" s="69">
        <v>636</v>
      </c>
      <c r="G143" s="69">
        <v>665</v>
      </c>
      <c r="H143" s="55" t="s">
        <v>233</v>
      </c>
    </row>
    <row r="144" spans="1:10" ht="28.5" customHeight="1" x14ac:dyDescent="0.25">
      <c r="A144" s="171"/>
      <c r="B144" s="12" t="s">
        <v>23</v>
      </c>
      <c r="C144" s="2" t="s">
        <v>113</v>
      </c>
      <c r="D144" s="14" t="s">
        <v>65</v>
      </c>
      <c r="E144" s="69">
        <f>E142/E143</f>
        <v>4787.925170068027</v>
      </c>
      <c r="F144" s="69">
        <f t="shared" ref="F144:G144" si="26">F142/F143</f>
        <v>4886.7924528301883</v>
      </c>
      <c r="G144" s="69">
        <f t="shared" si="26"/>
        <v>4948.8721804511279</v>
      </c>
    </row>
    <row r="145" spans="1:8" ht="75" x14ac:dyDescent="0.25">
      <c r="A145" s="171"/>
      <c r="B145" s="12" t="s">
        <v>21</v>
      </c>
      <c r="C145" s="1" t="s">
        <v>114</v>
      </c>
      <c r="D145" s="14" t="s">
        <v>67</v>
      </c>
      <c r="E145" s="69">
        <v>100</v>
      </c>
      <c r="F145" s="69">
        <v>100</v>
      </c>
      <c r="G145" s="69">
        <v>100</v>
      </c>
    </row>
    <row r="146" spans="1:8" x14ac:dyDescent="0.25">
      <c r="A146" s="108" t="s">
        <v>274</v>
      </c>
      <c r="B146" s="12" t="s">
        <v>22</v>
      </c>
      <c r="C146" s="1" t="s">
        <v>63</v>
      </c>
      <c r="D146" s="14" t="s">
        <v>65</v>
      </c>
      <c r="E146" s="71">
        <f>Дод.2!G105*1000</f>
        <v>10000000</v>
      </c>
      <c r="F146" s="71">
        <f>Дод.2!J105*1000</f>
        <v>11040000</v>
      </c>
      <c r="G146" s="71">
        <f>Дод.2!M105*1000</f>
        <v>11691400</v>
      </c>
    </row>
    <row r="147" spans="1:8" ht="60" x14ac:dyDescent="0.25">
      <c r="A147" s="109"/>
      <c r="B147" s="12" t="s">
        <v>20</v>
      </c>
      <c r="C147" s="1" t="s">
        <v>249</v>
      </c>
      <c r="D147" s="14" t="s">
        <v>76</v>
      </c>
      <c r="E147" s="69">
        <v>2357</v>
      </c>
      <c r="F147" s="69">
        <v>2602</v>
      </c>
      <c r="G147" s="69">
        <v>2756</v>
      </c>
    </row>
    <row r="148" spans="1:8" ht="75" x14ac:dyDescent="0.25">
      <c r="A148" s="110"/>
      <c r="B148" s="12" t="s">
        <v>23</v>
      </c>
      <c r="C148" s="1" t="s">
        <v>277</v>
      </c>
      <c r="D148" s="14" t="s">
        <v>65</v>
      </c>
      <c r="E148" s="69">
        <f>E146/E147</f>
        <v>4242.6813746287653</v>
      </c>
      <c r="F148" s="69">
        <f t="shared" ref="F148:G148" si="27">F146/F147</f>
        <v>4242.8900845503458</v>
      </c>
      <c r="G148" s="69">
        <f t="shared" si="27"/>
        <v>4242.1625544267054</v>
      </c>
    </row>
    <row r="149" spans="1:8" ht="15" customHeight="1" x14ac:dyDescent="0.25">
      <c r="A149" s="108" t="s">
        <v>263</v>
      </c>
      <c r="B149" s="168" t="s">
        <v>22</v>
      </c>
      <c r="C149" s="1" t="s">
        <v>63</v>
      </c>
      <c r="D149" s="14" t="s">
        <v>65</v>
      </c>
      <c r="E149" s="71">
        <f>Дод.2!G107*1000</f>
        <v>300000</v>
      </c>
      <c r="F149" s="71">
        <f>Дод.2!J107*1000</f>
        <v>331000</v>
      </c>
      <c r="G149" s="71">
        <f>Дод.2!M107*1000</f>
        <v>351000</v>
      </c>
    </row>
    <row r="150" spans="1:8" ht="43.5" customHeight="1" x14ac:dyDescent="0.25">
      <c r="A150" s="109"/>
      <c r="B150" s="173"/>
      <c r="C150" s="1" t="s">
        <v>245</v>
      </c>
      <c r="D150" s="14" t="s">
        <v>65</v>
      </c>
      <c r="E150" s="69">
        <v>300000</v>
      </c>
      <c r="F150" s="69">
        <v>331000</v>
      </c>
      <c r="G150" s="69">
        <v>351000</v>
      </c>
      <c r="H150" s="102">
        <v>5</v>
      </c>
    </row>
    <row r="151" spans="1:8" ht="45.75" hidden="1" customHeight="1" x14ac:dyDescent="0.25">
      <c r="A151" s="109"/>
      <c r="B151" s="169"/>
      <c r="C151" s="1" t="s">
        <v>244</v>
      </c>
      <c r="D151" s="14" t="s">
        <v>65</v>
      </c>
      <c r="E151" s="69"/>
      <c r="F151" s="69"/>
      <c r="G151" s="69"/>
    </row>
    <row r="152" spans="1:8" ht="48" customHeight="1" x14ac:dyDescent="0.25">
      <c r="A152" s="109"/>
      <c r="B152" s="168" t="s">
        <v>20</v>
      </c>
      <c r="C152" s="1" t="s">
        <v>246</v>
      </c>
      <c r="D152" s="20" t="s">
        <v>76</v>
      </c>
      <c r="E152" s="69">
        <v>64</v>
      </c>
      <c r="F152" s="69">
        <v>64</v>
      </c>
      <c r="G152" s="69">
        <v>64</v>
      </c>
    </row>
    <row r="153" spans="1:8" ht="45" hidden="1" x14ac:dyDescent="0.25">
      <c r="A153" s="109"/>
      <c r="B153" s="173"/>
      <c r="C153" s="1" t="s">
        <v>247</v>
      </c>
      <c r="D153" s="14" t="s">
        <v>76</v>
      </c>
      <c r="E153" s="69"/>
      <c r="F153" s="69"/>
      <c r="G153" s="69"/>
    </row>
    <row r="154" spans="1:8" ht="33" customHeight="1" x14ac:dyDescent="0.25">
      <c r="A154" s="109"/>
      <c r="B154" s="108" t="s">
        <v>23</v>
      </c>
      <c r="C154" s="2" t="s">
        <v>115</v>
      </c>
      <c r="D154" s="14" t="s">
        <v>65</v>
      </c>
      <c r="E154" s="69">
        <f>E150/E152</f>
        <v>4687.5</v>
      </c>
      <c r="F154" s="69">
        <f t="shared" ref="F154:G154" si="28">F150/F152</f>
        <v>5171.875</v>
      </c>
      <c r="G154" s="69">
        <f t="shared" si="28"/>
        <v>5484.375</v>
      </c>
    </row>
    <row r="155" spans="1:8" ht="29.25" hidden="1" customHeight="1" x14ac:dyDescent="0.25">
      <c r="A155" s="109"/>
      <c r="B155" s="110"/>
      <c r="C155" s="2" t="s">
        <v>230</v>
      </c>
      <c r="D155" s="12" t="s">
        <v>65</v>
      </c>
      <c r="E155" s="69"/>
      <c r="F155" s="69"/>
      <c r="G155" s="69"/>
    </row>
    <row r="156" spans="1:8" ht="63" customHeight="1" x14ac:dyDescent="0.25">
      <c r="A156" s="109"/>
      <c r="B156" s="168" t="s">
        <v>21</v>
      </c>
      <c r="C156" s="2" t="s">
        <v>231</v>
      </c>
      <c r="D156" s="14" t="s">
        <v>67</v>
      </c>
      <c r="E156" s="69">
        <f>E150/300000*100</f>
        <v>100</v>
      </c>
      <c r="F156" s="69">
        <f>F150/E150*100</f>
        <v>110.33333333333333</v>
      </c>
      <c r="G156" s="69">
        <f>G150/F150*100</f>
        <v>106.04229607250755</v>
      </c>
    </row>
    <row r="157" spans="1:8" ht="62.25" hidden="1" customHeight="1" x14ac:dyDescent="0.25">
      <c r="A157" s="110"/>
      <c r="B157" s="169"/>
      <c r="C157" s="2" t="s">
        <v>232</v>
      </c>
      <c r="D157" s="12"/>
      <c r="E157" s="73"/>
      <c r="F157" s="69"/>
      <c r="G157" s="69"/>
    </row>
    <row r="158" spans="1:8" ht="20.25" customHeight="1" x14ac:dyDescent="0.25">
      <c r="A158" s="170" t="s">
        <v>117</v>
      </c>
      <c r="B158" s="170"/>
      <c r="C158" s="170"/>
      <c r="D158" s="170"/>
      <c r="E158" s="170"/>
      <c r="F158" s="170"/>
      <c r="G158" s="170"/>
    </row>
    <row r="159" spans="1:8" ht="20.25" customHeight="1" x14ac:dyDescent="0.25">
      <c r="A159" s="99"/>
      <c r="B159" s="14" t="s">
        <v>20</v>
      </c>
      <c r="C159" s="23" t="s">
        <v>66</v>
      </c>
      <c r="D159" s="23" t="s">
        <v>64</v>
      </c>
      <c r="E159" s="16">
        <v>2</v>
      </c>
      <c r="F159" s="16">
        <v>2</v>
      </c>
      <c r="G159" s="16">
        <v>2</v>
      </c>
    </row>
    <row r="160" spans="1:8" ht="28.5" customHeight="1" x14ac:dyDescent="0.25">
      <c r="A160" s="99"/>
      <c r="B160" s="101" t="s">
        <v>21</v>
      </c>
      <c r="C160" s="22" t="s">
        <v>165</v>
      </c>
      <c r="D160" s="23" t="s">
        <v>67</v>
      </c>
      <c r="E160" s="70">
        <f>E161/4113125*100</f>
        <v>118.06108494149825</v>
      </c>
      <c r="F160" s="70">
        <f>F161/E161*100</f>
        <v>90.588962108731465</v>
      </c>
      <c r="G160" s="70">
        <f>G161/F161*100</f>
        <v>100.65924073653103</v>
      </c>
    </row>
    <row r="161" spans="1:7" ht="18.75" customHeight="1" x14ac:dyDescent="0.25">
      <c r="A161" s="170" t="s">
        <v>116</v>
      </c>
      <c r="B161" s="170"/>
      <c r="C161" s="170"/>
      <c r="D161" s="170"/>
      <c r="E161" s="68">
        <f>E163+E175</f>
        <v>4856000</v>
      </c>
      <c r="F161" s="68">
        <f>F163</f>
        <v>4399000</v>
      </c>
      <c r="G161" s="68">
        <f>G163</f>
        <v>4428000</v>
      </c>
    </row>
    <row r="162" spans="1:7" ht="18.75" customHeight="1" x14ac:dyDescent="0.25">
      <c r="A162" s="182" t="s">
        <v>160</v>
      </c>
      <c r="B162" s="183"/>
      <c r="C162" s="183"/>
      <c r="D162" s="183"/>
      <c r="E162" s="183"/>
      <c r="F162" s="183"/>
      <c r="G162" s="184"/>
    </row>
    <row r="163" spans="1:7" ht="22.5" customHeight="1" x14ac:dyDescent="0.25">
      <c r="A163" s="108" t="s">
        <v>250</v>
      </c>
      <c r="B163" s="168" t="s">
        <v>22</v>
      </c>
      <c r="C163" s="1" t="s">
        <v>119</v>
      </c>
      <c r="D163" s="14" t="s">
        <v>65</v>
      </c>
      <c r="E163" s="71">
        <f>Дод.2!F113*1000</f>
        <v>4355300</v>
      </c>
      <c r="F163" s="71">
        <f>(Дод.2!J113+Дод.2!K113)*1000</f>
        <v>4399000</v>
      </c>
      <c r="G163" s="71">
        <f>(Дод.2!M113+Дод.2!N113)*1000</f>
        <v>4428000</v>
      </c>
    </row>
    <row r="164" spans="1:7" ht="15.75" customHeight="1" x14ac:dyDescent="0.25">
      <c r="A164" s="109"/>
      <c r="B164" s="173"/>
      <c r="C164" s="1" t="s">
        <v>118</v>
      </c>
      <c r="D164" s="14"/>
      <c r="E164" s="69">
        <v>2</v>
      </c>
      <c r="F164" s="59">
        <v>2</v>
      </c>
      <c r="G164" s="59">
        <v>2</v>
      </c>
    </row>
    <row r="165" spans="1:7" ht="15.75" customHeight="1" x14ac:dyDescent="0.25">
      <c r="A165" s="109"/>
      <c r="B165" s="173"/>
      <c r="C165" s="1" t="s">
        <v>123</v>
      </c>
      <c r="D165" s="14" t="s">
        <v>64</v>
      </c>
      <c r="E165" s="59">
        <f>E166+E167</f>
        <v>21</v>
      </c>
      <c r="F165" s="59">
        <f>F166+F167</f>
        <v>21</v>
      </c>
      <c r="G165" s="59">
        <f>G166+G167</f>
        <v>21</v>
      </c>
    </row>
    <row r="166" spans="1:7" ht="62.25" customHeight="1" x14ac:dyDescent="0.25">
      <c r="A166" s="109"/>
      <c r="B166" s="173"/>
      <c r="C166" s="1" t="s">
        <v>223</v>
      </c>
      <c r="D166" s="14" t="s">
        <v>64</v>
      </c>
      <c r="E166" s="59">
        <v>10</v>
      </c>
      <c r="F166" s="59">
        <v>10</v>
      </c>
      <c r="G166" s="59">
        <v>10</v>
      </c>
    </row>
    <row r="167" spans="1:7" ht="51" customHeight="1" x14ac:dyDescent="0.25">
      <c r="A167" s="109"/>
      <c r="B167" s="169"/>
      <c r="C167" s="1" t="s">
        <v>222</v>
      </c>
      <c r="D167" s="14" t="s">
        <v>64</v>
      </c>
      <c r="E167" s="59">
        <v>11</v>
      </c>
      <c r="F167" s="59">
        <v>11</v>
      </c>
      <c r="G167" s="59">
        <v>11</v>
      </c>
    </row>
    <row r="168" spans="1:7" ht="60" x14ac:dyDescent="0.25">
      <c r="A168" s="109"/>
      <c r="B168" s="174" t="s">
        <v>20</v>
      </c>
      <c r="C168" s="1" t="s">
        <v>224</v>
      </c>
      <c r="D168" s="14" t="s">
        <v>64</v>
      </c>
      <c r="E168" s="59">
        <v>9</v>
      </c>
      <c r="F168" s="59">
        <v>9</v>
      </c>
      <c r="G168" s="59">
        <v>9</v>
      </c>
    </row>
    <row r="169" spans="1:7" ht="31.5" customHeight="1" x14ac:dyDescent="0.25">
      <c r="A169" s="109"/>
      <c r="B169" s="174"/>
      <c r="C169" s="1" t="s">
        <v>122</v>
      </c>
      <c r="D169" s="14" t="s">
        <v>64</v>
      </c>
      <c r="E169" s="59">
        <v>800</v>
      </c>
      <c r="F169" s="59">
        <v>800</v>
      </c>
      <c r="G169" s="59">
        <v>800</v>
      </c>
    </row>
    <row r="170" spans="1:7" x14ac:dyDescent="0.25">
      <c r="A170" s="109"/>
      <c r="B170" s="174"/>
      <c r="C170" s="1" t="s">
        <v>121</v>
      </c>
      <c r="D170" s="14" t="s">
        <v>64</v>
      </c>
      <c r="E170" s="59">
        <v>37</v>
      </c>
      <c r="F170" s="59">
        <v>37</v>
      </c>
      <c r="G170" s="59">
        <v>37</v>
      </c>
    </row>
    <row r="171" spans="1:7" ht="82.5" customHeight="1" x14ac:dyDescent="0.25">
      <c r="A171" s="109"/>
      <c r="B171" s="174"/>
      <c r="C171" s="1" t="s">
        <v>226</v>
      </c>
      <c r="D171" s="14" t="s">
        <v>64</v>
      </c>
      <c r="E171" s="59">
        <v>220</v>
      </c>
      <c r="F171" s="59">
        <v>220</v>
      </c>
      <c r="G171" s="59">
        <v>220</v>
      </c>
    </row>
    <row r="172" spans="1:7" ht="60" x14ac:dyDescent="0.25">
      <c r="A172" s="109"/>
      <c r="B172" s="108" t="s">
        <v>23</v>
      </c>
      <c r="C172" s="1" t="s">
        <v>225</v>
      </c>
      <c r="D172" s="14" t="s">
        <v>64</v>
      </c>
      <c r="E172" s="69">
        <v>80</v>
      </c>
      <c r="F172" s="69">
        <v>80</v>
      </c>
      <c r="G172" s="69">
        <v>80</v>
      </c>
    </row>
    <row r="173" spans="1:7" ht="45" x14ac:dyDescent="0.25">
      <c r="A173" s="109"/>
      <c r="B173" s="109"/>
      <c r="C173" s="1" t="s">
        <v>120</v>
      </c>
      <c r="D173" s="14" t="s">
        <v>64</v>
      </c>
      <c r="E173" s="69">
        <v>4</v>
      </c>
      <c r="F173" s="69">
        <v>4</v>
      </c>
      <c r="G173" s="69">
        <v>4</v>
      </c>
    </row>
    <row r="174" spans="1:7" ht="75" x14ac:dyDescent="0.25">
      <c r="A174" s="110"/>
      <c r="B174" s="110"/>
      <c r="C174" s="1" t="s">
        <v>227</v>
      </c>
      <c r="D174" s="14" t="s">
        <v>64</v>
      </c>
      <c r="E174" s="69">
        <v>20</v>
      </c>
      <c r="F174" s="69">
        <v>20</v>
      </c>
      <c r="G174" s="69">
        <v>20</v>
      </c>
    </row>
    <row r="175" spans="1:7" ht="39.75" customHeight="1" x14ac:dyDescent="0.25">
      <c r="A175" s="108" t="s">
        <v>290</v>
      </c>
      <c r="B175" s="14" t="s">
        <v>22</v>
      </c>
      <c r="C175" s="14" t="s">
        <v>291</v>
      </c>
      <c r="D175" s="14" t="s">
        <v>65</v>
      </c>
      <c r="E175" s="69">
        <f>Дод.2!H115*1000</f>
        <v>500700</v>
      </c>
      <c r="F175" s="69">
        <f>Дод.2!K115*1000</f>
        <v>0</v>
      </c>
      <c r="G175" s="69">
        <f>Дод.2!N115*1000</f>
        <v>0</v>
      </c>
    </row>
    <row r="176" spans="1:7" ht="30" customHeight="1" x14ac:dyDescent="0.25">
      <c r="A176" s="109"/>
      <c r="B176" s="14" t="s">
        <v>20</v>
      </c>
      <c r="C176" s="14" t="s">
        <v>66</v>
      </c>
      <c r="D176" s="14" t="s">
        <v>64</v>
      </c>
      <c r="E176" s="69">
        <v>10</v>
      </c>
      <c r="F176" s="69"/>
      <c r="G176" s="69"/>
    </row>
    <row r="177" spans="1:8" ht="36.75" customHeight="1" x14ac:dyDescent="0.25">
      <c r="A177" s="110"/>
      <c r="B177" s="14" t="s">
        <v>23</v>
      </c>
      <c r="C177" s="14" t="s">
        <v>315</v>
      </c>
      <c r="D177" s="14" t="s">
        <v>65</v>
      </c>
      <c r="E177" s="69">
        <f>E175/E176</f>
        <v>50070</v>
      </c>
      <c r="F177" s="69"/>
      <c r="G177" s="69"/>
    </row>
    <row r="178" spans="1:8" ht="18.75" customHeight="1" x14ac:dyDescent="0.25">
      <c r="A178" s="170" t="s">
        <v>126</v>
      </c>
      <c r="B178" s="170"/>
      <c r="C178" s="170"/>
      <c r="D178" s="170"/>
      <c r="E178" s="170"/>
      <c r="F178" s="170"/>
      <c r="G178" s="170"/>
    </row>
    <row r="179" spans="1:8" ht="15.75" customHeight="1" x14ac:dyDescent="0.25">
      <c r="A179" s="99"/>
      <c r="B179" s="14" t="s">
        <v>20</v>
      </c>
      <c r="C179" s="101" t="s">
        <v>66</v>
      </c>
      <c r="D179" s="23" t="s">
        <v>64</v>
      </c>
      <c r="E179" s="16">
        <v>1</v>
      </c>
      <c r="F179" s="16">
        <v>3</v>
      </c>
      <c r="G179" s="16">
        <v>4</v>
      </c>
    </row>
    <row r="180" spans="1:8" ht="36" customHeight="1" x14ac:dyDescent="0.25">
      <c r="A180" s="99"/>
      <c r="B180" s="101" t="s">
        <v>21</v>
      </c>
      <c r="C180" s="22" t="s">
        <v>165</v>
      </c>
      <c r="D180" s="23" t="s">
        <v>67</v>
      </c>
      <c r="E180" s="75">
        <f>E181/126691900*100</f>
        <v>10.959027372704965</v>
      </c>
      <c r="F180" s="75">
        <f>F181/E181*100</f>
        <v>144.04863081776406</v>
      </c>
      <c r="G180" s="75">
        <f>G181/F181*100</f>
        <v>125</v>
      </c>
    </row>
    <row r="181" spans="1:8" ht="20.25" customHeight="1" x14ac:dyDescent="0.25">
      <c r="A181" s="170" t="s">
        <v>125</v>
      </c>
      <c r="B181" s="170"/>
      <c r="C181" s="170"/>
      <c r="D181" s="170"/>
      <c r="E181" s="68">
        <f>E183+E186</f>
        <v>13884200</v>
      </c>
      <c r="F181" s="68">
        <f>F183+F186</f>
        <v>20000000</v>
      </c>
      <c r="G181" s="68">
        <f>G183+G186</f>
        <v>25000000</v>
      </c>
    </row>
    <row r="182" spans="1:8" x14ac:dyDescent="0.25">
      <c r="A182" s="170" t="s">
        <v>149</v>
      </c>
      <c r="B182" s="170"/>
      <c r="C182" s="170"/>
      <c r="D182" s="170"/>
      <c r="E182" s="170"/>
      <c r="F182" s="170"/>
      <c r="G182" s="170"/>
    </row>
    <row r="183" spans="1:8" ht="30" hidden="1" x14ac:dyDescent="0.25">
      <c r="A183" s="108" t="s">
        <v>228</v>
      </c>
      <c r="B183" s="101" t="s">
        <v>22</v>
      </c>
      <c r="C183" s="1" t="s">
        <v>127</v>
      </c>
      <c r="D183" s="14" t="s">
        <v>65</v>
      </c>
      <c r="E183" s="15">
        <f>Дод.2!H121*1000</f>
        <v>0</v>
      </c>
      <c r="F183" s="15">
        <f>Дод.2!K121*1000</f>
        <v>0</v>
      </c>
      <c r="G183" s="15">
        <f>Дод.2!N121*1000</f>
        <v>0</v>
      </c>
    </row>
    <row r="184" spans="1:8" ht="20.25" hidden="1" customHeight="1" x14ac:dyDescent="0.25">
      <c r="A184" s="109"/>
      <c r="B184" s="101" t="s">
        <v>20</v>
      </c>
      <c r="C184" s="101" t="s">
        <v>128</v>
      </c>
      <c r="D184" s="14" t="s">
        <v>64</v>
      </c>
      <c r="E184" s="100"/>
      <c r="F184" s="100"/>
      <c r="G184" s="100"/>
    </row>
    <row r="185" spans="1:8" ht="30" hidden="1" x14ac:dyDescent="0.25">
      <c r="A185" s="109"/>
      <c r="B185" s="101" t="s">
        <v>23</v>
      </c>
      <c r="C185" s="2" t="s">
        <v>124</v>
      </c>
      <c r="D185" s="14" t="s">
        <v>65</v>
      </c>
      <c r="E185" s="60"/>
      <c r="F185" s="60"/>
      <c r="G185" s="60"/>
    </row>
    <row r="186" spans="1:8" ht="15" customHeight="1" x14ac:dyDescent="0.25">
      <c r="A186" s="108" t="s">
        <v>316</v>
      </c>
      <c r="B186" s="168" t="s">
        <v>22</v>
      </c>
      <c r="C186" s="77" t="s">
        <v>129</v>
      </c>
      <c r="D186" s="14"/>
      <c r="E186" s="71">
        <f>Дод.2!H124*1000</f>
        <v>13884200</v>
      </c>
      <c r="F186" s="71">
        <f>Дод.2!K124*1000</f>
        <v>20000000</v>
      </c>
      <c r="G186" s="71">
        <f>Дод.2!N124*1000</f>
        <v>25000000</v>
      </c>
      <c r="H186" s="19"/>
    </row>
    <row r="187" spans="1:8" ht="30" x14ac:dyDescent="0.25">
      <c r="A187" s="109"/>
      <c r="B187" s="173"/>
      <c r="C187" s="1" t="s">
        <v>131</v>
      </c>
      <c r="D187" s="14" t="s">
        <v>65</v>
      </c>
      <c r="E187" s="69">
        <v>7967000</v>
      </c>
      <c r="F187" s="59">
        <v>20000000</v>
      </c>
      <c r="G187" s="69">
        <v>25000000</v>
      </c>
    </row>
    <row r="188" spans="1:8" ht="15" hidden="1" customHeight="1" x14ac:dyDescent="0.25">
      <c r="A188" s="109"/>
      <c r="B188" s="169"/>
      <c r="C188" s="1" t="s">
        <v>130</v>
      </c>
      <c r="D188" s="14" t="s">
        <v>65</v>
      </c>
      <c r="E188" s="69"/>
      <c r="F188" s="59"/>
      <c r="G188" s="69"/>
    </row>
    <row r="189" spans="1:8" ht="45" x14ac:dyDescent="0.25">
      <c r="A189" s="109"/>
      <c r="B189" s="168" t="s">
        <v>20</v>
      </c>
      <c r="C189" s="1" t="s">
        <v>132</v>
      </c>
      <c r="D189" s="14" t="s">
        <v>64</v>
      </c>
      <c r="E189" s="69">
        <v>4</v>
      </c>
      <c r="F189" s="69">
        <v>1</v>
      </c>
      <c r="G189" s="69">
        <v>1</v>
      </c>
    </row>
    <row r="190" spans="1:8" ht="30" hidden="1" customHeight="1" x14ac:dyDescent="0.25">
      <c r="A190" s="109"/>
      <c r="B190" s="169"/>
      <c r="C190" s="1" t="s">
        <v>135</v>
      </c>
      <c r="D190" s="14" t="s">
        <v>64</v>
      </c>
      <c r="E190" s="69"/>
      <c r="F190" s="69"/>
      <c r="G190" s="69"/>
    </row>
    <row r="191" spans="1:8" ht="45" x14ac:dyDescent="0.25">
      <c r="A191" s="110"/>
      <c r="B191" s="14" t="s">
        <v>23</v>
      </c>
      <c r="C191" s="1" t="s">
        <v>134</v>
      </c>
      <c r="D191" s="14" t="s">
        <v>65</v>
      </c>
      <c r="E191" s="69">
        <f>E186/E189</f>
        <v>3471050</v>
      </c>
      <c r="F191" s="69">
        <f t="shared" ref="F191:G191" si="29">F186/F189</f>
        <v>20000000</v>
      </c>
      <c r="G191" s="69">
        <f t="shared" si="29"/>
        <v>25000000</v>
      </c>
    </row>
    <row r="192" spans="1:8" ht="26.25" hidden="1" customHeight="1" x14ac:dyDescent="0.25">
      <c r="A192" s="14"/>
      <c r="B192" s="78"/>
      <c r="C192" s="1" t="s">
        <v>133</v>
      </c>
      <c r="D192" s="14" t="s">
        <v>65</v>
      </c>
      <c r="E192" s="69"/>
      <c r="F192" s="69"/>
      <c r="G192" s="69"/>
    </row>
    <row r="194" spans="1:7" ht="35.25" customHeight="1" x14ac:dyDescent="0.3">
      <c r="A194" s="7" t="s">
        <v>170</v>
      </c>
      <c r="B194" s="7"/>
      <c r="C194" s="7"/>
      <c r="D194" s="118" t="s">
        <v>171</v>
      </c>
      <c r="E194" s="118"/>
      <c r="F194" s="118"/>
      <c r="G194" s="7"/>
    </row>
    <row r="195" spans="1:7" ht="18.75" x14ac:dyDescent="0.3">
      <c r="A195" s="7" t="s">
        <v>156</v>
      </c>
      <c r="B195" s="7"/>
      <c r="C195" s="7"/>
      <c r="D195" s="7"/>
      <c r="E195" s="7"/>
      <c r="F195" s="7"/>
      <c r="G195" s="7"/>
    </row>
    <row r="196" spans="1:7" ht="26.25" customHeight="1" x14ac:dyDescent="0.3">
      <c r="A196" s="7"/>
      <c r="B196" s="7"/>
      <c r="C196" s="7"/>
      <c r="D196" s="7"/>
      <c r="E196" s="7"/>
      <c r="F196" s="7"/>
      <c r="G196" s="7"/>
    </row>
  </sheetData>
  <mergeCells count="88">
    <mergeCell ref="A138:A141"/>
    <mergeCell ref="B95:B100"/>
    <mergeCell ref="B69:B70"/>
    <mergeCell ref="A134:A137"/>
    <mergeCell ref="A118:A126"/>
    <mergeCell ref="A74:A81"/>
    <mergeCell ref="A104:A107"/>
    <mergeCell ref="A68:A73"/>
    <mergeCell ref="A95:A103"/>
    <mergeCell ref="A83:A86"/>
    <mergeCell ref="B78:B79"/>
    <mergeCell ref="B80:B81"/>
    <mergeCell ref="A108:G108"/>
    <mergeCell ref="B118:B121"/>
    <mergeCell ref="D4:G4"/>
    <mergeCell ref="A127:G127"/>
    <mergeCell ref="A128:A131"/>
    <mergeCell ref="A133:G133"/>
    <mergeCell ref="A132:D132"/>
    <mergeCell ref="A114:A117"/>
    <mergeCell ref="B122:B123"/>
    <mergeCell ref="B124:B126"/>
    <mergeCell ref="D10:D11"/>
    <mergeCell ref="A18:G18"/>
    <mergeCell ref="A21:D21"/>
    <mergeCell ref="B10:B11"/>
    <mergeCell ref="A23:A26"/>
    <mergeCell ref="A31:A38"/>
    <mergeCell ref="A10:A11"/>
    <mergeCell ref="B92:B93"/>
    <mergeCell ref="D194:F194"/>
    <mergeCell ref="A146:A148"/>
    <mergeCell ref="B71:B72"/>
    <mergeCell ref="B189:B190"/>
    <mergeCell ref="A186:A191"/>
    <mergeCell ref="B172:B174"/>
    <mergeCell ref="A163:A174"/>
    <mergeCell ref="A162:G162"/>
    <mergeCell ref="B168:B171"/>
    <mergeCell ref="B163:B167"/>
    <mergeCell ref="A158:G158"/>
    <mergeCell ref="A161:D161"/>
    <mergeCell ref="A113:G113"/>
    <mergeCell ref="A87:A90"/>
    <mergeCell ref="A91:A94"/>
    <mergeCell ref="A109:A112"/>
    <mergeCell ref="L9:N9"/>
    <mergeCell ref="E10:G10"/>
    <mergeCell ref="A47:G47"/>
    <mergeCell ref="A52:A55"/>
    <mergeCell ref="A56:A59"/>
    <mergeCell ref="A48:A51"/>
    <mergeCell ref="B31:B33"/>
    <mergeCell ref="A19:A20"/>
    <mergeCell ref="A13:A16"/>
    <mergeCell ref="A22:G22"/>
    <mergeCell ref="A27:A30"/>
    <mergeCell ref="A39:A46"/>
    <mergeCell ref="A9:F9"/>
    <mergeCell ref="B39:B41"/>
    <mergeCell ref="B42:B43"/>
    <mergeCell ref="B36:B37"/>
    <mergeCell ref="B186:B188"/>
    <mergeCell ref="A182:G182"/>
    <mergeCell ref="A183:A185"/>
    <mergeCell ref="A181:D181"/>
    <mergeCell ref="B154:B155"/>
    <mergeCell ref="A149:A157"/>
    <mergeCell ref="B156:B157"/>
    <mergeCell ref="B152:B153"/>
    <mergeCell ref="B149:B151"/>
    <mergeCell ref="A175:A177"/>
    <mergeCell ref="D1:G1"/>
    <mergeCell ref="B34:B35"/>
    <mergeCell ref="C10:C11"/>
    <mergeCell ref="D2:G2"/>
    <mergeCell ref="A178:G178"/>
    <mergeCell ref="A142:A145"/>
    <mergeCell ref="D3:G3"/>
    <mergeCell ref="D5:G5"/>
    <mergeCell ref="A7:G7"/>
    <mergeCell ref="B74:B77"/>
    <mergeCell ref="B44:B45"/>
    <mergeCell ref="A60:A67"/>
    <mergeCell ref="B60:B62"/>
    <mergeCell ref="B63:B64"/>
    <mergeCell ref="B65:B66"/>
    <mergeCell ref="A8:G8"/>
  </mergeCells>
  <pageMargins left="0.78740157480314965" right="0.78740157480314965" top="1.1811023622047245" bottom="0.39370078740157483" header="0.31496062992125984" footer="0.31496062992125984"/>
  <pageSetup paperSize="9" scale="95" orientation="landscape" r:id="rId1"/>
  <rowBreaks count="11" manualBreakCount="11">
    <brk id="22" max="6" man="1"/>
    <brk id="33" max="6" man="1"/>
    <brk id="43" max="6" man="1"/>
    <brk id="54" max="6" man="1"/>
    <brk id="69" max="6" man="1"/>
    <brk id="82" max="6" man="1"/>
    <brk id="103" max="6" man="1"/>
    <brk id="117" max="6" man="1"/>
    <brk id="133" max="6" man="1"/>
    <brk id="144" max="6" man="1"/>
    <brk id="1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Дод.2</vt:lpstr>
      <vt:lpstr>Дод.3</vt:lpstr>
      <vt:lpstr>Дод.2!Заголовки_для_печати</vt:lpstr>
      <vt:lpstr>Дод.3!Заголовки_для_печати</vt:lpstr>
      <vt:lpstr>Дод.2!Область_печати</vt:lpstr>
      <vt:lpstr>Дод.3!Область_печати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2025-04-23T12:47:06Z</dcterms:modified>
</cp:coreProperties>
</file>