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n2-fs2\dfei\Budg\2025\Бюджет\1 Рішення\Бюджет + зміни\Зміни\05 Травень\Нові\Наказ\"/>
    </mc:Choice>
  </mc:AlternateContent>
  <bookViews>
    <workbookView xWindow="0" yWindow="0" windowWidth="28800" windowHeight="12345" tabRatio="261" activeTab="1"/>
  </bookViews>
  <sheets>
    <sheet name="дод 3" sheetId="1" r:id="rId1"/>
    <sheet name="дод 7" sheetId="3" r:id="rId2"/>
  </sheets>
  <definedNames>
    <definedName name="_xlnm.Print_Titles" localSheetId="0">'дод 3'!$12:$14</definedName>
    <definedName name="_xlnm.Print_Titles" localSheetId="1">'дод 7'!$13:$15</definedName>
    <definedName name="_xlnm.Print_Area" localSheetId="0">'дод 3'!$A$1:$Q$278</definedName>
    <definedName name="_xlnm.Print_Area" localSheetId="1">'дод 7'!$A$1:$P$221</definedName>
  </definedNames>
  <calcPr calcId="162913"/>
</workbook>
</file>

<file path=xl/calcChain.xml><?xml version="1.0" encoding="utf-8"?>
<calcChain xmlns="http://schemas.openxmlformats.org/spreadsheetml/2006/main">
  <c r="O58" i="1" l="1"/>
  <c r="K58" i="1"/>
  <c r="E265" i="1"/>
  <c r="F69" i="1" l="1"/>
  <c r="O102" i="1" l="1"/>
  <c r="K102" i="1"/>
  <c r="F55" i="1" l="1"/>
  <c r="G55" i="1"/>
  <c r="H55" i="1"/>
  <c r="I55" i="1"/>
  <c r="J55" i="1"/>
  <c r="K55" i="1"/>
  <c r="L55" i="1"/>
  <c r="M55" i="1"/>
  <c r="N55" i="1"/>
  <c r="O55" i="1"/>
  <c r="P55" i="1"/>
  <c r="E55" i="1"/>
  <c r="G69" i="1"/>
  <c r="G72" i="1"/>
  <c r="F72" i="1"/>
  <c r="E71" i="1"/>
  <c r="F148" i="1" l="1"/>
  <c r="H39" i="1" l="1"/>
  <c r="F31" i="1"/>
  <c r="F27" i="1"/>
  <c r="O225" i="1"/>
  <c r="K225" i="1"/>
  <c r="F184" i="1"/>
  <c r="F149" i="1"/>
  <c r="F212" i="3"/>
  <c r="G212" i="3"/>
  <c r="H212" i="3"/>
  <c r="J212" i="3"/>
  <c r="K212" i="3"/>
  <c r="L212" i="3"/>
  <c r="M212" i="3"/>
  <c r="N212" i="3"/>
  <c r="G106" i="1"/>
  <c r="H106" i="1"/>
  <c r="I106" i="1"/>
  <c r="L106" i="1"/>
  <c r="M106" i="1"/>
  <c r="N106" i="1"/>
  <c r="J119" i="1"/>
  <c r="E119" i="1"/>
  <c r="C119" i="1"/>
  <c r="D119" i="1"/>
  <c r="B119" i="1"/>
  <c r="F109" i="1"/>
  <c r="F101" i="1"/>
  <c r="O88" i="1"/>
  <c r="K88" i="1"/>
  <c r="H40" i="1"/>
  <c r="F40" i="1"/>
  <c r="F29" i="1"/>
  <c r="F28" i="1"/>
  <c r="P119" i="1" l="1"/>
  <c r="K194" i="1"/>
  <c r="O194" i="1"/>
  <c r="G74" i="1" l="1"/>
  <c r="F74" i="1"/>
  <c r="G18" i="1" l="1"/>
  <c r="O223" i="1" l="1"/>
  <c r="K223" i="1"/>
  <c r="E171" i="3" l="1"/>
  <c r="F171" i="3"/>
  <c r="G171" i="3"/>
  <c r="H171" i="3"/>
  <c r="J171" i="3"/>
  <c r="K171" i="3"/>
  <c r="L171" i="3"/>
  <c r="M171" i="3"/>
  <c r="N171" i="3"/>
  <c r="M171" i="1"/>
  <c r="N171" i="1"/>
  <c r="J195" i="1"/>
  <c r="I171" i="3" s="1"/>
  <c r="E195" i="1"/>
  <c r="P195" i="1" s="1"/>
  <c r="O171" i="3" s="1"/>
  <c r="K109" i="1"/>
  <c r="O109" i="1"/>
  <c r="D171" i="3" l="1"/>
  <c r="F153" i="3"/>
  <c r="G153" i="3"/>
  <c r="H153" i="3"/>
  <c r="K153" i="3"/>
  <c r="L153" i="3"/>
  <c r="M153" i="3"/>
  <c r="F210" i="1"/>
  <c r="G210" i="1"/>
  <c r="H210" i="1"/>
  <c r="I210" i="1"/>
  <c r="L210" i="1"/>
  <c r="M210" i="1"/>
  <c r="N210" i="1"/>
  <c r="E156" i="3"/>
  <c r="F156" i="3"/>
  <c r="G156" i="3"/>
  <c r="H156" i="3"/>
  <c r="J156" i="3"/>
  <c r="K156" i="3"/>
  <c r="L156" i="3"/>
  <c r="M156" i="3"/>
  <c r="D156" i="3"/>
  <c r="F212" i="1"/>
  <c r="G212" i="1"/>
  <c r="H212" i="1"/>
  <c r="I212" i="1"/>
  <c r="L212" i="1"/>
  <c r="M212" i="1"/>
  <c r="N212" i="1"/>
  <c r="O231" i="1"/>
  <c r="J231" i="1" s="1"/>
  <c r="P231" i="1" s="1"/>
  <c r="O156" i="3" s="1"/>
  <c r="O230" i="1"/>
  <c r="J230" i="1" s="1"/>
  <c r="P230" i="1" s="1"/>
  <c r="K231" i="1"/>
  <c r="K230" i="1"/>
  <c r="E230" i="1"/>
  <c r="E231" i="1"/>
  <c r="C230" i="1"/>
  <c r="D230" i="1"/>
  <c r="B230" i="1"/>
  <c r="O224" i="1"/>
  <c r="N74" i="3" s="1"/>
  <c r="N26" i="3" s="1"/>
  <c r="K224" i="1"/>
  <c r="J74" i="3" s="1"/>
  <c r="J26" i="3" s="1"/>
  <c r="E74" i="3"/>
  <c r="E26" i="3" s="1"/>
  <c r="F74" i="3"/>
  <c r="F26" i="3" s="1"/>
  <c r="G74" i="3"/>
  <c r="G26" i="3" s="1"/>
  <c r="H74" i="3"/>
  <c r="H26" i="3" s="1"/>
  <c r="K74" i="3"/>
  <c r="K26" i="3" s="1"/>
  <c r="L74" i="3"/>
  <c r="L26" i="3" s="1"/>
  <c r="M74" i="3"/>
  <c r="M26" i="3" s="1"/>
  <c r="D212" i="1"/>
  <c r="E224" i="1"/>
  <c r="D74" i="3" s="1"/>
  <c r="D26" i="3" s="1"/>
  <c r="C26" i="3"/>
  <c r="F173" i="1"/>
  <c r="G173" i="1"/>
  <c r="H173" i="1"/>
  <c r="I173" i="1"/>
  <c r="K173" i="1"/>
  <c r="L173" i="1"/>
  <c r="M173" i="1"/>
  <c r="N173" i="1"/>
  <c r="O173" i="1"/>
  <c r="E157" i="3"/>
  <c r="F157" i="3"/>
  <c r="G157" i="3"/>
  <c r="H157" i="3"/>
  <c r="J157" i="3"/>
  <c r="K157" i="3"/>
  <c r="L157" i="3"/>
  <c r="M157" i="3"/>
  <c r="N157" i="3"/>
  <c r="E158" i="3"/>
  <c r="F158" i="3"/>
  <c r="G158" i="3"/>
  <c r="H158" i="3"/>
  <c r="J158" i="3"/>
  <c r="K158" i="3"/>
  <c r="L158" i="3"/>
  <c r="M158" i="3"/>
  <c r="N158" i="3"/>
  <c r="J190" i="1"/>
  <c r="I157" i="3" s="1"/>
  <c r="J191" i="1"/>
  <c r="I158" i="3" s="1"/>
  <c r="E191" i="1"/>
  <c r="E173" i="1" s="1"/>
  <c r="E190" i="1"/>
  <c r="B191" i="1"/>
  <c r="C191" i="1"/>
  <c r="D191" i="1"/>
  <c r="D173" i="1" s="1"/>
  <c r="C190" i="1"/>
  <c r="D190" i="1"/>
  <c r="B190" i="1"/>
  <c r="C142" i="3"/>
  <c r="O212" i="1" l="1"/>
  <c r="N156" i="3"/>
  <c r="N142" i="3" s="1"/>
  <c r="K212" i="1"/>
  <c r="E212" i="1"/>
  <c r="I156" i="3"/>
  <c r="I142" i="3" s="1"/>
  <c r="E142" i="3"/>
  <c r="J142" i="3"/>
  <c r="F142" i="3"/>
  <c r="K142" i="3"/>
  <c r="H142" i="3"/>
  <c r="G142" i="3"/>
  <c r="L142" i="3"/>
  <c r="M142" i="3"/>
  <c r="D158" i="3"/>
  <c r="D142" i="3" s="1"/>
  <c r="J224" i="1"/>
  <c r="J212" i="1" s="1"/>
  <c r="J173" i="1"/>
  <c r="P190" i="1"/>
  <c r="O157" i="3" s="1"/>
  <c r="P191" i="1"/>
  <c r="D157" i="3"/>
  <c r="C144" i="3"/>
  <c r="C143" i="3"/>
  <c r="E155" i="3"/>
  <c r="E144" i="3" s="1"/>
  <c r="F155" i="3"/>
  <c r="F144" i="3" s="1"/>
  <c r="G155" i="3"/>
  <c r="G144" i="3" s="1"/>
  <c r="H155" i="3"/>
  <c r="H144" i="3" s="1"/>
  <c r="J155" i="3"/>
  <c r="J144" i="3" s="1"/>
  <c r="K155" i="3"/>
  <c r="K144" i="3" s="1"/>
  <c r="L155" i="3"/>
  <c r="L144" i="3" s="1"/>
  <c r="M155" i="3"/>
  <c r="M144" i="3" s="1"/>
  <c r="N155" i="3"/>
  <c r="N144" i="3" s="1"/>
  <c r="F176" i="1"/>
  <c r="G176" i="1"/>
  <c r="H176" i="1"/>
  <c r="I176" i="1"/>
  <c r="K176" i="1"/>
  <c r="L176" i="1"/>
  <c r="M176" i="1"/>
  <c r="N176" i="1"/>
  <c r="O176" i="1"/>
  <c r="D176" i="1"/>
  <c r="E189" i="1"/>
  <c r="E176" i="1" s="1"/>
  <c r="E188" i="1"/>
  <c r="J189" i="1"/>
  <c r="J176" i="1" s="1"/>
  <c r="P224" i="1" l="1"/>
  <c r="I74" i="3"/>
  <c r="I26" i="3" s="1"/>
  <c r="P173" i="1"/>
  <c r="O158" i="3"/>
  <c r="O142" i="3" s="1"/>
  <c r="I155" i="3"/>
  <c r="I144" i="3" s="1"/>
  <c r="D155" i="3"/>
  <c r="D144" i="3" s="1"/>
  <c r="P189" i="1"/>
  <c r="O74" i="3" l="1"/>
  <c r="O26" i="3" s="1"/>
  <c r="P212" i="1"/>
  <c r="O155" i="3"/>
  <c r="O144" i="3" s="1"/>
  <c r="P176" i="1"/>
  <c r="O187" i="1"/>
  <c r="N153" i="3" s="1"/>
  <c r="K187" i="1"/>
  <c r="J153" i="3" s="1"/>
  <c r="O218" i="1" l="1"/>
  <c r="K218" i="1"/>
  <c r="J223" i="1"/>
  <c r="E73" i="3"/>
  <c r="F73" i="3"/>
  <c r="G73" i="3"/>
  <c r="H73" i="3"/>
  <c r="K73" i="3"/>
  <c r="L73" i="3"/>
  <c r="M73" i="3"/>
  <c r="O216" i="1"/>
  <c r="K216" i="1"/>
  <c r="E223" i="1"/>
  <c r="D73" i="3" s="1"/>
  <c r="C223" i="1"/>
  <c r="D223" i="1"/>
  <c r="B223" i="1"/>
  <c r="P223" i="1" l="1"/>
  <c r="O73" i="3" s="1"/>
  <c r="I73" i="3"/>
  <c r="N73" i="3"/>
  <c r="J73" i="3"/>
  <c r="F107" i="1"/>
  <c r="G107" i="1"/>
  <c r="H107" i="1"/>
  <c r="I107" i="1"/>
  <c r="K107" i="1"/>
  <c r="L107" i="1"/>
  <c r="M107" i="1"/>
  <c r="N107" i="1"/>
  <c r="O107" i="1"/>
  <c r="G118" i="3"/>
  <c r="H118" i="3"/>
  <c r="J118" i="3"/>
  <c r="K118" i="3"/>
  <c r="L118" i="3"/>
  <c r="M118" i="3"/>
  <c r="N118" i="3"/>
  <c r="G119" i="3"/>
  <c r="H119" i="3"/>
  <c r="J119" i="3"/>
  <c r="K119" i="3"/>
  <c r="L119" i="3"/>
  <c r="M119" i="3"/>
  <c r="N119" i="3"/>
  <c r="J117" i="1" l="1"/>
  <c r="J107" i="1" s="1"/>
  <c r="J116" i="1"/>
  <c r="E117" i="1"/>
  <c r="E116" i="1"/>
  <c r="P116" i="1" s="1"/>
  <c r="D117" i="1"/>
  <c r="D107" i="1" s="1"/>
  <c r="C116" i="1"/>
  <c r="D116" i="1"/>
  <c r="B116" i="1"/>
  <c r="F145" i="1"/>
  <c r="E118" i="3" s="1"/>
  <c r="G145" i="1"/>
  <c r="F118" i="3" s="1"/>
  <c r="G146" i="1"/>
  <c r="F119" i="3" s="1"/>
  <c r="F146" i="1"/>
  <c r="E119" i="3" s="1"/>
  <c r="F50" i="1"/>
  <c r="G50" i="1"/>
  <c r="H50" i="1"/>
  <c r="I50" i="1"/>
  <c r="K50" i="1"/>
  <c r="L50" i="1"/>
  <c r="M50" i="1"/>
  <c r="N50" i="1"/>
  <c r="O50" i="1"/>
  <c r="E63" i="3"/>
  <c r="F63" i="3"/>
  <c r="G63" i="3"/>
  <c r="H63" i="3"/>
  <c r="J63" i="3"/>
  <c r="K63" i="3"/>
  <c r="L63" i="3"/>
  <c r="M63" i="3"/>
  <c r="N63" i="3"/>
  <c r="E64" i="3"/>
  <c r="E25" i="3" s="1"/>
  <c r="F64" i="3"/>
  <c r="F25" i="3" s="1"/>
  <c r="G64" i="3"/>
  <c r="G25" i="3" s="1"/>
  <c r="H64" i="3"/>
  <c r="H25" i="3" s="1"/>
  <c r="J64" i="3"/>
  <c r="J25" i="3" s="1"/>
  <c r="K64" i="3"/>
  <c r="K25" i="3" s="1"/>
  <c r="L64" i="3"/>
  <c r="L25" i="3" s="1"/>
  <c r="M64" i="3"/>
  <c r="M25" i="3" s="1"/>
  <c r="N64" i="3"/>
  <c r="N25" i="3" s="1"/>
  <c r="B87" i="1"/>
  <c r="C87" i="1"/>
  <c r="D87" i="1"/>
  <c r="D50" i="1" s="1"/>
  <c r="C86" i="1"/>
  <c r="D86" i="1"/>
  <c r="B86" i="1"/>
  <c r="J87" i="1"/>
  <c r="I64" i="3" s="1"/>
  <c r="I25" i="3" s="1"/>
  <c r="E87" i="1"/>
  <c r="E50" i="1" s="1"/>
  <c r="J86" i="1"/>
  <c r="I63" i="3" s="1"/>
  <c r="E86" i="1"/>
  <c r="D63" i="3" s="1"/>
  <c r="C25" i="3"/>
  <c r="P117" i="1" l="1"/>
  <c r="P107" i="1" s="1"/>
  <c r="E107" i="1"/>
  <c r="D64" i="3"/>
  <c r="D25" i="3" s="1"/>
  <c r="J50" i="1"/>
  <c r="P87" i="1"/>
  <c r="P86" i="1"/>
  <c r="O63" i="3" s="1"/>
  <c r="O64" i="3" l="1"/>
  <c r="O25" i="3" s="1"/>
  <c r="P50" i="1"/>
  <c r="O268" i="1"/>
  <c r="K268" i="1"/>
  <c r="F205" i="1"/>
  <c r="O42" i="1"/>
  <c r="K42" i="1"/>
  <c r="F42" i="1"/>
  <c r="O255" i="1" l="1"/>
  <c r="E170" i="3" l="1"/>
  <c r="F170" i="3"/>
  <c r="G170" i="3"/>
  <c r="H170" i="3"/>
  <c r="J170" i="3"/>
  <c r="K170" i="3"/>
  <c r="L170" i="3"/>
  <c r="M170" i="3"/>
  <c r="N170" i="3"/>
  <c r="C233" i="1"/>
  <c r="D233" i="1"/>
  <c r="B233" i="1"/>
  <c r="J233" i="1"/>
  <c r="E233" i="1"/>
  <c r="F247" i="1"/>
  <c r="F246" i="1"/>
  <c r="F18" i="1"/>
  <c r="P233" i="1" l="1"/>
  <c r="H268" i="1"/>
  <c r="E132" i="3"/>
  <c r="F132" i="3"/>
  <c r="G132" i="3"/>
  <c r="H132" i="3"/>
  <c r="J132" i="3"/>
  <c r="K132" i="3"/>
  <c r="L132" i="3"/>
  <c r="M132" i="3"/>
  <c r="N132" i="3"/>
  <c r="H161" i="1"/>
  <c r="I161" i="1"/>
  <c r="L161" i="1"/>
  <c r="M161" i="1"/>
  <c r="N161" i="1"/>
  <c r="J168" i="1"/>
  <c r="I132" i="3" s="1"/>
  <c r="E168" i="1"/>
  <c r="C168" i="1"/>
  <c r="D168" i="1"/>
  <c r="B168" i="1"/>
  <c r="O165" i="1"/>
  <c r="K165" i="1"/>
  <c r="F30" i="1"/>
  <c r="L255" i="1"/>
  <c r="O228" i="1"/>
  <c r="E51" i="3"/>
  <c r="F51" i="3"/>
  <c r="G51" i="3"/>
  <c r="H51" i="3"/>
  <c r="J51" i="3"/>
  <c r="K51" i="3"/>
  <c r="L51" i="3"/>
  <c r="M51" i="3"/>
  <c r="N51" i="3"/>
  <c r="F54" i="1"/>
  <c r="G54" i="1"/>
  <c r="H54" i="1"/>
  <c r="I54" i="1"/>
  <c r="K54" i="1"/>
  <c r="L54" i="1"/>
  <c r="M54" i="1"/>
  <c r="N54" i="1"/>
  <c r="O54" i="1"/>
  <c r="J74" i="1"/>
  <c r="I51" i="3" s="1"/>
  <c r="J73" i="1"/>
  <c r="E74" i="1"/>
  <c r="P168" i="1" l="1"/>
  <c r="O132" i="3" s="1"/>
  <c r="D132" i="3"/>
  <c r="P74" i="1"/>
  <c r="O51" i="3" s="1"/>
  <c r="D51" i="3"/>
  <c r="F180" i="1" l="1"/>
  <c r="F185" i="1"/>
  <c r="E52" i="3"/>
  <c r="F52" i="3"/>
  <c r="G52" i="3"/>
  <c r="H52" i="3"/>
  <c r="J52" i="3"/>
  <c r="K52" i="3"/>
  <c r="L52" i="3"/>
  <c r="M52" i="3"/>
  <c r="N52" i="3"/>
  <c r="F34" i="3"/>
  <c r="G34" i="3"/>
  <c r="H34" i="3"/>
  <c r="K34" i="3"/>
  <c r="L34" i="3"/>
  <c r="M34" i="3"/>
  <c r="F33" i="3"/>
  <c r="G33" i="3"/>
  <c r="H33" i="3"/>
  <c r="J33" i="3"/>
  <c r="K33" i="3"/>
  <c r="L33" i="3"/>
  <c r="M33" i="3"/>
  <c r="N33" i="3"/>
  <c r="C218" i="1"/>
  <c r="D218" i="1"/>
  <c r="B218" i="1"/>
  <c r="C217" i="1"/>
  <c r="D217" i="1"/>
  <c r="B217" i="1"/>
  <c r="C216" i="1"/>
  <c r="D216" i="1"/>
  <c r="B216" i="1"/>
  <c r="J217" i="1"/>
  <c r="J216" i="1"/>
  <c r="J218" i="1"/>
  <c r="E216" i="1"/>
  <c r="E217" i="1"/>
  <c r="E218" i="1"/>
  <c r="P216" i="1" l="1"/>
  <c r="P217" i="1"/>
  <c r="P218" i="1"/>
  <c r="F58" i="1" l="1"/>
  <c r="E34" i="3" s="1"/>
  <c r="H18" i="1"/>
  <c r="F149" i="3"/>
  <c r="J149" i="3"/>
  <c r="K149" i="3"/>
  <c r="L149" i="3"/>
  <c r="M149" i="3"/>
  <c r="N149" i="3"/>
  <c r="O232" i="1"/>
  <c r="K232" i="1"/>
  <c r="J227" i="1"/>
  <c r="E227" i="1"/>
  <c r="C227" i="1"/>
  <c r="D227" i="1"/>
  <c r="B227" i="1"/>
  <c r="F182" i="1"/>
  <c r="P227" i="1" l="1"/>
  <c r="F268" i="1" l="1"/>
  <c r="O226" i="1" l="1"/>
  <c r="K226" i="1"/>
  <c r="O186" i="1" l="1"/>
  <c r="K186" i="1"/>
  <c r="F83" i="3"/>
  <c r="G83" i="3"/>
  <c r="H83" i="3"/>
  <c r="J83" i="3"/>
  <c r="K83" i="3"/>
  <c r="L83" i="3"/>
  <c r="M83" i="3"/>
  <c r="N83" i="3"/>
  <c r="J225" i="1"/>
  <c r="E225" i="1"/>
  <c r="C225" i="1"/>
  <c r="D225" i="1"/>
  <c r="B225" i="1"/>
  <c r="F143" i="1"/>
  <c r="F57" i="1"/>
  <c r="E33" i="3" l="1"/>
  <c r="P225" i="1"/>
  <c r="F45" i="1"/>
  <c r="G45" i="1"/>
  <c r="H45" i="1"/>
  <c r="I45" i="1"/>
  <c r="K45" i="1"/>
  <c r="L45" i="1"/>
  <c r="M45" i="1"/>
  <c r="N45" i="1"/>
  <c r="O45" i="1"/>
  <c r="E68" i="3"/>
  <c r="F68" i="3"/>
  <c r="G68" i="3"/>
  <c r="H68" i="3"/>
  <c r="J68" i="3"/>
  <c r="K68" i="3"/>
  <c r="L68" i="3"/>
  <c r="M68" i="3"/>
  <c r="N68" i="3"/>
  <c r="E69" i="3"/>
  <c r="F69" i="3"/>
  <c r="G69" i="3"/>
  <c r="H69" i="3"/>
  <c r="J69" i="3"/>
  <c r="K69" i="3"/>
  <c r="L69" i="3"/>
  <c r="M69" i="3"/>
  <c r="N69" i="3"/>
  <c r="E70" i="3"/>
  <c r="F70" i="3"/>
  <c r="G70" i="3"/>
  <c r="H70" i="3"/>
  <c r="J70" i="3"/>
  <c r="K70" i="3"/>
  <c r="L70" i="3"/>
  <c r="M70" i="3"/>
  <c r="N70" i="3"/>
  <c r="J90" i="1"/>
  <c r="I70" i="3" s="1"/>
  <c r="E90" i="1"/>
  <c r="D70" i="3" s="1"/>
  <c r="J89" i="1"/>
  <c r="I69" i="3" s="1"/>
  <c r="E89" i="1"/>
  <c r="J88" i="1"/>
  <c r="I68" i="3" s="1"/>
  <c r="E88" i="1"/>
  <c r="D68" i="3" s="1"/>
  <c r="B89" i="1"/>
  <c r="C89" i="1"/>
  <c r="D89" i="1"/>
  <c r="B90" i="1"/>
  <c r="C90" i="1"/>
  <c r="D90" i="1"/>
  <c r="C88" i="1"/>
  <c r="D88" i="1"/>
  <c r="B88" i="1"/>
  <c r="P89" i="1" l="1"/>
  <c r="O69" i="3" s="1"/>
  <c r="D69" i="3"/>
  <c r="P88" i="1"/>
  <c r="O68" i="3" s="1"/>
  <c r="P90" i="1"/>
  <c r="O70" i="3" s="1"/>
  <c r="F206" i="1" l="1"/>
  <c r="I183" i="1" l="1"/>
  <c r="F175" i="1" l="1"/>
  <c r="G175" i="1"/>
  <c r="H175" i="1"/>
  <c r="I175" i="1"/>
  <c r="K175" i="1"/>
  <c r="L175" i="1"/>
  <c r="M175" i="1"/>
  <c r="N175" i="1"/>
  <c r="O175" i="1"/>
  <c r="E154" i="3"/>
  <c r="E143" i="3" s="1"/>
  <c r="F154" i="3"/>
  <c r="F143" i="3" s="1"/>
  <c r="G154" i="3"/>
  <c r="G143" i="3" s="1"/>
  <c r="H154" i="3"/>
  <c r="H143" i="3" s="1"/>
  <c r="J154" i="3"/>
  <c r="J143" i="3" s="1"/>
  <c r="K154" i="3"/>
  <c r="K143" i="3" s="1"/>
  <c r="L154" i="3"/>
  <c r="L143" i="3" s="1"/>
  <c r="M154" i="3"/>
  <c r="M143" i="3" s="1"/>
  <c r="N154" i="3"/>
  <c r="N143" i="3" s="1"/>
  <c r="J188" i="1"/>
  <c r="J175" i="1" s="1"/>
  <c r="E175" i="1"/>
  <c r="D188" i="1"/>
  <c r="D175" i="1" s="1"/>
  <c r="P188" i="1" l="1"/>
  <c r="O154" i="3" s="1"/>
  <c r="O143" i="3" s="1"/>
  <c r="D154" i="3"/>
  <c r="D143" i="3" s="1"/>
  <c r="I154" i="3"/>
  <c r="I143" i="3" s="1"/>
  <c r="D187" i="1"/>
  <c r="P175" i="1" l="1"/>
  <c r="L34" i="1" l="1"/>
  <c r="O222" i="1" l="1"/>
  <c r="K222" i="1"/>
  <c r="K219" i="1"/>
  <c r="O219" i="1"/>
  <c r="H103" i="1"/>
  <c r="F103" i="1"/>
  <c r="E83" i="3" l="1"/>
  <c r="K229" i="1"/>
  <c r="O229" i="1"/>
  <c r="F164" i="1"/>
  <c r="O83" i="1"/>
  <c r="K83" i="1"/>
  <c r="O82" i="1"/>
  <c r="K82" i="1"/>
  <c r="O81" i="1"/>
  <c r="K81" i="1"/>
  <c r="H25" i="1"/>
  <c r="L263" i="1" l="1"/>
  <c r="F200" i="3"/>
  <c r="F197" i="3" s="1"/>
  <c r="F195" i="3" s="1"/>
  <c r="G200" i="3"/>
  <c r="G197" i="3" s="1"/>
  <c r="G195" i="3" s="1"/>
  <c r="H200" i="3"/>
  <c r="H197" i="3" s="1"/>
  <c r="H195" i="3" s="1"/>
  <c r="J200" i="3"/>
  <c r="J197" i="3" s="1"/>
  <c r="J195" i="3" s="1"/>
  <c r="K200" i="3"/>
  <c r="K197" i="3" s="1"/>
  <c r="K195" i="3" s="1"/>
  <c r="L200" i="3"/>
  <c r="L197" i="3" s="1"/>
  <c r="L195" i="3" s="1"/>
  <c r="M200" i="3"/>
  <c r="M197" i="3" s="1"/>
  <c r="M195" i="3" s="1"/>
  <c r="N200" i="3"/>
  <c r="N197" i="3" s="1"/>
  <c r="N195" i="3" s="1"/>
  <c r="G17" i="1"/>
  <c r="H17" i="1"/>
  <c r="I17" i="1"/>
  <c r="K17" i="1"/>
  <c r="L17" i="1"/>
  <c r="M17" i="1"/>
  <c r="N17" i="1"/>
  <c r="O17" i="1"/>
  <c r="G37" i="1"/>
  <c r="F37" i="1"/>
  <c r="J38" i="1"/>
  <c r="I200" i="3" s="1"/>
  <c r="I197" i="3" s="1"/>
  <c r="I195" i="3" s="1"/>
  <c r="F38" i="1"/>
  <c r="E200" i="3" s="1"/>
  <c r="E197" i="3" s="1"/>
  <c r="E195" i="3" s="1"/>
  <c r="D38" i="1"/>
  <c r="D17" i="1" s="1"/>
  <c r="C197" i="3"/>
  <c r="C195" i="3" s="1"/>
  <c r="D37" i="1"/>
  <c r="E48" i="3"/>
  <c r="E32" i="3" s="1"/>
  <c r="F48" i="3"/>
  <c r="F32" i="3" s="1"/>
  <c r="G48" i="3"/>
  <c r="G32" i="3" s="1"/>
  <c r="H48" i="3"/>
  <c r="H32" i="3" s="1"/>
  <c r="J48" i="3"/>
  <c r="J32" i="3" s="1"/>
  <c r="K48" i="3"/>
  <c r="K32" i="3" s="1"/>
  <c r="L48" i="3"/>
  <c r="L32" i="3" s="1"/>
  <c r="M48" i="3"/>
  <c r="M32" i="3" s="1"/>
  <c r="N48" i="3"/>
  <c r="N32" i="3" s="1"/>
  <c r="C48" i="3"/>
  <c r="C32" i="3" s="1"/>
  <c r="D55" i="1"/>
  <c r="J71" i="1"/>
  <c r="O69" i="1"/>
  <c r="K69" i="1"/>
  <c r="E159" i="3"/>
  <c r="F159" i="3"/>
  <c r="G159" i="3"/>
  <c r="H159" i="3"/>
  <c r="J159" i="3"/>
  <c r="K159" i="3"/>
  <c r="L159" i="3"/>
  <c r="M159" i="3"/>
  <c r="N159" i="3"/>
  <c r="E160" i="3"/>
  <c r="E141" i="3" s="1"/>
  <c r="F160" i="3"/>
  <c r="F141" i="3" s="1"/>
  <c r="G160" i="3"/>
  <c r="G141" i="3" s="1"/>
  <c r="H160" i="3"/>
  <c r="H141" i="3" s="1"/>
  <c r="J160" i="3"/>
  <c r="J141" i="3" s="1"/>
  <c r="K160" i="3"/>
  <c r="K141" i="3" s="1"/>
  <c r="L160" i="3"/>
  <c r="L141" i="3" s="1"/>
  <c r="M160" i="3"/>
  <c r="M141" i="3" s="1"/>
  <c r="N160" i="3"/>
  <c r="N141" i="3" s="1"/>
  <c r="F172" i="1"/>
  <c r="G172" i="1"/>
  <c r="H172" i="1"/>
  <c r="I172" i="1"/>
  <c r="K172" i="1"/>
  <c r="L172" i="1"/>
  <c r="M172" i="1"/>
  <c r="N172" i="1"/>
  <c r="O172" i="1"/>
  <c r="J192" i="1"/>
  <c r="J193" i="1"/>
  <c r="E192" i="1"/>
  <c r="D159" i="3" s="1"/>
  <c r="E193" i="1"/>
  <c r="D160" i="3" s="1"/>
  <c r="D141" i="3" s="1"/>
  <c r="D192" i="1"/>
  <c r="C192" i="1"/>
  <c r="C193" i="1"/>
  <c r="D193" i="1"/>
  <c r="D172" i="1" s="1"/>
  <c r="B193" i="1"/>
  <c r="B192" i="1"/>
  <c r="C141" i="3"/>
  <c r="F52" i="1"/>
  <c r="G52" i="1"/>
  <c r="H52" i="1"/>
  <c r="I52" i="1"/>
  <c r="K52" i="1"/>
  <c r="L52" i="1"/>
  <c r="M52" i="1"/>
  <c r="N52" i="1"/>
  <c r="O52" i="1"/>
  <c r="D52" i="1"/>
  <c r="C29" i="3"/>
  <c r="E81" i="3"/>
  <c r="E29" i="3" s="1"/>
  <c r="F81" i="3"/>
  <c r="F29" i="3" s="1"/>
  <c r="G81" i="3"/>
  <c r="G29" i="3" s="1"/>
  <c r="H81" i="3"/>
  <c r="H29" i="3" s="1"/>
  <c r="J81" i="3"/>
  <c r="J29" i="3" s="1"/>
  <c r="K81" i="3"/>
  <c r="K29" i="3" s="1"/>
  <c r="L81" i="3"/>
  <c r="L29" i="3" s="1"/>
  <c r="M81" i="3"/>
  <c r="M29" i="3" s="1"/>
  <c r="N81" i="3"/>
  <c r="N29" i="3" s="1"/>
  <c r="J99" i="1"/>
  <c r="I81" i="3" s="1"/>
  <c r="I29" i="3" s="1"/>
  <c r="E99" i="1"/>
  <c r="E52" i="1" s="1"/>
  <c r="E98" i="1"/>
  <c r="L97" i="1"/>
  <c r="D48" i="3" l="1"/>
  <c r="D32" i="3" s="1"/>
  <c r="P193" i="1"/>
  <c r="P172" i="1" s="1"/>
  <c r="E172" i="1"/>
  <c r="D81" i="3"/>
  <c r="D29" i="3" s="1"/>
  <c r="I48" i="3"/>
  <c r="I32" i="3" s="1"/>
  <c r="P192" i="1"/>
  <c r="O159" i="3" s="1"/>
  <c r="E38" i="1"/>
  <c r="D200" i="3" s="1"/>
  <c r="D197" i="3" s="1"/>
  <c r="D195" i="3" s="1"/>
  <c r="F17" i="1"/>
  <c r="J52" i="1"/>
  <c r="P99" i="1"/>
  <c r="I159" i="3"/>
  <c r="I160" i="3"/>
  <c r="I141" i="3" s="1"/>
  <c r="J17" i="1"/>
  <c r="P71" i="1"/>
  <c r="J172" i="1"/>
  <c r="O221" i="1"/>
  <c r="O220" i="1"/>
  <c r="K221" i="1"/>
  <c r="K220" i="1"/>
  <c r="O160" i="3" l="1"/>
  <c r="O141" i="3" s="1"/>
  <c r="P38" i="1"/>
  <c r="E17" i="1"/>
  <c r="O48" i="3"/>
  <c r="O32" i="3" s="1"/>
  <c r="P52" i="1"/>
  <c r="O81" i="3"/>
  <c r="O29" i="3" s="1"/>
  <c r="O200" i="3"/>
  <c r="O197" i="3" s="1"/>
  <c r="O195" i="3" s="1"/>
  <c r="P17" i="1"/>
  <c r="F211" i="1" l="1"/>
  <c r="G211" i="1"/>
  <c r="H211" i="1"/>
  <c r="I211" i="1"/>
  <c r="K211" i="1"/>
  <c r="L211" i="1"/>
  <c r="M211" i="1"/>
  <c r="N211" i="1"/>
  <c r="O211" i="1"/>
  <c r="C30" i="3"/>
  <c r="J220" i="1"/>
  <c r="J221" i="1"/>
  <c r="I67" i="3" s="1"/>
  <c r="I30" i="3" s="1"/>
  <c r="E220" i="1"/>
  <c r="D66" i="3" s="1"/>
  <c r="E221" i="1"/>
  <c r="D67" i="3" s="1"/>
  <c r="D30" i="3" s="1"/>
  <c r="E222" i="1"/>
  <c r="E66" i="3"/>
  <c r="F66" i="3"/>
  <c r="G66" i="3"/>
  <c r="H66" i="3"/>
  <c r="J66" i="3"/>
  <c r="K66" i="3"/>
  <c r="L66" i="3"/>
  <c r="M66" i="3"/>
  <c r="N66" i="3"/>
  <c r="E67" i="3"/>
  <c r="E30" i="3" s="1"/>
  <c r="F67" i="3"/>
  <c r="F30" i="3" s="1"/>
  <c r="G67" i="3"/>
  <c r="G30" i="3" s="1"/>
  <c r="H67" i="3"/>
  <c r="H30" i="3" s="1"/>
  <c r="J67" i="3"/>
  <c r="J30" i="3" s="1"/>
  <c r="K67" i="3"/>
  <c r="K30" i="3" s="1"/>
  <c r="L67" i="3"/>
  <c r="L30" i="3" s="1"/>
  <c r="M67" i="3"/>
  <c r="M30" i="3" s="1"/>
  <c r="N67" i="3"/>
  <c r="N30" i="3" s="1"/>
  <c r="D221" i="1"/>
  <c r="D211" i="1" s="1"/>
  <c r="C220" i="1"/>
  <c r="D220" i="1"/>
  <c r="B220" i="1"/>
  <c r="C219" i="1"/>
  <c r="I66" i="3" l="1"/>
  <c r="J211" i="1"/>
  <c r="E211" i="1"/>
  <c r="P220" i="1"/>
  <c r="O66" i="3" s="1"/>
  <c r="P221" i="1"/>
  <c r="E65" i="3"/>
  <c r="F65" i="3"/>
  <c r="G65" i="3"/>
  <c r="H65" i="3"/>
  <c r="J65" i="3"/>
  <c r="K65" i="3"/>
  <c r="L65" i="3"/>
  <c r="M65" i="3"/>
  <c r="N65" i="3"/>
  <c r="E219" i="1"/>
  <c r="D65" i="3" s="1"/>
  <c r="J219" i="1"/>
  <c r="I65" i="3" s="1"/>
  <c r="D219" i="1"/>
  <c r="B219" i="1"/>
  <c r="O67" i="3" l="1"/>
  <c r="O30" i="3" s="1"/>
  <c r="P211" i="1"/>
  <c r="P219" i="1"/>
  <c r="O65" i="3" s="1"/>
  <c r="E172" i="3" l="1"/>
  <c r="F172" i="3"/>
  <c r="G172" i="3"/>
  <c r="H172" i="3"/>
  <c r="J172" i="3"/>
  <c r="K172" i="3"/>
  <c r="L172" i="3"/>
  <c r="M172" i="3"/>
  <c r="N172" i="3"/>
  <c r="E173" i="3"/>
  <c r="E168" i="3" s="1"/>
  <c r="E162" i="3" s="1"/>
  <c r="F173" i="3"/>
  <c r="F168" i="3" s="1"/>
  <c r="F162" i="3" s="1"/>
  <c r="G173" i="3"/>
  <c r="G168" i="3" s="1"/>
  <c r="G162" i="3" s="1"/>
  <c r="H173" i="3"/>
  <c r="H168" i="3" s="1"/>
  <c r="H162" i="3" s="1"/>
  <c r="J173" i="3"/>
  <c r="J168" i="3" s="1"/>
  <c r="J162" i="3" s="1"/>
  <c r="K173" i="3"/>
  <c r="K168" i="3" s="1"/>
  <c r="K162" i="3" s="1"/>
  <c r="L173" i="3"/>
  <c r="L168" i="3" s="1"/>
  <c r="L162" i="3" s="1"/>
  <c r="M173" i="3"/>
  <c r="M168" i="3" s="1"/>
  <c r="M162" i="3" s="1"/>
  <c r="N173" i="3"/>
  <c r="N168" i="3" s="1"/>
  <c r="N162" i="3" s="1"/>
  <c r="F174" i="1"/>
  <c r="F272" i="1" s="1"/>
  <c r="G174" i="1"/>
  <c r="G272" i="1" s="1"/>
  <c r="H174" i="1"/>
  <c r="H272" i="1" s="1"/>
  <c r="I174" i="1"/>
  <c r="I272" i="1" s="1"/>
  <c r="K174" i="1"/>
  <c r="K272" i="1" s="1"/>
  <c r="L174" i="1"/>
  <c r="L272" i="1" s="1"/>
  <c r="M174" i="1"/>
  <c r="N174" i="1"/>
  <c r="O174" i="1"/>
  <c r="D197" i="1"/>
  <c r="D174" i="1" s="1"/>
  <c r="C196" i="1"/>
  <c r="D196" i="1"/>
  <c r="B196" i="1"/>
  <c r="J196" i="1"/>
  <c r="J197" i="1"/>
  <c r="E194" i="1"/>
  <c r="E196" i="1"/>
  <c r="D172" i="3" s="1"/>
  <c r="E197" i="1"/>
  <c r="E174" i="1" s="1"/>
  <c r="F125" i="1"/>
  <c r="G125" i="1"/>
  <c r="H125" i="1"/>
  <c r="I125" i="1"/>
  <c r="K125" i="1"/>
  <c r="L125" i="1"/>
  <c r="M125" i="1"/>
  <c r="N125" i="1"/>
  <c r="O125" i="1"/>
  <c r="I121" i="1"/>
  <c r="K121" i="1"/>
  <c r="L121" i="1"/>
  <c r="M121" i="1"/>
  <c r="N121" i="1"/>
  <c r="O121" i="1"/>
  <c r="E94" i="3"/>
  <c r="F94" i="3"/>
  <c r="G94" i="3"/>
  <c r="H94" i="3"/>
  <c r="J94" i="3"/>
  <c r="K94" i="3"/>
  <c r="L94" i="3"/>
  <c r="M94" i="3"/>
  <c r="N94" i="3"/>
  <c r="J145" i="1"/>
  <c r="I118" i="3" s="1"/>
  <c r="J146" i="1"/>
  <c r="E145" i="1"/>
  <c r="D118" i="3" s="1"/>
  <c r="E146" i="1"/>
  <c r="B146" i="1"/>
  <c r="C146" i="1"/>
  <c r="D146" i="1"/>
  <c r="D125" i="1" s="1"/>
  <c r="C145" i="1"/>
  <c r="D145" i="1"/>
  <c r="B145" i="1"/>
  <c r="C94" i="3"/>
  <c r="O272" i="1" l="1"/>
  <c r="N272" i="1"/>
  <c r="M272" i="1"/>
  <c r="J125" i="1"/>
  <c r="I119" i="3"/>
  <c r="I94" i="3" s="1"/>
  <c r="D119" i="3"/>
  <c r="D94" i="3" s="1"/>
  <c r="D173" i="3"/>
  <c r="D168" i="3" s="1"/>
  <c r="D162" i="3" s="1"/>
  <c r="E125" i="1"/>
  <c r="P197" i="1"/>
  <c r="J174" i="1"/>
  <c r="P196" i="1"/>
  <c r="O172" i="3" s="1"/>
  <c r="I172" i="3"/>
  <c r="I173" i="3"/>
  <c r="I168" i="3" s="1"/>
  <c r="I162" i="3" s="1"/>
  <c r="P146" i="1"/>
  <c r="P145" i="1"/>
  <c r="O118" i="3" s="1"/>
  <c r="D115" i="1"/>
  <c r="O119" i="3" l="1"/>
  <c r="O94" i="3" s="1"/>
  <c r="O173" i="3"/>
  <c r="O168" i="3" s="1"/>
  <c r="O162" i="3" s="1"/>
  <c r="P174" i="1"/>
  <c r="P125" i="1"/>
  <c r="J34" i="3" l="1"/>
  <c r="N34" i="3"/>
  <c r="K115" i="1"/>
  <c r="K106" i="1" s="1"/>
  <c r="O115" i="1"/>
  <c r="O106" i="1" s="1"/>
  <c r="E89" i="3"/>
  <c r="F89" i="3"/>
  <c r="G89" i="3"/>
  <c r="H89" i="3"/>
  <c r="K89" i="3"/>
  <c r="L89" i="3"/>
  <c r="M89" i="3"/>
  <c r="E115" i="1"/>
  <c r="E118" i="1"/>
  <c r="C115" i="1"/>
  <c r="B115" i="1"/>
  <c r="J89" i="3" l="1"/>
  <c r="J115" i="1"/>
  <c r="N89" i="3"/>
  <c r="P115" i="1"/>
  <c r="C93" i="3" l="1"/>
  <c r="E126" i="3"/>
  <c r="E93" i="3" s="1"/>
  <c r="F126" i="3"/>
  <c r="F93" i="3" s="1"/>
  <c r="G126" i="3"/>
  <c r="G93" i="3" s="1"/>
  <c r="H126" i="3"/>
  <c r="H93" i="3" s="1"/>
  <c r="J126" i="3"/>
  <c r="J93" i="3" s="1"/>
  <c r="K126" i="3"/>
  <c r="K93" i="3" s="1"/>
  <c r="L126" i="3"/>
  <c r="L93" i="3" s="1"/>
  <c r="M126" i="3"/>
  <c r="M93" i="3" s="1"/>
  <c r="N126" i="3"/>
  <c r="N93" i="3" s="1"/>
  <c r="F124" i="1"/>
  <c r="G124" i="1"/>
  <c r="H124" i="1"/>
  <c r="I124" i="1"/>
  <c r="K124" i="1"/>
  <c r="L124" i="1"/>
  <c r="M124" i="1"/>
  <c r="N124" i="1"/>
  <c r="O124" i="1"/>
  <c r="D124" i="1"/>
  <c r="J150" i="1"/>
  <c r="J151" i="1"/>
  <c r="J152" i="1"/>
  <c r="I126" i="3" s="1"/>
  <c r="I93" i="3" s="1"/>
  <c r="E152" i="1"/>
  <c r="E124" i="1" s="1"/>
  <c r="J124" i="1" l="1"/>
  <c r="D126" i="3"/>
  <c r="D93" i="3" s="1"/>
  <c r="P152" i="1"/>
  <c r="P124" i="1" l="1"/>
  <c r="O126" i="3"/>
  <c r="O93" i="3" s="1"/>
  <c r="O91" i="1"/>
  <c r="K91" i="1"/>
  <c r="O164" i="1" l="1"/>
  <c r="O161" i="1" s="1"/>
  <c r="K164" i="1"/>
  <c r="K161" i="1" s="1"/>
  <c r="E72" i="3" l="1"/>
  <c r="F72" i="3"/>
  <c r="G72" i="3"/>
  <c r="H72" i="3"/>
  <c r="J72" i="3"/>
  <c r="K72" i="3"/>
  <c r="L72" i="3"/>
  <c r="M72" i="3"/>
  <c r="N72" i="3"/>
  <c r="E71" i="3"/>
  <c r="F71" i="3"/>
  <c r="G71" i="3"/>
  <c r="H71" i="3"/>
  <c r="K71" i="3"/>
  <c r="L71" i="3"/>
  <c r="M71" i="3"/>
  <c r="F51" i="1"/>
  <c r="G51" i="1"/>
  <c r="H51" i="1"/>
  <c r="I51" i="1"/>
  <c r="K51" i="1"/>
  <c r="L51" i="1"/>
  <c r="M51" i="1"/>
  <c r="N51" i="1"/>
  <c r="O51" i="1"/>
  <c r="J91" i="1"/>
  <c r="J92" i="1"/>
  <c r="E91" i="1"/>
  <c r="E92" i="1"/>
  <c r="D72" i="3" s="1"/>
  <c r="C91" i="1"/>
  <c r="B91" i="1"/>
  <c r="E169" i="3"/>
  <c r="E167" i="3" s="1"/>
  <c r="F169" i="3"/>
  <c r="F167" i="3" s="1"/>
  <c r="G169" i="3"/>
  <c r="G167" i="3" s="1"/>
  <c r="H169" i="3"/>
  <c r="H167" i="3" s="1"/>
  <c r="J169" i="3"/>
  <c r="J167" i="3" s="1"/>
  <c r="K169" i="3"/>
  <c r="K167" i="3" s="1"/>
  <c r="L169" i="3"/>
  <c r="L167" i="3" s="1"/>
  <c r="M169" i="3"/>
  <c r="M167" i="3" s="1"/>
  <c r="N169" i="3"/>
  <c r="N167" i="3" s="1"/>
  <c r="P92" i="1" l="1"/>
  <c r="O72" i="3" s="1"/>
  <c r="I72" i="3"/>
  <c r="P91" i="1"/>
  <c r="E151" i="3"/>
  <c r="C183" i="3" l="1"/>
  <c r="C164" i="3" s="1"/>
  <c r="E187" i="3"/>
  <c r="E183" i="3" s="1"/>
  <c r="E164" i="3" s="1"/>
  <c r="F187" i="3"/>
  <c r="F183" i="3" s="1"/>
  <c r="F164" i="3" s="1"/>
  <c r="G187" i="3"/>
  <c r="G183" i="3" s="1"/>
  <c r="G164" i="3" s="1"/>
  <c r="H187" i="3"/>
  <c r="H183" i="3" s="1"/>
  <c r="H164" i="3" s="1"/>
  <c r="J187" i="3"/>
  <c r="J183" i="3" s="1"/>
  <c r="J164" i="3" s="1"/>
  <c r="K187" i="3"/>
  <c r="K183" i="3" s="1"/>
  <c r="K164" i="3" s="1"/>
  <c r="L187" i="3"/>
  <c r="L183" i="3" s="1"/>
  <c r="L164" i="3" s="1"/>
  <c r="M187" i="3"/>
  <c r="M183" i="3" s="1"/>
  <c r="M164" i="3" s="1"/>
  <c r="N187" i="3"/>
  <c r="N183" i="3" s="1"/>
  <c r="N164" i="3" s="1"/>
  <c r="D187" i="3"/>
  <c r="D183" i="3" s="1"/>
  <c r="D164" i="3" s="1"/>
  <c r="D236" i="1"/>
  <c r="D214" i="1" s="1"/>
  <c r="F214" i="1"/>
  <c r="G214" i="1"/>
  <c r="H214" i="1"/>
  <c r="I214" i="1"/>
  <c r="K214" i="1"/>
  <c r="L214" i="1"/>
  <c r="M214" i="1"/>
  <c r="N214" i="1"/>
  <c r="O214" i="1"/>
  <c r="E214" i="1"/>
  <c r="J236" i="1"/>
  <c r="P236" i="1" s="1"/>
  <c r="J214" i="1" l="1"/>
  <c r="P214" i="1"/>
  <c r="O187" i="3"/>
  <c r="O183" i="3" s="1"/>
  <c r="O164" i="3" s="1"/>
  <c r="I187" i="3"/>
  <c r="I183" i="3" s="1"/>
  <c r="I164" i="3" s="1"/>
  <c r="O234" i="1"/>
  <c r="O210" i="1" s="1"/>
  <c r="K234" i="1"/>
  <c r="K210" i="1" s="1"/>
  <c r="L207" i="1" l="1"/>
  <c r="L171" i="1" s="1"/>
  <c r="F176" i="3" l="1"/>
  <c r="G176" i="3"/>
  <c r="H176" i="3"/>
  <c r="J176" i="3"/>
  <c r="K176" i="3"/>
  <c r="L176" i="3"/>
  <c r="M176" i="3"/>
  <c r="N176" i="3"/>
  <c r="E199" i="1"/>
  <c r="J199" i="1"/>
  <c r="I176" i="3" s="1"/>
  <c r="C199" i="1"/>
  <c r="D199" i="1"/>
  <c r="B199" i="1"/>
  <c r="F200" i="1"/>
  <c r="E176" i="3" l="1"/>
  <c r="P199" i="1"/>
  <c r="O176" i="3" s="1"/>
  <c r="D176" i="3"/>
  <c r="F23" i="1" l="1"/>
  <c r="F22" i="1"/>
  <c r="C226" i="1"/>
  <c r="D226" i="1"/>
  <c r="B226" i="1"/>
  <c r="C232" i="1"/>
  <c r="B232" i="1"/>
  <c r="E152" i="3"/>
  <c r="F152" i="3"/>
  <c r="G152" i="3"/>
  <c r="H152" i="3"/>
  <c r="J152" i="3"/>
  <c r="K152" i="3"/>
  <c r="L152" i="3"/>
  <c r="M152" i="3"/>
  <c r="N152" i="3"/>
  <c r="C229" i="1"/>
  <c r="D229" i="1"/>
  <c r="B229" i="1"/>
  <c r="J232" i="1"/>
  <c r="E232" i="1"/>
  <c r="J229" i="1"/>
  <c r="E229" i="1"/>
  <c r="J226" i="1"/>
  <c r="E226" i="1"/>
  <c r="D89" i="3" s="1"/>
  <c r="D71" i="3"/>
  <c r="C222" i="1"/>
  <c r="B222" i="1"/>
  <c r="O203" i="1"/>
  <c r="O171" i="1" s="1"/>
  <c r="K203" i="1"/>
  <c r="K171" i="1" s="1"/>
  <c r="H36" i="1"/>
  <c r="F36" i="1"/>
  <c r="F53" i="1"/>
  <c r="G53" i="1"/>
  <c r="H53" i="1"/>
  <c r="I53" i="1"/>
  <c r="K53" i="1"/>
  <c r="L53" i="1"/>
  <c r="M53" i="1"/>
  <c r="N53" i="1"/>
  <c r="O53" i="1"/>
  <c r="C28" i="3"/>
  <c r="E79" i="3"/>
  <c r="F79" i="3"/>
  <c r="G79" i="3"/>
  <c r="H79" i="3"/>
  <c r="J79" i="3"/>
  <c r="K79" i="3"/>
  <c r="L79" i="3"/>
  <c r="M79" i="3"/>
  <c r="N79" i="3"/>
  <c r="E80" i="3"/>
  <c r="E28" i="3" s="1"/>
  <c r="F80" i="3"/>
  <c r="F28" i="3" s="1"/>
  <c r="G80" i="3"/>
  <c r="G28" i="3" s="1"/>
  <c r="H80" i="3"/>
  <c r="H28" i="3" s="1"/>
  <c r="J80" i="3"/>
  <c r="J28" i="3" s="1"/>
  <c r="K80" i="3"/>
  <c r="K28" i="3" s="1"/>
  <c r="L80" i="3"/>
  <c r="L28" i="3" s="1"/>
  <c r="M80" i="3"/>
  <c r="M28" i="3" s="1"/>
  <c r="N80" i="3"/>
  <c r="N28" i="3" s="1"/>
  <c r="J98" i="1"/>
  <c r="J53" i="1" s="1"/>
  <c r="B98" i="1"/>
  <c r="C98" i="1"/>
  <c r="D98" i="1"/>
  <c r="D53" i="1" s="1"/>
  <c r="C97" i="1"/>
  <c r="D97" i="1"/>
  <c r="B97" i="1"/>
  <c r="D80" i="3"/>
  <c r="D28" i="3" s="1"/>
  <c r="J97" i="1"/>
  <c r="E97" i="1"/>
  <c r="D79" i="3" s="1"/>
  <c r="C27" i="3"/>
  <c r="E47" i="3"/>
  <c r="E27" i="3" s="1"/>
  <c r="F47" i="3"/>
  <c r="F27" i="3" s="1"/>
  <c r="G47" i="3"/>
  <c r="G27" i="3" s="1"/>
  <c r="H47" i="3"/>
  <c r="H27" i="3" s="1"/>
  <c r="J47" i="3"/>
  <c r="J27" i="3" s="1"/>
  <c r="K47" i="3"/>
  <c r="K27" i="3" s="1"/>
  <c r="L47" i="3"/>
  <c r="L27" i="3" s="1"/>
  <c r="M47" i="3"/>
  <c r="M27" i="3" s="1"/>
  <c r="N47" i="3"/>
  <c r="N27" i="3" s="1"/>
  <c r="J70" i="1"/>
  <c r="J51" i="1" s="1"/>
  <c r="E70" i="1"/>
  <c r="E51" i="1" s="1"/>
  <c r="D70" i="1"/>
  <c r="D51" i="1" s="1"/>
  <c r="I89" i="3" l="1"/>
  <c r="P229" i="1"/>
  <c r="I79" i="3"/>
  <c r="N71" i="3"/>
  <c r="I80" i="3"/>
  <c r="I28" i="3" s="1"/>
  <c r="J71" i="3"/>
  <c r="I47" i="3"/>
  <c r="I27" i="3" s="1"/>
  <c r="P232" i="1"/>
  <c r="P226" i="1"/>
  <c r="J222" i="1"/>
  <c r="I71" i="3" s="1"/>
  <c r="E53" i="1"/>
  <c r="P97" i="1"/>
  <c r="P98" i="1"/>
  <c r="P70" i="1"/>
  <c r="P51" i="1" s="1"/>
  <c r="D47" i="3"/>
  <c r="D27" i="3" s="1"/>
  <c r="F49" i="1"/>
  <c r="G49" i="1"/>
  <c r="H49" i="1"/>
  <c r="I49" i="1"/>
  <c r="K49" i="1"/>
  <c r="L49" i="1"/>
  <c r="M49" i="1"/>
  <c r="N49" i="1"/>
  <c r="O49" i="1"/>
  <c r="B94" i="1"/>
  <c r="C94" i="1"/>
  <c r="D94" i="1"/>
  <c r="D49" i="1" s="1"/>
  <c r="C93" i="1"/>
  <c r="D93" i="1"/>
  <c r="B93" i="1"/>
  <c r="C24" i="3"/>
  <c r="E75" i="3"/>
  <c r="F75" i="3"/>
  <c r="G75" i="3"/>
  <c r="H75" i="3"/>
  <c r="J75" i="3"/>
  <c r="K75" i="3"/>
  <c r="L75" i="3"/>
  <c r="M75" i="3"/>
  <c r="N75" i="3"/>
  <c r="E76" i="3"/>
  <c r="E24" i="3" s="1"/>
  <c r="F76" i="3"/>
  <c r="F24" i="3" s="1"/>
  <c r="G76" i="3"/>
  <c r="G24" i="3" s="1"/>
  <c r="H76" i="3"/>
  <c r="H24" i="3" s="1"/>
  <c r="J76" i="3"/>
  <c r="J24" i="3" s="1"/>
  <c r="K76" i="3"/>
  <c r="K24" i="3" s="1"/>
  <c r="L76" i="3"/>
  <c r="L24" i="3" s="1"/>
  <c r="M76" i="3"/>
  <c r="M24" i="3" s="1"/>
  <c r="N76" i="3"/>
  <c r="N24" i="3" s="1"/>
  <c r="O89" i="3" l="1"/>
  <c r="O79" i="3"/>
  <c r="P222" i="1"/>
  <c r="O71" i="3" s="1"/>
  <c r="O80" i="3"/>
  <c r="O28" i="3" s="1"/>
  <c r="P53" i="1"/>
  <c r="O47" i="3"/>
  <c r="O27" i="3" s="1"/>
  <c r="D84" i="1"/>
  <c r="J94" i="1"/>
  <c r="E94" i="1"/>
  <c r="J93" i="1"/>
  <c r="I75" i="3" s="1"/>
  <c r="E93" i="1"/>
  <c r="D75" i="3" s="1"/>
  <c r="F19" i="1"/>
  <c r="J49" i="1" l="1"/>
  <c r="I76" i="3"/>
  <c r="I24" i="3" s="1"/>
  <c r="P94" i="1"/>
  <c r="E49" i="1"/>
  <c r="D76" i="3"/>
  <c r="D24" i="3" s="1"/>
  <c r="P93" i="1"/>
  <c r="O75" i="3" s="1"/>
  <c r="P49" i="1" l="1"/>
  <c r="O76" i="3"/>
  <c r="O24" i="3" s="1"/>
  <c r="C159" i="1"/>
  <c r="D159" i="1"/>
  <c r="B159" i="1"/>
  <c r="E107" i="3"/>
  <c r="F107" i="3"/>
  <c r="G107" i="3"/>
  <c r="H107" i="3"/>
  <c r="I107" i="3"/>
  <c r="J107" i="3"/>
  <c r="K107" i="3"/>
  <c r="L107" i="3"/>
  <c r="M107" i="3"/>
  <c r="N107" i="3"/>
  <c r="E159" i="1"/>
  <c r="D107" i="3" s="1"/>
  <c r="H155" i="1"/>
  <c r="I155" i="1"/>
  <c r="L155" i="1"/>
  <c r="M155" i="1"/>
  <c r="N155" i="1"/>
  <c r="F158" i="1"/>
  <c r="F157" i="1"/>
  <c r="H137" i="1"/>
  <c r="G137" i="1"/>
  <c r="F137" i="1"/>
  <c r="H148" i="1"/>
  <c r="G148" i="1"/>
  <c r="H121" i="1" l="1"/>
  <c r="P159" i="1"/>
  <c r="E58" i="3"/>
  <c r="F58" i="3"/>
  <c r="G58" i="3"/>
  <c r="H58" i="3"/>
  <c r="J58" i="3"/>
  <c r="K58" i="3"/>
  <c r="L58" i="3"/>
  <c r="M58" i="3"/>
  <c r="N58" i="3"/>
  <c r="C23" i="3"/>
  <c r="C22" i="3"/>
  <c r="C21" i="3"/>
  <c r="F48" i="1"/>
  <c r="G48" i="1"/>
  <c r="H48" i="1"/>
  <c r="I48" i="1"/>
  <c r="K48" i="1"/>
  <c r="L48" i="1"/>
  <c r="M48" i="1"/>
  <c r="N48" i="1"/>
  <c r="O48" i="1"/>
  <c r="F47" i="1"/>
  <c r="G47" i="1"/>
  <c r="H47" i="1"/>
  <c r="I47" i="1"/>
  <c r="K47" i="1"/>
  <c r="L47" i="1"/>
  <c r="M47" i="1"/>
  <c r="N47" i="1"/>
  <c r="O47" i="1"/>
  <c r="F46" i="1"/>
  <c r="G46" i="1"/>
  <c r="H46" i="1"/>
  <c r="I46" i="1"/>
  <c r="K46" i="1"/>
  <c r="L46" i="1"/>
  <c r="M46" i="1"/>
  <c r="N46" i="1"/>
  <c r="O46" i="1"/>
  <c r="E77" i="3"/>
  <c r="F77" i="3"/>
  <c r="G77" i="3"/>
  <c r="H77" i="3"/>
  <c r="J77" i="3"/>
  <c r="K77" i="3"/>
  <c r="L77" i="3"/>
  <c r="M77" i="3"/>
  <c r="N77" i="3"/>
  <c r="E78" i="3"/>
  <c r="E23" i="3" s="1"/>
  <c r="F78" i="3"/>
  <c r="F23" i="3" s="1"/>
  <c r="G78" i="3"/>
  <c r="G23" i="3" s="1"/>
  <c r="H78" i="3"/>
  <c r="H23" i="3" s="1"/>
  <c r="J78" i="3"/>
  <c r="J23" i="3" s="1"/>
  <c r="K78" i="3"/>
  <c r="K23" i="3" s="1"/>
  <c r="L78" i="3"/>
  <c r="L23" i="3" s="1"/>
  <c r="M78" i="3"/>
  <c r="M23" i="3" s="1"/>
  <c r="N78" i="3"/>
  <c r="N23" i="3" s="1"/>
  <c r="D78" i="3"/>
  <c r="D23" i="3" s="1"/>
  <c r="J95" i="1"/>
  <c r="I77" i="3" s="1"/>
  <c r="J96" i="1"/>
  <c r="I78" i="3" s="1"/>
  <c r="I23" i="3" s="1"/>
  <c r="E95" i="1"/>
  <c r="E96" i="1"/>
  <c r="E48" i="1" s="1"/>
  <c r="B96" i="1"/>
  <c r="C96" i="1"/>
  <c r="D96" i="1"/>
  <c r="D48" i="1" s="1"/>
  <c r="C95" i="1"/>
  <c r="D95" i="1"/>
  <c r="B95" i="1"/>
  <c r="E61" i="3"/>
  <c r="F61" i="3"/>
  <c r="G61" i="3"/>
  <c r="H61" i="3"/>
  <c r="J61" i="3"/>
  <c r="K61" i="3"/>
  <c r="L61" i="3"/>
  <c r="M61" i="3"/>
  <c r="N61" i="3"/>
  <c r="E62" i="3"/>
  <c r="E22" i="3" s="1"/>
  <c r="F62" i="3"/>
  <c r="F22" i="3" s="1"/>
  <c r="G62" i="3"/>
  <c r="G22" i="3" s="1"/>
  <c r="H62" i="3"/>
  <c r="H22" i="3" s="1"/>
  <c r="J62" i="3"/>
  <c r="J22" i="3" s="1"/>
  <c r="K62" i="3"/>
  <c r="K22" i="3" s="1"/>
  <c r="L62" i="3"/>
  <c r="L22" i="3" s="1"/>
  <c r="M62" i="3"/>
  <c r="M22" i="3" s="1"/>
  <c r="N62" i="3"/>
  <c r="N22" i="3" s="1"/>
  <c r="E82" i="1"/>
  <c r="D59" i="3" s="1"/>
  <c r="E83" i="1"/>
  <c r="D60" i="3" s="1"/>
  <c r="D21" i="3" s="1"/>
  <c r="E84" i="1"/>
  <c r="E85" i="1"/>
  <c r="D62" i="3" s="1"/>
  <c r="D22" i="3" s="1"/>
  <c r="J84" i="1"/>
  <c r="I61" i="3" s="1"/>
  <c r="J85" i="1"/>
  <c r="I62" i="3" s="1"/>
  <c r="I22" i="3" s="1"/>
  <c r="B85" i="1"/>
  <c r="C85" i="1"/>
  <c r="D85" i="1"/>
  <c r="D47" i="1" s="1"/>
  <c r="C84" i="1"/>
  <c r="B84" i="1"/>
  <c r="E59" i="3"/>
  <c r="F59" i="3"/>
  <c r="G59" i="3"/>
  <c r="H59" i="3"/>
  <c r="J59" i="3"/>
  <c r="K59" i="3"/>
  <c r="L59" i="3"/>
  <c r="M59" i="3"/>
  <c r="N59" i="3"/>
  <c r="E60" i="3"/>
  <c r="E21" i="3" s="1"/>
  <c r="F60" i="3"/>
  <c r="F21" i="3" s="1"/>
  <c r="G60" i="3"/>
  <c r="G21" i="3" s="1"/>
  <c r="H60" i="3"/>
  <c r="H21" i="3" s="1"/>
  <c r="J60" i="3"/>
  <c r="J21" i="3" s="1"/>
  <c r="K60" i="3"/>
  <c r="K21" i="3" s="1"/>
  <c r="L60" i="3"/>
  <c r="L21" i="3" s="1"/>
  <c r="M60" i="3"/>
  <c r="M21" i="3" s="1"/>
  <c r="N60" i="3"/>
  <c r="N21" i="3" s="1"/>
  <c r="J82" i="1"/>
  <c r="J83" i="1"/>
  <c r="J46" i="1" s="1"/>
  <c r="D83" i="1"/>
  <c r="D46" i="1" s="1"/>
  <c r="C82" i="1"/>
  <c r="D82" i="1"/>
  <c r="B82" i="1"/>
  <c r="C81" i="1"/>
  <c r="D81" i="1"/>
  <c r="B81" i="1"/>
  <c r="J81" i="1"/>
  <c r="I58" i="3" s="1"/>
  <c r="E81" i="1"/>
  <c r="F111" i="1"/>
  <c r="F114" i="1"/>
  <c r="F106" i="1" l="1"/>
  <c r="O107" i="3"/>
  <c r="P95" i="1"/>
  <c r="O77" i="3" s="1"/>
  <c r="D77" i="3"/>
  <c r="E46" i="1"/>
  <c r="E47" i="1"/>
  <c r="P84" i="1"/>
  <c r="O61" i="3" s="1"/>
  <c r="D61" i="3"/>
  <c r="J47" i="1"/>
  <c r="J48" i="1"/>
  <c r="P96" i="1"/>
  <c r="D58" i="3"/>
  <c r="P85" i="1"/>
  <c r="P83" i="1"/>
  <c r="P82" i="1"/>
  <c r="O59" i="3" s="1"/>
  <c r="I59" i="3"/>
  <c r="I60" i="3"/>
  <c r="I21" i="3" s="1"/>
  <c r="P81" i="1"/>
  <c r="C31" i="3"/>
  <c r="O62" i="3" l="1"/>
  <c r="O22" i="3" s="1"/>
  <c r="P47" i="1"/>
  <c r="O78" i="3"/>
  <c r="O23" i="3" s="1"/>
  <c r="P48" i="1"/>
  <c r="O60" i="3"/>
  <c r="O21" i="3" s="1"/>
  <c r="P46" i="1"/>
  <c r="O58" i="3"/>
  <c r="F26" i="1" l="1"/>
  <c r="F208" i="1" l="1"/>
  <c r="E212" i="3" s="1"/>
  <c r="G177" i="1" l="1"/>
  <c r="G171" i="1" s="1"/>
  <c r="G250" i="1"/>
  <c r="F250" i="1"/>
  <c r="F177" i="1"/>
  <c r="E149" i="3" l="1"/>
  <c r="E115" i="3" l="1"/>
  <c r="F115" i="3"/>
  <c r="G115" i="3"/>
  <c r="H115" i="3"/>
  <c r="I115" i="3"/>
  <c r="J115" i="3"/>
  <c r="K115" i="3"/>
  <c r="L115" i="3"/>
  <c r="M115" i="3"/>
  <c r="N115" i="3"/>
  <c r="E114" i="3"/>
  <c r="F114" i="3"/>
  <c r="G114" i="3"/>
  <c r="H114" i="3"/>
  <c r="I114" i="3"/>
  <c r="J114" i="3"/>
  <c r="K114" i="3"/>
  <c r="L114" i="3"/>
  <c r="M114" i="3"/>
  <c r="N114" i="3"/>
  <c r="E101" i="3"/>
  <c r="F101" i="3"/>
  <c r="G101" i="3"/>
  <c r="H101" i="3"/>
  <c r="I101" i="3"/>
  <c r="J101" i="3"/>
  <c r="K101" i="3"/>
  <c r="L101" i="3"/>
  <c r="M101" i="3"/>
  <c r="N101" i="3"/>
  <c r="E102" i="3"/>
  <c r="F102" i="3"/>
  <c r="G102" i="3"/>
  <c r="H102" i="3"/>
  <c r="I102" i="3"/>
  <c r="J102" i="3"/>
  <c r="K102" i="3"/>
  <c r="L102" i="3"/>
  <c r="M102" i="3"/>
  <c r="N102" i="3"/>
  <c r="E103" i="3"/>
  <c r="F103" i="3"/>
  <c r="G103" i="3"/>
  <c r="H103" i="3"/>
  <c r="I103" i="3"/>
  <c r="J103" i="3"/>
  <c r="K103" i="3"/>
  <c r="L103" i="3"/>
  <c r="M103" i="3"/>
  <c r="N103" i="3"/>
  <c r="F100" i="3"/>
  <c r="G100" i="3"/>
  <c r="H100" i="3"/>
  <c r="I100" i="3"/>
  <c r="J100" i="3"/>
  <c r="K100" i="3"/>
  <c r="L100" i="3"/>
  <c r="M100" i="3"/>
  <c r="N100" i="3"/>
  <c r="E100" i="3"/>
  <c r="G122" i="1"/>
  <c r="G273" i="1" s="1"/>
  <c r="H122" i="1"/>
  <c r="H273" i="1" s="1"/>
  <c r="I122" i="1"/>
  <c r="I273" i="1" s="1"/>
  <c r="J122" i="1"/>
  <c r="J273" i="1" s="1"/>
  <c r="K122" i="1"/>
  <c r="K273" i="1" s="1"/>
  <c r="L122" i="1"/>
  <c r="L273" i="1" s="1"/>
  <c r="M122" i="1"/>
  <c r="M273" i="1" s="1"/>
  <c r="N122" i="1"/>
  <c r="N273" i="1" s="1"/>
  <c r="O122" i="1"/>
  <c r="O273" i="1" s="1"/>
  <c r="E142" i="1"/>
  <c r="D115" i="3" s="1"/>
  <c r="E141" i="1"/>
  <c r="D114" i="3" s="1"/>
  <c r="B142" i="1"/>
  <c r="C142" i="1"/>
  <c r="D142" i="1"/>
  <c r="C141" i="1"/>
  <c r="D141" i="1"/>
  <c r="B141" i="1"/>
  <c r="E135" i="1"/>
  <c r="P135" i="1" s="1"/>
  <c r="O103" i="3" s="1"/>
  <c r="E134" i="1"/>
  <c r="P134" i="1" s="1"/>
  <c r="O102" i="3" s="1"/>
  <c r="E133" i="1"/>
  <c r="D101" i="3" s="1"/>
  <c r="E132" i="1"/>
  <c r="P132" i="1" s="1"/>
  <c r="O100" i="3" s="1"/>
  <c r="B133" i="1"/>
  <c r="C133" i="1"/>
  <c r="D133" i="1"/>
  <c r="B134" i="1"/>
  <c r="C134" i="1"/>
  <c r="D134" i="1"/>
  <c r="B135" i="1"/>
  <c r="C135" i="1"/>
  <c r="D135" i="1"/>
  <c r="C132" i="1"/>
  <c r="D132" i="1"/>
  <c r="B132" i="1"/>
  <c r="F124" i="3"/>
  <c r="G124" i="3"/>
  <c r="H124" i="3"/>
  <c r="I124" i="3"/>
  <c r="J124" i="3"/>
  <c r="K124" i="3"/>
  <c r="L124" i="3"/>
  <c r="M124" i="3"/>
  <c r="N124" i="3"/>
  <c r="F150" i="1"/>
  <c r="E150" i="1" s="1"/>
  <c r="P150" i="1" s="1"/>
  <c r="D150" i="1"/>
  <c r="F187" i="1"/>
  <c r="E50" i="3"/>
  <c r="F50" i="3"/>
  <c r="G50" i="3"/>
  <c r="H50" i="3"/>
  <c r="I50" i="3"/>
  <c r="J50" i="3"/>
  <c r="K50" i="3"/>
  <c r="L50" i="3"/>
  <c r="M50" i="3"/>
  <c r="N50" i="3"/>
  <c r="E73" i="1"/>
  <c r="D50" i="3" s="1"/>
  <c r="F49" i="3"/>
  <c r="O72" i="1"/>
  <c r="N49" i="3" s="1"/>
  <c r="N72" i="1"/>
  <c r="M49" i="3" s="1"/>
  <c r="M72" i="1"/>
  <c r="L49" i="3" s="1"/>
  <c r="L72" i="1"/>
  <c r="K49" i="3" s="1"/>
  <c r="K72" i="1"/>
  <c r="J49" i="3" s="1"/>
  <c r="J72" i="1"/>
  <c r="I49" i="3" s="1"/>
  <c r="I72" i="1"/>
  <c r="H72" i="1"/>
  <c r="G49" i="3" s="1"/>
  <c r="B73" i="1"/>
  <c r="C73" i="1"/>
  <c r="D73" i="1"/>
  <c r="C72" i="1"/>
  <c r="D72" i="1"/>
  <c r="B72" i="1"/>
  <c r="E43" i="3"/>
  <c r="F43" i="3"/>
  <c r="G43" i="3"/>
  <c r="H43" i="3"/>
  <c r="I43" i="3"/>
  <c r="J43" i="3"/>
  <c r="K43" i="3"/>
  <c r="L43" i="3"/>
  <c r="M43" i="3"/>
  <c r="N43" i="3"/>
  <c r="O66" i="1"/>
  <c r="N42" i="3" s="1"/>
  <c r="N66" i="1"/>
  <c r="M42" i="3" s="1"/>
  <c r="M66" i="1"/>
  <c r="L42" i="3" s="1"/>
  <c r="L66" i="1"/>
  <c r="K42" i="3" s="1"/>
  <c r="K66" i="1"/>
  <c r="J42" i="3" s="1"/>
  <c r="J66" i="1"/>
  <c r="I42" i="3" s="1"/>
  <c r="I66" i="1"/>
  <c r="H42" i="3" s="1"/>
  <c r="H66" i="1"/>
  <c r="G42" i="3" s="1"/>
  <c r="G66" i="1"/>
  <c r="F42" i="3" s="1"/>
  <c r="F66" i="1"/>
  <c r="E42" i="3" s="1"/>
  <c r="E67" i="1"/>
  <c r="P67" i="1" s="1"/>
  <c r="O43" i="3" s="1"/>
  <c r="B67" i="1"/>
  <c r="C67" i="1"/>
  <c r="D67" i="1"/>
  <c r="C66" i="1"/>
  <c r="D66" i="1"/>
  <c r="B66" i="1"/>
  <c r="G64" i="1"/>
  <c r="F40" i="3" s="1"/>
  <c r="H64" i="1"/>
  <c r="G40" i="3" s="1"/>
  <c r="I64" i="1"/>
  <c r="K64" i="1"/>
  <c r="L64" i="1"/>
  <c r="K40" i="3" s="1"/>
  <c r="M64" i="1"/>
  <c r="N64" i="1"/>
  <c r="O64" i="1"/>
  <c r="O44" i="1" s="1"/>
  <c r="F64" i="1"/>
  <c r="E40" i="3" s="1"/>
  <c r="E65" i="1"/>
  <c r="E45" i="1" s="1"/>
  <c r="J65" i="1"/>
  <c r="B65" i="1"/>
  <c r="C65" i="1"/>
  <c r="D65" i="1"/>
  <c r="C64" i="1"/>
  <c r="D64" i="1"/>
  <c r="B64" i="1"/>
  <c r="E41" i="3"/>
  <c r="F41" i="3"/>
  <c r="G41" i="3"/>
  <c r="H41" i="3"/>
  <c r="J41" i="3"/>
  <c r="K41" i="3"/>
  <c r="L41" i="3"/>
  <c r="M41" i="3"/>
  <c r="N41" i="3"/>
  <c r="E38" i="3"/>
  <c r="F38" i="3"/>
  <c r="G38" i="3"/>
  <c r="H38" i="3"/>
  <c r="J38" i="3"/>
  <c r="K38" i="3"/>
  <c r="L38" i="3"/>
  <c r="M38" i="3"/>
  <c r="N38" i="3"/>
  <c r="G61" i="1"/>
  <c r="H61" i="1"/>
  <c r="F61" i="1"/>
  <c r="J62" i="1"/>
  <c r="I38" i="3" s="1"/>
  <c r="E62" i="1"/>
  <c r="D38" i="3" s="1"/>
  <c r="E56" i="3"/>
  <c r="F56" i="3"/>
  <c r="G56" i="3"/>
  <c r="H56" i="3"/>
  <c r="J56" i="3"/>
  <c r="K56" i="3"/>
  <c r="L56" i="3"/>
  <c r="M56" i="3"/>
  <c r="N56" i="3"/>
  <c r="E55" i="3"/>
  <c r="F55" i="3"/>
  <c r="G55" i="3"/>
  <c r="H55" i="3"/>
  <c r="J55" i="3"/>
  <c r="K55" i="3"/>
  <c r="L55" i="3"/>
  <c r="M55" i="3"/>
  <c r="N55" i="3"/>
  <c r="J79" i="1"/>
  <c r="I56" i="3" s="1"/>
  <c r="E79" i="1"/>
  <c r="D56" i="3" s="1"/>
  <c r="J78" i="1"/>
  <c r="I55" i="3" s="1"/>
  <c r="E78" i="1"/>
  <c r="D79" i="1"/>
  <c r="C78" i="1"/>
  <c r="D78" i="1"/>
  <c r="B78" i="1"/>
  <c r="E39" i="3"/>
  <c r="F39" i="3"/>
  <c r="G39" i="3"/>
  <c r="H39" i="3"/>
  <c r="J39" i="3"/>
  <c r="K39" i="3"/>
  <c r="L39" i="3"/>
  <c r="M39" i="3"/>
  <c r="N39" i="3"/>
  <c r="H37" i="3"/>
  <c r="J37" i="3"/>
  <c r="K37" i="3"/>
  <c r="L37" i="3"/>
  <c r="M37" i="3"/>
  <c r="N37" i="3"/>
  <c r="D61" i="1"/>
  <c r="J63" i="1"/>
  <c r="E63" i="1"/>
  <c r="E54" i="1" s="1"/>
  <c r="E272" i="1" s="1"/>
  <c r="J61" i="1"/>
  <c r="I37" i="3" s="1"/>
  <c r="C61" i="1"/>
  <c r="B61" i="1"/>
  <c r="E153" i="3" l="1"/>
  <c r="F171" i="1"/>
  <c r="H49" i="3"/>
  <c r="E72" i="1"/>
  <c r="J45" i="1"/>
  <c r="G31" i="3"/>
  <c r="G217" i="3" s="1"/>
  <c r="H295" i="1" s="1"/>
  <c r="H31" i="3"/>
  <c r="H217" i="3" s="1"/>
  <c r="I295" i="1" s="1"/>
  <c r="L31" i="3"/>
  <c r="L217" i="3" s="1"/>
  <c r="M295" i="1" s="1"/>
  <c r="G44" i="1"/>
  <c r="H44" i="1"/>
  <c r="E61" i="1"/>
  <c r="D37" i="3" s="1"/>
  <c r="F44" i="1"/>
  <c r="N44" i="1"/>
  <c r="M44" i="1"/>
  <c r="K44" i="1"/>
  <c r="I44" i="1"/>
  <c r="F31" i="3"/>
  <c r="F217" i="3" s="1"/>
  <c r="G295" i="1" s="1"/>
  <c r="E31" i="3"/>
  <c r="E217" i="3" s="1"/>
  <c r="F295" i="1" s="1"/>
  <c r="J54" i="1"/>
  <c r="J272" i="1" s="1"/>
  <c r="J31" i="3"/>
  <c r="J217" i="3" s="1"/>
  <c r="K295" i="1" s="1"/>
  <c r="K31" i="3"/>
  <c r="K217" i="3" s="1"/>
  <c r="L295" i="1" s="1"/>
  <c r="N31" i="3"/>
  <c r="N217" i="3" s="1"/>
  <c r="O295" i="1" s="1"/>
  <c r="M31" i="3"/>
  <c r="M217" i="3" s="1"/>
  <c r="N295" i="1" s="1"/>
  <c r="N20" i="3"/>
  <c r="M20" i="3"/>
  <c r="L20" i="3"/>
  <c r="K20" i="3"/>
  <c r="J20" i="3"/>
  <c r="H20" i="3"/>
  <c r="G20" i="3"/>
  <c r="F20" i="3"/>
  <c r="E20" i="3"/>
  <c r="J64" i="1"/>
  <c r="I40" i="3" s="1"/>
  <c r="M40" i="3"/>
  <c r="H40" i="3"/>
  <c r="E37" i="3"/>
  <c r="P142" i="1"/>
  <c r="O115" i="3" s="1"/>
  <c r="K91" i="3"/>
  <c r="G91" i="3"/>
  <c r="N91" i="3"/>
  <c r="J91" i="3"/>
  <c r="F91" i="3"/>
  <c r="F122" i="1"/>
  <c r="F273" i="1" s="1"/>
  <c r="D102" i="3"/>
  <c r="M91" i="3"/>
  <c r="I91" i="3"/>
  <c r="E124" i="3"/>
  <c r="E91" i="3" s="1"/>
  <c r="E218" i="3" s="1"/>
  <c r="L91" i="3"/>
  <c r="H91" i="3"/>
  <c r="O124" i="3"/>
  <c r="P72" i="1"/>
  <c r="O49" i="3" s="1"/>
  <c r="E49" i="3"/>
  <c r="D124" i="3"/>
  <c r="P133" i="1"/>
  <c r="O101" i="3" s="1"/>
  <c r="E122" i="1"/>
  <c r="E273" i="1" s="1"/>
  <c r="D103" i="3"/>
  <c r="P141" i="1"/>
  <c r="O114" i="3" s="1"/>
  <c r="D100" i="3"/>
  <c r="P73" i="1"/>
  <c r="O50" i="3" s="1"/>
  <c r="P78" i="1"/>
  <c r="O55" i="3" s="1"/>
  <c r="J40" i="3"/>
  <c r="N40" i="3"/>
  <c r="D55" i="3"/>
  <c r="E66" i="1"/>
  <c r="P65" i="1"/>
  <c r="D43" i="3"/>
  <c r="L40" i="3"/>
  <c r="E64" i="1"/>
  <c r="I41" i="3"/>
  <c r="I20" i="3" s="1"/>
  <c r="D41" i="3"/>
  <c r="G37" i="3"/>
  <c r="F37" i="3"/>
  <c r="P62" i="1"/>
  <c r="O38" i="3" s="1"/>
  <c r="D39" i="3"/>
  <c r="P79" i="1"/>
  <c r="O56" i="3" s="1"/>
  <c r="P63" i="1"/>
  <c r="I39" i="3"/>
  <c r="P61" i="1" l="1"/>
  <c r="O37" i="3" s="1"/>
  <c r="J218" i="3"/>
  <c r="K296" i="1" s="1"/>
  <c r="G218" i="3"/>
  <c r="H296" i="1" s="1"/>
  <c r="H218" i="3"/>
  <c r="I296" i="1" s="1"/>
  <c r="L218" i="3"/>
  <c r="M296" i="1" s="1"/>
  <c r="F218" i="3"/>
  <c r="G296" i="1" s="1"/>
  <c r="K218" i="3"/>
  <c r="L296" i="1" s="1"/>
  <c r="I218" i="3"/>
  <c r="J296" i="1" s="1"/>
  <c r="N218" i="3"/>
  <c r="O296" i="1" s="1"/>
  <c r="M218" i="3"/>
  <c r="N296" i="1" s="1"/>
  <c r="F296" i="1"/>
  <c r="P54" i="1"/>
  <c r="P272" i="1" s="1"/>
  <c r="D20" i="3"/>
  <c r="D31" i="3"/>
  <c r="D217" i="3" s="1"/>
  <c r="E295" i="1" s="1"/>
  <c r="I31" i="3"/>
  <c r="I217" i="3" s="1"/>
  <c r="J295" i="1" s="1"/>
  <c r="P45" i="1"/>
  <c r="D49" i="3"/>
  <c r="O91" i="3"/>
  <c r="O218" i="3" s="1"/>
  <c r="D91" i="3"/>
  <c r="P122" i="1"/>
  <c r="P273" i="1" s="1"/>
  <c r="D42" i="3"/>
  <c r="P66" i="1"/>
  <c r="O42" i="3" s="1"/>
  <c r="D40" i="3"/>
  <c r="P64" i="1"/>
  <c r="O40" i="3" s="1"/>
  <c r="O41" i="3"/>
  <c r="O20" i="3" s="1"/>
  <c r="O39" i="3"/>
  <c r="D218" i="3" l="1"/>
  <c r="E296" i="1" s="1"/>
  <c r="P296" i="1"/>
  <c r="O31" i="3"/>
  <c r="O217" i="3" s="1"/>
  <c r="P295" i="1" s="1"/>
  <c r="I184" i="1"/>
  <c r="I171" i="1" s="1"/>
  <c r="H184" i="1"/>
  <c r="H171" i="1" s="1"/>
  <c r="H149" i="3" l="1"/>
  <c r="G149" i="3"/>
  <c r="D153" i="1"/>
  <c r="C262" i="1"/>
  <c r="D268" i="1"/>
  <c r="C268" i="1"/>
  <c r="B268" i="1"/>
  <c r="C265" i="1"/>
  <c r="D265" i="1"/>
  <c r="B265" i="1"/>
  <c r="C206" i="1"/>
  <c r="D206" i="1"/>
  <c r="B206" i="1"/>
  <c r="C204" i="1"/>
  <c r="B204" i="1"/>
  <c r="D178" i="1"/>
  <c r="C178" i="1"/>
  <c r="B178" i="1"/>
  <c r="D163" i="1"/>
  <c r="C163" i="1"/>
  <c r="B163" i="1"/>
  <c r="D158" i="1"/>
  <c r="C157" i="1"/>
  <c r="C158" i="1"/>
  <c r="B158" i="1"/>
  <c r="D157" i="1"/>
  <c r="B157" i="1"/>
  <c r="D104" i="1"/>
  <c r="C104" i="1"/>
  <c r="B104" i="1"/>
  <c r="D103" i="1"/>
  <c r="C103" i="1"/>
  <c r="B103" i="1"/>
  <c r="C102" i="1"/>
  <c r="B102" i="1"/>
  <c r="D101" i="1"/>
  <c r="C101" i="1"/>
  <c r="B101" i="1"/>
  <c r="B100" i="1"/>
  <c r="D80" i="1"/>
  <c r="C77" i="1"/>
  <c r="C80" i="1"/>
  <c r="B80" i="1"/>
  <c r="D76" i="1"/>
  <c r="D77" i="1"/>
  <c r="C76" i="1"/>
  <c r="B76" i="1"/>
  <c r="B77" i="1"/>
  <c r="D75" i="1"/>
  <c r="C75" i="1"/>
  <c r="B75" i="1"/>
  <c r="C69" i="1"/>
  <c r="D69" i="1"/>
  <c r="B69" i="1"/>
  <c r="C68" i="1"/>
  <c r="D68" i="1"/>
  <c r="B68" i="1"/>
  <c r="C60" i="1"/>
  <c r="D60" i="1"/>
  <c r="B60" i="1"/>
  <c r="D59" i="1"/>
  <c r="C59" i="1"/>
  <c r="B59" i="1"/>
  <c r="D25" i="1"/>
  <c r="C25" i="1"/>
  <c r="B24" i="1"/>
  <c r="D23" i="1"/>
  <c r="C23" i="1"/>
  <c r="B23" i="1"/>
  <c r="G259" i="1" l="1"/>
  <c r="F259" i="1"/>
  <c r="G126" i="1"/>
  <c r="G121" i="1" s="1"/>
  <c r="F126" i="1"/>
  <c r="F121" i="1" s="1"/>
  <c r="G162" i="1" l="1"/>
  <c r="G161" i="1" s="1"/>
  <c r="F162" i="1"/>
  <c r="F161" i="1" s="1"/>
  <c r="G156" i="1"/>
  <c r="G155" i="1" s="1"/>
  <c r="F156" i="1"/>
  <c r="F155" i="1" s="1"/>
  <c r="G239" i="1" l="1"/>
  <c r="F239" i="1"/>
  <c r="L69" i="1"/>
  <c r="L44" i="1" s="1"/>
  <c r="J69" i="1" l="1"/>
  <c r="F258" i="1"/>
  <c r="G258" i="1"/>
  <c r="H258" i="1"/>
  <c r="I258" i="1"/>
  <c r="K258" i="1"/>
  <c r="L258" i="1"/>
  <c r="M258" i="1"/>
  <c r="N258" i="1"/>
  <c r="O258" i="1"/>
  <c r="F249" i="1"/>
  <c r="G249" i="1"/>
  <c r="H249" i="1"/>
  <c r="I249" i="1"/>
  <c r="K249" i="1"/>
  <c r="L249" i="1"/>
  <c r="M249" i="1"/>
  <c r="N249" i="1"/>
  <c r="O249" i="1"/>
  <c r="F245" i="1"/>
  <c r="G245" i="1"/>
  <c r="H245" i="1"/>
  <c r="I245" i="1"/>
  <c r="K245" i="1"/>
  <c r="L245" i="1"/>
  <c r="M245" i="1"/>
  <c r="N245" i="1"/>
  <c r="O245" i="1"/>
  <c r="F241" i="1"/>
  <c r="G241" i="1"/>
  <c r="H241" i="1"/>
  <c r="I241" i="1"/>
  <c r="L241" i="1"/>
  <c r="M241" i="1"/>
  <c r="N241" i="1"/>
  <c r="G16" i="1"/>
  <c r="H16" i="1"/>
  <c r="I16" i="1"/>
  <c r="K16" i="1"/>
  <c r="L16" i="1"/>
  <c r="M16" i="1"/>
  <c r="N16" i="1"/>
  <c r="O16" i="1"/>
  <c r="N202" i="3"/>
  <c r="M202" i="3"/>
  <c r="L202" i="3"/>
  <c r="K202" i="3"/>
  <c r="J202" i="3"/>
  <c r="H202" i="3"/>
  <c r="G202" i="3"/>
  <c r="F202" i="3"/>
  <c r="E202" i="3"/>
  <c r="N190" i="3"/>
  <c r="M190" i="3"/>
  <c r="L190" i="3"/>
  <c r="K190" i="3"/>
  <c r="J190" i="3"/>
  <c r="H190" i="3"/>
  <c r="G190" i="3"/>
  <c r="F190" i="3"/>
  <c r="E190" i="3"/>
  <c r="E185" i="3"/>
  <c r="F185" i="3"/>
  <c r="G185" i="3"/>
  <c r="H185" i="3"/>
  <c r="J185" i="3"/>
  <c r="K185" i="3"/>
  <c r="L185" i="3"/>
  <c r="M185" i="3"/>
  <c r="N185" i="3"/>
  <c r="E184" i="3"/>
  <c r="F184" i="3"/>
  <c r="G184" i="3"/>
  <c r="H184" i="3"/>
  <c r="K184" i="3"/>
  <c r="L184" i="3"/>
  <c r="M184" i="3"/>
  <c r="E177" i="3"/>
  <c r="F177" i="3"/>
  <c r="G177" i="3"/>
  <c r="H177" i="3"/>
  <c r="J177" i="3"/>
  <c r="K177" i="3"/>
  <c r="L177" i="3"/>
  <c r="M177" i="3"/>
  <c r="N177" i="3"/>
  <c r="E175" i="3"/>
  <c r="F175" i="3"/>
  <c r="G175" i="3"/>
  <c r="H175" i="3"/>
  <c r="J175" i="3"/>
  <c r="K175" i="3"/>
  <c r="L175" i="3"/>
  <c r="M175" i="3"/>
  <c r="N175" i="3"/>
  <c r="E166" i="3"/>
  <c r="F166" i="3"/>
  <c r="G166" i="3"/>
  <c r="H166" i="3"/>
  <c r="J166" i="3"/>
  <c r="K166" i="3"/>
  <c r="L166" i="3"/>
  <c r="M166" i="3"/>
  <c r="N166" i="3"/>
  <c r="F151" i="3"/>
  <c r="G151" i="3"/>
  <c r="H151" i="3"/>
  <c r="J151" i="3"/>
  <c r="K151" i="3"/>
  <c r="L151" i="3"/>
  <c r="M151" i="3"/>
  <c r="N151" i="3"/>
  <c r="E121" i="3"/>
  <c r="F121" i="3"/>
  <c r="G121" i="3"/>
  <c r="H121" i="3"/>
  <c r="J121" i="3"/>
  <c r="K121" i="3"/>
  <c r="L121" i="3"/>
  <c r="M121" i="3"/>
  <c r="N121" i="3"/>
  <c r="E18" i="3"/>
  <c r="F18" i="3"/>
  <c r="G18" i="3"/>
  <c r="H18" i="3"/>
  <c r="J18" i="3"/>
  <c r="K18" i="3"/>
  <c r="L18" i="3"/>
  <c r="M18" i="3"/>
  <c r="N18" i="3"/>
  <c r="K120" i="1" l="1"/>
  <c r="H15" i="1"/>
  <c r="I15" i="1"/>
  <c r="L15" i="1"/>
  <c r="M15" i="1"/>
  <c r="G15" i="1"/>
  <c r="K15" i="1"/>
  <c r="N15" i="1"/>
  <c r="O15" i="1"/>
  <c r="F123" i="1" l="1"/>
  <c r="G123" i="1"/>
  <c r="H123" i="1"/>
  <c r="I123" i="1"/>
  <c r="K123" i="1"/>
  <c r="L123" i="1"/>
  <c r="M123" i="1"/>
  <c r="N123" i="1"/>
  <c r="O123" i="1"/>
  <c r="N270" i="1" l="1"/>
  <c r="N271" i="1"/>
  <c r="I271" i="1"/>
  <c r="I270" i="1"/>
  <c r="O270" i="1"/>
  <c r="O271" i="1"/>
  <c r="M271" i="1"/>
  <c r="M270" i="1"/>
  <c r="L271" i="1"/>
  <c r="L270" i="1"/>
  <c r="K271" i="1"/>
  <c r="K270" i="1"/>
  <c r="H271" i="1"/>
  <c r="H270" i="1"/>
  <c r="G271" i="1"/>
  <c r="G270" i="1"/>
  <c r="F270" i="1"/>
  <c r="F271" i="1"/>
  <c r="J136" i="1"/>
  <c r="E192" i="3" l="1"/>
  <c r="F192" i="3"/>
  <c r="G192" i="3"/>
  <c r="H192" i="3"/>
  <c r="J192" i="3"/>
  <c r="K192" i="3"/>
  <c r="L192" i="3"/>
  <c r="M192" i="3"/>
  <c r="N192" i="3"/>
  <c r="C255" i="1"/>
  <c r="D255" i="1"/>
  <c r="B255" i="1"/>
  <c r="J255" i="1"/>
  <c r="E255" i="1"/>
  <c r="E113" i="3"/>
  <c r="F113" i="3"/>
  <c r="G113" i="3"/>
  <c r="H113" i="3"/>
  <c r="J113" i="3"/>
  <c r="K113" i="3"/>
  <c r="L113" i="3"/>
  <c r="M113" i="3"/>
  <c r="N113" i="3"/>
  <c r="J140" i="1"/>
  <c r="I113" i="3" s="1"/>
  <c r="E140" i="1"/>
  <c r="D113" i="3" s="1"/>
  <c r="H122" i="3"/>
  <c r="J122" i="3"/>
  <c r="K122" i="3"/>
  <c r="L122" i="3"/>
  <c r="M122" i="3"/>
  <c r="N122" i="3"/>
  <c r="E108" i="3"/>
  <c r="F108" i="3"/>
  <c r="G108" i="3"/>
  <c r="H108" i="3"/>
  <c r="J108" i="3"/>
  <c r="K108" i="3"/>
  <c r="L108" i="3"/>
  <c r="M108" i="3"/>
  <c r="N108" i="3"/>
  <c r="C137" i="1"/>
  <c r="D137" i="1"/>
  <c r="B137" i="1"/>
  <c r="J137" i="1"/>
  <c r="I108" i="3" s="1"/>
  <c r="E137" i="1"/>
  <c r="D108" i="3" s="1"/>
  <c r="P255" i="1" l="1"/>
  <c r="F122" i="3"/>
  <c r="E122" i="3"/>
  <c r="G122" i="3"/>
  <c r="P140" i="1"/>
  <c r="O113" i="3" s="1"/>
  <c r="P137" i="1"/>
  <c r="O108" i="3" s="1"/>
  <c r="F16" i="1"/>
  <c r="F15" i="1" s="1"/>
  <c r="E186" i="1"/>
  <c r="D152" i="3" s="1"/>
  <c r="C186" i="1"/>
  <c r="D186" i="1"/>
  <c r="B186" i="1"/>
  <c r="J186" i="1"/>
  <c r="I152" i="3" s="1"/>
  <c r="P186" i="1" l="1"/>
  <c r="O152" i="3" s="1"/>
  <c r="J26" i="1"/>
  <c r="E125" i="3" l="1"/>
  <c r="E92" i="3" s="1"/>
  <c r="F125" i="3"/>
  <c r="F92" i="3" s="1"/>
  <c r="G125" i="3"/>
  <c r="G92" i="3" s="1"/>
  <c r="H125" i="3"/>
  <c r="H92" i="3" s="1"/>
  <c r="J125" i="3"/>
  <c r="J92" i="3" s="1"/>
  <c r="K125" i="3"/>
  <c r="K92" i="3" s="1"/>
  <c r="L125" i="3"/>
  <c r="L92" i="3" s="1"/>
  <c r="M125" i="3"/>
  <c r="M92" i="3" s="1"/>
  <c r="N125" i="3"/>
  <c r="N92" i="3" s="1"/>
  <c r="J123" i="1"/>
  <c r="E151" i="1"/>
  <c r="E123" i="1" s="1"/>
  <c r="J271" i="1" l="1"/>
  <c r="J270" i="1"/>
  <c r="E270" i="1"/>
  <c r="E271" i="1"/>
  <c r="M216" i="3"/>
  <c r="N294" i="1" s="1"/>
  <c r="M215" i="3"/>
  <c r="N293" i="1" s="1"/>
  <c r="N216" i="3"/>
  <c r="O294" i="1" s="1"/>
  <c r="N215" i="3"/>
  <c r="O293" i="1" s="1"/>
  <c r="H216" i="3"/>
  <c r="I294" i="1" s="1"/>
  <c r="H215" i="3"/>
  <c r="I293" i="1" s="1"/>
  <c r="L216" i="3"/>
  <c r="M294" i="1" s="1"/>
  <c r="L215" i="3"/>
  <c r="M293" i="1" s="1"/>
  <c r="K216" i="3"/>
  <c r="L294" i="1" s="1"/>
  <c r="K215" i="3"/>
  <c r="L293" i="1" s="1"/>
  <c r="J215" i="3"/>
  <c r="K293" i="1" s="1"/>
  <c r="J216" i="3"/>
  <c r="K294" i="1" s="1"/>
  <c r="G215" i="3"/>
  <c r="H293" i="1" s="1"/>
  <c r="G216" i="3"/>
  <c r="H294" i="1" s="1"/>
  <c r="F215" i="3"/>
  <c r="G293" i="1" s="1"/>
  <c r="F216" i="3"/>
  <c r="G294" i="1" s="1"/>
  <c r="E215" i="3"/>
  <c r="F293" i="1" s="1"/>
  <c r="E216" i="3"/>
  <c r="F294" i="1" s="1"/>
  <c r="D125" i="3"/>
  <c r="D92" i="3" s="1"/>
  <c r="I125" i="3"/>
  <c r="I92" i="3" s="1"/>
  <c r="P151" i="1"/>
  <c r="P123" i="1" s="1"/>
  <c r="P271" i="1" l="1"/>
  <c r="P270" i="1"/>
  <c r="I216" i="3"/>
  <c r="J294" i="1" s="1"/>
  <c r="I215" i="3"/>
  <c r="J293" i="1" s="1"/>
  <c r="D216" i="3"/>
  <c r="D215" i="3"/>
  <c r="E293" i="1" s="1"/>
  <c r="E294" i="1"/>
  <c r="O125" i="3"/>
  <c r="O92" i="3" s="1"/>
  <c r="O216" i="3" l="1"/>
  <c r="O215" i="3"/>
  <c r="P293" i="1" s="1"/>
  <c r="P294" i="1"/>
  <c r="C201" i="1"/>
  <c r="D201" i="1"/>
  <c r="B201" i="1"/>
  <c r="E178" i="3"/>
  <c r="E174" i="3" s="1"/>
  <c r="F178" i="3"/>
  <c r="F174" i="3" s="1"/>
  <c r="G178" i="3"/>
  <c r="G174" i="3" s="1"/>
  <c r="H178" i="3"/>
  <c r="H174" i="3" s="1"/>
  <c r="J178" i="3"/>
  <c r="J174" i="3" s="1"/>
  <c r="K178" i="3"/>
  <c r="K174" i="3" s="1"/>
  <c r="L178" i="3"/>
  <c r="L174" i="3" s="1"/>
  <c r="M178" i="3"/>
  <c r="M174" i="3" s="1"/>
  <c r="N178" i="3"/>
  <c r="N174" i="3" s="1"/>
  <c r="E200" i="1"/>
  <c r="C200" i="1"/>
  <c r="D200" i="1"/>
  <c r="B200" i="1"/>
  <c r="J201" i="1"/>
  <c r="I178" i="3" s="1"/>
  <c r="E201" i="1"/>
  <c r="J200" i="1"/>
  <c r="J198" i="1"/>
  <c r="I175" i="3" s="1"/>
  <c r="E198" i="1"/>
  <c r="D175" i="3" s="1"/>
  <c r="C198" i="1"/>
  <c r="D198" i="1"/>
  <c r="B198" i="1"/>
  <c r="J187" i="1"/>
  <c r="I153" i="3" s="1"/>
  <c r="E187" i="1"/>
  <c r="D153" i="3" s="1"/>
  <c r="C187" i="1"/>
  <c r="B187" i="1"/>
  <c r="E146" i="3"/>
  <c r="F146" i="3"/>
  <c r="G146" i="3"/>
  <c r="H146" i="3"/>
  <c r="J146" i="3"/>
  <c r="K146" i="3"/>
  <c r="L146" i="3"/>
  <c r="M146" i="3"/>
  <c r="N146" i="3"/>
  <c r="J181" i="1"/>
  <c r="I146" i="3" s="1"/>
  <c r="E181" i="1"/>
  <c r="C181" i="1"/>
  <c r="D181" i="1"/>
  <c r="B181" i="1"/>
  <c r="E139" i="1"/>
  <c r="E138" i="1"/>
  <c r="P138" i="1" s="1"/>
  <c r="O111" i="3" s="1"/>
  <c r="C138" i="1"/>
  <c r="D138" i="1"/>
  <c r="B138" i="1"/>
  <c r="E111" i="3"/>
  <c r="F111" i="3"/>
  <c r="G111" i="3"/>
  <c r="H111" i="3"/>
  <c r="I111" i="3"/>
  <c r="J111" i="3"/>
  <c r="K111" i="3"/>
  <c r="L111" i="3"/>
  <c r="M111" i="3"/>
  <c r="N111" i="3"/>
  <c r="D177" i="3" l="1"/>
  <c r="I177" i="3"/>
  <c r="I174" i="3" s="1"/>
  <c r="P201" i="1"/>
  <c r="O178" i="3" s="1"/>
  <c r="P198" i="1"/>
  <c r="O175" i="3" s="1"/>
  <c r="P200" i="1"/>
  <c r="P181" i="1"/>
  <c r="O146" i="3" s="1"/>
  <c r="D146" i="3"/>
  <c r="P187" i="1"/>
  <c r="O153" i="3" s="1"/>
  <c r="D178" i="3"/>
  <c r="D111" i="3"/>
  <c r="D174" i="3" l="1"/>
  <c r="O177" i="3"/>
  <c r="O174" i="3" s="1"/>
  <c r="D129" i="1"/>
  <c r="D136" i="1"/>
  <c r="D149" i="1"/>
  <c r="D239" i="1"/>
  <c r="D215" i="1"/>
  <c r="D177" i="1"/>
  <c r="D162" i="1"/>
  <c r="D156" i="1"/>
  <c r="D126" i="1"/>
  <c r="D108" i="1"/>
  <c r="D56" i="1"/>
  <c r="D18" i="1"/>
  <c r="H17" i="3" l="1"/>
  <c r="K17" i="3"/>
  <c r="L17" i="3"/>
  <c r="M17" i="3"/>
  <c r="F35" i="3"/>
  <c r="H35" i="3"/>
  <c r="J35" i="3"/>
  <c r="K35" i="3"/>
  <c r="L35" i="3"/>
  <c r="M35" i="3"/>
  <c r="N35" i="3"/>
  <c r="F123" i="3"/>
  <c r="G123" i="3"/>
  <c r="H123" i="3"/>
  <c r="J123" i="3"/>
  <c r="K123" i="3"/>
  <c r="L123" i="3"/>
  <c r="M123" i="3"/>
  <c r="N123" i="3"/>
  <c r="F131" i="3"/>
  <c r="G131" i="3"/>
  <c r="H131" i="3"/>
  <c r="J131" i="3"/>
  <c r="K131" i="3"/>
  <c r="L131" i="3"/>
  <c r="M131" i="3"/>
  <c r="N131" i="3"/>
  <c r="G129" i="3"/>
  <c r="H129" i="3"/>
  <c r="K129" i="3"/>
  <c r="L129" i="3"/>
  <c r="M129" i="3"/>
  <c r="F180" i="3"/>
  <c r="G180" i="3"/>
  <c r="H180" i="3"/>
  <c r="K180" i="3"/>
  <c r="L180" i="3"/>
  <c r="M180" i="3"/>
  <c r="E188" i="3"/>
  <c r="F188" i="3"/>
  <c r="G188" i="3"/>
  <c r="H188" i="3"/>
  <c r="J188" i="3"/>
  <c r="K188" i="3"/>
  <c r="L188" i="3"/>
  <c r="M188" i="3"/>
  <c r="N188" i="3"/>
  <c r="E189" i="3"/>
  <c r="F189" i="3"/>
  <c r="G189" i="3"/>
  <c r="H189" i="3"/>
  <c r="J189" i="3"/>
  <c r="K189" i="3"/>
  <c r="L189" i="3"/>
  <c r="M189" i="3"/>
  <c r="N189" i="3"/>
  <c r="E186" i="3"/>
  <c r="F186" i="3"/>
  <c r="G186" i="3"/>
  <c r="H186" i="3"/>
  <c r="J186" i="3"/>
  <c r="K186" i="3"/>
  <c r="L186" i="3"/>
  <c r="M186" i="3"/>
  <c r="N186" i="3"/>
  <c r="F193" i="3"/>
  <c r="G193" i="3"/>
  <c r="H193" i="3"/>
  <c r="J193" i="3"/>
  <c r="K193" i="3"/>
  <c r="L193" i="3"/>
  <c r="M193" i="3"/>
  <c r="N193" i="3"/>
  <c r="F213" i="3"/>
  <c r="G213" i="3"/>
  <c r="H213" i="3"/>
  <c r="K213" i="3"/>
  <c r="L213" i="3"/>
  <c r="M213" i="3"/>
  <c r="C228" i="1" l="1"/>
  <c r="D228" i="1"/>
  <c r="B228" i="1"/>
  <c r="E150" i="3"/>
  <c r="F150" i="3"/>
  <c r="G150" i="3"/>
  <c r="H150" i="3"/>
  <c r="J150" i="3"/>
  <c r="K150" i="3"/>
  <c r="L150" i="3"/>
  <c r="M150" i="3"/>
  <c r="N150" i="3"/>
  <c r="D242" i="1"/>
  <c r="D246" i="1"/>
  <c r="D250" i="1"/>
  <c r="D259" i="1"/>
  <c r="C42" i="1" l="1"/>
  <c r="D42" i="1"/>
  <c r="B42" i="1"/>
  <c r="F211" i="3" l="1"/>
  <c r="F210" i="3" s="1"/>
  <c r="G211" i="3"/>
  <c r="G210" i="3" s="1"/>
  <c r="H211" i="3"/>
  <c r="H210" i="3" s="1"/>
  <c r="K211" i="3"/>
  <c r="K210" i="3" s="1"/>
  <c r="L211" i="3"/>
  <c r="L210" i="3" s="1"/>
  <c r="M211" i="3"/>
  <c r="M210" i="3" s="1"/>
  <c r="J265" i="1"/>
  <c r="E211" i="3" l="1"/>
  <c r="E213" i="3" l="1"/>
  <c r="E210" i="3" s="1"/>
  <c r="N213" i="3" l="1"/>
  <c r="J213" i="3"/>
  <c r="G35" i="3" l="1"/>
  <c r="E35" i="3"/>
  <c r="J180" i="3"/>
  <c r="E180" i="3"/>
  <c r="N180" i="3" l="1"/>
  <c r="E123" i="3" l="1"/>
  <c r="N211" i="3" l="1"/>
  <c r="N210" i="3" s="1"/>
  <c r="J211" i="3"/>
  <c r="J210" i="3" s="1"/>
  <c r="F17" i="3" l="1"/>
  <c r="E17" i="3"/>
  <c r="G17" i="3" l="1"/>
  <c r="J129" i="3" l="1"/>
  <c r="N129" i="3"/>
  <c r="E136" i="1" l="1"/>
  <c r="J163" i="1" l="1"/>
  <c r="J268" i="1" l="1"/>
  <c r="E129" i="3" l="1"/>
  <c r="E242" i="1" l="1"/>
  <c r="E18" i="1"/>
  <c r="J164" i="1" l="1"/>
  <c r="E131" i="3" l="1"/>
  <c r="E193" i="3"/>
  <c r="F129" i="3" l="1"/>
  <c r="J32" i="1" l="1"/>
  <c r="I180" i="3" s="1"/>
  <c r="I160" i="1" l="1"/>
  <c r="E148" i="3" l="1"/>
  <c r="F148" i="3"/>
  <c r="G148" i="3"/>
  <c r="H148" i="3"/>
  <c r="J148" i="3"/>
  <c r="K148" i="3"/>
  <c r="L148" i="3"/>
  <c r="M148" i="3"/>
  <c r="N148" i="3"/>
  <c r="I170" i="1"/>
  <c r="G170" i="1"/>
  <c r="H170" i="1"/>
  <c r="F170" i="1" l="1"/>
  <c r="E183" i="1" l="1"/>
  <c r="E261" i="1" l="1"/>
  <c r="E268" i="1"/>
  <c r="P268" i="1" l="1"/>
  <c r="E267" i="1"/>
  <c r="E266" i="1" s="1"/>
  <c r="F267" i="1"/>
  <c r="F266" i="1" s="1"/>
  <c r="G267" i="1"/>
  <c r="G266" i="1" s="1"/>
  <c r="H267" i="1"/>
  <c r="H266" i="1" s="1"/>
  <c r="I267" i="1"/>
  <c r="I266" i="1" s="1"/>
  <c r="J267" i="1"/>
  <c r="J266" i="1" s="1"/>
  <c r="K267" i="1"/>
  <c r="K266" i="1" s="1"/>
  <c r="L267" i="1"/>
  <c r="L266" i="1" s="1"/>
  <c r="M267" i="1"/>
  <c r="M266" i="1" s="1"/>
  <c r="N267" i="1"/>
  <c r="N266" i="1" s="1"/>
  <c r="O267" i="1"/>
  <c r="O266" i="1" s="1"/>
  <c r="P266" i="1" l="1"/>
  <c r="P267" i="1"/>
  <c r="E57" i="1" l="1"/>
  <c r="D33" i="3" s="1"/>
  <c r="E58" i="1"/>
  <c r="D34" i="3" s="1"/>
  <c r="E59" i="1"/>
  <c r="D35" i="3" s="1"/>
  <c r="E60" i="1"/>
  <c r="E68" i="1"/>
  <c r="E69" i="1"/>
  <c r="E75" i="1"/>
  <c r="D52" i="3" s="1"/>
  <c r="E76" i="1"/>
  <c r="E77" i="1"/>
  <c r="E80" i="1"/>
  <c r="E100" i="1"/>
  <c r="E101" i="1"/>
  <c r="E102" i="1"/>
  <c r="E103" i="1"/>
  <c r="E104" i="1"/>
  <c r="E56" i="1"/>
  <c r="E44" i="1" l="1"/>
  <c r="E162" i="1"/>
  <c r="E163" i="1"/>
  <c r="E164" i="1"/>
  <c r="E165" i="1"/>
  <c r="D129" i="3" s="1"/>
  <c r="E166" i="1"/>
  <c r="E167" i="1"/>
  <c r="D131" i="3" s="1"/>
  <c r="J102" i="1" l="1"/>
  <c r="E228" i="1" l="1"/>
  <c r="D150" i="3" s="1"/>
  <c r="J100" i="1" l="1"/>
  <c r="E203" i="3" l="1"/>
  <c r="F203" i="3"/>
  <c r="H203" i="3"/>
  <c r="J203" i="3"/>
  <c r="K203" i="3"/>
  <c r="L203" i="3"/>
  <c r="M203" i="3"/>
  <c r="N203" i="3"/>
  <c r="J103" i="1"/>
  <c r="P103" i="1" l="1"/>
  <c r="J203" i="1"/>
  <c r="I190" i="3" s="1"/>
  <c r="J194" i="1"/>
  <c r="I169" i="3" l="1"/>
  <c r="F205" i="3"/>
  <c r="G205" i="3"/>
  <c r="H205" i="3"/>
  <c r="J205" i="3"/>
  <c r="K205" i="3"/>
  <c r="L205" i="3"/>
  <c r="M205" i="3"/>
  <c r="N205" i="3"/>
  <c r="E203" i="1"/>
  <c r="D190" i="3" s="1"/>
  <c r="P203" i="1" l="1"/>
  <c r="O190" i="3" s="1"/>
  <c r="E42" i="1"/>
  <c r="D213" i="3" s="1"/>
  <c r="E206" i="1"/>
  <c r="J205" i="1" l="1"/>
  <c r="J206" i="1"/>
  <c r="E207" i="1"/>
  <c r="G203" i="3"/>
  <c r="P206" i="1" l="1"/>
  <c r="C243" i="1"/>
  <c r="D243" i="1"/>
  <c r="B243" i="1"/>
  <c r="C242" i="1"/>
  <c r="B242" i="1"/>
  <c r="O243" i="1"/>
  <c r="N184" i="3" s="1"/>
  <c r="K243" i="1"/>
  <c r="J184" i="3" s="1"/>
  <c r="E243" i="1"/>
  <c r="O242" i="1"/>
  <c r="K242" i="1"/>
  <c r="N240" i="1"/>
  <c r="M240" i="1"/>
  <c r="L240" i="1"/>
  <c r="I240" i="1"/>
  <c r="H240" i="1"/>
  <c r="G240" i="1"/>
  <c r="F240" i="1"/>
  <c r="O241" i="1" l="1"/>
  <c r="O240" i="1" s="1"/>
  <c r="K241" i="1"/>
  <c r="K240" i="1" s="1"/>
  <c r="D184" i="3"/>
  <c r="E241" i="1"/>
  <c r="E240" i="1" s="1"/>
  <c r="J242" i="1"/>
  <c r="J243" i="1"/>
  <c r="I184" i="3" s="1"/>
  <c r="J241" i="1" l="1"/>
  <c r="J240" i="1" s="1"/>
  <c r="P242" i="1"/>
  <c r="P243" i="1"/>
  <c r="O184" i="3" s="1"/>
  <c r="E109" i="1"/>
  <c r="D83" i="3" s="1"/>
  <c r="P241" i="1" l="1"/>
  <c r="P240" i="1" s="1"/>
  <c r="E205" i="3" l="1"/>
  <c r="D109" i="1" l="1"/>
  <c r="D58" i="1"/>
  <c r="J207" i="1" l="1"/>
  <c r="E259" i="1" l="1"/>
  <c r="C253" i="1" l="1"/>
  <c r="D253" i="1"/>
  <c r="C254" i="1"/>
  <c r="D254" i="1"/>
  <c r="C256" i="1"/>
  <c r="D256" i="1"/>
  <c r="B256" i="1"/>
  <c r="B254" i="1"/>
  <c r="B253" i="1"/>
  <c r="C252" i="1"/>
  <c r="D252" i="1"/>
  <c r="B252" i="1"/>
  <c r="C251" i="1"/>
  <c r="D251" i="1"/>
  <c r="B251" i="1"/>
  <c r="F248" i="1"/>
  <c r="G248" i="1"/>
  <c r="H248" i="1"/>
  <c r="I248" i="1"/>
  <c r="L248" i="1"/>
  <c r="M248" i="1"/>
  <c r="N248" i="1"/>
  <c r="E256" i="1"/>
  <c r="J254" i="1"/>
  <c r="I189" i="3" s="1"/>
  <c r="E254" i="1"/>
  <c r="D189" i="3" s="1"/>
  <c r="J253" i="1"/>
  <c r="I188" i="3" s="1"/>
  <c r="E253" i="1"/>
  <c r="D188" i="3" s="1"/>
  <c r="E252" i="1"/>
  <c r="D170" i="3" s="1"/>
  <c r="J251" i="1"/>
  <c r="I166" i="3" s="1"/>
  <c r="E251" i="1"/>
  <c r="D166" i="3" s="1"/>
  <c r="C247" i="1"/>
  <c r="B247" i="1"/>
  <c r="C250" i="1"/>
  <c r="B250" i="1"/>
  <c r="C246" i="1"/>
  <c r="B246" i="1"/>
  <c r="D247" i="1"/>
  <c r="E250" i="1"/>
  <c r="J247" i="1"/>
  <c r="E247" i="1"/>
  <c r="J246" i="1"/>
  <c r="E246" i="1"/>
  <c r="O244" i="1"/>
  <c r="N244" i="1"/>
  <c r="M244" i="1"/>
  <c r="L244" i="1"/>
  <c r="K244" i="1"/>
  <c r="I244" i="1"/>
  <c r="H244" i="1"/>
  <c r="G244" i="1"/>
  <c r="F244" i="1"/>
  <c r="E249" i="1" l="1"/>
  <c r="E248" i="1" s="1"/>
  <c r="E245" i="1"/>
  <c r="E244" i="1" s="1"/>
  <c r="J245" i="1"/>
  <c r="J244" i="1" s="1"/>
  <c r="O248" i="1"/>
  <c r="K248" i="1"/>
  <c r="J250" i="1"/>
  <c r="J252" i="1"/>
  <c r="J256" i="1"/>
  <c r="P251" i="1"/>
  <c r="O166" i="3" s="1"/>
  <c r="P253" i="1"/>
  <c r="O188" i="3" s="1"/>
  <c r="P254" i="1"/>
  <c r="O189" i="3" s="1"/>
  <c r="P247" i="1"/>
  <c r="P246" i="1"/>
  <c r="I170" i="3" l="1"/>
  <c r="I167" i="3" s="1"/>
  <c r="P245" i="1"/>
  <c r="P244" i="1" s="1"/>
  <c r="J249" i="1"/>
  <c r="J248" i="1" s="1"/>
  <c r="P256" i="1"/>
  <c r="P250" i="1"/>
  <c r="P252" i="1"/>
  <c r="O170" i="3" s="1"/>
  <c r="P249" i="1" l="1"/>
  <c r="P248" i="1" s="1"/>
  <c r="J182" i="1" l="1"/>
  <c r="K170" i="1" l="1"/>
  <c r="L170" i="1"/>
  <c r="M170" i="1"/>
  <c r="O170" i="1"/>
  <c r="J185" i="1"/>
  <c r="I151" i="3" s="1"/>
  <c r="H120" i="1" l="1"/>
  <c r="I120" i="1"/>
  <c r="L120" i="1"/>
  <c r="M120" i="1"/>
  <c r="N120" i="1"/>
  <c r="C40" i="1" l="1"/>
  <c r="D40" i="1"/>
  <c r="B40" i="1"/>
  <c r="J40" i="1"/>
  <c r="E40" i="1"/>
  <c r="I203" i="3" l="1"/>
  <c r="D203" i="3"/>
  <c r="P40" i="1"/>
  <c r="O203" i="3" s="1"/>
  <c r="I209" i="1" l="1"/>
  <c r="G120" i="1" l="1"/>
  <c r="F120" i="1" l="1"/>
  <c r="E46" i="3" l="1"/>
  <c r="F46" i="3"/>
  <c r="G46" i="3"/>
  <c r="H46" i="3"/>
  <c r="J46" i="3"/>
  <c r="K46" i="3"/>
  <c r="L46" i="3"/>
  <c r="M46" i="3"/>
  <c r="N46" i="3"/>
  <c r="D46" i="3"/>
  <c r="I46" i="3" l="1"/>
  <c r="P69" i="1"/>
  <c r="O46" i="3" l="1"/>
  <c r="D144" i="1" l="1"/>
  <c r="D234" i="1"/>
  <c r="D111" i="1"/>
  <c r="D110" i="1"/>
  <c r="D57" i="1"/>
  <c r="D32" i="1"/>
  <c r="D30" i="1"/>
  <c r="D29" i="1"/>
  <c r="D28" i="1"/>
  <c r="D27" i="1"/>
  <c r="D26" i="1"/>
  <c r="E23" i="1" l="1"/>
  <c r="E206" i="3" l="1"/>
  <c r="E204" i="3" s="1"/>
  <c r="F206" i="3"/>
  <c r="F204" i="3" s="1"/>
  <c r="G206" i="3"/>
  <c r="G204" i="3" s="1"/>
  <c r="H206" i="3"/>
  <c r="H204" i="3" s="1"/>
  <c r="J206" i="3"/>
  <c r="J204" i="3" s="1"/>
  <c r="K206" i="3"/>
  <c r="K204" i="3" s="1"/>
  <c r="L206" i="3"/>
  <c r="L204" i="3" s="1"/>
  <c r="M206" i="3"/>
  <c r="M204" i="3" s="1"/>
  <c r="N206" i="3"/>
  <c r="N204" i="3" s="1"/>
  <c r="E110" i="3" l="1"/>
  <c r="F110" i="3"/>
  <c r="G110" i="3"/>
  <c r="H110" i="3"/>
  <c r="J110" i="3"/>
  <c r="K110" i="3"/>
  <c r="L110" i="3"/>
  <c r="M110" i="3"/>
  <c r="N110" i="3"/>
  <c r="D110" i="3"/>
  <c r="J23" i="1"/>
  <c r="I110" i="3" l="1"/>
  <c r="P23" i="1"/>
  <c r="O110" i="3" l="1"/>
  <c r="O120" i="1" l="1"/>
  <c r="N36" i="3"/>
  <c r="M36" i="3"/>
  <c r="L36" i="3"/>
  <c r="K36" i="3"/>
  <c r="J36" i="3"/>
  <c r="H36" i="3"/>
  <c r="G36" i="3"/>
  <c r="F36" i="3"/>
  <c r="E36" i="3"/>
  <c r="J60" i="1"/>
  <c r="I36" i="3" l="1"/>
  <c r="P60" i="1"/>
  <c r="D36" i="3"/>
  <c r="O36" i="3" l="1"/>
  <c r="M16" i="3" l="1"/>
  <c r="L16" i="3"/>
  <c r="K16" i="3"/>
  <c r="H16" i="3"/>
  <c r="G16" i="3"/>
  <c r="F16" i="3"/>
  <c r="E16" i="3"/>
  <c r="J178" i="1"/>
  <c r="E178" i="1"/>
  <c r="O157" i="1"/>
  <c r="K157" i="1"/>
  <c r="O156" i="1"/>
  <c r="O155" i="1" s="1"/>
  <c r="K156" i="1"/>
  <c r="K155" i="1" l="1"/>
  <c r="N17" i="3"/>
  <c r="N16" i="3" s="1"/>
  <c r="J17" i="3"/>
  <c r="J16" i="3" s="1"/>
  <c r="P178" i="1"/>
  <c r="N45" i="3" l="1"/>
  <c r="M45" i="3"/>
  <c r="L45" i="3"/>
  <c r="K45" i="3"/>
  <c r="J45" i="3"/>
  <c r="H45" i="3"/>
  <c r="G45" i="3"/>
  <c r="F45" i="3"/>
  <c r="E45" i="3"/>
  <c r="I45" i="3" l="1"/>
  <c r="D45" i="3"/>
  <c r="P163" i="1"/>
  <c r="O45" i="3" l="1"/>
  <c r="N136" i="3"/>
  <c r="M136" i="3"/>
  <c r="L136" i="3"/>
  <c r="K136" i="3"/>
  <c r="J136" i="3"/>
  <c r="H136" i="3"/>
  <c r="G136" i="3"/>
  <c r="F136" i="3"/>
  <c r="E136" i="3"/>
  <c r="N57" i="3"/>
  <c r="M57" i="3"/>
  <c r="L57" i="3"/>
  <c r="K57" i="3"/>
  <c r="J57" i="3"/>
  <c r="H57" i="3"/>
  <c r="G57" i="3"/>
  <c r="F57" i="3"/>
  <c r="E57" i="3"/>
  <c r="N54" i="3"/>
  <c r="M54" i="3"/>
  <c r="L54" i="3"/>
  <c r="K54" i="3"/>
  <c r="J54" i="3"/>
  <c r="H54" i="3"/>
  <c r="G54" i="3"/>
  <c r="F54" i="3"/>
  <c r="E54" i="3"/>
  <c r="N53" i="3"/>
  <c r="M53" i="3"/>
  <c r="L53" i="3"/>
  <c r="K53" i="3"/>
  <c r="J53" i="3"/>
  <c r="H53" i="3"/>
  <c r="G53" i="3"/>
  <c r="F53" i="3"/>
  <c r="E53" i="3"/>
  <c r="N44" i="3"/>
  <c r="M44" i="3"/>
  <c r="L44" i="3"/>
  <c r="K44" i="3"/>
  <c r="J44" i="3"/>
  <c r="H44" i="3"/>
  <c r="G44" i="3"/>
  <c r="F44" i="3"/>
  <c r="E44" i="3"/>
  <c r="E19" i="3" l="1"/>
  <c r="F19" i="3"/>
  <c r="K19" i="3"/>
  <c r="G19" i="3"/>
  <c r="J19" i="3"/>
  <c r="M19" i="3"/>
  <c r="L19" i="3"/>
  <c r="H19" i="3"/>
  <c r="N19" i="3"/>
  <c r="J104" i="1"/>
  <c r="J101" i="1"/>
  <c r="N281" i="1" l="1"/>
  <c r="M281" i="1"/>
  <c r="L281" i="1"/>
  <c r="I281" i="1"/>
  <c r="O281" i="1"/>
  <c r="K281" i="1"/>
  <c r="P101" i="1"/>
  <c r="P102" i="1"/>
  <c r="P104" i="1"/>
  <c r="P100" i="1"/>
  <c r="D165" i="1" l="1"/>
  <c r="I282" i="1" l="1"/>
  <c r="K282" i="1"/>
  <c r="L282" i="1"/>
  <c r="M282" i="1"/>
  <c r="N282" i="1"/>
  <c r="O282" i="1"/>
  <c r="J19" i="1"/>
  <c r="I18" i="3" s="1"/>
  <c r="E235" i="1" l="1"/>
  <c r="D186" i="3" s="1"/>
  <c r="J76" i="1" l="1"/>
  <c r="D53" i="3" l="1"/>
  <c r="I53" i="3"/>
  <c r="P76" i="1"/>
  <c r="O53" i="3" l="1"/>
  <c r="M179" i="3"/>
  <c r="L179" i="3"/>
  <c r="K179" i="3"/>
  <c r="H179" i="3"/>
  <c r="G179" i="3"/>
  <c r="F179" i="3"/>
  <c r="N179" i="3" l="1"/>
  <c r="J179" i="3"/>
  <c r="N182" i="3" l="1"/>
  <c r="N163" i="3" s="1"/>
  <c r="M182" i="3"/>
  <c r="M163" i="3" s="1"/>
  <c r="L182" i="3"/>
  <c r="L163" i="3" s="1"/>
  <c r="K182" i="3"/>
  <c r="K163" i="3" s="1"/>
  <c r="J182" i="3"/>
  <c r="J163" i="3" s="1"/>
  <c r="H182" i="3"/>
  <c r="H163" i="3" s="1"/>
  <c r="G182" i="3"/>
  <c r="G163" i="3" s="1"/>
  <c r="F182" i="3"/>
  <c r="F163" i="3" s="1"/>
  <c r="E182" i="3"/>
  <c r="E163" i="3" s="1"/>
  <c r="G219" i="3" l="1"/>
  <c r="F219" i="3"/>
  <c r="K219" i="3"/>
  <c r="L297" i="1" s="1"/>
  <c r="E219" i="3"/>
  <c r="H219" i="3"/>
  <c r="I297" i="1" s="1"/>
  <c r="J219" i="3"/>
  <c r="K297" i="1" s="1"/>
  <c r="L219" i="3"/>
  <c r="M219" i="3"/>
  <c r="N219" i="3"/>
  <c r="O213" i="1"/>
  <c r="O274" i="1" s="1"/>
  <c r="N213" i="1"/>
  <c r="N274" i="1" s="1"/>
  <c r="M213" i="1"/>
  <c r="M274" i="1" s="1"/>
  <c r="L213" i="1"/>
  <c r="L274" i="1" s="1"/>
  <c r="K213" i="1"/>
  <c r="K274" i="1" s="1"/>
  <c r="I213" i="1"/>
  <c r="I274" i="1" s="1"/>
  <c r="H213" i="1"/>
  <c r="H274" i="1" s="1"/>
  <c r="G213" i="1"/>
  <c r="G274" i="1" s="1"/>
  <c r="F213" i="1"/>
  <c r="F274" i="1" s="1"/>
  <c r="E213" i="1"/>
  <c r="E274" i="1" s="1"/>
  <c r="O297" i="1" l="1"/>
  <c r="N297" i="1"/>
  <c r="F297" i="1"/>
  <c r="G297" i="1"/>
  <c r="M297" i="1"/>
  <c r="H297" i="1"/>
  <c r="N284" i="1"/>
  <c r="O284" i="1"/>
  <c r="I284" i="1"/>
  <c r="K284" i="1"/>
  <c r="L284" i="1"/>
  <c r="M284" i="1"/>
  <c r="E179" i="3" l="1"/>
  <c r="D182" i="3" l="1"/>
  <c r="D163" i="3" s="1"/>
  <c r="J235" i="1"/>
  <c r="I186" i="3" s="1"/>
  <c r="D219" i="3" l="1"/>
  <c r="E297" i="1" s="1"/>
  <c r="J213" i="1"/>
  <c r="J274" i="1" s="1"/>
  <c r="I182" i="3"/>
  <c r="I163" i="3" s="1"/>
  <c r="P235" i="1"/>
  <c r="I219" i="3" l="1"/>
  <c r="J297" i="1" s="1"/>
  <c r="P213" i="1"/>
  <c r="P274" i="1" s="1"/>
  <c r="O186" i="3"/>
  <c r="O182" i="3" s="1"/>
  <c r="O163" i="3" s="1"/>
  <c r="O219" i="3" l="1"/>
  <c r="P297" i="1" s="1"/>
  <c r="J284" i="1"/>
  <c r="E284" i="1"/>
  <c r="P284" i="1" l="1"/>
  <c r="J75" i="1" l="1"/>
  <c r="I52" i="3" s="1"/>
  <c r="J59" i="1"/>
  <c r="I35" i="3" s="1"/>
  <c r="P75" i="1" l="1"/>
  <c r="O52" i="3" s="1"/>
  <c r="E282" i="1" l="1"/>
  <c r="E281" i="1"/>
  <c r="J282" i="1"/>
  <c r="J281" i="1"/>
  <c r="P59" i="1"/>
  <c r="O35" i="3" s="1"/>
  <c r="P282" i="1" l="1"/>
  <c r="P281" i="1"/>
  <c r="I283" i="1" l="1"/>
  <c r="K283" i="1"/>
  <c r="L283" i="1"/>
  <c r="O283" i="1"/>
  <c r="N283" i="1"/>
  <c r="M283" i="1"/>
  <c r="E283" i="1" l="1"/>
  <c r="J283" i="1"/>
  <c r="E114" i="1"/>
  <c r="J42" i="1"/>
  <c r="I213" i="3" s="1"/>
  <c r="P283" i="1" l="1"/>
  <c r="P42" i="1"/>
  <c r="O213" i="3" s="1"/>
  <c r="E198" i="3" l="1"/>
  <c r="F198" i="3"/>
  <c r="G198" i="3"/>
  <c r="H198" i="3"/>
  <c r="J198" i="3"/>
  <c r="K198" i="3"/>
  <c r="L198" i="3"/>
  <c r="M198" i="3"/>
  <c r="N198" i="3"/>
  <c r="E205" i="1"/>
  <c r="C205" i="1"/>
  <c r="D205" i="1"/>
  <c r="B205" i="1"/>
  <c r="P205" i="1" l="1"/>
  <c r="E201" i="3" l="1"/>
  <c r="F201" i="3"/>
  <c r="G201" i="3"/>
  <c r="H201" i="3"/>
  <c r="J201" i="3"/>
  <c r="K201" i="3"/>
  <c r="L201" i="3"/>
  <c r="M201" i="3"/>
  <c r="N201" i="3"/>
  <c r="D128" i="1" l="1"/>
  <c r="G105" i="1" l="1"/>
  <c r="H105" i="1"/>
  <c r="I105" i="1"/>
  <c r="L105" i="1"/>
  <c r="M105" i="1"/>
  <c r="N105" i="1"/>
  <c r="F105" i="1" l="1"/>
  <c r="D208" i="1" l="1"/>
  <c r="O105" i="1" l="1"/>
  <c r="K105" i="1"/>
  <c r="J169" i="1"/>
  <c r="E169" i="1"/>
  <c r="E161" i="1" s="1"/>
  <c r="C169" i="1"/>
  <c r="D169" i="1"/>
  <c r="B169" i="1"/>
  <c r="P169" i="1" l="1"/>
  <c r="E84" i="3"/>
  <c r="F84" i="3"/>
  <c r="G84" i="3"/>
  <c r="H84" i="3"/>
  <c r="J84" i="3"/>
  <c r="K84" i="3"/>
  <c r="L84" i="3"/>
  <c r="M84" i="3"/>
  <c r="N84" i="3"/>
  <c r="E85" i="3"/>
  <c r="F85" i="3"/>
  <c r="G85" i="3"/>
  <c r="H85" i="3"/>
  <c r="J85" i="3"/>
  <c r="K85" i="3"/>
  <c r="L85" i="3"/>
  <c r="M85" i="3"/>
  <c r="N85" i="3"/>
  <c r="E86" i="3"/>
  <c r="F86" i="3"/>
  <c r="G86" i="3"/>
  <c r="H86" i="3"/>
  <c r="J86" i="3"/>
  <c r="K86" i="3"/>
  <c r="L86" i="3"/>
  <c r="M86" i="3"/>
  <c r="N86" i="3"/>
  <c r="E87" i="3"/>
  <c r="F87" i="3"/>
  <c r="G87" i="3"/>
  <c r="H87" i="3"/>
  <c r="J87" i="3"/>
  <c r="K87" i="3"/>
  <c r="L87" i="3"/>
  <c r="M87" i="3"/>
  <c r="N87" i="3"/>
  <c r="E88" i="3"/>
  <c r="F88" i="3"/>
  <c r="G88" i="3"/>
  <c r="H88" i="3"/>
  <c r="J88" i="3"/>
  <c r="K88" i="3"/>
  <c r="L88" i="3"/>
  <c r="M88" i="3"/>
  <c r="N88" i="3"/>
  <c r="E95" i="3"/>
  <c r="F95" i="3"/>
  <c r="G95" i="3"/>
  <c r="H95" i="3"/>
  <c r="K95" i="3"/>
  <c r="L95" i="3"/>
  <c r="M95" i="3"/>
  <c r="E96" i="3"/>
  <c r="F96" i="3"/>
  <c r="G96" i="3"/>
  <c r="H96" i="3"/>
  <c r="J96" i="3"/>
  <c r="K96" i="3"/>
  <c r="L96" i="3"/>
  <c r="M96" i="3"/>
  <c r="N96" i="3"/>
  <c r="E97" i="3"/>
  <c r="F97" i="3"/>
  <c r="G97" i="3"/>
  <c r="H97" i="3"/>
  <c r="J97" i="3"/>
  <c r="K97" i="3"/>
  <c r="L97" i="3"/>
  <c r="M97" i="3"/>
  <c r="N97" i="3"/>
  <c r="E98" i="3"/>
  <c r="F98" i="3"/>
  <c r="G98" i="3"/>
  <c r="H98" i="3"/>
  <c r="J98" i="3"/>
  <c r="K98" i="3"/>
  <c r="L98" i="3"/>
  <c r="M98" i="3"/>
  <c r="N98" i="3"/>
  <c r="E99" i="3"/>
  <c r="F99" i="3"/>
  <c r="G99" i="3"/>
  <c r="H99" i="3"/>
  <c r="J99" i="3"/>
  <c r="K99" i="3"/>
  <c r="L99" i="3"/>
  <c r="M99" i="3"/>
  <c r="N99" i="3"/>
  <c r="E104" i="3"/>
  <c r="F104" i="3"/>
  <c r="G104" i="3"/>
  <c r="H104" i="3"/>
  <c r="J104" i="3"/>
  <c r="K104" i="3"/>
  <c r="L104" i="3"/>
  <c r="M104" i="3"/>
  <c r="N104" i="3"/>
  <c r="E105" i="3"/>
  <c r="F105" i="3"/>
  <c r="G105" i="3"/>
  <c r="H105" i="3"/>
  <c r="J105" i="3"/>
  <c r="K105" i="3"/>
  <c r="L105" i="3"/>
  <c r="M105" i="3"/>
  <c r="N105" i="3"/>
  <c r="E106" i="3"/>
  <c r="F106" i="3"/>
  <c r="G106" i="3"/>
  <c r="H106" i="3"/>
  <c r="J106" i="3"/>
  <c r="K106" i="3"/>
  <c r="L106" i="3"/>
  <c r="M106" i="3"/>
  <c r="N106" i="3"/>
  <c r="E109" i="3"/>
  <c r="F109" i="3"/>
  <c r="G109" i="3"/>
  <c r="H109" i="3"/>
  <c r="J109" i="3"/>
  <c r="K109" i="3"/>
  <c r="L109" i="3"/>
  <c r="M109" i="3"/>
  <c r="N109" i="3"/>
  <c r="E112" i="3"/>
  <c r="F112" i="3"/>
  <c r="G112" i="3"/>
  <c r="H112" i="3"/>
  <c r="J112" i="3"/>
  <c r="K112" i="3"/>
  <c r="L112" i="3"/>
  <c r="M112" i="3"/>
  <c r="N112" i="3"/>
  <c r="E116" i="3"/>
  <c r="F116" i="3"/>
  <c r="G116" i="3"/>
  <c r="H116" i="3"/>
  <c r="J116" i="3"/>
  <c r="K116" i="3"/>
  <c r="L116" i="3"/>
  <c r="M116" i="3"/>
  <c r="N116" i="3"/>
  <c r="E117" i="3"/>
  <c r="F117" i="3"/>
  <c r="G117" i="3"/>
  <c r="H117" i="3"/>
  <c r="J117" i="3"/>
  <c r="K117" i="3"/>
  <c r="L117" i="3"/>
  <c r="M117" i="3"/>
  <c r="N117" i="3"/>
  <c r="E120" i="3"/>
  <c r="F120" i="3"/>
  <c r="G120" i="3"/>
  <c r="H120" i="3"/>
  <c r="J120" i="3"/>
  <c r="K120" i="3"/>
  <c r="L120" i="3"/>
  <c r="M120" i="3"/>
  <c r="N120" i="3"/>
  <c r="E128" i="3"/>
  <c r="F128" i="3"/>
  <c r="G128" i="3"/>
  <c r="H128" i="3"/>
  <c r="J128" i="3"/>
  <c r="K128" i="3"/>
  <c r="L128" i="3"/>
  <c r="M128" i="3"/>
  <c r="N128" i="3"/>
  <c r="E130" i="3"/>
  <c r="F130" i="3"/>
  <c r="G130" i="3"/>
  <c r="H130" i="3"/>
  <c r="J130" i="3"/>
  <c r="K130" i="3"/>
  <c r="L130" i="3"/>
  <c r="M130" i="3"/>
  <c r="N130" i="3"/>
  <c r="E134" i="3"/>
  <c r="F134" i="3"/>
  <c r="G134" i="3"/>
  <c r="H134" i="3"/>
  <c r="J134" i="3"/>
  <c r="K134" i="3"/>
  <c r="L134" i="3"/>
  <c r="M134" i="3"/>
  <c r="N134" i="3"/>
  <c r="E135" i="3"/>
  <c r="F135" i="3"/>
  <c r="G135" i="3"/>
  <c r="H135" i="3"/>
  <c r="J135" i="3"/>
  <c r="K135" i="3"/>
  <c r="L135" i="3"/>
  <c r="M135" i="3"/>
  <c r="N135" i="3"/>
  <c r="E137" i="3"/>
  <c r="F137" i="3"/>
  <c r="G137" i="3"/>
  <c r="H137" i="3"/>
  <c r="J137" i="3"/>
  <c r="K137" i="3"/>
  <c r="L137" i="3"/>
  <c r="M137" i="3"/>
  <c r="N137" i="3"/>
  <c r="F138" i="3"/>
  <c r="G138" i="3"/>
  <c r="H138" i="3"/>
  <c r="J138" i="3"/>
  <c r="K138" i="3"/>
  <c r="L138" i="3"/>
  <c r="M138" i="3"/>
  <c r="N138" i="3"/>
  <c r="E139" i="3"/>
  <c r="F139" i="3"/>
  <c r="G139" i="3"/>
  <c r="H139" i="3"/>
  <c r="J139" i="3"/>
  <c r="K139" i="3"/>
  <c r="L139" i="3"/>
  <c r="M139" i="3"/>
  <c r="N139" i="3"/>
  <c r="E145" i="3"/>
  <c r="F145" i="3"/>
  <c r="G145" i="3"/>
  <c r="H145" i="3"/>
  <c r="J145" i="3"/>
  <c r="K145" i="3"/>
  <c r="L145" i="3"/>
  <c r="M145" i="3"/>
  <c r="N145" i="3"/>
  <c r="E147" i="3"/>
  <c r="F147" i="3"/>
  <c r="G147" i="3"/>
  <c r="H147" i="3"/>
  <c r="J147" i="3"/>
  <c r="K147" i="3"/>
  <c r="L147" i="3"/>
  <c r="M147" i="3"/>
  <c r="N147" i="3"/>
  <c r="E165" i="3"/>
  <c r="F165" i="3"/>
  <c r="G165" i="3"/>
  <c r="H165" i="3"/>
  <c r="J165" i="3"/>
  <c r="K165" i="3"/>
  <c r="L165" i="3"/>
  <c r="M165" i="3"/>
  <c r="N165" i="3"/>
  <c r="F191" i="3"/>
  <c r="G191" i="3"/>
  <c r="H191" i="3"/>
  <c r="J191" i="3"/>
  <c r="J181" i="3" s="1"/>
  <c r="K191" i="3"/>
  <c r="K181" i="3" s="1"/>
  <c r="L191" i="3"/>
  <c r="L181" i="3" s="1"/>
  <c r="M191" i="3"/>
  <c r="N191" i="3"/>
  <c r="N181" i="3" s="1"/>
  <c r="E199" i="3"/>
  <c r="F199" i="3"/>
  <c r="G199" i="3"/>
  <c r="H199" i="3"/>
  <c r="J199" i="3"/>
  <c r="K199" i="3"/>
  <c r="L199" i="3"/>
  <c r="M199" i="3"/>
  <c r="N199" i="3"/>
  <c r="E207" i="3"/>
  <c r="F207" i="3"/>
  <c r="G207" i="3"/>
  <c r="H207" i="3"/>
  <c r="J207" i="3"/>
  <c r="K207" i="3"/>
  <c r="L207" i="3"/>
  <c r="M207" i="3"/>
  <c r="N207" i="3"/>
  <c r="D209" i="3"/>
  <c r="D208" i="3" s="1"/>
  <c r="E209" i="3"/>
  <c r="F209" i="3"/>
  <c r="F208" i="3" s="1"/>
  <c r="G209" i="3"/>
  <c r="G208" i="3" s="1"/>
  <c r="H209" i="3"/>
  <c r="H208" i="3" s="1"/>
  <c r="J209" i="3"/>
  <c r="J208" i="3" s="1"/>
  <c r="K209" i="3"/>
  <c r="K208" i="3" s="1"/>
  <c r="L209" i="3"/>
  <c r="L208" i="3" s="1"/>
  <c r="M209" i="3"/>
  <c r="M208" i="3" s="1"/>
  <c r="N209" i="3"/>
  <c r="N208" i="3" s="1"/>
  <c r="J57" i="1"/>
  <c r="I33" i="3" s="1"/>
  <c r="J260" i="1"/>
  <c r="J261" i="1"/>
  <c r="J262" i="1"/>
  <c r="J263" i="1"/>
  <c r="J264" i="1"/>
  <c r="J259" i="1"/>
  <c r="J239" i="1"/>
  <c r="J228" i="1"/>
  <c r="J215" i="1"/>
  <c r="J179" i="1"/>
  <c r="J180" i="1"/>
  <c r="I147" i="3"/>
  <c r="J183" i="1"/>
  <c r="J184" i="1"/>
  <c r="I149" i="3" s="1"/>
  <c r="J202" i="1"/>
  <c r="J208" i="1"/>
  <c r="J177" i="1"/>
  <c r="J165" i="1"/>
  <c r="J166" i="1"/>
  <c r="J167" i="1"/>
  <c r="I131" i="3" s="1"/>
  <c r="J162" i="1"/>
  <c r="J157" i="1"/>
  <c r="J158" i="1"/>
  <c r="J156" i="1"/>
  <c r="J128" i="1"/>
  <c r="J129" i="1"/>
  <c r="J130" i="1"/>
  <c r="J131" i="1"/>
  <c r="J139" i="1"/>
  <c r="J143" i="1"/>
  <c r="J144" i="1"/>
  <c r="J147" i="1"/>
  <c r="J148" i="1"/>
  <c r="I122" i="3" s="1"/>
  <c r="J149" i="1"/>
  <c r="J153" i="1"/>
  <c r="I212" i="3" s="1"/>
  <c r="J126" i="1"/>
  <c r="J109" i="1"/>
  <c r="I83" i="3" s="1"/>
  <c r="J110" i="1"/>
  <c r="J111" i="1"/>
  <c r="J112" i="1"/>
  <c r="J113" i="1"/>
  <c r="J114" i="1"/>
  <c r="J108" i="1"/>
  <c r="J68" i="1"/>
  <c r="J77" i="1"/>
  <c r="J80" i="1"/>
  <c r="J56" i="1"/>
  <c r="J20" i="1"/>
  <c r="J21" i="1"/>
  <c r="J22" i="1"/>
  <c r="J24" i="1"/>
  <c r="J25" i="1"/>
  <c r="J27" i="1"/>
  <c r="J28" i="1"/>
  <c r="J29" i="1"/>
  <c r="J30" i="1"/>
  <c r="J31" i="1"/>
  <c r="J33" i="1"/>
  <c r="J34" i="1"/>
  <c r="J35" i="1"/>
  <c r="J36" i="1"/>
  <c r="J37" i="1"/>
  <c r="J39" i="1"/>
  <c r="I202" i="3" s="1"/>
  <c r="J41" i="1"/>
  <c r="J18" i="1"/>
  <c r="N140" i="3" l="1"/>
  <c r="H140" i="3"/>
  <c r="K127" i="3"/>
  <c r="F127" i="3"/>
  <c r="G140" i="3"/>
  <c r="J127" i="3"/>
  <c r="E140" i="3"/>
  <c r="J140" i="3"/>
  <c r="F140" i="3"/>
  <c r="H127" i="3"/>
  <c r="M140" i="3"/>
  <c r="L140" i="3"/>
  <c r="K140" i="3"/>
  <c r="E127" i="3"/>
  <c r="L127" i="3"/>
  <c r="G127" i="3"/>
  <c r="I129" i="3"/>
  <c r="J161" i="1"/>
  <c r="R160" i="1" s="1"/>
  <c r="N127" i="3"/>
  <c r="M127" i="3"/>
  <c r="F90" i="3"/>
  <c r="E90" i="3"/>
  <c r="M90" i="3"/>
  <c r="L90" i="3"/>
  <c r="K90" i="3"/>
  <c r="H90" i="3"/>
  <c r="G90" i="3"/>
  <c r="I121" i="3"/>
  <c r="N82" i="3"/>
  <c r="M82" i="3"/>
  <c r="L82" i="3"/>
  <c r="K82" i="3"/>
  <c r="J82" i="3"/>
  <c r="H82" i="3"/>
  <c r="G82" i="3"/>
  <c r="F82" i="3"/>
  <c r="E82" i="3"/>
  <c r="I150" i="3"/>
  <c r="J155" i="1"/>
  <c r="E208" i="3"/>
  <c r="J16" i="1"/>
  <c r="J15" i="1" s="1"/>
  <c r="I211" i="3"/>
  <c r="I210" i="3" s="1"/>
  <c r="J258" i="1"/>
  <c r="M133" i="3"/>
  <c r="H133" i="3"/>
  <c r="N133" i="3"/>
  <c r="J133" i="3"/>
  <c r="L133" i="3"/>
  <c r="G133" i="3"/>
  <c r="K133" i="3"/>
  <c r="F133" i="3"/>
  <c r="I123" i="3"/>
  <c r="I17" i="3"/>
  <c r="I16" i="3" s="1"/>
  <c r="I193" i="3"/>
  <c r="N161" i="3"/>
  <c r="L161" i="3"/>
  <c r="K161" i="3"/>
  <c r="J161" i="3"/>
  <c r="P18" i="1"/>
  <c r="I148" i="3"/>
  <c r="I116" i="3"/>
  <c r="I112" i="3"/>
  <c r="I128" i="3"/>
  <c r="I165" i="3"/>
  <c r="I207" i="3"/>
  <c r="I199" i="3"/>
  <c r="I191" i="3"/>
  <c r="I136" i="3"/>
  <c r="I198" i="3"/>
  <c r="I139" i="3"/>
  <c r="I135" i="3"/>
  <c r="I109" i="3"/>
  <c r="I54" i="3"/>
  <c r="I86" i="3"/>
  <c r="I104" i="3"/>
  <c r="I98" i="3"/>
  <c r="I106" i="3"/>
  <c r="I145" i="3"/>
  <c r="I138" i="3"/>
  <c r="I134" i="3"/>
  <c r="I44" i="3"/>
  <c r="I88" i="3"/>
  <c r="I85" i="3"/>
  <c r="I120" i="3"/>
  <c r="I105" i="3"/>
  <c r="I205" i="3"/>
  <c r="I137" i="3"/>
  <c r="I87" i="3"/>
  <c r="I117" i="3"/>
  <c r="I209" i="3"/>
  <c r="I57" i="3"/>
  <c r="I206" i="3"/>
  <c r="H181" i="3"/>
  <c r="H161" i="3" s="1"/>
  <c r="F181" i="3"/>
  <c r="F161" i="3" s="1"/>
  <c r="G181" i="3"/>
  <c r="G161" i="3" s="1"/>
  <c r="I179" i="3"/>
  <c r="I96" i="3"/>
  <c r="I84" i="3"/>
  <c r="I201" i="3"/>
  <c r="J234" i="1"/>
  <c r="J210" i="1" s="1"/>
  <c r="I130" i="3"/>
  <c r="E138" i="3"/>
  <c r="E133" i="3" s="1"/>
  <c r="L196" i="3"/>
  <c r="L194" i="3" s="1"/>
  <c r="J196" i="3"/>
  <c r="J194" i="3" s="1"/>
  <c r="G196" i="3"/>
  <c r="G194" i="3" s="1"/>
  <c r="I97" i="3"/>
  <c r="N196" i="3"/>
  <c r="N194" i="3" s="1"/>
  <c r="H196" i="3"/>
  <c r="H194" i="3" s="1"/>
  <c r="M196" i="3"/>
  <c r="M194" i="3" s="1"/>
  <c r="K196" i="3"/>
  <c r="K194" i="3" s="1"/>
  <c r="F196" i="3"/>
  <c r="F194" i="3" s="1"/>
  <c r="E196" i="3"/>
  <c r="I99" i="3"/>
  <c r="J204" i="1"/>
  <c r="J171" i="1" s="1"/>
  <c r="I140" i="3" l="1"/>
  <c r="I127" i="3"/>
  <c r="I82" i="3"/>
  <c r="E194" i="3"/>
  <c r="R194" i="3" s="1"/>
  <c r="I208" i="3"/>
  <c r="R140" i="3"/>
  <c r="I133" i="3"/>
  <c r="I192" i="3"/>
  <c r="I204" i="3"/>
  <c r="J170" i="1"/>
  <c r="K214" i="3"/>
  <c r="F214" i="3"/>
  <c r="I196" i="3"/>
  <c r="G214" i="3"/>
  <c r="L214" i="3"/>
  <c r="H214" i="3"/>
  <c r="E262" i="1"/>
  <c r="D262" i="1"/>
  <c r="B262" i="1"/>
  <c r="I194" i="3" l="1"/>
  <c r="D205" i="3"/>
  <c r="E191" i="3"/>
  <c r="J118" i="1"/>
  <c r="J106" i="1" s="1"/>
  <c r="P262" i="1"/>
  <c r="P118" i="1" l="1"/>
  <c r="I185" i="3"/>
  <c r="I181" i="3" s="1"/>
  <c r="I161" i="3" s="1"/>
  <c r="O205" i="3"/>
  <c r="E181" i="3"/>
  <c r="E161" i="3" s="1"/>
  <c r="R161" i="3" s="1"/>
  <c r="J105" i="1" l="1"/>
  <c r="E214" i="3" l="1"/>
  <c r="J58" i="1" l="1"/>
  <c r="J44" i="1" s="1"/>
  <c r="I34" i="3" l="1"/>
  <c r="I19" i="3" s="1"/>
  <c r="J43" i="1"/>
  <c r="C165" i="1"/>
  <c r="B165" i="1"/>
  <c r="P265" i="1"/>
  <c r="E260" i="1"/>
  <c r="E263" i="1"/>
  <c r="E264" i="1"/>
  <c r="K257" i="1"/>
  <c r="L257" i="1"/>
  <c r="M257" i="1"/>
  <c r="N257" i="1"/>
  <c r="O257" i="1"/>
  <c r="F257" i="1"/>
  <c r="G257" i="1"/>
  <c r="H257" i="1"/>
  <c r="I257" i="1"/>
  <c r="J238" i="1"/>
  <c r="J237" i="1" s="1"/>
  <c r="E239" i="1"/>
  <c r="K238" i="1"/>
  <c r="K237" i="1" s="1"/>
  <c r="L238" i="1"/>
  <c r="L237" i="1" s="1"/>
  <c r="M238" i="1"/>
  <c r="M237" i="1" s="1"/>
  <c r="N238" i="1"/>
  <c r="N237" i="1" s="1"/>
  <c r="O238" i="1"/>
  <c r="O237" i="1" s="1"/>
  <c r="F238" i="1"/>
  <c r="F237" i="1" s="1"/>
  <c r="G238" i="1"/>
  <c r="G237" i="1" s="1"/>
  <c r="H238" i="1"/>
  <c r="H237" i="1" s="1"/>
  <c r="I238" i="1"/>
  <c r="I237" i="1" s="1"/>
  <c r="E234" i="1"/>
  <c r="E215" i="1"/>
  <c r="E210" i="1" s="1"/>
  <c r="K209" i="1"/>
  <c r="M209" i="1"/>
  <c r="N209" i="1"/>
  <c r="O209" i="1"/>
  <c r="F209" i="1"/>
  <c r="G209" i="1"/>
  <c r="H209" i="1"/>
  <c r="E179" i="1"/>
  <c r="D121" i="3" s="1"/>
  <c r="E180" i="1"/>
  <c r="E182" i="1"/>
  <c r="E184" i="1"/>
  <c r="E185" i="1"/>
  <c r="D151" i="3" s="1"/>
  <c r="D169" i="3"/>
  <c r="D167" i="3" s="1"/>
  <c r="E202" i="1"/>
  <c r="E204" i="1"/>
  <c r="P207" i="1"/>
  <c r="E208" i="1"/>
  <c r="E177" i="1"/>
  <c r="K160" i="1"/>
  <c r="L160" i="1"/>
  <c r="M160" i="1"/>
  <c r="N160" i="1"/>
  <c r="F160" i="1"/>
  <c r="G160" i="1"/>
  <c r="H160" i="1"/>
  <c r="E157" i="1"/>
  <c r="E158" i="1"/>
  <c r="E156" i="1"/>
  <c r="K154" i="1"/>
  <c r="L154" i="1"/>
  <c r="M154" i="1"/>
  <c r="N154" i="1"/>
  <c r="O154" i="1"/>
  <c r="F154" i="1"/>
  <c r="G154" i="1"/>
  <c r="H154" i="1"/>
  <c r="I154" i="1"/>
  <c r="E127" i="1"/>
  <c r="E128" i="1"/>
  <c r="E129" i="1"/>
  <c r="E130" i="1"/>
  <c r="E131" i="1"/>
  <c r="E143" i="1"/>
  <c r="E144" i="1"/>
  <c r="E147" i="1"/>
  <c r="E148" i="1"/>
  <c r="D122" i="3" s="1"/>
  <c r="E149" i="1"/>
  <c r="E153" i="1"/>
  <c r="E126" i="1"/>
  <c r="E110" i="1"/>
  <c r="E111" i="1"/>
  <c r="E112" i="1"/>
  <c r="E113" i="1"/>
  <c r="D88" i="3"/>
  <c r="E108" i="1"/>
  <c r="K43" i="1"/>
  <c r="L43" i="1"/>
  <c r="M43" i="1"/>
  <c r="N43" i="1"/>
  <c r="O43" i="1"/>
  <c r="F43" i="1"/>
  <c r="G43" i="1"/>
  <c r="H43" i="1"/>
  <c r="I43" i="1"/>
  <c r="D44" i="3"/>
  <c r="D54" i="3"/>
  <c r="D57" i="3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D180" i="3" s="1"/>
  <c r="E33" i="1"/>
  <c r="E34" i="1"/>
  <c r="E35" i="1"/>
  <c r="D193" i="3" s="1"/>
  <c r="E36" i="1"/>
  <c r="E37" i="1"/>
  <c r="E39" i="1"/>
  <c r="D202" i="3" s="1"/>
  <c r="E41" i="1"/>
  <c r="D212" i="3" l="1"/>
  <c r="E106" i="1"/>
  <c r="D149" i="3"/>
  <c r="E171" i="1"/>
  <c r="D19" i="3"/>
  <c r="E155" i="1"/>
  <c r="E154" i="1" s="1"/>
  <c r="E170" i="1"/>
  <c r="E209" i="1"/>
  <c r="E121" i="1"/>
  <c r="E120" i="1" s="1"/>
  <c r="D185" i="3"/>
  <c r="G269" i="1"/>
  <c r="G292" i="1" s="1"/>
  <c r="D211" i="3"/>
  <c r="D210" i="3" s="1"/>
  <c r="D18" i="3"/>
  <c r="E16" i="1"/>
  <c r="E15" i="1" s="1"/>
  <c r="E258" i="1"/>
  <c r="E257" i="1" s="1"/>
  <c r="D192" i="3"/>
  <c r="F269" i="1"/>
  <c r="F292" i="1" s="1"/>
  <c r="D17" i="3"/>
  <c r="D123" i="3"/>
  <c r="K269" i="1"/>
  <c r="M269" i="1"/>
  <c r="M292" i="1" s="1"/>
  <c r="I269" i="1"/>
  <c r="I292" i="1" s="1"/>
  <c r="H269" i="1"/>
  <c r="H292" i="1" s="1"/>
  <c r="E160" i="1"/>
  <c r="E238" i="1"/>
  <c r="E237" i="1" s="1"/>
  <c r="P194" i="1"/>
  <c r="P204" i="1"/>
  <c r="D87" i="3"/>
  <c r="D106" i="3"/>
  <c r="D198" i="3"/>
  <c r="D109" i="3"/>
  <c r="D105" i="3"/>
  <c r="D207" i="3"/>
  <c r="D165" i="3"/>
  <c r="D86" i="3"/>
  <c r="D85" i="3"/>
  <c r="D120" i="3"/>
  <c r="D117" i="3"/>
  <c r="D116" i="3"/>
  <c r="D98" i="3"/>
  <c r="D95" i="3"/>
  <c r="D191" i="3"/>
  <c r="D137" i="3"/>
  <c r="D135" i="3"/>
  <c r="D134" i="3"/>
  <c r="D199" i="3"/>
  <c r="E43" i="1"/>
  <c r="O209" i="3"/>
  <c r="D206" i="3"/>
  <c r="D204" i="3" s="1"/>
  <c r="D112" i="3"/>
  <c r="D139" i="3"/>
  <c r="D136" i="3"/>
  <c r="D128" i="3"/>
  <c r="D104" i="3"/>
  <c r="D138" i="3"/>
  <c r="D179" i="3"/>
  <c r="P149" i="1"/>
  <c r="P179" i="1"/>
  <c r="O121" i="3" s="1"/>
  <c r="D96" i="3"/>
  <c r="D84" i="3"/>
  <c r="D147" i="3"/>
  <c r="D201" i="3"/>
  <c r="D148" i="3"/>
  <c r="P208" i="1"/>
  <c r="D145" i="3"/>
  <c r="P177" i="1"/>
  <c r="O160" i="1"/>
  <c r="O269" i="1" s="1"/>
  <c r="D130" i="3"/>
  <c r="J160" i="1"/>
  <c r="P153" i="1"/>
  <c r="O212" i="3" s="1"/>
  <c r="D99" i="3"/>
  <c r="D97" i="3"/>
  <c r="P41" i="1"/>
  <c r="P37" i="1"/>
  <c r="P35" i="1"/>
  <c r="P33" i="1"/>
  <c r="P80" i="1"/>
  <c r="P58" i="1"/>
  <c r="O34" i="3" s="1"/>
  <c r="P108" i="1"/>
  <c r="P147" i="1"/>
  <c r="P143" i="1"/>
  <c r="P139" i="1"/>
  <c r="P131" i="1"/>
  <c r="P129" i="1"/>
  <c r="P185" i="1"/>
  <c r="O151" i="3" s="1"/>
  <c r="P183" i="1"/>
  <c r="O148" i="3" s="1"/>
  <c r="P180" i="1"/>
  <c r="P39" i="1"/>
  <c r="O202" i="3" s="1"/>
  <c r="P36" i="1"/>
  <c r="P34" i="1"/>
  <c r="P32" i="1"/>
  <c r="O180" i="3" s="1"/>
  <c r="P77" i="1"/>
  <c r="P68" i="1"/>
  <c r="P126" i="1"/>
  <c r="P144" i="1"/>
  <c r="P136" i="1"/>
  <c r="P130" i="1"/>
  <c r="P128" i="1"/>
  <c r="P184" i="1"/>
  <c r="O149" i="3" s="1"/>
  <c r="P182" i="1"/>
  <c r="P259" i="1"/>
  <c r="P202" i="1"/>
  <c r="P263" i="1"/>
  <c r="P260" i="1"/>
  <c r="P158" i="1"/>
  <c r="P157" i="1"/>
  <c r="P28" i="1"/>
  <c r="P26" i="1"/>
  <c r="P25" i="1"/>
  <c r="P24" i="1"/>
  <c r="P20" i="1"/>
  <c r="P162" i="1"/>
  <c r="P234" i="1"/>
  <c r="P239" i="1"/>
  <c r="P238" i="1" s="1"/>
  <c r="P237" i="1" s="1"/>
  <c r="P31" i="1"/>
  <c r="P29" i="1"/>
  <c r="P27" i="1"/>
  <c r="P22" i="1"/>
  <c r="P21" i="1"/>
  <c r="P114" i="1"/>
  <c r="P113" i="1"/>
  <c r="P112" i="1"/>
  <c r="P111" i="1"/>
  <c r="P110" i="1"/>
  <c r="P109" i="1"/>
  <c r="O83" i="3" s="1"/>
  <c r="J154" i="1"/>
  <c r="P167" i="1"/>
  <c r="O131" i="3" s="1"/>
  <c r="P164" i="1"/>
  <c r="P19" i="1"/>
  <c r="P30" i="1"/>
  <c r="P57" i="1"/>
  <c r="O33" i="3" s="1"/>
  <c r="P156" i="1"/>
  <c r="P166" i="1"/>
  <c r="P165" i="1"/>
  <c r="O129" i="3" s="1"/>
  <c r="P261" i="1"/>
  <c r="P215" i="1"/>
  <c r="P264" i="1"/>
  <c r="J257" i="1"/>
  <c r="P56" i="1"/>
  <c r="P148" i="1"/>
  <c r="O122" i="3" s="1"/>
  <c r="P106" i="1" l="1"/>
  <c r="O169" i="3"/>
  <c r="O167" i="3" s="1"/>
  <c r="P171" i="1"/>
  <c r="D140" i="3"/>
  <c r="P44" i="1"/>
  <c r="P43" i="1" s="1"/>
  <c r="D127" i="3"/>
  <c r="P161" i="1"/>
  <c r="P170" i="1"/>
  <c r="D90" i="3"/>
  <c r="P105" i="1"/>
  <c r="D82" i="3"/>
  <c r="P155" i="1"/>
  <c r="O208" i="3"/>
  <c r="M280" i="1"/>
  <c r="I280" i="1"/>
  <c r="O211" i="3"/>
  <c r="O210" i="3" s="1"/>
  <c r="P258" i="1"/>
  <c r="O18" i="3"/>
  <c r="P16" i="1"/>
  <c r="P15" i="1" s="1"/>
  <c r="O185" i="3"/>
  <c r="D133" i="3"/>
  <c r="O192" i="3"/>
  <c r="D181" i="3"/>
  <c r="D161" i="3" s="1"/>
  <c r="O193" i="3"/>
  <c r="O17" i="3"/>
  <c r="O123" i="3"/>
  <c r="D16" i="3"/>
  <c r="E105" i="1"/>
  <c r="E269" i="1" s="1"/>
  <c r="D196" i="3"/>
  <c r="D194" i="3" s="1"/>
  <c r="O85" i="3"/>
  <c r="O88" i="3"/>
  <c r="O105" i="3"/>
  <c r="O198" i="3"/>
  <c r="O86" i="3"/>
  <c r="O179" i="3"/>
  <c r="O207" i="3"/>
  <c r="O106" i="3"/>
  <c r="O104" i="3"/>
  <c r="O87" i="3"/>
  <c r="O109" i="3"/>
  <c r="O165" i="3"/>
  <c r="O120" i="3"/>
  <c r="O117" i="3"/>
  <c r="O116" i="3"/>
  <c r="O98" i="3"/>
  <c r="O191" i="3"/>
  <c r="O138" i="3"/>
  <c r="O137" i="3"/>
  <c r="O136" i="3"/>
  <c r="O135" i="3"/>
  <c r="O134" i="3"/>
  <c r="O199" i="3"/>
  <c r="O54" i="3"/>
  <c r="O57" i="3"/>
  <c r="O44" i="3"/>
  <c r="O145" i="3"/>
  <c r="O206" i="3"/>
  <c r="O204" i="3" s="1"/>
  <c r="O112" i="3"/>
  <c r="O139" i="3"/>
  <c r="O128" i="3"/>
  <c r="O96" i="3"/>
  <c r="O84" i="3"/>
  <c r="O147" i="3"/>
  <c r="O201" i="3"/>
  <c r="O130" i="3"/>
  <c r="O99" i="3"/>
  <c r="O97" i="3"/>
  <c r="L209" i="1"/>
  <c r="O127" i="3" l="1"/>
  <c r="O19" i="3"/>
  <c r="O82" i="3"/>
  <c r="O133" i="3"/>
  <c r="L269" i="1"/>
  <c r="L292" i="1" s="1"/>
  <c r="O16" i="3"/>
  <c r="D214" i="3"/>
  <c r="E292" i="1" s="1"/>
  <c r="O196" i="3"/>
  <c r="O194" i="3" s="1"/>
  <c r="O181" i="3"/>
  <c r="O161" i="3" s="1"/>
  <c r="P228" i="1"/>
  <c r="P210" i="1" s="1"/>
  <c r="J209" i="1"/>
  <c r="L280" i="1" l="1"/>
  <c r="O150" i="3"/>
  <c r="O140" i="3" s="1"/>
  <c r="J95" i="3" l="1"/>
  <c r="J90" i="3" s="1"/>
  <c r="N95" i="3"/>
  <c r="N90" i="3" s="1"/>
  <c r="J127" i="1"/>
  <c r="J121" i="1" s="1"/>
  <c r="N214" i="3" l="1"/>
  <c r="O292" i="1" s="1"/>
  <c r="J214" i="3"/>
  <c r="K292" i="1" s="1"/>
  <c r="J120" i="1"/>
  <c r="J269" i="1" s="1"/>
  <c r="I95" i="3"/>
  <c r="I90" i="3" s="1"/>
  <c r="P127" i="1"/>
  <c r="P121" i="1" s="1"/>
  <c r="P257" i="1"/>
  <c r="K280" i="1" l="1"/>
  <c r="O280" i="1"/>
  <c r="P120" i="1"/>
  <c r="I214" i="3"/>
  <c r="J292" i="1" s="1"/>
  <c r="O95" i="3"/>
  <c r="O90" i="3" s="1"/>
  <c r="P209" i="1"/>
  <c r="P160" i="1"/>
  <c r="P154" i="1"/>
  <c r="J280" i="1" l="1"/>
  <c r="P269" i="1"/>
  <c r="O214" i="3"/>
  <c r="C37" i="1"/>
  <c r="P292" i="1" l="1"/>
  <c r="P280" i="1"/>
  <c r="C261" i="1"/>
  <c r="D261" i="1"/>
  <c r="B261" i="1"/>
  <c r="C203" i="1"/>
  <c r="D203" i="1"/>
  <c r="B203" i="1"/>
  <c r="C130" i="1" l="1"/>
  <c r="D130" i="1"/>
  <c r="B130" i="1"/>
  <c r="D114" i="1"/>
  <c r="C114" i="1"/>
  <c r="B114" i="1"/>
  <c r="C113" i="1"/>
  <c r="D113" i="1"/>
  <c r="B113" i="1"/>
  <c r="C34" i="1"/>
  <c r="B34" i="1"/>
  <c r="C153" i="1"/>
  <c r="B153" i="1"/>
  <c r="C148" i="1"/>
  <c r="D148" i="1"/>
  <c r="C149" i="1"/>
  <c r="B149" i="1"/>
  <c r="B148" i="1"/>
  <c r="C147" i="1"/>
  <c r="D147" i="1"/>
  <c r="B147" i="1"/>
  <c r="C144" i="1"/>
  <c r="B144" i="1"/>
  <c r="C143" i="1"/>
  <c r="D143" i="1"/>
  <c r="B143" i="1"/>
  <c r="C139" i="1"/>
  <c r="D139" i="1"/>
  <c r="B139" i="1"/>
  <c r="C136" i="1"/>
  <c r="B136" i="1"/>
  <c r="C131" i="1"/>
  <c r="D131" i="1"/>
  <c r="B131" i="1"/>
  <c r="C129" i="1"/>
  <c r="B129" i="1"/>
  <c r="C128" i="1"/>
  <c r="B128" i="1"/>
  <c r="C127" i="1"/>
  <c r="D127" i="1"/>
  <c r="B127" i="1"/>
  <c r="C118" i="1"/>
  <c r="B118" i="1"/>
  <c r="C112" i="1"/>
  <c r="D112" i="1"/>
  <c r="B112" i="1"/>
  <c r="C111" i="1"/>
  <c r="B111" i="1"/>
  <c r="C110" i="1"/>
  <c r="B110" i="1"/>
  <c r="C109" i="1"/>
  <c r="B109" i="1"/>
  <c r="C58" i="1"/>
  <c r="B58" i="1"/>
  <c r="C57" i="1"/>
  <c r="B57" i="1"/>
  <c r="C41" i="1"/>
  <c r="D41" i="1"/>
  <c r="B41" i="1"/>
  <c r="C39" i="1"/>
  <c r="D39" i="1"/>
  <c r="B39" i="1"/>
  <c r="B37" i="1"/>
  <c r="C36" i="1"/>
  <c r="D36" i="1"/>
  <c r="B36" i="1"/>
  <c r="C35" i="1"/>
  <c r="D35" i="1"/>
  <c r="B35" i="1"/>
  <c r="C33" i="1"/>
  <c r="D33" i="1"/>
  <c r="B33" i="1"/>
  <c r="C32" i="1"/>
  <c r="B32" i="1"/>
  <c r="C24" i="1"/>
  <c r="B25" i="1"/>
  <c r="C31" i="1"/>
  <c r="D31" i="1"/>
  <c r="B31" i="1"/>
  <c r="C30" i="1"/>
  <c r="B30" i="1"/>
  <c r="C29" i="1"/>
  <c r="B29" i="1"/>
  <c r="C28" i="1"/>
  <c r="B28" i="1"/>
  <c r="C27" i="1"/>
  <c r="B27" i="1"/>
  <c r="C26" i="1"/>
  <c r="B26" i="1"/>
  <c r="C22" i="1"/>
  <c r="D22" i="1"/>
  <c r="B22" i="1"/>
  <c r="C21" i="1"/>
  <c r="D21" i="1"/>
  <c r="B21" i="1"/>
  <c r="C20" i="1"/>
  <c r="B20" i="1"/>
  <c r="C19" i="1"/>
  <c r="D19" i="1"/>
  <c r="B19" i="1"/>
  <c r="C164" i="1"/>
  <c r="D164" i="1"/>
  <c r="B164" i="1"/>
  <c r="C166" i="1"/>
  <c r="D166" i="1"/>
  <c r="C167" i="1"/>
  <c r="D167" i="1"/>
  <c r="B167" i="1"/>
  <c r="B166" i="1"/>
  <c r="C179" i="1"/>
  <c r="D179" i="1"/>
  <c r="B179" i="1"/>
  <c r="C182" i="1"/>
  <c r="D182" i="1"/>
  <c r="B182" i="1"/>
  <c r="C180" i="1"/>
  <c r="D180" i="1"/>
  <c r="B180" i="1"/>
  <c r="C183" i="1"/>
  <c r="D183" i="1"/>
  <c r="B183" i="1"/>
  <c r="C184" i="1"/>
  <c r="D184" i="1"/>
  <c r="B184" i="1"/>
  <c r="C185" i="1"/>
  <c r="D185" i="1"/>
  <c r="B185" i="1"/>
  <c r="C194" i="1"/>
  <c r="B194" i="1"/>
  <c r="C202" i="1"/>
  <c r="B202" i="1"/>
  <c r="C207" i="1"/>
  <c r="D207" i="1"/>
  <c r="B207" i="1"/>
  <c r="C208" i="1"/>
  <c r="B208" i="1"/>
  <c r="C234" i="1"/>
  <c r="B234" i="1"/>
  <c r="C260" i="1"/>
  <c r="B260" i="1"/>
  <c r="C263" i="1"/>
  <c r="D263" i="1"/>
  <c r="B263" i="1"/>
  <c r="C264" i="1"/>
  <c r="D264" i="1"/>
  <c r="B264" i="1"/>
  <c r="C259" i="1"/>
  <c r="B259" i="1"/>
  <c r="C239" i="1"/>
  <c r="B239" i="1"/>
  <c r="C215" i="1"/>
  <c r="B215" i="1"/>
  <c r="C177" i="1"/>
  <c r="B177" i="1"/>
  <c r="C162" i="1"/>
  <c r="B162" i="1"/>
  <c r="C156" i="1"/>
  <c r="B156" i="1"/>
  <c r="C126" i="1"/>
  <c r="B126" i="1"/>
  <c r="C108" i="1"/>
  <c r="B108" i="1"/>
  <c r="C56" i="1"/>
  <c r="B56" i="1"/>
  <c r="C18" i="1"/>
  <c r="B18" i="1"/>
  <c r="E280" i="1" l="1"/>
  <c r="N170" i="1"/>
  <c r="N269" i="1" s="1"/>
  <c r="M181" i="3"/>
  <c r="M161" i="3" s="1"/>
  <c r="M214" i="3" l="1"/>
  <c r="N292" i="1" s="1"/>
  <c r="N280" i="1" l="1"/>
</calcChain>
</file>

<file path=xl/sharedStrings.xml><?xml version="1.0" encoding="utf-8"?>
<sst xmlns="http://schemas.openxmlformats.org/spreadsheetml/2006/main" count="709" uniqueCount="541">
  <si>
    <t>7640</t>
  </si>
  <si>
    <t>7412</t>
  </si>
  <si>
    <t>7610</t>
  </si>
  <si>
    <t>7670</t>
  </si>
  <si>
    <t>8300</t>
  </si>
  <si>
    <t>8110</t>
  </si>
  <si>
    <t xml:space="preserve">Охорона навколишнього природного середовища </t>
  </si>
  <si>
    <t>8340</t>
  </si>
  <si>
    <t>Природоохоронні заходи за рахунок цільових фондів</t>
  </si>
  <si>
    <t>Обслуговування місцевого боргу</t>
  </si>
  <si>
    <t>9000</t>
  </si>
  <si>
    <t>9700</t>
  </si>
  <si>
    <t>9770</t>
  </si>
  <si>
    <t>Забезпечення діяльності бібліотек</t>
  </si>
  <si>
    <t>Проведення навчально-тренувальних зборів і змагань з неолімпійських видів спорту</t>
  </si>
  <si>
    <t>Інші заходи, пов'язані з економічною діяльністю</t>
  </si>
  <si>
    <t>Інші видатки на соціальний захист ветеранів війни та праці</t>
  </si>
  <si>
    <t>Компенсаційні виплати на пільговий проїзд електротранспортом окремим категоріям громадян</t>
  </si>
  <si>
    <t>Проведення навчально-тренувальних зборів і змагань з олімпійських видів спорту</t>
  </si>
  <si>
    <t>Фінансова підтримка дитячо-юнацьких спортивних шкіл фізкультурно-спортивних товариств</t>
  </si>
  <si>
    <t>Сприяння розвитку малого та середнього підприємництва</t>
  </si>
  <si>
    <t>Управління  освіти і науки Сумської міської ради</t>
  </si>
  <si>
    <t>1000000</t>
  </si>
  <si>
    <t>1500000</t>
  </si>
  <si>
    <t>1510000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</si>
  <si>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</si>
  <si>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Заходи державної політики з питань дітей та їх соціального захисту</t>
  </si>
  <si>
    <t>Департамент інфраструктури міста Сумської міської ради</t>
  </si>
  <si>
    <t>Управління капітального будівництва та дорожнього господарства Сумської міської ради</t>
  </si>
  <si>
    <t>Виконавчий комітет Сумської міської ради</t>
  </si>
  <si>
    <t>Регулювання цін на послуги місцевого автотранспорту</t>
  </si>
  <si>
    <t>Організація та проведення громадських робіт</t>
  </si>
  <si>
    <t xml:space="preserve">Департамент соціального захисту населення Сумської міської ради </t>
  </si>
  <si>
    <t>Департамент забезпечення ресурсних платежів Сумської міської ради</t>
  </si>
  <si>
    <t>Департамент фінансів, економіки та інвестицій Сумської міської ради</t>
  </si>
  <si>
    <t>Управління державного архітектурно-будівельного контролю Сумської міської ради</t>
  </si>
  <si>
    <t>0100</t>
  </si>
  <si>
    <t>0180</t>
  </si>
  <si>
    <t>0111</t>
  </si>
  <si>
    <t>1000</t>
  </si>
  <si>
    <t>1010</t>
  </si>
  <si>
    <t>0910</t>
  </si>
  <si>
    <t>1020</t>
  </si>
  <si>
    <t>0921</t>
  </si>
  <si>
    <t>1030</t>
  </si>
  <si>
    <t>1070</t>
  </si>
  <si>
    <t>0922</t>
  </si>
  <si>
    <t>1090</t>
  </si>
  <si>
    <t>0960</t>
  </si>
  <si>
    <t>0990</t>
  </si>
  <si>
    <t>2000</t>
  </si>
  <si>
    <t>2010</t>
  </si>
  <si>
    <t>0731</t>
  </si>
  <si>
    <t>0733</t>
  </si>
  <si>
    <t>0722</t>
  </si>
  <si>
    <t>0763</t>
  </si>
  <si>
    <t>3000</t>
  </si>
  <si>
    <t>6000</t>
  </si>
  <si>
    <t>0610</t>
  </si>
  <si>
    <t>6020</t>
  </si>
  <si>
    <t>0620</t>
  </si>
  <si>
    <t>4000</t>
  </si>
  <si>
    <t xml:space="preserve"> Культура і мистецтво</t>
  </si>
  <si>
    <t>4030</t>
  </si>
  <si>
    <t>0824</t>
  </si>
  <si>
    <t>0829</t>
  </si>
  <si>
    <t>5000</t>
  </si>
  <si>
    <t>5011</t>
  </si>
  <si>
    <t>0810</t>
  </si>
  <si>
    <t>5012</t>
  </si>
  <si>
    <t>0490</t>
  </si>
  <si>
    <t>0421</t>
  </si>
  <si>
    <t>0451</t>
  </si>
  <si>
    <t>7400</t>
  </si>
  <si>
    <t>0470</t>
  </si>
  <si>
    <t>0411</t>
  </si>
  <si>
    <t>7600</t>
  </si>
  <si>
    <t>0320</t>
  </si>
  <si>
    <t>0170</t>
  </si>
  <si>
    <t>0540</t>
  </si>
  <si>
    <t>0133</t>
  </si>
  <si>
    <t>8000</t>
  </si>
  <si>
    <t>8600</t>
  </si>
  <si>
    <t>8100</t>
  </si>
  <si>
    <t>7300</t>
  </si>
  <si>
    <t>3031</t>
  </si>
  <si>
    <t>3033</t>
  </si>
  <si>
    <t>1040</t>
  </si>
  <si>
    <t>3104</t>
  </si>
  <si>
    <t>3112</t>
  </si>
  <si>
    <t>3200</t>
  </si>
  <si>
    <t>1050</t>
  </si>
  <si>
    <t>3131</t>
  </si>
  <si>
    <t>3160</t>
  </si>
  <si>
    <t>0443</t>
  </si>
  <si>
    <t>5061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</si>
  <si>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</si>
  <si>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</si>
  <si>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5031</t>
  </si>
  <si>
    <t>5032</t>
  </si>
  <si>
    <t>0160</t>
  </si>
  <si>
    <t>2030</t>
  </si>
  <si>
    <t>2100</t>
  </si>
  <si>
    <t>2111</t>
  </si>
  <si>
    <t>Надання інших пільг окремим категоріям громадян відповідно до законодавства</t>
  </si>
  <si>
    <t>3032</t>
  </si>
  <si>
    <t>3036</t>
  </si>
  <si>
    <t>3121</t>
  </si>
  <si>
    <t>6013</t>
  </si>
  <si>
    <t>6030</t>
  </si>
  <si>
    <t>Організація благоустрою населених пунктів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</si>
  <si>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</si>
  <si>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7000</t>
  </si>
  <si>
    <t>7130</t>
  </si>
  <si>
    <t>1010160</t>
  </si>
  <si>
    <t>1510160</t>
  </si>
  <si>
    <t>6090</t>
  </si>
  <si>
    <t>Інша діяльність у сфері житлово-комунального господарства</t>
  </si>
  <si>
    <t>7100</t>
  </si>
  <si>
    <t>Сільське, лісове, рибне господарство та мисливство</t>
  </si>
  <si>
    <t>1517640</t>
  </si>
  <si>
    <t>Забезпечення діяльності водопровідно-каналізаційного господарства</t>
  </si>
  <si>
    <t>8120</t>
  </si>
  <si>
    <t>0200000</t>
  </si>
  <si>
    <t>0210000</t>
  </si>
  <si>
    <t>0210160</t>
  </si>
  <si>
    <t>0213036</t>
  </si>
  <si>
    <t>0213131</t>
  </si>
  <si>
    <t>0215011</t>
  </si>
  <si>
    <t>0215012</t>
  </si>
  <si>
    <t>0215031</t>
  </si>
  <si>
    <t>0215061</t>
  </si>
  <si>
    <t>0218110</t>
  </si>
  <si>
    <t>0218340</t>
  </si>
  <si>
    <t>0600000</t>
  </si>
  <si>
    <t>0610000</t>
  </si>
  <si>
    <t>0610160</t>
  </si>
  <si>
    <t>0611010</t>
  </si>
  <si>
    <t>0700000</t>
  </si>
  <si>
    <t>0710000</t>
  </si>
  <si>
    <t>0710160</t>
  </si>
  <si>
    <t>0712010</t>
  </si>
  <si>
    <t>0717640</t>
  </si>
  <si>
    <t>0712111</t>
  </si>
  <si>
    <t>0712100</t>
  </si>
  <si>
    <t>0712030</t>
  </si>
  <si>
    <t>0800000</t>
  </si>
  <si>
    <t>0810000</t>
  </si>
  <si>
    <t>0810160</t>
  </si>
  <si>
    <t>0813031</t>
  </si>
  <si>
    <t>0813032</t>
  </si>
  <si>
    <t>0813036</t>
  </si>
  <si>
    <t>0813104</t>
  </si>
  <si>
    <t>0813160</t>
  </si>
  <si>
    <t>0813200</t>
  </si>
  <si>
    <t>0900000</t>
  </si>
  <si>
    <t>0910000</t>
  </si>
  <si>
    <t>0910160</t>
  </si>
  <si>
    <t>0913112</t>
  </si>
  <si>
    <t>1010000</t>
  </si>
  <si>
    <t>1014030</t>
  </si>
  <si>
    <t>1200000</t>
  </si>
  <si>
    <t>1210000</t>
  </si>
  <si>
    <t>1210160</t>
  </si>
  <si>
    <t>1216013</t>
  </si>
  <si>
    <t>1216020</t>
  </si>
  <si>
    <t>1216030</t>
  </si>
  <si>
    <t>1217640</t>
  </si>
  <si>
    <t>1218340</t>
  </si>
  <si>
    <t>1219770</t>
  </si>
  <si>
    <t>1516084</t>
  </si>
  <si>
    <t>1710000</t>
  </si>
  <si>
    <t>1710160</t>
  </si>
  <si>
    <t>1700000</t>
  </si>
  <si>
    <t>3100000</t>
  </si>
  <si>
    <t>3110000</t>
  </si>
  <si>
    <t>3110160</t>
  </si>
  <si>
    <t>3700000</t>
  </si>
  <si>
    <t>3710000</t>
  </si>
  <si>
    <t>3710160</t>
  </si>
  <si>
    <t>3718340</t>
  </si>
  <si>
    <t>3718600</t>
  </si>
  <si>
    <t>0218120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</si>
  <si>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</si>
  <si>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</si>
  <si>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</si>
  <si>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</si>
  <si>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</si>
  <si>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</si>
  <si>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</si>
  <si>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</si>
  <si>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0217530</t>
  </si>
  <si>
    <t>Інші заходи у сфері зв'язку, телекомунікації та інформатики</t>
  </si>
  <si>
    <t>7530</t>
  </si>
  <si>
    <t>0460</t>
  </si>
  <si>
    <t>7500</t>
  </si>
  <si>
    <t>Зв'язок, телекомунікації та інформатика</t>
  </si>
  <si>
    <t>7693</t>
  </si>
  <si>
    <t>0217693</t>
  </si>
  <si>
    <t>0210180</t>
  </si>
  <si>
    <t>Інша діяльність у сфері державного управління</t>
  </si>
  <si>
    <t>0218230</t>
  </si>
  <si>
    <t>8230</t>
  </si>
  <si>
    <t>0380</t>
  </si>
  <si>
    <t>Інші заходи громадського порядку та безпеки</t>
  </si>
  <si>
    <t>0217680</t>
  </si>
  <si>
    <t>7680</t>
  </si>
  <si>
    <t>Членські внески до асоціацій органів місцевого самоврядування</t>
  </si>
  <si>
    <t>8200</t>
  </si>
  <si>
    <t>Громадський порядок та безпека</t>
  </si>
  <si>
    <t>1216090</t>
  </si>
  <si>
    <t>0213033</t>
  </si>
  <si>
    <t>3717640</t>
  </si>
  <si>
    <t>1216017</t>
  </si>
  <si>
    <t>6017</t>
  </si>
  <si>
    <t>3117693</t>
  </si>
  <si>
    <t>0819770</t>
  </si>
  <si>
    <t>7650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</si>
  <si>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</si>
  <si>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</si>
  <si>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1217330</t>
  </si>
  <si>
    <t>7330</t>
  </si>
  <si>
    <t>Інші програми та заходи у сфері освіти</t>
  </si>
  <si>
    <t>2151</t>
  </si>
  <si>
    <t>2152</t>
  </si>
  <si>
    <t>3191</t>
  </si>
  <si>
    <t>3192</t>
  </si>
  <si>
    <t>3210</t>
  </si>
  <si>
    <t>3241</t>
  </si>
  <si>
    <t>3242</t>
  </si>
  <si>
    <t>4081</t>
  </si>
  <si>
    <t>4082</t>
  </si>
  <si>
    <t>Інші заходи в галузі культури і мистецтва</t>
  </si>
  <si>
    <t>7691</t>
  </si>
  <si>
    <t>1217691</t>
  </si>
  <si>
    <t>0217691</t>
  </si>
  <si>
    <t>1213210</t>
  </si>
  <si>
    <t>0214081</t>
  </si>
  <si>
    <t>0213242</t>
  </si>
  <si>
    <t>0813241</t>
  </si>
  <si>
    <t>0813191</t>
  </si>
  <si>
    <t>0813192</t>
  </si>
  <si>
    <t>0640</t>
  </si>
  <si>
    <t>0726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</si>
  <si>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</si>
  <si>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</si>
  <si>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</si>
  <si>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</si>
  <si>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Компенсаційні виплати за пільговий проїзд окремих категорій громадян на залізничному транспорті</t>
  </si>
  <si>
    <t>3035</t>
  </si>
  <si>
    <t>0813035</t>
  </si>
  <si>
    <t>0712151</t>
  </si>
  <si>
    <t>0712152</t>
  </si>
  <si>
    <t>Код Функціональної класифікації видатків та кредитування бюджету</t>
  </si>
  <si>
    <t>у тому числі бюджет розвитку</t>
  </si>
  <si>
    <t>3717693</t>
  </si>
  <si>
    <t>1217670</t>
  </si>
  <si>
    <t>3111</t>
  </si>
  <si>
    <t>0913111</t>
  </si>
  <si>
    <t>Відділ культури Сумської міської ради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</si>
  <si>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</si>
  <si>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</si>
  <si>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</si>
  <si>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бюджетної програми згідно з Типовою програмною класифікацією видатків та кредитування місцевого бюджету</t>
  </si>
  <si>
    <t>Здійснення заходів та реалізація проектів на виконання Державної цільової соціальної програми "Молодь України"</t>
  </si>
  <si>
    <t>Забезпечення обробки інформації з нарахування та виплати допомог і компенсацій</t>
  </si>
  <si>
    <t>Забезпечення діяльності інших закладів в галузі культури і мистецтва</t>
  </si>
  <si>
    <t>Інша діяльність, пов’язана з експлуатацією об’єктів житлово-комунального господарства</t>
  </si>
  <si>
    <t>Здійснення заходів із землеустрою</t>
  </si>
  <si>
    <t>Проведення експертної грошової оцінки земельної ділянки чи права на неї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</si>
  <si>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</si>
  <si>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 xml:space="preserve">Інша діяльність у сфері екології та охорони природних ресурсів </t>
  </si>
  <si>
    <t>0215062</t>
  </si>
  <si>
    <t>0813033</t>
  </si>
  <si>
    <t>0813242</t>
  </si>
  <si>
    <t>Інші субвенції з місцевого бюджету</t>
  </si>
  <si>
    <t>0215032</t>
  </si>
  <si>
    <t>(грн)</t>
  </si>
  <si>
    <t>Надання пільг окремим категоріям громадян з оплати послуг зв'язку</t>
  </si>
  <si>
    <t>Управління  «Служба у справах дітей» Сумської міської ради</t>
  </si>
  <si>
    <t>Надання позашкільної освіти закладами позашкільної освіти, заходи із позашкільної роботи з дітьми</t>
  </si>
  <si>
    <t>1218110</t>
  </si>
  <si>
    <t>0219800</t>
  </si>
  <si>
    <t>іншої субвенції з місцевого бюджету</t>
  </si>
  <si>
    <t>Всього видатків, у т.ч. за рахунок:</t>
  </si>
  <si>
    <t>Компенсаційні виплати на пільговий проїзд автомобільним транспортом окремим категоріям громадян</t>
  </si>
  <si>
    <t>Інші заходи у сфері соціального захисту і соціального забезпечення</t>
  </si>
  <si>
    <t>Заходи з енергозбереження, у т. ч. за рахунок:</t>
  </si>
  <si>
    <t>місцевого запозичення</t>
  </si>
  <si>
    <t>Управління капітального будівництва та дорожнього господарства Сумської міської ради, у т. ч. за рахунок:</t>
  </si>
  <si>
    <t>Інші програми та заходи, пов'язані з економічною діяльністю, у т.ч. за рахунок:</t>
  </si>
  <si>
    <t>Заходи з енергозбереження</t>
  </si>
  <si>
    <t>Реалізація інших заходів щодо соціально-економічного розвитку територій</t>
  </si>
  <si>
    <t xml:space="preserve">Управління охорони здоров’я Сумської міської ради  </t>
  </si>
  <si>
    <t>Лікарсько-акушерська допомога вагітним, породіллям та новонародженим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</si>
  <si>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</si>
  <si>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</si>
  <si>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0611021</t>
  </si>
  <si>
    <t>0611022</t>
  </si>
  <si>
    <t>0611070</t>
  </si>
  <si>
    <t>0611141</t>
  </si>
  <si>
    <t>1141</t>
  </si>
  <si>
    <t>0611142</t>
  </si>
  <si>
    <t>1142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</si>
  <si>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</si>
  <si>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</si>
  <si>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</si>
  <si>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</si>
  <si>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</si>
  <si>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</si>
  <si>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0613242</t>
  </si>
  <si>
    <t>0615031</t>
  </si>
  <si>
    <t>0617640</t>
  </si>
  <si>
    <t>0618340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</si>
  <si>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</si>
  <si>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Надання дошкільної освіти</t>
  </si>
  <si>
    <t>1011080</t>
  </si>
  <si>
    <t>Забезпечення діяльності інших закладів у сфері освіти</t>
  </si>
  <si>
    <t>3718710</t>
  </si>
  <si>
    <t>Резервний фонд місцевого бюджету</t>
  </si>
  <si>
    <t>1210180</t>
  </si>
  <si>
    <t>(код бюджету)</t>
  </si>
  <si>
    <t>0611025</t>
  </si>
  <si>
    <t>Надання спеціалізованої освіти мистецькими школами</t>
  </si>
  <si>
    <t>0213133</t>
  </si>
  <si>
    <t>Багатопрофільна стаціонарна медична допомога населенню</t>
  </si>
  <si>
    <t>Фізична культура і спорт</t>
  </si>
  <si>
    <t>Транспорт та транспортна інфраструктура, дорожнє господарство</t>
  </si>
  <si>
    <t>Забезпечення діяльності інших закладів у сфері охорони здоров'я</t>
  </si>
  <si>
    <t>Інші програми та заходи у сфері охорони здоров'я</t>
  </si>
  <si>
    <t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</si>
  <si>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0611091</t>
  </si>
  <si>
    <t>0930</t>
  </si>
  <si>
    <t>Резервний фонд</t>
  </si>
  <si>
    <t>0218240</t>
  </si>
  <si>
    <t>Заходи та роботи з територіальної оборони</t>
  </si>
  <si>
    <t>Внески до статутного капіталу суб'єктів господарювання</t>
  </si>
  <si>
    <t>Департамент інспекційної роботи Сумської міської ради</t>
  </si>
  <si>
    <t>3600000</t>
  </si>
  <si>
    <t>3610000</t>
  </si>
  <si>
    <t>3610160</t>
  </si>
  <si>
    <t>Управління комунального майна Сумської міської ради</t>
  </si>
  <si>
    <t>3617370</t>
  </si>
  <si>
    <t>3617130</t>
  </si>
  <si>
    <t>3617650</t>
  </si>
  <si>
    <t>3617660</t>
  </si>
  <si>
    <t>3617693</t>
  </si>
  <si>
    <t>Соціальний захист та соціальне забезпечення, у т. ч. за рахунок:</t>
  </si>
  <si>
    <t>Економічна діяльність, у т.ч. за рахунок:</t>
  </si>
  <si>
    <t>Департамент соціального захисту населення Сумської міської ради, у т.ч. за рахунок:</t>
  </si>
  <si>
    <t>2700000</t>
  </si>
  <si>
    <t>2710160</t>
  </si>
  <si>
    <t>2710000</t>
  </si>
  <si>
    <t>2717610</t>
  </si>
  <si>
    <t>1218240</t>
  </si>
  <si>
    <t>0618240</t>
  </si>
  <si>
    <t>1853100000</t>
  </si>
  <si>
    <t>5010000</t>
  </si>
  <si>
    <t>5010160</t>
  </si>
  <si>
    <t>до                    наказу             Сумської</t>
  </si>
  <si>
    <t>міської       військової     адміністрації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</si>
  <si>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об'єктів житлово-комунального господарства</t>
    </r>
  </si>
  <si>
    <t>Інші заходи у сфері соціального захисту і соціального забезпечення,    у т. ч. за рахунок:</t>
  </si>
  <si>
    <t>Сумська міська військова адміністрація Сумського району Сумської області</t>
  </si>
  <si>
    <t>трансфертів з державного бюджету</t>
  </si>
  <si>
    <t>трансфертів з місцевого бюджету до інших місцевих бюджетів за рахунок трансфертів з державного бюджету</t>
  </si>
  <si>
    <t xml:space="preserve">трансфертів з місцевих бюджетів </t>
  </si>
  <si>
    <t>до                 наказу             Сумської</t>
  </si>
  <si>
    <t>міської     військової    адміністрації</t>
  </si>
  <si>
    <t>Керівництво і управління у відповідній сфері у містах (місті Києві), селищах, селах, територіальних громадах</t>
  </si>
  <si>
    <t>РОЗПОДІЛ
видатків бюджету Сумської міської територіальної громади на 2025 рік за програмною класифікацією видатків та кредитування місцевого бюджету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</si>
  <si>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</si>
  <si>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</si>
  <si>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</si>
  <si>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Державне управління</t>
  </si>
  <si>
    <t>Надання загальної середньої освіти закладами загальної середньої освіти за рахунок коштів місцевого бюджету</t>
  </si>
  <si>
    <t>Міжбюджетні трансферти</t>
  </si>
  <si>
    <t>Заходи із запобігання та ліквідації надзвичайних ситуацій та наслідків стихійного лиха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</si>
  <si>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</si>
  <si>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Охорона здоров’я</t>
  </si>
  <si>
    <t>Компенсаційні виплати на пільговий проїзд автомобільним транспортом окремим категоріям громадян, у т.ч. за рахунок:</t>
  </si>
  <si>
    <t>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</si>
  <si>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</si>
  <si>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збору та вивезення сміття і відходів</t>
  </si>
  <si>
    <t>1216014</t>
  </si>
  <si>
    <t>1216092</t>
  </si>
  <si>
    <t>1217412</t>
  </si>
  <si>
    <t>1217450</t>
  </si>
  <si>
    <t>0456</t>
  </si>
  <si>
    <t>Інша діяльність у сфері транспорту</t>
  </si>
  <si>
    <t>1217426</t>
  </si>
  <si>
    <t>Інші заходи у сфері електротранспорту</t>
  </si>
  <si>
    <t>0455</t>
  </si>
  <si>
    <t>трансфертів з державного бюджету, в т.ч.:</t>
  </si>
  <si>
    <t>1216091</t>
  </si>
  <si>
    <t>0813121</t>
  </si>
  <si>
    <t>3617691</t>
  </si>
  <si>
    <t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</si>
  <si>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0611031</t>
  </si>
  <si>
    <t>субвенції з місцевого бюджету на здійснення переданих видатків у сфері освіти за рахунок коштів освітньої субвенції</t>
  </si>
  <si>
    <t>Надання загальної середньої освіти закладами загальної середньої освіти за рахунок освітньої субвенції,  у т. ч. за рахунок:</t>
  </si>
  <si>
    <t>Управління  освіти і науки Сумської міської ради,  у т. ч. за рахунок:</t>
  </si>
  <si>
    <t>Освіта,  у т. ч. за рахунок:</t>
  </si>
  <si>
    <t>1152</t>
  </si>
  <si>
    <t>Забезпечення діяльності інклюзивно-ресурсних центрів за рахунок освітньої субвенції, у т. ч. за рахунок:</t>
  </si>
  <si>
    <t>0611152</t>
  </si>
  <si>
    <t>освітньої субвенції з державного бюджету місцевим бюджетам</t>
  </si>
  <si>
    <t>0611032</t>
  </si>
  <si>
    <t>1032</t>
  </si>
  <si>
    <t xml:space="preserve"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 інтелектуального розвитку, фізичного та/або сенсорними порушеннями, за рахунок освітньої субвенції,  у т.ч. за рахунок: </t>
  </si>
  <si>
    <t xml:space="preserve"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освітньої субвенції,  у т.ч. за рахунок: </t>
  </si>
  <si>
    <t>0611035</t>
  </si>
  <si>
    <t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t>
  </si>
  <si>
    <t>0611092</t>
  </si>
  <si>
    <t>інші субвенції з місцевого бюджету</t>
  </si>
  <si>
    <t>0813050</t>
  </si>
  <si>
    <t>0813090</t>
  </si>
  <si>
    <t>0813171</t>
  </si>
  <si>
    <t>3050</t>
  </si>
  <si>
    <t>Пільгове медичне обслуговування осіб, які постраждали внаслідок Чорнобильської катастрофи, у т.ч. за рахунок:</t>
  </si>
  <si>
    <t>3090</t>
  </si>
  <si>
    <t>Видатки на поховання учасників бойових дій та осіб з інвалідністю внаслідок війни, у т.ч. за рахунок: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</si>
  <si>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</si>
  <si>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t>
  </si>
  <si>
    <t>Надання комплексу послуг дітям-сиротам, дітям,
позбавленим батьківського піклування, особам з їх
числа та дітям віком від 3 до 18 років, які опинились
у складних життєвих обставинах, закладами, які
надають соціальні послуги дітям</t>
  </si>
  <si>
    <t>Забезпечення молодіжними центрами соціального
становлення та розвитку молоді та інші заходи у
сфері молодіжної політики</t>
  </si>
  <si>
    <t>Розвиток здібностей у дітей та молоді з фізичної
культури та спорту комунальними дитячо-юнацькими спортивними школами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</si>
  <si>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</si>
  <si>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</si>
  <si>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1183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</si>
  <si>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</si>
  <si>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бюджетам, у т.ч. за рахунок:</t>
  </si>
  <si>
    <t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</si>
  <si>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>0611184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</si>
  <si>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</si>
  <si>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</si>
  <si>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потребами, у т.ч. за рахунок:</t>
  </si>
  <si>
    <t>субвенції з державного бюджету місцевим бюджетам на надання державної пітримки особам з особливими освітніми потребами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</si>
  <si>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</si>
  <si>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</si>
  <si>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здійснення доплат педагогічним працівникам закладів загальної середньої освіти</t>
  </si>
  <si>
    <t>0611600</t>
  </si>
  <si>
    <t>0913114</t>
  </si>
  <si>
    <t>Забезпечення умов для догляду та виховання дітей і молоді в дитячих будинках сімейного типу, прийомних сім’ях та сім’ях патронатних вихователів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</si>
  <si>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</si>
  <si>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</si>
  <si>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</si>
  <si>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забезпечення харчуванням учнів початкових класів закладів загальної середньої освіти</t>
  </si>
  <si>
    <t>Підготовка кадрів закладами професійної (професійно-технічної) освіти та іншими закладами освіти за рахунок коштів місцевого бюджету, у т.ч. за рахунок: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</si>
  <si>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</si>
  <si>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освіти, у т.ч. за рахунок:</t>
  </si>
  <si>
    <t>0611700</t>
  </si>
  <si>
    <t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t>
  </si>
  <si>
    <t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</si>
  <si>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1300</t>
  </si>
  <si>
    <t>1511300</t>
  </si>
  <si>
    <t>1512170</t>
  </si>
  <si>
    <t>1516091</t>
  </si>
  <si>
    <t>1517330</t>
  </si>
  <si>
    <t>Регулювання цін на послуги місцевого наземного електротранспорту</t>
  </si>
  <si>
    <t>0453</t>
  </si>
  <si>
    <t>1217422</t>
  </si>
  <si>
    <t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t>
  </si>
  <si>
    <t>Будівництво1 інших об'єктів комунальної власності</t>
  </si>
  <si>
    <t>Регіональний розвиток та інші інвестиційні проекти, у т.ч. за рахунок:</t>
  </si>
  <si>
    <t>0611300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</si>
  <si>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інших об'єктів комунальної власності</t>
    </r>
  </si>
  <si>
    <t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t>
  </si>
  <si>
    <t>Надання комплексу послуг особам/сім’ям у сфері соціального захисту та соціального забезпечення іншими надавачами соціальних послуг</t>
  </si>
  <si>
    <t>0712170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</si>
  <si>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освітніх установ та закладів, у т.ч. за рахунок:</t>
    </r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</si>
  <si>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закладів охорони здоров'я</t>
    </r>
  </si>
  <si>
    <r>
      <t>Будівництво</t>
    </r>
    <r>
      <rPr>
        <vertAlign val="superscript"/>
        <sz val="12"/>
        <rFont val="Times New Roman"/>
        <family val="1"/>
        <charset val="204"/>
      </rPr>
      <t xml:space="preserve"> 1</t>
    </r>
    <r>
      <rPr>
        <sz val="12"/>
        <rFont val="Times New Roman"/>
        <family val="1"/>
        <charset val="204"/>
      </rPr>
      <t xml:space="preserve"> освітніх установ та закладів, у т.ч. за рахунок:</t>
    </r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</si>
  <si>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у т.ч. за рахунок:</t>
  </si>
  <si>
    <t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</si>
  <si>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0813193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</si>
  <si>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банку, у т.ч. за рахунок:</t>
  </si>
  <si>
    <t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t>
  </si>
  <si>
    <t>1217384</t>
  </si>
  <si>
    <t>Департамент інфраструктури міста Сумської міської ради, у т.ч. за рахунок:</t>
  </si>
  <si>
    <t>1261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</si>
  <si>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</si>
  <si>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1511261</t>
  </si>
  <si>
    <t>1511262</t>
  </si>
  <si>
    <t>1262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</si>
  <si>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бюджетам, у т.ч. за рахунок:</t>
  </si>
  <si>
    <t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</si>
  <si>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</si>
  <si>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1216094</t>
  </si>
  <si>
    <t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</si>
  <si>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Реалізація заходів з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- 2», у т.ч. за рахунок:</t>
  </si>
  <si>
    <t>Житлово-комунальне господарство, у т.ч. за рахунок:</t>
  </si>
  <si>
    <t>Виконавчий комітет Сумської міської ради, у т.ч. за рахунок:</t>
  </si>
  <si>
    <t>Заходи з організації рятування на водах, у т.ч. за рахунок:</t>
  </si>
  <si>
    <t>Інша діяльність, у т.ч. за рахунок:</t>
  </si>
  <si>
    <t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</si>
  <si>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Усього видатків, у т.ч. за рахунок:</t>
  </si>
  <si>
    <t>1512010</t>
  </si>
  <si>
    <t>УСЬОГО, т.ч. за рахунок:</t>
  </si>
  <si>
    <t>усього</t>
  </si>
  <si>
    <t xml:space="preserve">РОЗПОДІЛ
видатків бюджету Сумської міської територіальної громади на 2025 рік </t>
  </si>
  <si>
    <t>1516030</t>
  </si>
  <si>
    <t>Захист населення і територій від надзвичайних ситуацій, у т.ч. за рахунок:</t>
  </si>
  <si>
    <t>1511010</t>
  </si>
  <si>
    <t>1511021</t>
  </si>
  <si>
    <t>1511141</t>
  </si>
  <si>
    <t xml:space="preserve">                     Додаток 3</t>
  </si>
  <si>
    <t xml:space="preserve">Директор Департаменту фінансів, економіки та інвестицій Сумської міської ради  </t>
  </si>
  <si>
    <t>Світлана ЛИПОВА</t>
  </si>
  <si>
    <t>субвенції  з місцевого бюджету на здійснення переданих видатків у сфері освіти за рахунок коштів освітньої субвенції</t>
  </si>
  <si>
    <t>Департамент забезпечення ресурсних платежів Сумської міської ради, у т.ч. за рахунок:</t>
  </si>
  <si>
    <t>1014083</t>
  </si>
  <si>
    <t>Будівництво-1 закладів культури і мистецтва</t>
  </si>
  <si>
    <t>1517370</t>
  </si>
  <si>
    <t>1273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</si>
  <si>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бюджету),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</si>
  <si>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1274</t>
  </si>
  <si>
    <t>Реалізація заходів за рахунок освітньої субвенції з державного бюджету місцевим бюджетам (за спеціальним фондом державного бюджету)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освіти, у т.ч. за рахунок:</t>
  </si>
  <si>
    <t>0611273</t>
  </si>
  <si>
    <t>0611274</t>
  </si>
  <si>
    <t>1222</t>
  </si>
  <si>
    <t>Виконання заходів щодо реалізації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 за рахунок субвенції з державного бюджету місцевим бюджетам,  у т.ч. за рахунок:</t>
  </si>
  <si>
    <t>субвенції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</si>
  <si>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t>0611222</t>
  </si>
  <si>
    <t>0713193</t>
  </si>
  <si>
    <t>Управління охорони здоров’я Сумської міської ради, у т.ч. за рахунок:</t>
  </si>
  <si>
    <t>Витрати, пов'язані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</si>
  <si>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1511310</t>
  </si>
  <si>
    <t>1310</t>
  </si>
  <si>
    <t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бюджетів, у т.ч. за рахунок:</t>
  </si>
  <si>
    <t>1216093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</si>
  <si>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бюджетів, у т.ч. за рахунок:</t>
  </si>
  <si>
    <t>1516092</t>
  </si>
  <si>
    <t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бюджетів, у т.ч. за рахунок:</t>
  </si>
  <si>
    <t>залишку коштів інших субвенцій з місцевого бюджету,  що склався станом на 01.01.2025 року</t>
  </si>
  <si>
    <t>1217377</t>
  </si>
  <si>
    <t>Реалізація проектів (заходів) з відновлення інших об'єктів комунальної власності, пошкоджених / знищених внаслідок збройної агресії, за рахунок коштів місцевих бюджетів</t>
  </si>
  <si>
    <t xml:space="preserve">                     Додаток 7</t>
  </si>
  <si>
    <t>0719770</t>
  </si>
  <si>
    <r>
      <t xml:space="preserve">Будівництво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освітніх установ та закладів</t>
    </r>
  </si>
  <si>
    <t>від 22.05.2025  №  117  - СМВА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</si>
</sst>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* #,##0.00;* \-#,##0.00;* &quot;-&quot;??;@"/>
  </numFmts>
  <fonts count="47" x14ac:knownFonts="1">
    <font>
      <sz val="10"/>
      <name val="Times New Roman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25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2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25"/>
      <name val="Times New Roman"/>
      <family val="1"/>
      <charset val="204"/>
    </font>
    <font>
      <b/>
      <i/>
      <sz val="25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9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6" fillId="7" borderId="1" applyNumberFormat="0" applyAlignment="0" applyProtection="0"/>
    <xf numFmtId="0" fontId="7" fillId="22" borderId="2" applyNumberFormat="0" applyAlignment="0" applyProtection="0"/>
    <xf numFmtId="0" fontId="14" fillId="22" borderId="1" applyNumberFormat="0" applyAlignment="0" applyProtection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>
      <alignment vertical="top"/>
    </xf>
    <xf numFmtId="0" fontId="11" fillId="0" borderId="3" applyNumberFormat="0" applyFill="0" applyAlignment="0" applyProtection="0"/>
    <xf numFmtId="0" fontId="9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9" fillId="0" borderId="0"/>
    <xf numFmtId="0" fontId="5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5" applyNumberFormat="0" applyFont="0" applyAlignment="0" applyProtection="0"/>
    <xf numFmtId="0" fontId="17" fillId="0" borderId="6" applyNumberFormat="0" applyFill="0" applyAlignment="0" applyProtection="0"/>
    <xf numFmtId="0" fontId="18" fillId="0" borderId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32" fillId="24" borderId="0" applyNumberFormat="0" applyBorder="0" applyAlignment="0" applyProtection="0"/>
    <xf numFmtId="0" fontId="32" fillId="30" borderId="0" applyNumberFormat="0" applyBorder="0" applyAlignment="0" applyProtection="0"/>
    <xf numFmtId="0" fontId="33" fillId="36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3" fillId="37" borderId="0" applyNumberFormat="0" applyBorder="0" applyAlignment="0" applyProtection="0"/>
    <xf numFmtId="0" fontId="32" fillId="26" borderId="0" applyNumberFormat="0" applyBorder="0" applyAlignment="0" applyProtection="0"/>
    <xf numFmtId="0" fontId="32" fillId="32" borderId="0" applyNumberFormat="0" applyBorder="0" applyAlignment="0" applyProtection="0"/>
    <xf numFmtId="0" fontId="33" fillId="38" borderId="0" applyNumberFormat="0" applyBorder="0" applyAlignment="0" applyProtection="0"/>
    <xf numFmtId="0" fontId="32" fillId="27" borderId="0" applyNumberFormat="0" applyBorder="0" applyAlignment="0" applyProtection="0"/>
    <xf numFmtId="0" fontId="32" fillId="33" borderId="0" applyNumberFormat="0" applyBorder="0" applyAlignment="0" applyProtection="0"/>
    <xf numFmtId="0" fontId="33" fillId="39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3" fillId="40" borderId="0" applyNumberFormat="0" applyBorder="0" applyAlignment="0" applyProtection="0"/>
    <xf numFmtId="0" fontId="32" fillId="29" borderId="0" applyNumberFormat="0" applyBorder="0" applyAlignment="0" applyProtection="0"/>
    <xf numFmtId="0" fontId="32" fillId="35" borderId="0" applyNumberFormat="0" applyBorder="0" applyAlignment="0" applyProtection="0"/>
    <xf numFmtId="0" fontId="33" fillId="41" borderId="0" applyNumberFormat="0" applyBorder="0" applyAlignment="0" applyProtection="0"/>
    <xf numFmtId="0" fontId="2" fillId="0" borderId="0"/>
  </cellStyleXfs>
  <cellXfs count="167">
    <xf numFmtId="0" fontId="0" fillId="0" borderId="0" xfId="0"/>
    <xf numFmtId="49" fontId="23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left" wrapText="1"/>
    </xf>
    <xf numFmtId="4" fontId="23" fillId="0" borderId="0" xfId="0" applyNumberFormat="1" applyFont="1" applyFill="1" applyAlignment="1">
      <alignment horizontal="center"/>
    </xf>
    <xf numFmtId="4" fontId="44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4" fontId="44" fillId="0" borderId="0" xfId="0" applyNumberFormat="1" applyFont="1" applyFill="1" applyAlignment="1">
      <alignment vertical="center"/>
    </xf>
    <xf numFmtId="4" fontId="41" fillId="0" borderId="0" xfId="0" applyNumberFormat="1" applyFont="1" applyFill="1"/>
    <xf numFmtId="3" fontId="34" fillId="0" borderId="0" xfId="0" applyNumberFormat="1" applyFont="1" applyFill="1"/>
    <xf numFmtId="49" fontId="23" fillId="0" borderId="0" xfId="0" applyNumberFormat="1" applyFont="1" applyFill="1" applyAlignment="1">
      <alignment horizontal="center" wrapText="1"/>
    </xf>
    <xf numFmtId="3" fontId="23" fillId="0" borderId="0" xfId="0" applyNumberFormat="1" applyFont="1" applyFill="1" applyAlignment="1">
      <alignment horizontal="center" wrapText="1"/>
    </xf>
    <xf numFmtId="4" fontId="23" fillId="0" borderId="0" xfId="0" applyNumberFormat="1" applyFont="1" applyFill="1" applyAlignment="1">
      <alignment horizontal="center" wrapText="1"/>
    </xf>
    <xf numFmtId="4" fontId="31" fillId="0" borderId="0" xfId="0" applyNumberFormat="1" applyFont="1" applyFill="1" applyAlignment="1">
      <alignment horizontal="center" wrapText="1"/>
    </xf>
    <xf numFmtId="3" fontId="23" fillId="0" borderId="0" xfId="0" applyNumberFormat="1" applyFont="1" applyFill="1"/>
    <xf numFmtId="3" fontId="24" fillId="0" borderId="0" xfId="0" applyNumberFormat="1" applyFont="1" applyFill="1" applyAlignment="1">
      <alignment horizontal="center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3" fontId="28" fillId="0" borderId="7" xfId="0" applyNumberFormat="1" applyFont="1" applyFill="1" applyBorder="1" applyAlignment="1">
      <alignment horizontal="left" vertical="center" wrapText="1"/>
    </xf>
    <xf numFmtId="4" fontId="28" fillId="0" borderId="7" xfId="0" applyNumberFormat="1" applyFont="1" applyFill="1" applyBorder="1" applyAlignment="1">
      <alignment horizontal="right" wrapText="1"/>
    </xf>
    <xf numFmtId="3" fontId="24" fillId="0" borderId="0" xfId="0" applyNumberFormat="1" applyFont="1" applyFill="1" applyAlignment="1">
      <alignment vertical="center"/>
    </xf>
    <xf numFmtId="49" fontId="30" fillId="0" borderId="7" xfId="0" applyNumberFormat="1" applyFont="1" applyFill="1" applyBorder="1" applyAlignment="1">
      <alignment horizontal="center" vertical="center" wrapText="1"/>
    </xf>
    <xf numFmtId="3" fontId="30" fillId="0" borderId="7" xfId="0" applyNumberFormat="1" applyFont="1" applyFill="1" applyBorder="1" applyAlignment="1">
      <alignment horizontal="center" vertical="center" wrapText="1"/>
    </xf>
    <xf numFmtId="3" fontId="30" fillId="0" borderId="7" xfId="0" applyNumberFormat="1" applyFont="1" applyFill="1" applyBorder="1" applyAlignment="1">
      <alignment horizontal="left" vertical="center" wrapText="1"/>
    </xf>
    <xf numFmtId="4" fontId="30" fillId="0" borderId="7" xfId="0" applyNumberFormat="1" applyFont="1" applyFill="1" applyBorder="1" applyAlignment="1">
      <alignment horizontal="right" wrapText="1"/>
    </xf>
    <xf numFmtId="3" fontId="26" fillId="0" borderId="0" xfId="0" applyNumberFormat="1" applyFont="1" applyFill="1" applyAlignment="1">
      <alignment vertical="center"/>
    </xf>
    <xf numFmtId="49" fontId="21" fillId="0" borderId="7" xfId="0" applyNumberFormat="1" applyFont="1" applyFill="1" applyBorder="1" applyAlignment="1">
      <alignment horizontal="center" vertical="center" wrapText="1"/>
    </xf>
    <xf numFmtId="1" fontId="21" fillId="0" borderId="7" xfId="0" applyNumberFormat="1" applyFont="1" applyFill="1" applyBorder="1" applyAlignment="1">
      <alignment horizontal="center" vertical="center" wrapText="1"/>
    </xf>
    <xf numFmtId="3" fontId="21" fillId="0" borderId="7" xfId="0" applyNumberFormat="1" applyFont="1" applyFill="1" applyBorder="1" applyAlignment="1">
      <alignment horizontal="left" vertical="center" wrapText="1"/>
    </xf>
    <xf numFmtId="4" fontId="21" fillId="0" borderId="7" xfId="0" applyNumberFormat="1" applyFont="1" applyFill="1" applyBorder="1" applyAlignment="1">
      <alignment horizontal="right" wrapText="1"/>
    </xf>
    <xf numFmtId="3" fontId="23" fillId="0" borderId="0" xfId="0" applyNumberFormat="1" applyFont="1" applyFill="1" applyAlignment="1">
      <alignment vertical="center"/>
    </xf>
    <xf numFmtId="1" fontId="21" fillId="0" borderId="7" xfId="0" applyNumberFormat="1" applyFont="1" applyFill="1" applyBorder="1" applyAlignment="1">
      <alignment horizontal="left" vertical="center" wrapText="1"/>
    </xf>
    <xf numFmtId="1" fontId="28" fillId="0" borderId="7" xfId="0" applyNumberFormat="1" applyFont="1" applyFill="1" applyBorder="1" applyAlignment="1">
      <alignment horizontal="center" vertical="center" wrapText="1"/>
    </xf>
    <xf numFmtId="1" fontId="30" fillId="0" borderId="7" xfId="0" applyNumberFormat="1" applyFont="1" applyFill="1" applyBorder="1" applyAlignment="1">
      <alignment horizontal="center" vertical="center" wrapText="1"/>
    </xf>
    <xf numFmtId="1" fontId="30" fillId="0" borderId="7" xfId="0" applyNumberFormat="1" applyFont="1" applyFill="1" applyBorder="1" applyAlignment="1">
      <alignment horizontal="left" vertical="center" wrapText="1"/>
    </xf>
    <xf numFmtId="49" fontId="29" fillId="0" borderId="7" xfId="0" applyNumberFormat="1" applyFont="1" applyFill="1" applyBorder="1" applyAlignment="1">
      <alignment horizontal="center" vertical="center" wrapText="1"/>
    </xf>
    <xf numFmtId="1" fontId="29" fillId="0" borderId="7" xfId="0" applyNumberFormat="1" applyFont="1" applyFill="1" applyBorder="1" applyAlignment="1">
      <alignment horizontal="center" vertical="center" wrapText="1"/>
    </xf>
    <xf numFmtId="1" fontId="29" fillId="0" borderId="7" xfId="0" applyNumberFormat="1" applyFont="1" applyFill="1" applyBorder="1" applyAlignment="1">
      <alignment horizontal="left" vertical="center" wrapText="1"/>
    </xf>
    <xf numFmtId="4" fontId="29" fillId="0" borderId="7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vertical="center"/>
    </xf>
    <xf numFmtId="3" fontId="29" fillId="0" borderId="7" xfId="0" applyNumberFormat="1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3" fontId="21" fillId="0" borderId="7" xfId="0" applyNumberFormat="1" applyFont="1" applyFill="1" applyBorder="1" applyAlignment="1">
      <alignment horizontal="left" vertical="top" wrapText="1"/>
    </xf>
    <xf numFmtId="49" fontId="21" fillId="0" borderId="7" xfId="0" applyNumberFormat="1" applyFont="1" applyFill="1" applyBorder="1" applyAlignment="1">
      <alignment horizontal="left" vertic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1" fontId="30" fillId="0" borderId="0" xfId="0" applyNumberFormat="1" applyFont="1" applyFill="1" applyBorder="1" applyAlignment="1">
      <alignment horizontal="center" vertical="center" wrapText="1"/>
    </xf>
    <xf numFmtId="3" fontId="30" fillId="0" borderId="0" xfId="0" applyNumberFormat="1" applyFont="1" applyFill="1" applyBorder="1" applyAlignment="1">
      <alignment horizontal="left" vertical="center" wrapText="1"/>
    </xf>
    <xf numFmtId="4" fontId="30" fillId="0" borderId="0" xfId="0" applyNumberFormat="1" applyFont="1" applyFill="1" applyBorder="1" applyAlignment="1">
      <alignment horizontal="right" wrapText="1"/>
    </xf>
    <xf numFmtId="3" fontId="44" fillId="0" borderId="0" xfId="0" applyNumberFormat="1" applyFont="1" applyFill="1"/>
    <xf numFmtId="49" fontId="27" fillId="0" borderId="0" xfId="0" applyNumberFormat="1" applyFont="1" applyFill="1" applyAlignment="1">
      <alignment horizontal="center"/>
    </xf>
    <xf numFmtId="3" fontId="27" fillId="0" borderId="0" xfId="0" applyNumberFormat="1" applyFont="1" applyFill="1" applyAlignment="1">
      <alignment horizontal="center"/>
    </xf>
    <xf numFmtId="4" fontId="34" fillId="0" borderId="7" xfId="0" applyNumberFormat="1" applyFont="1" applyFill="1" applyBorder="1" applyAlignment="1">
      <alignment horizontal="center"/>
    </xf>
    <xf numFmtId="3" fontId="27" fillId="0" borderId="0" xfId="0" applyNumberFormat="1" applyFont="1" applyFill="1"/>
    <xf numFmtId="4" fontId="23" fillId="0" borderId="7" xfId="0" applyNumberFormat="1" applyFont="1" applyFill="1" applyBorder="1" applyAlignment="1">
      <alignment horizontal="center"/>
    </xf>
    <xf numFmtId="49" fontId="31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wrapText="1"/>
    </xf>
    <xf numFmtId="4" fontId="31" fillId="0" borderId="0" xfId="0" applyNumberFormat="1" applyFont="1" applyFill="1"/>
    <xf numFmtId="49" fontId="28" fillId="0" borderId="7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vertical="center" wrapText="1"/>
    </xf>
    <xf numFmtId="4" fontId="28" fillId="0" borderId="7" xfId="0" applyNumberFormat="1" applyFont="1" applyFill="1" applyBorder="1" applyAlignment="1">
      <alignment horizontal="right"/>
    </xf>
    <xf numFmtId="1" fontId="21" fillId="0" borderId="7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 wrapText="1"/>
    </xf>
    <xf numFmtId="4" fontId="21" fillId="0" borderId="7" xfId="0" applyNumberFormat="1" applyFont="1" applyFill="1" applyBorder="1" applyAlignment="1">
      <alignment horizontal="right"/>
    </xf>
    <xf numFmtId="1" fontId="28" fillId="0" borderId="7" xfId="0" applyNumberFormat="1" applyFont="1" applyFill="1" applyBorder="1" applyAlignment="1">
      <alignment horizontal="center" vertical="center"/>
    </xf>
    <xf numFmtId="1" fontId="30" fillId="0" borderId="7" xfId="0" applyNumberFormat="1" applyFont="1" applyFill="1" applyBorder="1" applyAlignment="1">
      <alignment horizontal="center" vertical="center"/>
    </xf>
    <xf numFmtId="4" fontId="30" fillId="0" borderId="7" xfId="0" applyNumberFormat="1" applyFont="1" applyFill="1" applyBorder="1" applyAlignment="1">
      <alignment horizontal="right"/>
    </xf>
    <xf numFmtId="1" fontId="29" fillId="0" borderId="7" xfId="0" applyNumberFormat="1" applyFont="1" applyFill="1" applyBorder="1" applyAlignment="1">
      <alignment horizontal="center" vertical="center"/>
    </xf>
    <xf numFmtId="4" fontId="29" fillId="0" borderId="7" xfId="0" applyNumberFormat="1" applyFont="1" applyFill="1" applyBorder="1" applyAlignment="1">
      <alignment horizontal="right"/>
    </xf>
    <xf numFmtId="49" fontId="21" fillId="0" borderId="7" xfId="0" applyNumberFormat="1" applyFont="1" applyFill="1" applyBorder="1" applyAlignment="1" applyProtection="1">
      <alignment horizontal="center" vertical="center" wrapText="1"/>
    </xf>
    <xf numFmtId="3" fontId="21" fillId="0" borderId="7" xfId="0" applyNumberFormat="1" applyFont="1" applyFill="1" applyBorder="1" applyAlignment="1" applyProtection="1">
      <alignment horizontal="left" vertical="center" wrapText="1"/>
    </xf>
    <xf numFmtId="1" fontId="21" fillId="0" borderId="7" xfId="0" applyNumberFormat="1" applyFont="1" applyFill="1" applyBorder="1" applyAlignment="1" applyProtection="1">
      <alignment horizontal="center" vertical="center" wrapText="1"/>
    </xf>
    <xf numFmtId="1" fontId="29" fillId="0" borderId="7" xfId="0" applyNumberFormat="1" applyFont="1" applyFill="1" applyBorder="1" applyAlignment="1" applyProtection="1">
      <alignment horizontal="center" vertical="center" wrapText="1"/>
    </xf>
    <xf numFmtId="49" fontId="29" fillId="0" borderId="7" xfId="0" applyNumberFormat="1" applyFont="1" applyFill="1" applyBorder="1" applyAlignment="1" applyProtection="1">
      <alignment horizontal="center" vertical="center" wrapText="1"/>
    </xf>
    <xf numFmtId="1" fontId="28" fillId="0" borderId="7" xfId="0" applyNumberFormat="1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top" wrapText="1"/>
    </xf>
    <xf numFmtId="4" fontId="42" fillId="0" borderId="7" xfId="0" applyNumberFormat="1" applyFont="1" applyFill="1" applyBorder="1" applyAlignment="1">
      <alignment horizontal="right"/>
    </xf>
    <xf numFmtId="49" fontId="21" fillId="0" borderId="7" xfId="0" applyNumberFormat="1" applyFont="1" applyFill="1" applyBorder="1" applyAlignment="1">
      <alignment horizontal="center" vertical="center"/>
    </xf>
    <xf numFmtId="49" fontId="28" fillId="0" borderId="7" xfId="0" applyNumberFormat="1" applyFont="1" applyFill="1" applyBorder="1" applyAlignment="1">
      <alignment horizontal="left" vertical="center"/>
    </xf>
    <xf numFmtId="1" fontId="30" fillId="0" borderId="0" xfId="0" applyNumberFormat="1" applyFont="1" applyFill="1" applyAlignment="1">
      <alignment horizontal="center" vertical="center"/>
    </xf>
    <xf numFmtId="3" fontId="30" fillId="0" borderId="0" xfId="0" applyNumberFormat="1" applyFont="1" applyFill="1" applyAlignment="1">
      <alignment horizontal="left" vertical="center" wrapText="1"/>
    </xf>
    <xf numFmtId="4" fontId="30" fillId="0" borderId="0" xfId="0" applyNumberFormat="1" applyFont="1" applyFill="1" applyAlignment="1">
      <alignment horizontal="right"/>
    </xf>
    <xf numFmtId="4" fontId="45" fillId="0" borderId="0" xfId="0" applyNumberFormat="1" applyFont="1" applyFill="1" applyAlignment="1">
      <alignment horizontal="right"/>
    </xf>
    <xf numFmtId="1" fontId="21" fillId="0" borderId="7" xfId="0" applyNumberFormat="1" applyFont="1" applyFill="1" applyBorder="1" applyAlignment="1">
      <alignment horizontal="left" vertical="top" wrapText="1"/>
    </xf>
    <xf numFmtId="0" fontId="21" fillId="0" borderId="0" xfId="0" applyFont="1" applyFill="1"/>
    <xf numFmtId="49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wrapText="1"/>
    </xf>
    <xf numFmtId="4" fontId="21" fillId="0" borderId="0" xfId="0" applyNumberFormat="1" applyFont="1" applyFill="1"/>
    <xf numFmtId="0" fontId="28" fillId="0" borderId="0" xfId="0" applyFont="1" applyFill="1"/>
    <xf numFmtId="0" fontId="29" fillId="0" borderId="0" xfId="0" applyFont="1" applyFill="1"/>
    <xf numFmtId="0" fontId="43" fillId="0" borderId="0" xfId="0" applyFont="1" applyFill="1"/>
    <xf numFmtId="4" fontId="28" fillId="0" borderId="0" xfId="0" applyNumberFormat="1" applyFont="1" applyFill="1"/>
    <xf numFmtId="0" fontId="30" fillId="0" borderId="0" xfId="0" applyFont="1" applyFill="1"/>
    <xf numFmtId="49" fontId="28" fillId="0" borderId="7" xfId="0" applyNumberFormat="1" applyFont="1" applyFill="1" applyBorder="1" applyAlignment="1">
      <alignment horizontal="left" vertical="center" wrapText="1"/>
    </xf>
    <xf numFmtId="4" fontId="44" fillId="0" borderId="0" xfId="0" applyNumberFormat="1" applyFont="1" applyFill="1" applyAlignment="1">
      <alignment horizontal="left" vertical="center"/>
    </xf>
    <xf numFmtId="0" fontId="31" fillId="0" borderId="0" xfId="0" applyFont="1" applyFill="1"/>
    <xf numFmtId="3" fontId="30" fillId="0" borderId="7" xfId="0" applyNumberFormat="1" applyFont="1" applyFill="1" applyBorder="1" applyAlignment="1">
      <alignment vertical="center" wrapText="1"/>
    </xf>
    <xf numFmtId="49" fontId="30" fillId="0" borderId="7" xfId="0" applyNumberFormat="1" applyFont="1" applyFill="1" applyBorder="1" applyAlignment="1">
      <alignment horizontal="center" vertical="center"/>
    </xf>
    <xf numFmtId="0" fontId="45" fillId="0" borderId="0" xfId="0" applyFont="1" applyFill="1"/>
    <xf numFmtId="4" fontId="21" fillId="0" borderId="7" xfId="0" applyNumberFormat="1" applyFont="1" applyFill="1" applyBorder="1"/>
    <xf numFmtId="1" fontId="21" fillId="0" borderId="7" xfId="0" applyNumberFormat="1" applyFont="1" applyFill="1" applyBorder="1" applyAlignment="1">
      <alignment horizontal="left" wrapText="1"/>
    </xf>
    <xf numFmtId="1" fontId="29" fillId="0" borderId="7" xfId="0" applyNumberFormat="1" applyFont="1" applyFill="1" applyBorder="1" applyAlignment="1">
      <alignment horizontal="left" wrapText="1"/>
    </xf>
    <xf numFmtId="49" fontId="29" fillId="0" borderId="7" xfId="0" applyNumberFormat="1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vertical="center" wrapText="1"/>
    </xf>
    <xf numFmtId="4" fontId="44" fillId="0" borderId="0" xfId="0" applyNumberFormat="1" applyFont="1" applyFill="1"/>
    <xf numFmtId="4" fontId="41" fillId="0" borderId="0" xfId="0" applyNumberFormat="1" applyFont="1" applyFill="1" applyAlignment="1">
      <alignment horizontal="left" indent="1"/>
    </xf>
    <xf numFmtId="4" fontId="23" fillId="0" borderId="8" xfId="0" applyNumberFormat="1" applyFont="1" applyFill="1" applyBorder="1" applyAlignment="1">
      <alignment horizontal="center"/>
    </xf>
    <xf numFmtId="4" fontId="30" fillId="0" borderId="0" xfId="0" applyNumberFormat="1" applyFont="1" applyFill="1"/>
    <xf numFmtId="4" fontId="44" fillId="0" borderId="0" xfId="0" applyNumberFormat="1" applyFont="1" applyFill="1"/>
    <xf numFmtId="4" fontId="41" fillId="0" borderId="0" xfId="0" applyNumberFormat="1" applyFont="1" applyFill="1" applyAlignment="1">
      <alignment horizontal="left" indent="1"/>
    </xf>
    <xf numFmtId="3" fontId="24" fillId="0" borderId="7" xfId="0" applyNumberFormat="1" applyFont="1" applyFill="1" applyBorder="1" applyAlignment="1">
      <alignment horizontal="center" vertical="center" wrapText="1"/>
    </xf>
    <xf numFmtId="3" fontId="44" fillId="0" borderId="0" xfId="0" applyNumberFormat="1" applyFont="1" applyFill="1" applyAlignment="1">
      <alignment vertical="center"/>
    </xf>
    <xf numFmtId="4" fontId="44" fillId="0" borderId="0" xfId="0" applyNumberFormat="1" applyFont="1" applyFill="1" applyAlignment="1">
      <alignment horizontal="center" vertical="center"/>
    </xf>
    <xf numFmtId="3" fontId="23" fillId="42" borderId="0" xfId="0" applyNumberFormat="1" applyFont="1" applyFill="1" applyAlignment="1">
      <alignment vertical="center"/>
    </xf>
    <xf numFmtId="3" fontId="25" fillId="42" borderId="0" xfId="0" applyNumberFormat="1" applyFont="1" applyFill="1" applyAlignment="1">
      <alignment vertical="center"/>
    </xf>
    <xf numFmtId="0" fontId="29" fillId="43" borderId="0" xfId="0" applyFont="1" applyFill="1"/>
    <xf numFmtId="0" fontId="21" fillId="42" borderId="0" xfId="0" applyFont="1" applyFill="1"/>
    <xf numFmtId="0" fontId="29" fillId="42" borderId="0" xfId="0" applyFont="1" applyFill="1"/>
    <xf numFmtId="0" fontId="30" fillId="42" borderId="0" xfId="0" applyFont="1" applyFill="1"/>
    <xf numFmtId="3" fontId="25" fillId="44" borderId="0" xfId="0" applyNumberFormat="1" applyFont="1" applyFill="1" applyAlignment="1">
      <alignment vertical="center"/>
    </xf>
    <xf numFmtId="3" fontId="23" fillId="44" borderId="0" xfId="0" applyNumberFormat="1" applyFont="1" applyFill="1" applyAlignment="1">
      <alignment vertical="center"/>
    </xf>
    <xf numFmtId="3" fontId="26" fillId="44" borderId="0" xfId="0" applyNumberFormat="1" applyFont="1" applyFill="1" applyAlignment="1">
      <alignment vertical="center"/>
    </xf>
    <xf numFmtId="0" fontId="21" fillId="44" borderId="0" xfId="0" applyFont="1" applyFill="1"/>
    <xf numFmtId="0" fontId="30" fillId="44" borderId="0" xfId="0" applyFont="1" applyFill="1"/>
    <xf numFmtId="4" fontId="30" fillId="44" borderId="0" xfId="0" applyNumberFormat="1" applyFont="1" applyFill="1"/>
    <xf numFmtId="0" fontId="29" fillId="44" borderId="0" xfId="0" applyFont="1" applyFill="1"/>
    <xf numFmtId="4" fontId="24" fillId="0" borderId="7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textRotation="180"/>
    </xf>
    <xf numFmtId="0" fontId="27" fillId="0" borderId="0" xfId="0" applyFont="1" applyFill="1" applyAlignment="1">
      <alignment vertical="center" textRotation="180"/>
    </xf>
    <xf numFmtId="0" fontId="27" fillId="0" borderId="9" xfId="0" applyFont="1" applyFill="1" applyBorder="1" applyAlignment="1">
      <alignment vertical="center" textRotation="180"/>
    </xf>
    <xf numFmtId="3" fontId="46" fillId="42" borderId="0" xfId="0" applyNumberFormat="1" applyFont="1" applyFill="1" applyAlignment="1">
      <alignment vertical="center"/>
    </xf>
    <xf numFmtId="3" fontId="23" fillId="42" borderId="0" xfId="0" applyNumberFormat="1" applyFont="1" applyFill="1" applyAlignment="1">
      <alignment horizontal="left" vertical="center"/>
    </xf>
    <xf numFmtId="4" fontId="28" fillId="0" borderId="7" xfId="0" applyNumberFormat="1" applyFont="1" applyFill="1" applyBorder="1" applyAlignment="1">
      <alignment horizontal="center" vertical="center" wrapText="1"/>
    </xf>
    <xf numFmtId="3" fontId="27" fillId="0" borderId="0" xfId="0" applyNumberFormat="1" applyFont="1" applyFill="1" applyBorder="1" applyAlignment="1">
      <alignment horizontal="center" vertical="center" textRotation="180"/>
    </xf>
    <xf numFmtId="3" fontId="27" fillId="0" borderId="9" xfId="0" applyNumberFormat="1" applyFont="1" applyFill="1" applyBorder="1" applyAlignment="1">
      <alignment horizontal="center" vertical="center" textRotation="180"/>
    </xf>
    <xf numFmtId="3" fontId="28" fillId="0" borderId="7" xfId="0" applyNumberFormat="1" applyFont="1" applyFill="1" applyBorder="1" applyAlignment="1">
      <alignment horizontal="center" vertical="center" wrapText="1"/>
    </xf>
    <xf numFmtId="164" fontId="21" fillId="0" borderId="7" xfId="29" applyFont="1" applyFill="1" applyBorder="1" applyAlignment="1">
      <alignment horizontal="right" wrapText="1"/>
    </xf>
    <xf numFmtId="4" fontId="21" fillId="0" borderId="7" xfId="0" applyNumberFormat="1" applyFont="1" applyFill="1" applyBorder="1" applyAlignment="1">
      <alignment horizontal="left" wrapText="1"/>
    </xf>
    <xf numFmtId="4" fontId="21" fillId="0" borderId="7" xfId="0" applyNumberFormat="1" applyFont="1" applyFill="1" applyBorder="1" applyAlignment="1">
      <alignment wrapText="1"/>
    </xf>
    <xf numFmtId="3" fontId="23" fillId="0" borderId="0" xfId="0" applyNumberFormat="1" applyFont="1" applyFill="1" applyAlignment="1">
      <alignment horizontal="left" vertical="center"/>
    </xf>
    <xf numFmtId="3" fontId="27" fillId="0" borderId="0" xfId="0" applyNumberFormat="1" applyFont="1" applyFill="1" applyAlignment="1">
      <alignment horizontal="center" vertical="center" textRotation="180"/>
    </xf>
    <xf numFmtId="4" fontId="28" fillId="0" borderId="7" xfId="0" applyNumberFormat="1" applyFont="1" applyFill="1" applyBorder="1" applyAlignment="1">
      <alignment horizontal="center" vertical="center" wrapText="1"/>
    </xf>
    <xf numFmtId="4" fontId="39" fillId="0" borderId="7" xfId="0" applyNumberFormat="1" applyFont="1" applyFill="1" applyBorder="1" applyAlignment="1">
      <alignment horizontal="center" vertical="center" wrapText="1"/>
    </xf>
    <xf numFmtId="3" fontId="44" fillId="0" borderId="0" xfId="0" applyNumberFormat="1" applyFont="1" applyFill="1" applyAlignment="1">
      <alignment horizontal="right" vertical="center" wrapText="1"/>
    </xf>
    <xf numFmtId="49" fontId="37" fillId="0" borderId="0" xfId="0" applyNumberFormat="1" applyFont="1" applyFill="1" applyAlignment="1">
      <alignment horizontal="center"/>
    </xf>
    <xf numFmtId="3" fontId="44" fillId="0" borderId="0" xfId="0" applyNumberFormat="1" applyFont="1" applyFill="1" applyAlignment="1">
      <alignment horizontal="left" vertical="center" wrapText="1"/>
    </xf>
    <xf numFmtId="4" fontId="44" fillId="0" borderId="0" xfId="0" applyNumberFormat="1" applyFont="1" applyFill="1"/>
    <xf numFmtId="4" fontId="41" fillId="0" borderId="0" xfId="0" applyNumberFormat="1" applyFont="1" applyFill="1" applyAlignment="1">
      <alignment horizontal="left" indent="1"/>
    </xf>
    <xf numFmtId="3" fontId="36" fillId="0" borderId="0" xfId="0" applyNumberFormat="1" applyFont="1" applyFill="1" applyAlignment="1">
      <alignment horizontal="center" vertical="top" wrapText="1"/>
    </xf>
    <xf numFmtId="49" fontId="24" fillId="0" borderId="7" xfId="0" applyNumberFormat="1" applyFont="1" applyFill="1" applyBorder="1" applyAlignment="1">
      <alignment horizontal="center" vertical="center" wrapText="1"/>
    </xf>
    <xf numFmtId="3" fontId="24" fillId="0" borderId="7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top"/>
    </xf>
    <xf numFmtId="4" fontId="38" fillId="0" borderId="7" xfId="0" applyNumberFormat="1" applyFont="1" applyFill="1" applyBorder="1" applyAlignment="1">
      <alignment horizontal="center" vertical="center" wrapText="1"/>
    </xf>
    <xf numFmtId="3" fontId="27" fillId="0" borderId="9" xfId="0" applyNumberFormat="1" applyFont="1" applyFill="1" applyBorder="1" applyAlignment="1">
      <alignment horizontal="center" vertical="center" textRotation="180"/>
    </xf>
    <xf numFmtId="3" fontId="27" fillId="0" borderId="0" xfId="0" applyNumberFormat="1" applyFont="1" applyFill="1" applyBorder="1" applyAlignment="1">
      <alignment horizontal="center" vertical="center" textRotation="180"/>
    </xf>
    <xf numFmtId="3" fontId="44" fillId="0" borderId="0" xfId="0" applyNumberFormat="1" applyFont="1" applyFill="1" applyAlignment="1">
      <alignment horizontal="left" vertical="top" wrapText="1"/>
    </xf>
    <xf numFmtId="3" fontId="44" fillId="0" borderId="0" xfId="0" applyNumberFormat="1" applyFont="1" applyFill="1" applyAlignment="1">
      <alignment horizontal="center" wrapText="1"/>
    </xf>
    <xf numFmtId="4" fontId="24" fillId="0" borderId="7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textRotation="180"/>
    </xf>
    <xf numFmtId="0" fontId="27" fillId="0" borderId="9" xfId="0" applyFont="1" applyFill="1" applyBorder="1" applyAlignment="1">
      <alignment horizontal="center" vertical="center" textRotation="180"/>
    </xf>
    <xf numFmtId="4" fontId="44" fillId="0" borderId="0" xfId="0" applyNumberFormat="1" applyFont="1" applyFill="1" applyAlignment="1">
      <alignment horizontal="left"/>
    </xf>
    <xf numFmtId="49" fontId="37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top" wrapText="1"/>
    </xf>
    <xf numFmtId="3" fontId="28" fillId="0" borderId="7" xfId="0" applyNumberFormat="1" applyFont="1" applyFill="1" applyBorder="1" applyAlignment="1">
      <alignment horizontal="center" vertical="center" wrapText="1"/>
    </xf>
  </cellXfs>
  <cellStyles count="81">
    <cellStyle name="20% - Акцент1" xfId="1"/>
    <cellStyle name="20% — акцент1" xfId="62" builtinId="30" hidden="1"/>
    <cellStyle name="20% - Акцент2" xfId="2"/>
    <cellStyle name="20% — акцент2" xfId="65" builtinId="34" hidden="1"/>
    <cellStyle name="20% - Акцент3" xfId="3"/>
    <cellStyle name="20% — акцент3" xfId="68" builtinId="38" hidden="1"/>
    <cellStyle name="20% - Акцент4" xfId="4"/>
    <cellStyle name="20% — акцент4" xfId="71" builtinId="42" hidden="1"/>
    <cellStyle name="20% - Акцент5" xfId="5"/>
    <cellStyle name="20% — акцент5" xfId="74" builtinId="46" hidden="1"/>
    <cellStyle name="20% - Акцент6" xfId="6"/>
    <cellStyle name="20% — акцент6" xfId="77" builtinId="50" hidden="1"/>
    <cellStyle name="40% - Акцент1" xfId="7"/>
    <cellStyle name="40% — акцент1" xfId="63" builtinId="31" hidden="1"/>
    <cellStyle name="40% - Акцент2" xfId="8"/>
    <cellStyle name="40% — акцент2" xfId="66" builtinId="35" hidden="1"/>
    <cellStyle name="40% - Акцент3" xfId="9"/>
    <cellStyle name="40% — акцент3" xfId="69" builtinId="39" hidden="1"/>
    <cellStyle name="40% - Акцент4" xfId="10"/>
    <cellStyle name="40% — акцент4" xfId="72" builtinId="43" hidden="1"/>
    <cellStyle name="40% - Акцент5" xfId="11"/>
    <cellStyle name="40% — акцент5" xfId="75" builtinId="47" hidden="1"/>
    <cellStyle name="40% - Акцент6" xfId="12"/>
    <cellStyle name="40% — акцент6" xfId="78" builtinId="51" hidden="1"/>
    <cellStyle name="60% - Акцент1" xfId="13"/>
    <cellStyle name="60% — акцент1" xfId="64" builtinId="32" hidden="1"/>
    <cellStyle name="60% - Акцент2" xfId="14"/>
    <cellStyle name="60% — акцент2" xfId="67" builtinId="36" hidden="1"/>
    <cellStyle name="60% - Акцент3" xfId="15"/>
    <cellStyle name="60% — акцент3" xfId="70" builtinId="40" hidden="1"/>
    <cellStyle name="60% - Акцент4" xfId="16"/>
    <cellStyle name="60% — акцент4" xfId="73" builtinId="44" hidden="1"/>
    <cellStyle name="60% - Акцент5" xfId="17"/>
    <cellStyle name="60% — акцент5" xfId="76" builtinId="48" hidden="1"/>
    <cellStyle name="60% - Акцент6" xfId="18"/>
    <cellStyle name="60% — акцент6" xfId="79" builtinId="52" hidden="1"/>
    <cellStyle name="Normal_meresha_07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Денежный" xfId="29" builtinId="4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" xfId="50"/>
    <cellStyle name="Контрольная ячейка" xfId="51"/>
    <cellStyle name="Название" xfId="52"/>
    <cellStyle name="Нейтральный" xfId="53"/>
    <cellStyle name="Обычный" xfId="0" builtinId="0"/>
    <cellStyle name="Обычный 2" xfId="54"/>
    <cellStyle name="Обычный 3" xfId="80"/>
    <cellStyle name="Плохой" xfId="55"/>
    <cellStyle name="Пояснение" xfId="56"/>
    <cellStyle name="Примечание" xfId="57"/>
    <cellStyle name="Связанная ячейка" xfId="58"/>
    <cellStyle name="Стиль 1" xfId="59"/>
    <cellStyle name="Текст предупреждения" xfId="60"/>
    <cellStyle name="Хороший" xfId="6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TE1553"/>
  <sheetViews>
    <sheetView showGridLines="0" showZeros="0" view="pageBreakPreview" zoomScale="70" zoomScaleNormal="82" zoomScaleSheetLayoutView="70" workbookViewId="0">
      <selection activeCell="A10" sqref="A10:P10"/>
    </sheetView>
  </sheetViews>
  <sheetFormatPr defaultColWidth="9.140625" defaultRowHeight="13.9" x14ac:dyDescent="0.4"/>
  <cols>
    <col min="1" max="1" width="16.140625" style="1" customWidth="1"/>
    <col min="2" max="2" width="15.35546875" style="2" customWidth="1"/>
    <col min="3" max="3" width="14.640625" style="2" customWidth="1"/>
    <col min="4" max="4" width="62" style="3" customWidth="1"/>
    <col min="5" max="5" width="22.35546875" style="4" customWidth="1"/>
    <col min="6" max="6" width="22.5" style="4" customWidth="1"/>
    <col min="7" max="7" width="22.85546875" style="4" customWidth="1"/>
    <col min="8" max="8" width="22.5" style="4" customWidth="1"/>
    <col min="9" max="9" width="20" style="4" customWidth="1"/>
    <col min="10" max="10" width="22.35546875" style="4" customWidth="1"/>
    <col min="11" max="11" width="21.640625" style="4" customWidth="1"/>
    <col min="12" max="12" width="21.140625" style="4" customWidth="1"/>
    <col min="13" max="13" width="19.5" style="4" customWidth="1"/>
    <col min="14" max="14" width="17.140625" style="4" customWidth="1"/>
    <col min="15" max="15" width="23.640625" style="4" customWidth="1"/>
    <col min="16" max="16" width="27.85546875" style="109" customWidth="1"/>
    <col min="17" max="17" width="6.640625" style="143" customWidth="1"/>
    <col min="18" max="19" width="21" style="6" customWidth="1"/>
    <col min="20" max="16384" width="9.140625" style="6"/>
  </cols>
  <sheetData>
    <row r="1" spans="1:525" ht="26.25" customHeight="1" x14ac:dyDescent="0.9">
      <c r="K1" s="111" t="s">
        <v>506</v>
      </c>
      <c r="L1" s="5"/>
      <c r="M1" s="5"/>
      <c r="N1" s="5"/>
      <c r="O1" s="5"/>
      <c r="P1" s="5"/>
    </row>
    <row r="2" spans="1:525" ht="26.25" customHeight="1" x14ac:dyDescent="0.4">
      <c r="K2" s="7" t="s">
        <v>367</v>
      </c>
      <c r="L2" s="7"/>
      <c r="M2" s="7"/>
      <c r="N2" s="7"/>
      <c r="O2" s="7"/>
      <c r="P2" s="7"/>
    </row>
    <row r="3" spans="1:525" ht="26.25" customHeight="1" x14ac:dyDescent="0.4">
      <c r="K3" s="7" t="s">
        <v>368</v>
      </c>
      <c r="L3" s="7"/>
      <c r="M3" s="7"/>
      <c r="N3" s="7"/>
      <c r="O3" s="7"/>
      <c r="P3" s="7"/>
    </row>
    <row r="4" spans="1:525" ht="26.25" customHeight="1" x14ac:dyDescent="0.9">
      <c r="K4" s="149" t="s">
        <v>540</v>
      </c>
      <c r="L4" s="149"/>
      <c r="M4" s="149"/>
      <c r="N4" s="149"/>
      <c r="O4" s="149"/>
      <c r="P4" s="149"/>
    </row>
    <row r="5" spans="1:525" ht="26.25" customHeight="1" x14ac:dyDescent="0.85">
      <c r="K5" s="150"/>
      <c r="L5" s="150"/>
      <c r="M5" s="150"/>
      <c r="N5" s="150"/>
      <c r="O5" s="150"/>
      <c r="P5" s="150"/>
    </row>
    <row r="6" spans="1:525" ht="26.25" customHeight="1" x14ac:dyDescent="0.85">
      <c r="K6" s="112"/>
      <c r="L6" s="112"/>
      <c r="M6" s="112"/>
      <c r="N6" s="112"/>
      <c r="O6" s="112"/>
      <c r="P6" s="112"/>
    </row>
    <row r="7" spans="1:525" ht="60" customHeight="1" x14ac:dyDescent="0.85">
      <c r="K7" s="8"/>
      <c r="L7" s="8"/>
      <c r="M7" s="8"/>
      <c r="N7" s="8"/>
      <c r="O7" s="8"/>
      <c r="P7" s="8"/>
    </row>
    <row r="8" spans="1:525" s="9" customFormat="1" ht="71.25" customHeight="1" x14ac:dyDescent="0.55000000000000004">
      <c r="A8" s="151" t="s">
        <v>500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43"/>
    </row>
    <row r="9" spans="1:525" s="9" customFormat="1" ht="23.25" customHeight="1" x14ac:dyDescent="0.65">
      <c r="A9" s="147" t="s">
        <v>356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3"/>
    </row>
    <row r="10" spans="1:525" s="9" customFormat="1" ht="19.5" customHeight="1" x14ac:dyDescent="0.55000000000000004">
      <c r="A10" s="154" t="s">
        <v>321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43"/>
    </row>
    <row r="11" spans="1:525" s="14" customFormat="1" ht="22.5" customHeight="1" x14ac:dyDescent="0.55000000000000004">
      <c r="A11" s="10"/>
      <c r="B11" s="11"/>
      <c r="C11" s="11"/>
      <c r="D11" s="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 t="s">
        <v>277</v>
      </c>
      <c r="Q11" s="143"/>
    </row>
    <row r="12" spans="1:525" s="113" customFormat="1" ht="20.25" customHeight="1" x14ac:dyDescent="0.4">
      <c r="A12" s="152" t="s">
        <v>260</v>
      </c>
      <c r="B12" s="153" t="s">
        <v>261</v>
      </c>
      <c r="C12" s="153" t="s">
        <v>253</v>
      </c>
      <c r="D12" s="153" t="s">
        <v>262</v>
      </c>
      <c r="E12" s="145" t="s">
        <v>183</v>
      </c>
      <c r="F12" s="145"/>
      <c r="G12" s="145"/>
      <c r="H12" s="145"/>
      <c r="I12" s="145"/>
      <c r="J12" s="145" t="s">
        <v>184</v>
      </c>
      <c r="K12" s="145"/>
      <c r="L12" s="145"/>
      <c r="M12" s="145"/>
      <c r="N12" s="145"/>
      <c r="O12" s="145"/>
      <c r="P12" s="145" t="s">
        <v>185</v>
      </c>
      <c r="Q12" s="143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</row>
    <row r="13" spans="1:525" s="113" customFormat="1" ht="19.5" customHeight="1" x14ac:dyDescent="0.4">
      <c r="A13" s="152"/>
      <c r="B13" s="153"/>
      <c r="C13" s="153"/>
      <c r="D13" s="153"/>
      <c r="E13" s="144" t="s">
        <v>499</v>
      </c>
      <c r="F13" s="144" t="s">
        <v>186</v>
      </c>
      <c r="G13" s="155" t="s">
        <v>187</v>
      </c>
      <c r="H13" s="155"/>
      <c r="I13" s="144" t="s">
        <v>188</v>
      </c>
      <c r="J13" s="144" t="s">
        <v>499</v>
      </c>
      <c r="K13" s="144" t="s">
        <v>254</v>
      </c>
      <c r="L13" s="144" t="s">
        <v>186</v>
      </c>
      <c r="M13" s="155" t="s">
        <v>187</v>
      </c>
      <c r="N13" s="155"/>
      <c r="O13" s="144" t="s">
        <v>188</v>
      </c>
      <c r="P13" s="145"/>
      <c r="Q13" s="143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</row>
    <row r="14" spans="1:525" s="113" customFormat="1" ht="87.75" customHeight="1" x14ac:dyDescent="0.4">
      <c r="A14" s="152"/>
      <c r="B14" s="153"/>
      <c r="C14" s="153"/>
      <c r="D14" s="153"/>
      <c r="E14" s="144"/>
      <c r="F14" s="144"/>
      <c r="G14" s="135" t="s">
        <v>189</v>
      </c>
      <c r="H14" s="135" t="s">
        <v>190</v>
      </c>
      <c r="I14" s="144"/>
      <c r="J14" s="144"/>
      <c r="K14" s="144"/>
      <c r="L14" s="144"/>
      <c r="M14" s="135" t="s">
        <v>189</v>
      </c>
      <c r="N14" s="135" t="s">
        <v>190</v>
      </c>
      <c r="O14" s="144"/>
      <c r="P14" s="145"/>
      <c r="Q14" s="143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</row>
    <row r="15" spans="1:525" s="19" customFormat="1" ht="24" customHeight="1" x14ac:dyDescent="0.4">
      <c r="A15" s="16" t="s">
        <v>123</v>
      </c>
      <c r="B15" s="138"/>
      <c r="C15" s="138"/>
      <c r="D15" s="17" t="s">
        <v>29</v>
      </c>
      <c r="E15" s="18">
        <f t="shared" ref="E15:P15" si="0">E16</f>
        <v>305319743</v>
      </c>
      <c r="F15" s="18">
        <f t="shared" si="0"/>
        <v>305319743</v>
      </c>
      <c r="G15" s="18">
        <f t="shared" si="0"/>
        <v>155224200</v>
      </c>
      <c r="H15" s="18">
        <f t="shared" si="0"/>
        <v>14775258</v>
      </c>
      <c r="I15" s="18">
        <f t="shared" si="0"/>
        <v>0</v>
      </c>
      <c r="J15" s="18">
        <f t="shared" si="0"/>
        <v>13892060.6</v>
      </c>
      <c r="K15" s="18">
        <f t="shared" si="0"/>
        <v>13086984</v>
      </c>
      <c r="L15" s="18">
        <f t="shared" si="0"/>
        <v>710900</v>
      </c>
      <c r="M15" s="18">
        <f t="shared" si="0"/>
        <v>354800</v>
      </c>
      <c r="N15" s="18">
        <f t="shared" si="0"/>
        <v>53748</v>
      </c>
      <c r="O15" s="18">
        <f t="shared" si="0"/>
        <v>13181160.6</v>
      </c>
      <c r="P15" s="18">
        <f t="shared" si="0"/>
        <v>319211803.60000002</v>
      </c>
      <c r="Q15" s="143"/>
    </row>
    <row r="16" spans="1:525" s="24" customFormat="1" ht="31.5" customHeight="1" x14ac:dyDescent="0.4">
      <c r="A16" s="20" t="s">
        <v>124</v>
      </c>
      <c r="B16" s="21"/>
      <c r="C16" s="21"/>
      <c r="D16" s="22" t="s">
        <v>492</v>
      </c>
      <c r="E16" s="23">
        <f>E18+E19+E20+E21+E22+E24+E25+E26+E27+E28+E29+E30+E31+E33+E34+E35+E36+E37+E39+E41+E42+E23+E40+E32</f>
        <v>305319743</v>
      </c>
      <c r="F16" s="23">
        <f t="shared" ref="F16:P16" si="1">F18+F19+F20+F21+F22+F24+F25+F26+F27+F28+F29+F30+F31+F33+F34+F35+F36+F37+F39+F41+F42+F23+F40+F32</f>
        <v>305319743</v>
      </c>
      <c r="G16" s="23">
        <f t="shared" si="1"/>
        <v>155224200</v>
      </c>
      <c r="H16" s="23">
        <f t="shared" si="1"/>
        <v>14775258</v>
      </c>
      <c r="I16" s="23">
        <f t="shared" si="1"/>
        <v>0</v>
      </c>
      <c r="J16" s="23">
        <f t="shared" si="1"/>
        <v>13892060.6</v>
      </c>
      <c r="K16" s="23">
        <f t="shared" si="1"/>
        <v>13086984</v>
      </c>
      <c r="L16" s="23">
        <f t="shared" si="1"/>
        <v>710900</v>
      </c>
      <c r="M16" s="23">
        <f t="shared" si="1"/>
        <v>354800</v>
      </c>
      <c r="N16" s="23">
        <f t="shared" si="1"/>
        <v>53748</v>
      </c>
      <c r="O16" s="23">
        <f t="shared" si="1"/>
        <v>13181160.6</v>
      </c>
      <c r="P16" s="23">
        <f t="shared" si="1"/>
        <v>319211803.60000002</v>
      </c>
      <c r="Q16" s="143"/>
    </row>
    <row r="17" spans="1:19" s="24" customFormat="1" ht="65.25" customHeight="1" x14ac:dyDescent="0.4">
      <c r="A17" s="20"/>
      <c r="B17" s="21"/>
      <c r="C17" s="21"/>
      <c r="D17" s="22" t="str">
        <f>D38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E17" s="23">
        <f>E38</f>
        <v>514900</v>
      </c>
      <c r="F17" s="23">
        <f t="shared" ref="F17:P17" si="2">F38</f>
        <v>514900</v>
      </c>
      <c r="G17" s="23">
        <f t="shared" si="2"/>
        <v>422100</v>
      </c>
      <c r="H17" s="23">
        <f t="shared" si="2"/>
        <v>0</v>
      </c>
      <c r="I17" s="23">
        <f t="shared" si="2"/>
        <v>0</v>
      </c>
      <c r="J17" s="23">
        <f t="shared" si="2"/>
        <v>0</v>
      </c>
      <c r="K17" s="23">
        <f t="shared" si="2"/>
        <v>0</v>
      </c>
      <c r="L17" s="23">
        <f t="shared" si="2"/>
        <v>0</v>
      </c>
      <c r="M17" s="23">
        <f t="shared" si="2"/>
        <v>0</v>
      </c>
      <c r="N17" s="23">
        <f t="shared" si="2"/>
        <v>0</v>
      </c>
      <c r="O17" s="23">
        <f t="shared" si="2"/>
        <v>0</v>
      </c>
      <c r="P17" s="23">
        <f t="shared" si="2"/>
        <v>514900</v>
      </c>
      <c r="Q17" s="143"/>
    </row>
    <row r="18" spans="1:19" s="123" customFormat="1" ht="45.75" customHeight="1" x14ac:dyDescent="0.45">
      <c r="A18" s="25" t="s">
        <v>125</v>
      </c>
      <c r="B18" s="26" t="str">
        <f>'дод 7'!A17</f>
        <v>0160</v>
      </c>
      <c r="C18" s="26" t="str">
        <f>'дод 7'!B17</f>
        <v>0111</v>
      </c>
      <c r="D18" s="27" t="str">
        <f>'дод 7'!C17</f>
        <v>Керівництво і управління у відповідній сфері у містах (місті Києві), селищах, селах, територіальних громадах</v>
      </c>
      <c r="E18" s="28">
        <f>F18+I18</f>
        <v>164783204</v>
      </c>
      <c r="F18" s="28">
        <f>161921900+786000+400000+1675304</f>
        <v>164783204</v>
      </c>
      <c r="G18" s="28">
        <f>120577600+644200+1373200</f>
        <v>122595000</v>
      </c>
      <c r="H18" s="28">
        <f>5902100+400000</f>
        <v>6302100</v>
      </c>
      <c r="I18" s="28"/>
      <c r="J18" s="28">
        <f>L18+O18</f>
        <v>0</v>
      </c>
      <c r="K18" s="28"/>
      <c r="L18" s="28"/>
      <c r="M18" s="28"/>
      <c r="N18" s="28"/>
      <c r="O18" s="28"/>
      <c r="P18" s="28">
        <f>E18+J18</f>
        <v>164783204</v>
      </c>
      <c r="Q18" s="143"/>
      <c r="R18" s="29"/>
    </row>
    <row r="19" spans="1:19" s="29" customFormat="1" ht="27.75" customHeight="1" x14ac:dyDescent="0.45">
      <c r="A19" s="25" t="s">
        <v>199</v>
      </c>
      <c r="B19" s="26" t="str">
        <f>'дод 7'!A18</f>
        <v>0180</v>
      </c>
      <c r="C19" s="26" t="str">
        <f>'дод 7'!B18</f>
        <v>0133</v>
      </c>
      <c r="D19" s="27" t="str">
        <f>'дод 7'!C18</f>
        <v>Інша діяльність у сфері державного управління</v>
      </c>
      <c r="E19" s="28">
        <f t="shared" ref="E19:E41" si="3">F19+I19</f>
        <v>3200000</v>
      </c>
      <c r="F19" s="28">
        <f>3100000+100000</f>
        <v>3200000</v>
      </c>
      <c r="G19" s="28"/>
      <c r="H19" s="28"/>
      <c r="I19" s="28"/>
      <c r="J19" s="28">
        <f t="shared" ref="J19" si="4">L19+O19</f>
        <v>0</v>
      </c>
      <c r="K19" s="28"/>
      <c r="L19" s="28"/>
      <c r="M19" s="28"/>
      <c r="N19" s="28"/>
      <c r="O19" s="28"/>
      <c r="P19" s="28">
        <f t="shared" ref="P19:P42" si="5">E19+J19</f>
        <v>3200000</v>
      </c>
      <c r="Q19" s="143"/>
    </row>
    <row r="20" spans="1:19" s="29" customFormat="1" ht="47.25" customHeight="1" x14ac:dyDescent="0.45">
      <c r="A20" s="25" t="s">
        <v>211</v>
      </c>
      <c r="B20" s="26" t="str">
        <f>'дод 7'!A97</f>
        <v>3033</v>
      </c>
      <c r="C20" s="26" t="str">
        <f>'дод 7'!B97</f>
        <v>1070</v>
      </c>
      <c r="D20" s="27" t="s">
        <v>285</v>
      </c>
      <c r="E20" s="28">
        <f t="shared" si="3"/>
        <v>555700</v>
      </c>
      <c r="F20" s="28">
        <v>555700</v>
      </c>
      <c r="G20" s="28"/>
      <c r="H20" s="28"/>
      <c r="I20" s="28"/>
      <c r="J20" s="28">
        <f t="shared" ref="J20:J42" si="6">L20+O20</f>
        <v>0</v>
      </c>
      <c r="K20" s="28"/>
      <c r="L20" s="28"/>
      <c r="M20" s="28"/>
      <c r="N20" s="28"/>
      <c r="O20" s="28"/>
      <c r="P20" s="28">
        <f t="shared" si="5"/>
        <v>555700</v>
      </c>
      <c r="Q20" s="143"/>
    </row>
    <row r="21" spans="1:19" s="29" customFormat="1" ht="31.5" customHeight="1" x14ac:dyDescent="0.45">
      <c r="A21" s="25" t="s">
        <v>126</v>
      </c>
      <c r="B21" s="26" t="str">
        <f>'дод 7'!A99</f>
        <v>3036</v>
      </c>
      <c r="C21" s="26" t="str">
        <f>'дод 7'!B99</f>
        <v>1070</v>
      </c>
      <c r="D21" s="27" t="str">
        <f>'дод 7'!C99</f>
        <v>Компенсаційні виплати на пільговий проїзд електротранспортом окремим категоріям громадян</v>
      </c>
      <c r="E21" s="28">
        <f t="shared" si="3"/>
        <v>967900</v>
      </c>
      <c r="F21" s="28">
        <v>967900</v>
      </c>
      <c r="G21" s="28"/>
      <c r="H21" s="28"/>
      <c r="I21" s="28"/>
      <c r="J21" s="28">
        <f t="shared" si="6"/>
        <v>0</v>
      </c>
      <c r="K21" s="28"/>
      <c r="L21" s="28"/>
      <c r="M21" s="28"/>
      <c r="N21" s="28"/>
      <c r="O21" s="28"/>
      <c r="P21" s="28">
        <f t="shared" si="5"/>
        <v>967900</v>
      </c>
      <c r="Q21" s="143"/>
    </row>
    <row r="22" spans="1:19" s="29" customFormat="1" ht="42" customHeight="1" x14ac:dyDescent="0.45">
      <c r="A22" s="25" t="s">
        <v>127</v>
      </c>
      <c r="B22" s="26" t="str">
        <f>'дод 7'!A109</f>
        <v>3131</v>
      </c>
      <c r="C22" s="26" t="str">
        <f>'дод 7'!B109</f>
        <v>1040</v>
      </c>
      <c r="D22" s="27" t="str">
        <f>'дод 7'!C109</f>
        <v>Здійснення заходів та реалізація проектів на виконання Державної цільової соціальної програми "Молодь України"</v>
      </c>
      <c r="E22" s="28">
        <f t="shared" si="3"/>
        <v>410000</v>
      </c>
      <c r="F22" s="28">
        <f>500000-90000</f>
        <v>410000</v>
      </c>
      <c r="G22" s="28"/>
      <c r="H22" s="28"/>
      <c r="I22" s="28"/>
      <c r="J22" s="28">
        <f t="shared" si="6"/>
        <v>0</v>
      </c>
      <c r="K22" s="28"/>
      <c r="L22" s="28"/>
      <c r="M22" s="28"/>
      <c r="N22" s="28"/>
      <c r="O22" s="28"/>
      <c r="P22" s="28">
        <f t="shared" si="5"/>
        <v>410000</v>
      </c>
      <c r="Q22" s="143"/>
    </row>
    <row r="23" spans="1:19" s="29" customFormat="1" ht="45.75" customHeight="1" x14ac:dyDescent="0.45">
      <c r="A23" s="25" t="s">
        <v>324</v>
      </c>
      <c r="B23" s="26">
        <f>'дод 7'!A110</f>
        <v>3133</v>
      </c>
      <c r="C23" s="26">
        <f>'дод 7'!B110</f>
        <v>1040</v>
      </c>
      <c r="D23" s="30" t="str">
        <f>'дод 7'!C110</f>
        <v>Забезпечення молодіжними центрами соціального
становлення та розвитку молоді та інші заходи у
сфері молодіжної політики</v>
      </c>
      <c r="E23" s="28">
        <f t="shared" si="3"/>
        <v>5841416</v>
      </c>
      <c r="F23" s="28">
        <f>5668400+83016+90000</f>
        <v>5841416</v>
      </c>
      <c r="G23" s="28">
        <v>3357400</v>
      </c>
      <c r="H23" s="28">
        <v>778500</v>
      </c>
      <c r="I23" s="28"/>
      <c r="J23" s="28">
        <f t="shared" si="6"/>
        <v>126984</v>
      </c>
      <c r="K23" s="28">
        <v>116984</v>
      </c>
      <c r="L23" s="28">
        <v>10000</v>
      </c>
      <c r="M23" s="28">
        <v>2000</v>
      </c>
      <c r="N23" s="28">
        <v>3810</v>
      </c>
      <c r="O23" s="28">
        <v>116984</v>
      </c>
      <c r="P23" s="28">
        <f t="shared" si="5"/>
        <v>5968400</v>
      </c>
      <c r="Q23" s="143"/>
    </row>
    <row r="24" spans="1:19" s="29" customFormat="1" ht="33.75" customHeight="1" x14ac:dyDescent="0.45">
      <c r="A24" s="25" t="s">
        <v>238</v>
      </c>
      <c r="B24" s="26" t="str">
        <f>'дод 7'!A123</f>
        <v>3242</v>
      </c>
      <c r="C24" s="26" t="str">
        <f>'дод 7'!B123</f>
        <v>1090</v>
      </c>
      <c r="D24" s="27" t="s">
        <v>286</v>
      </c>
      <c r="E24" s="28">
        <f t="shared" si="3"/>
        <v>159400</v>
      </c>
      <c r="F24" s="28">
        <v>159400</v>
      </c>
      <c r="G24" s="28"/>
      <c r="H24" s="28"/>
      <c r="I24" s="28"/>
      <c r="J24" s="28">
        <f t="shared" si="6"/>
        <v>0</v>
      </c>
      <c r="K24" s="28"/>
      <c r="L24" s="28"/>
      <c r="M24" s="28"/>
      <c r="N24" s="28"/>
      <c r="O24" s="28"/>
      <c r="P24" s="28">
        <f t="shared" si="5"/>
        <v>159400</v>
      </c>
      <c r="Q24" s="143"/>
    </row>
    <row r="25" spans="1:19" s="29" customFormat="1" ht="30.75" customHeight="1" x14ac:dyDescent="0.45">
      <c r="A25" s="25" t="s">
        <v>237</v>
      </c>
      <c r="B25" s="26" t="str">
        <f>'дод 7'!A130</f>
        <v>4081</v>
      </c>
      <c r="C25" s="26" t="str">
        <f>'дод 7'!B130</f>
        <v>0829</v>
      </c>
      <c r="D25" s="30" t="str">
        <f>'дод 7'!C130</f>
        <v>Забезпечення діяльності інших закладів в галузі культури і мистецтва</v>
      </c>
      <c r="E25" s="28">
        <f t="shared" si="3"/>
        <v>3015300</v>
      </c>
      <c r="F25" s="28">
        <v>3015300</v>
      </c>
      <c r="G25" s="28">
        <v>2003800</v>
      </c>
      <c r="H25" s="28">
        <f>229600+58</f>
        <v>229658</v>
      </c>
      <c r="I25" s="28"/>
      <c r="J25" s="28">
        <f t="shared" si="6"/>
        <v>0</v>
      </c>
      <c r="K25" s="28"/>
      <c r="L25" s="28"/>
      <c r="M25" s="28"/>
      <c r="N25" s="28"/>
      <c r="O25" s="28"/>
      <c r="P25" s="28">
        <f t="shared" si="5"/>
        <v>3015300</v>
      </c>
      <c r="Q25" s="143"/>
    </row>
    <row r="26" spans="1:19" s="29" customFormat="1" ht="36.75" customHeight="1" x14ac:dyDescent="0.45">
      <c r="A26" s="25" t="s">
        <v>128</v>
      </c>
      <c r="B26" s="26" t="str">
        <f>'дод 7'!A134</f>
        <v>5011</v>
      </c>
      <c r="C26" s="26" t="str">
        <f>'дод 7'!B134</f>
        <v>0810</v>
      </c>
      <c r="D26" s="27" t="str">
        <f>'дод 7'!C134</f>
        <v>Проведення навчально-тренувальних зборів і змагань з олімпійських видів спорту</v>
      </c>
      <c r="E26" s="28">
        <f t="shared" si="3"/>
        <v>1150000</v>
      </c>
      <c r="F26" s="28">
        <f>400000+750000</f>
        <v>1150000</v>
      </c>
      <c r="G26" s="28"/>
      <c r="H26" s="28"/>
      <c r="I26" s="28"/>
      <c r="J26" s="28">
        <f>L26+O26</f>
        <v>0</v>
      </c>
      <c r="K26" s="28"/>
      <c r="L26" s="28"/>
      <c r="M26" s="28"/>
      <c r="N26" s="28"/>
      <c r="O26" s="28"/>
      <c r="P26" s="28">
        <f t="shared" si="5"/>
        <v>1150000</v>
      </c>
      <c r="Q26" s="143"/>
    </row>
    <row r="27" spans="1:19" s="116" customFormat="1" ht="34.5" customHeight="1" x14ac:dyDescent="0.45">
      <c r="A27" s="25" t="s">
        <v>129</v>
      </c>
      <c r="B27" s="26" t="str">
        <f>'дод 7'!A135</f>
        <v>5012</v>
      </c>
      <c r="C27" s="26" t="str">
        <f>'дод 7'!B135</f>
        <v>0810</v>
      </c>
      <c r="D27" s="27" t="str">
        <f>'дод 7'!C135</f>
        <v>Проведення навчально-тренувальних зборів і змагань з неолімпійських видів спорту</v>
      </c>
      <c r="E27" s="28">
        <f t="shared" si="3"/>
        <v>1034450</v>
      </c>
      <c r="F27" s="28">
        <f>400000+750000-85550-30000</f>
        <v>1034450</v>
      </c>
      <c r="G27" s="28"/>
      <c r="H27" s="28"/>
      <c r="I27" s="28"/>
      <c r="J27" s="28">
        <f t="shared" si="6"/>
        <v>0</v>
      </c>
      <c r="K27" s="28"/>
      <c r="L27" s="28"/>
      <c r="M27" s="28"/>
      <c r="N27" s="28"/>
      <c r="O27" s="28"/>
      <c r="P27" s="28">
        <f t="shared" si="5"/>
        <v>1034450</v>
      </c>
      <c r="Q27" s="143"/>
      <c r="R27" s="29"/>
    </row>
    <row r="28" spans="1:19" s="116" customFormat="1" ht="46.15" x14ac:dyDescent="0.45">
      <c r="A28" s="25" t="s">
        <v>130</v>
      </c>
      <c r="B28" s="26" t="str">
        <f>'дод 7'!A136</f>
        <v>5031</v>
      </c>
      <c r="C28" s="26" t="str">
        <f>'дод 7'!B136</f>
        <v>0810</v>
      </c>
      <c r="D28" s="27" t="str">
        <f>'дод 7'!C136</f>
        <v>Розвиток здібностей у дітей та молоді з фізичної
культури та спорту комунальними дитячо-юнацькими спортивними школами</v>
      </c>
      <c r="E28" s="28">
        <f t="shared" si="3"/>
        <v>29285000</v>
      </c>
      <c r="F28" s="28">
        <f>26685000-300000+1500000+1400000</f>
        <v>29285000</v>
      </c>
      <c r="G28" s="28">
        <v>19283000</v>
      </c>
      <c r="H28" s="28">
        <v>1932800</v>
      </c>
      <c r="I28" s="28"/>
      <c r="J28" s="28">
        <f t="shared" si="6"/>
        <v>0</v>
      </c>
      <c r="K28" s="28"/>
      <c r="L28" s="28"/>
      <c r="M28" s="28"/>
      <c r="N28" s="28"/>
      <c r="O28" s="28"/>
      <c r="P28" s="28">
        <f t="shared" si="5"/>
        <v>29285000</v>
      </c>
      <c r="Q28" s="143"/>
      <c r="R28" s="29"/>
    </row>
    <row r="29" spans="1:19" s="116" customFormat="1" ht="43.5" customHeight="1" x14ac:dyDescent="0.45">
      <c r="A29" s="25" t="s">
        <v>276</v>
      </c>
      <c r="B29" s="26" t="str">
        <f>'дод 7'!A137</f>
        <v>5032</v>
      </c>
      <c r="C29" s="26" t="str">
        <f>'дод 7'!B137</f>
        <v>0810</v>
      </c>
      <c r="D29" s="27" t="str">
        <f>'дод 7'!C137</f>
        <v>Фінансова підтримка дитячо-юнацьких спортивних шкіл фізкультурно-спортивних товариств</v>
      </c>
      <c r="E29" s="28">
        <f t="shared" si="3"/>
        <v>21838600</v>
      </c>
      <c r="F29" s="28">
        <f>20218600+300000+1320000</f>
        <v>21838600</v>
      </c>
      <c r="G29" s="28"/>
      <c r="H29" s="28"/>
      <c r="I29" s="28"/>
      <c r="J29" s="28">
        <f t="shared" si="6"/>
        <v>0</v>
      </c>
      <c r="K29" s="28"/>
      <c r="L29" s="28"/>
      <c r="M29" s="28"/>
      <c r="N29" s="28"/>
      <c r="O29" s="28"/>
      <c r="P29" s="28">
        <f t="shared" si="5"/>
        <v>21838600</v>
      </c>
      <c r="Q29" s="143"/>
      <c r="R29" s="29"/>
    </row>
    <row r="30" spans="1:19" s="123" customFormat="1" ht="58.5" customHeight="1" x14ac:dyDescent="0.45">
      <c r="A30" s="25" t="s">
        <v>131</v>
      </c>
      <c r="B30" s="26" t="str">
        <f>'дод 7'!A138</f>
        <v>5061</v>
      </c>
      <c r="C30" s="26" t="str">
        <f>'дод 7'!B138</f>
        <v>0810</v>
      </c>
      <c r="D30" s="27" t="str">
        <f>'дод 7'!C138</f>
        <v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</c>
      <c r="E30" s="28">
        <f t="shared" si="3"/>
        <v>8374835</v>
      </c>
      <c r="F30" s="28">
        <f>8289285+85550</f>
        <v>8374835</v>
      </c>
      <c r="G30" s="28">
        <v>4671000</v>
      </c>
      <c r="H30" s="28">
        <v>948100</v>
      </c>
      <c r="I30" s="28"/>
      <c r="J30" s="28">
        <f t="shared" si="6"/>
        <v>633800</v>
      </c>
      <c r="K30" s="28">
        <v>50000</v>
      </c>
      <c r="L30" s="28">
        <v>583800</v>
      </c>
      <c r="M30" s="28">
        <v>352800</v>
      </c>
      <c r="N30" s="28">
        <v>48438</v>
      </c>
      <c r="O30" s="28">
        <v>50000</v>
      </c>
      <c r="P30" s="28">
        <f t="shared" si="5"/>
        <v>9008635</v>
      </c>
      <c r="Q30" s="143"/>
      <c r="R30" s="29"/>
    </row>
    <row r="31" spans="1:19" s="116" customFormat="1" ht="30.75" x14ac:dyDescent="0.45">
      <c r="A31" s="25" t="s">
        <v>272</v>
      </c>
      <c r="B31" s="26" t="str">
        <f>'дод 7'!A139</f>
        <v>5062</v>
      </c>
      <c r="C31" s="26" t="str">
        <f>'дод 7'!B139</f>
        <v>0810</v>
      </c>
      <c r="D31" s="27" t="str">
        <f>'дод 7'!C139</f>
        <v>Підтримка спорту вищих досягнень та організацій, які здійснюють фізкультурно-спортивну діяльність в регіоні</v>
      </c>
      <c r="E31" s="28">
        <f t="shared" si="3"/>
        <v>18345216</v>
      </c>
      <c r="F31" s="28">
        <f>16861800+400000+773416+280000+30000</f>
        <v>18345216</v>
      </c>
      <c r="G31" s="28"/>
      <c r="H31" s="28"/>
      <c r="I31" s="28"/>
      <c r="J31" s="28">
        <f t="shared" si="6"/>
        <v>0</v>
      </c>
      <c r="K31" s="28"/>
      <c r="L31" s="28"/>
      <c r="M31" s="28"/>
      <c r="N31" s="28"/>
      <c r="O31" s="28"/>
      <c r="P31" s="28">
        <f t="shared" si="5"/>
        <v>18345216</v>
      </c>
      <c r="Q31" s="143"/>
      <c r="R31" s="29"/>
      <c r="S31" s="133"/>
    </row>
    <row r="32" spans="1:19" s="29" customFormat="1" ht="30.75" customHeight="1" x14ac:dyDescent="0.45">
      <c r="A32" s="25" t="s">
        <v>191</v>
      </c>
      <c r="B32" s="26" t="str">
        <f>'дод 7'!A180</f>
        <v>7530</v>
      </c>
      <c r="C32" s="26" t="str">
        <f>'дод 7'!B180</f>
        <v>0460</v>
      </c>
      <c r="D32" s="27" t="str">
        <f>'дод 7'!C180</f>
        <v>Інші заходи у сфері зв'язку, телекомунікації та інформатики</v>
      </c>
      <c r="E32" s="28">
        <f t="shared" si="3"/>
        <v>4644100</v>
      </c>
      <c r="F32" s="28">
        <v>4644100</v>
      </c>
      <c r="G32" s="28"/>
      <c r="H32" s="28"/>
      <c r="I32" s="28"/>
      <c r="J32" s="28">
        <f>L32+O32</f>
        <v>0</v>
      </c>
      <c r="K32" s="28"/>
      <c r="L32" s="28"/>
      <c r="M32" s="28"/>
      <c r="N32" s="28"/>
      <c r="O32" s="28"/>
      <c r="P32" s="28">
        <f t="shared" si="5"/>
        <v>4644100</v>
      </c>
      <c r="Q32" s="143"/>
    </row>
    <row r="33" spans="1:18" s="29" customFormat="1" ht="34.5" customHeight="1" x14ac:dyDescent="0.45">
      <c r="A33" s="25" t="s">
        <v>205</v>
      </c>
      <c r="B33" s="26" t="str">
        <f>'дод 7'!A191</f>
        <v>7680</v>
      </c>
      <c r="C33" s="26" t="str">
        <f>'дод 7'!B191</f>
        <v>0490</v>
      </c>
      <c r="D33" s="27" t="str">
        <f>'дод 7'!C191</f>
        <v>Членські внески до асоціацій органів місцевого самоврядування</v>
      </c>
      <c r="E33" s="28">
        <f t="shared" si="3"/>
        <v>463094</v>
      </c>
      <c r="F33" s="28">
        <v>463094</v>
      </c>
      <c r="G33" s="28"/>
      <c r="H33" s="28"/>
      <c r="I33" s="28"/>
      <c r="J33" s="28">
        <f t="shared" si="6"/>
        <v>0</v>
      </c>
      <c r="K33" s="28"/>
      <c r="L33" s="28"/>
      <c r="M33" s="28"/>
      <c r="N33" s="28"/>
      <c r="O33" s="28"/>
      <c r="P33" s="28">
        <f t="shared" si="5"/>
        <v>463094</v>
      </c>
      <c r="Q33" s="137"/>
    </row>
    <row r="34" spans="1:18" s="29" customFormat="1" ht="117" customHeight="1" x14ac:dyDescent="0.45">
      <c r="A34" s="25" t="s">
        <v>235</v>
      </c>
      <c r="B34" s="26" t="str">
        <f>'дод 7'!A192</f>
        <v>7691</v>
      </c>
      <c r="C34" s="26" t="str">
        <f>'дод 7'!B192</f>
        <v>0490</v>
      </c>
      <c r="D34" s="27" t="s">
        <v>244</v>
      </c>
      <c r="E34" s="28">
        <f t="shared" si="3"/>
        <v>0</v>
      </c>
      <c r="F34" s="28"/>
      <c r="G34" s="28"/>
      <c r="H34" s="28"/>
      <c r="I34" s="28"/>
      <c r="J34" s="28">
        <f t="shared" si="6"/>
        <v>124176.6</v>
      </c>
      <c r="K34" s="28"/>
      <c r="L34" s="28">
        <f>30000</f>
        <v>30000</v>
      </c>
      <c r="M34" s="28"/>
      <c r="N34" s="28"/>
      <c r="O34" s="28">
        <v>94176.6</v>
      </c>
      <c r="P34" s="28">
        <f t="shared" si="5"/>
        <v>124176.6</v>
      </c>
      <c r="Q34" s="156">
        <v>2</v>
      </c>
    </row>
    <row r="35" spans="1:18" s="29" customFormat="1" ht="23.25" customHeight="1" x14ac:dyDescent="0.45">
      <c r="A35" s="25" t="s">
        <v>198</v>
      </c>
      <c r="B35" s="26" t="str">
        <f>'дод 7'!A193</f>
        <v>7693</v>
      </c>
      <c r="C35" s="26" t="str">
        <f>'дод 7'!B193</f>
        <v>0490</v>
      </c>
      <c r="D35" s="27" t="str">
        <f>'дод 7'!C193</f>
        <v>Інші заходи, пов'язані з економічною діяльністю</v>
      </c>
      <c r="E35" s="28">
        <f t="shared" si="3"/>
        <v>1500100</v>
      </c>
      <c r="F35" s="28">
        <v>1500100</v>
      </c>
      <c r="G35" s="28"/>
      <c r="H35" s="28"/>
      <c r="I35" s="28"/>
      <c r="J35" s="28">
        <f t="shared" si="6"/>
        <v>0</v>
      </c>
      <c r="K35" s="28"/>
      <c r="L35" s="28"/>
      <c r="M35" s="28"/>
      <c r="N35" s="28"/>
      <c r="O35" s="28"/>
      <c r="P35" s="28">
        <f t="shared" si="5"/>
        <v>1500100</v>
      </c>
      <c r="Q35" s="156"/>
    </row>
    <row r="36" spans="1:18" s="29" customFormat="1" ht="34.5" customHeight="1" x14ac:dyDescent="0.45">
      <c r="A36" s="25" t="s">
        <v>132</v>
      </c>
      <c r="B36" s="26" t="str">
        <f>'дод 7'!A198</f>
        <v>8110</v>
      </c>
      <c r="C36" s="26" t="str">
        <f>'дод 7'!B198</f>
        <v>0320</v>
      </c>
      <c r="D36" s="27" t="str">
        <f>'дод 7'!C198</f>
        <v>Заходи із запобігання та ліквідації надзвичайних ситуацій та наслідків стихійного лиха</v>
      </c>
      <c r="E36" s="28">
        <f t="shared" si="3"/>
        <v>7157800</v>
      </c>
      <c r="F36" s="28">
        <f>6173800+492000+492000</f>
        <v>7157800</v>
      </c>
      <c r="G36" s="28"/>
      <c r="H36" s="28">
        <f>98000+492000+492000</f>
        <v>1082000</v>
      </c>
      <c r="I36" s="28"/>
      <c r="J36" s="28">
        <f t="shared" si="6"/>
        <v>920000</v>
      </c>
      <c r="K36" s="28">
        <v>920000</v>
      </c>
      <c r="L36" s="28"/>
      <c r="M36" s="28"/>
      <c r="N36" s="28"/>
      <c r="O36" s="28">
        <v>920000</v>
      </c>
      <c r="P36" s="28">
        <f t="shared" si="5"/>
        <v>8077800</v>
      </c>
      <c r="Q36" s="156"/>
    </row>
    <row r="37" spans="1:18" s="29" customFormat="1" ht="30" customHeight="1" x14ac:dyDescent="0.45">
      <c r="A37" s="25" t="s">
        <v>182</v>
      </c>
      <c r="B37" s="26" t="str">
        <f>'дод 7'!A199</f>
        <v>8120</v>
      </c>
      <c r="C37" s="26" t="str">
        <f>'дод 7'!B199</f>
        <v>0320</v>
      </c>
      <c r="D37" s="27" t="str">
        <f>'дод 7'!C199</f>
        <v>Заходи з організації рятування на водах, у т.ч. за рахунок:</v>
      </c>
      <c r="E37" s="28">
        <f t="shared" si="3"/>
        <v>4480700</v>
      </c>
      <c r="F37" s="28">
        <f>4480700+514900-514900</f>
        <v>4480700</v>
      </c>
      <c r="G37" s="28">
        <f>3314000+422100-422100</f>
        <v>3314000</v>
      </c>
      <c r="H37" s="28">
        <v>118900</v>
      </c>
      <c r="I37" s="28"/>
      <c r="J37" s="28">
        <f t="shared" si="6"/>
        <v>7100</v>
      </c>
      <c r="K37" s="28"/>
      <c r="L37" s="28">
        <v>7100</v>
      </c>
      <c r="M37" s="28"/>
      <c r="N37" s="28">
        <v>1500</v>
      </c>
      <c r="O37" s="28"/>
      <c r="P37" s="28">
        <f t="shared" si="5"/>
        <v>4487800</v>
      </c>
      <c r="Q37" s="156"/>
    </row>
    <row r="38" spans="1:18" s="38" customFormat="1" ht="46.15" x14ac:dyDescent="0.45">
      <c r="A38" s="34"/>
      <c r="B38" s="35"/>
      <c r="C38" s="35"/>
      <c r="D38" s="39" t="str">
        <f>'дод 7'!C200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E38" s="37">
        <f t="shared" si="3"/>
        <v>514900</v>
      </c>
      <c r="F38" s="37">
        <f>514900</f>
        <v>514900</v>
      </c>
      <c r="G38" s="37">
        <v>422100</v>
      </c>
      <c r="H38" s="37"/>
      <c r="I38" s="37"/>
      <c r="J38" s="28">
        <f t="shared" si="6"/>
        <v>0</v>
      </c>
      <c r="K38" s="37"/>
      <c r="L38" s="37"/>
      <c r="M38" s="37"/>
      <c r="N38" s="37"/>
      <c r="O38" s="37"/>
      <c r="P38" s="28">
        <f t="shared" si="5"/>
        <v>514900</v>
      </c>
      <c r="Q38" s="156"/>
    </row>
    <row r="39" spans="1:18" s="29" customFormat="1" ht="27" customHeight="1" x14ac:dyDescent="0.45">
      <c r="A39" s="25" t="s">
        <v>201</v>
      </c>
      <c r="B39" s="26" t="str">
        <f>'дод 7'!A202</f>
        <v>8230</v>
      </c>
      <c r="C39" s="26" t="str">
        <f>'дод 7'!B202</f>
        <v>0380</v>
      </c>
      <c r="D39" s="27" t="str">
        <f>'дод 7'!C202</f>
        <v>Інші заходи громадського порядку та безпеки</v>
      </c>
      <c r="E39" s="28">
        <f t="shared" si="3"/>
        <v>714500</v>
      </c>
      <c r="F39" s="28">
        <v>714500</v>
      </c>
      <c r="G39" s="28"/>
      <c r="H39" s="28">
        <f>589400+28800</f>
        <v>618200</v>
      </c>
      <c r="I39" s="28"/>
      <c r="J39" s="28">
        <f t="shared" si="6"/>
        <v>0</v>
      </c>
      <c r="K39" s="28"/>
      <c r="L39" s="28"/>
      <c r="M39" s="28"/>
      <c r="N39" s="28"/>
      <c r="O39" s="28"/>
      <c r="P39" s="28">
        <f t="shared" si="5"/>
        <v>714500</v>
      </c>
      <c r="Q39" s="156"/>
    </row>
    <row r="40" spans="1:18" s="116" customFormat="1" ht="17.25" customHeight="1" x14ac:dyDescent="0.45">
      <c r="A40" s="25" t="s">
        <v>334</v>
      </c>
      <c r="B40" s="26">
        <f>'дод 7'!A203</f>
        <v>8240</v>
      </c>
      <c r="C40" s="26" t="str">
        <f>'дод 7'!B203</f>
        <v>0380</v>
      </c>
      <c r="D40" s="30" t="str">
        <f>'дод 7'!C203</f>
        <v>Заходи та роботи з територіальної оборони</v>
      </c>
      <c r="E40" s="28">
        <f t="shared" ref="E40" si="7">F40+I40</f>
        <v>13564264</v>
      </c>
      <c r="F40" s="28">
        <f>3750000+7799264+750000+1265000</f>
        <v>13564264</v>
      </c>
      <c r="G40" s="28"/>
      <c r="H40" s="28">
        <f>750000+750000+1265000</f>
        <v>2765000</v>
      </c>
      <c r="I40" s="28"/>
      <c r="J40" s="28">
        <f t="shared" ref="J40" si="8">L40+O40</f>
        <v>0</v>
      </c>
      <c r="K40" s="28"/>
      <c r="L40" s="28"/>
      <c r="M40" s="28"/>
      <c r="N40" s="28"/>
      <c r="O40" s="28"/>
      <c r="P40" s="28">
        <f t="shared" ref="P40" si="9">E40+J40</f>
        <v>13564264</v>
      </c>
      <c r="Q40" s="156"/>
      <c r="R40" s="29"/>
    </row>
    <row r="41" spans="1:18" s="29" customFormat="1" ht="15.4" x14ac:dyDescent="0.45">
      <c r="A41" s="25" t="s">
        <v>133</v>
      </c>
      <c r="B41" s="26" t="str">
        <f>'дод 7'!A206</f>
        <v>8340</v>
      </c>
      <c r="C41" s="26" t="str">
        <f>'дод 7'!B206</f>
        <v>0540</v>
      </c>
      <c r="D41" s="27" t="str">
        <f>'дод 7'!C206</f>
        <v>Природоохоронні заходи за рахунок цільових фондів</v>
      </c>
      <c r="E41" s="28">
        <f t="shared" si="3"/>
        <v>0</v>
      </c>
      <c r="F41" s="28"/>
      <c r="G41" s="28"/>
      <c r="H41" s="28"/>
      <c r="I41" s="28"/>
      <c r="J41" s="28">
        <f t="shared" si="6"/>
        <v>80000</v>
      </c>
      <c r="K41" s="28"/>
      <c r="L41" s="28">
        <v>80000</v>
      </c>
      <c r="M41" s="28"/>
      <c r="N41" s="28"/>
      <c r="O41" s="28"/>
      <c r="P41" s="28">
        <f t="shared" si="5"/>
        <v>80000</v>
      </c>
      <c r="Q41" s="156"/>
    </row>
    <row r="42" spans="1:18" s="123" customFormat="1" ht="47.25" customHeight="1" x14ac:dyDescent="0.45">
      <c r="A42" s="25" t="s">
        <v>282</v>
      </c>
      <c r="B42" s="26">
        <f>'дод 7'!A213</f>
        <v>9800</v>
      </c>
      <c r="C42" s="26" t="str">
        <f>'дод 7'!B213</f>
        <v>0180</v>
      </c>
      <c r="D42" s="30" t="str">
        <f>'дод 7'!C213</f>
        <v>Субвенція з місцевого бюджету державному бюджету на виконання програм соціально-економічного розвитку регіонів</v>
      </c>
      <c r="E42" s="28">
        <f>F42+I42</f>
        <v>13834164</v>
      </c>
      <c r="F42" s="28">
        <f>200000+2755000+816000+6403164-240000-800000+4700000</f>
        <v>13834164</v>
      </c>
      <c r="G42" s="28"/>
      <c r="H42" s="28"/>
      <c r="I42" s="28"/>
      <c r="J42" s="28">
        <f t="shared" si="6"/>
        <v>12000000</v>
      </c>
      <c r="K42" s="28">
        <f>10024200-213200+200000-2755000-816000+3420000-760000+800000+2100000</f>
        <v>12000000</v>
      </c>
      <c r="L42" s="28"/>
      <c r="M42" s="28"/>
      <c r="N42" s="28"/>
      <c r="O42" s="28">
        <f>10024200-213200+200000-2755000-816000+3420000-760000+800000+2100000</f>
        <v>12000000</v>
      </c>
      <c r="P42" s="28">
        <f t="shared" si="5"/>
        <v>25834164</v>
      </c>
      <c r="Q42" s="156"/>
      <c r="R42" s="29"/>
    </row>
    <row r="43" spans="1:18" s="19" customFormat="1" ht="29.25" customHeight="1" x14ac:dyDescent="0.4">
      <c r="A43" s="16" t="s">
        <v>134</v>
      </c>
      <c r="B43" s="31"/>
      <c r="C43" s="31"/>
      <c r="D43" s="17" t="s">
        <v>21</v>
      </c>
      <c r="E43" s="18">
        <f>E44</f>
        <v>1301844605.55</v>
      </c>
      <c r="F43" s="18">
        <f t="shared" ref="F43:I43" si="10">F44</f>
        <v>1301844605.55</v>
      </c>
      <c r="G43" s="18">
        <f t="shared" si="10"/>
        <v>857627250</v>
      </c>
      <c r="H43" s="18">
        <f t="shared" si="10"/>
        <v>151871100</v>
      </c>
      <c r="I43" s="18">
        <f t="shared" si="10"/>
        <v>0</v>
      </c>
      <c r="J43" s="18">
        <f>J44</f>
        <v>188744814.67000002</v>
      </c>
      <c r="K43" s="18">
        <f t="shared" ref="K43" si="11">K44</f>
        <v>85766114.670000002</v>
      </c>
      <c r="L43" s="18">
        <f t="shared" ref="L43" si="12">L44</f>
        <v>87460000</v>
      </c>
      <c r="M43" s="18">
        <f t="shared" ref="M43" si="13">M44</f>
        <v>9886420</v>
      </c>
      <c r="N43" s="18">
        <f t="shared" ref="N43" si="14">N44</f>
        <v>6906830</v>
      </c>
      <c r="O43" s="18">
        <f t="shared" ref="O43:P43" si="15">O44</f>
        <v>101284814.67</v>
      </c>
      <c r="P43" s="18">
        <f t="shared" si="15"/>
        <v>1490589420.22</v>
      </c>
      <c r="Q43" s="156"/>
    </row>
    <row r="44" spans="1:18" s="24" customFormat="1" ht="33" customHeight="1" x14ac:dyDescent="0.4">
      <c r="A44" s="20" t="s">
        <v>135</v>
      </c>
      <c r="B44" s="32"/>
      <c r="C44" s="32"/>
      <c r="D44" s="22" t="s">
        <v>401</v>
      </c>
      <c r="E44" s="23">
        <f t="shared" ref="E44:P44" si="16">E56+E57+E58+E59+E60+E68+E75+E76+E77+E80+E100+E101+E102+E104+E69+E103+E61+E78+E64+E66+E72+E81+E82+E84+E95+E93+E97+E91+E88+E89+E86</f>
        <v>1301844605.55</v>
      </c>
      <c r="F44" s="23">
        <f t="shared" si="16"/>
        <v>1301844605.55</v>
      </c>
      <c r="G44" s="23">
        <f t="shared" si="16"/>
        <v>857627250</v>
      </c>
      <c r="H44" s="23">
        <f t="shared" si="16"/>
        <v>151871100</v>
      </c>
      <c r="I44" s="23">
        <f t="shared" si="16"/>
        <v>0</v>
      </c>
      <c r="J44" s="23">
        <f t="shared" si="16"/>
        <v>188744814.67000002</v>
      </c>
      <c r="K44" s="23">
        <f t="shared" si="16"/>
        <v>85766114.670000002</v>
      </c>
      <c r="L44" s="23">
        <f t="shared" si="16"/>
        <v>87460000</v>
      </c>
      <c r="M44" s="23">
        <f t="shared" si="16"/>
        <v>9886420</v>
      </c>
      <c r="N44" s="23">
        <f t="shared" si="16"/>
        <v>6906830</v>
      </c>
      <c r="O44" s="23">
        <f t="shared" si="16"/>
        <v>101284814.67</v>
      </c>
      <c r="P44" s="23">
        <f t="shared" si="16"/>
        <v>1490589420.22</v>
      </c>
      <c r="Q44" s="156"/>
    </row>
    <row r="45" spans="1:18" s="24" customFormat="1" ht="33" customHeight="1" x14ac:dyDescent="0.4">
      <c r="A45" s="20"/>
      <c r="B45" s="32"/>
      <c r="C45" s="32"/>
      <c r="D45" s="33" t="s">
        <v>406</v>
      </c>
      <c r="E45" s="23">
        <f t="shared" ref="E45:P45" si="17">E62+E65+E67+E73+E90</f>
        <v>336977300</v>
      </c>
      <c r="F45" s="23">
        <f t="shared" si="17"/>
        <v>336977300</v>
      </c>
      <c r="G45" s="23">
        <f t="shared" si="17"/>
        <v>276212800</v>
      </c>
      <c r="H45" s="23">
        <f t="shared" si="17"/>
        <v>0</v>
      </c>
      <c r="I45" s="23">
        <f t="shared" si="17"/>
        <v>0</v>
      </c>
      <c r="J45" s="23">
        <f t="shared" si="17"/>
        <v>15081700</v>
      </c>
      <c r="K45" s="23">
        <f t="shared" si="17"/>
        <v>0</v>
      </c>
      <c r="L45" s="23">
        <f t="shared" si="17"/>
        <v>0</v>
      </c>
      <c r="M45" s="23">
        <f t="shared" si="17"/>
        <v>0</v>
      </c>
      <c r="N45" s="23">
        <f t="shared" si="17"/>
        <v>0</v>
      </c>
      <c r="O45" s="23">
        <f t="shared" si="17"/>
        <v>15081700</v>
      </c>
      <c r="P45" s="23">
        <f t="shared" si="17"/>
        <v>352059000</v>
      </c>
      <c r="Q45" s="156"/>
    </row>
    <row r="46" spans="1:18" s="24" customFormat="1" ht="64.900000000000006" customHeight="1" x14ac:dyDescent="0.4">
      <c r="A46" s="20"/>
      <c r="B46" s="32"/>
      <c r="C46" s="32"/>
      <c r="D46" s="33" t="str">
        <f>D83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E46" s="23">
        <f>E83</f>
        <v>2625231</v>
      </c>
      <c r="F46" s="23">
        <f t="shared" ref="F46:P46" si="18">F83</f>
        <v>2625231</v>
      </c>
      <c r="G46" s="23">
        <f t="shared" si="18"/>
        <v>0</v>
      </c>
      <c r="H46" s="23">
        <f t="shared" si="18"/>
        <v>0</v>
      </c>
      <c r="I46" s="23">
        <f t="shared" si="18"/>
        <v>0</v>
      </c>
      <c r="J46" s="23">
        <f t="shared" si="18"/>
        <v>7677569</v>
      </c>
      <c r="K46" s="23">
        <f t="shared" si="18"/>
        <v>7677569</v>
      </c>
      <c r="L46" s="23">
        <f t="shared" si="18"/>
        <v>0</v>
      </c>
      <c r="M46" s="23">
        <f t="shared" si="18"/>
        <v>0</v>
      </c>
      <c r="N46" s="23">
        <f t="shared" si="18"/>
        <v>0</v>
      </c>
      <c r="O46" s="23">
        <f t="shared" si="18"/>
        <v>7677569</v>
      </c>
      <c r="P46" s="23">
        <f t="shared" si="18"/>
        <v>10302800</v>
      </c>
      <c r="Q46" s="156"/>
    </row>
    <row r="47" spans="1:18" s="24" customFormat="1" ht="53.65" customHeight="1" x14ac:dyDescent="0.4">
      <c r="A47" s="20"/>
      <c r="B47" s="32"/>
      <c r="C47" s="32"/>
      <c r="D47" s="33" t="str">
        <f>D85</f>
        <v>субвенції з державного бюджету місцевим бюджетам на надання державної пітримки особам з особливими освітніми потребами</v>
      </c>
      <c r="E47" s="23">
        <f>E85</f>
        <v>891200</v>
      </c>
      <c r="F47" s="23">
        <f t="shared" ref="F47:P47" si="19">F85</f>
        <v>891200</v>
      </c>
      <c r="G47" s="23">
        <f t="shared" si="19"/>
        <v>730490</v>
      </c>
      <c r="H47" s="23">
        <f t="shared" si="19"/>
        <v>0</v>
      </c>
      <c r="I47" s="23">
        <f t="shared" si="19"/>
        <v>0</v>
      </c>
      <c r="J47" s="23">
        <f t="shared" si="19"/>
        <v>0</v>
      </c>
      <c r="K47" s="23">
        <f t="shared" si="19"/>
        <v>0</v>
      </c>
      <c r="L47" s="23">
        <f t="shared" si="19"/>
        <v>0</v>
      </c>
      <c r="M47" s="23">
        <f t="shared" si="19"/>
        <v>0</v>
      </c>
      <c r="N47" s="23">
        <f t="shared" si="19"/>
        <v>0</v>
      </c>
      <c r="O47" s="23">
        <f t="shared" si="19"/>
        <v>0</v>
      </c>
      <c r="P47" s="23">
        <f t="shared" si="19"/>
        <v>891200</v>
      </c>
      <c r="Q47" s="156"/>
    </row>
    <row r="48" spans="1:18" s="24" customFormat="1" ht="50.65" customHeight="1" x14ac:dyDescent="0.4">
      <c r="A48" s="20"/>
      <c r="B48" s="32"/>
      <c r="C48" s="32"/>
      <c r="D48" s="33" t="str">
        <f>D96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E48" s="23">
        <f>E96</f>
        <v>24742100</v>
      </c>
      <c r="F48" s="23">
        <f t="shared" ref="F48:P48" si="20">F96</f>
        <v>24742100</v>
      </c>
      <c r="G48" s="23">
        <f t="shared" si="20"/>
        <v>20280410</v>
      </c>
      <c r="H48" s="23">
        <f t="shared" si="20"/>
        <v>0</v>
      </c>
      <c r="I48" s="23">
        <f t="shared" si="20"/>
        <v>0</v>
      </c>
      <c r="J48" s="23">
        <f t="shared" si="20"/>
        <v>0</v>
      </c>
      <c r="K48" s="23">
        <f t="shared" si="20"/>
        <v>0</v>
      </c>
      <c r="L48" s="23">
        <f t="shared" si="20"/>
        <v>0</v>
      </c>
      <c r="M48" s="23">
        <f t="shared" si="20"/>
        <v>0</v>
      </c>
      <c r="N48" s="23">
        <f t="shared" si="20"/>
        <v>0</v>
      </c>
      <c r="O48" s="23">
        <f t="shared" si="20"/>
        <v>0</v>
      </c>
      <c r="P48" s="23">
        <f t="shared" si="20"/>
        <v>24742100</v>
      </c>
      <c r="Q48" s="156"/>
    </row>
    <row r="49" spans="1:18" s="24" customFormat="1" ht="50.65" customHeight="1" x14ac:dyDescent="0.4">
      <c r="A49" s="20"/>
      <c r="B49" s="32"/>
      <c r="C49" s="32"/>
      <c r="D49" s="33" t="str">
        <f>D94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49" s="23">
        <f>E94</f>
        <v>0</v>
      </c>
      <c r="F49" s="23">
        <f t="shared" ref="F49:P49" si="21">F94</f>
        <v>0</v>
      </c>
      <c r="G49" s="23">
        <f t="shared" si="21"/>
        <v>0</v>
      </c>
      <c r="H49" s="23">
        <f t="shared" si="21"/>
        <v>0</v>
      </c>
      <c r="I49" s="23">
        <f t="shared" si="21"/>
        <v>0</v>
      </c>
      <c r="J49" s="23">
        <f t="shared" si="21"/>
        <v>22533600</v>
      </c>
      <c r="K49" s="23">
        <f t="shared" si="21"/>
        <v>0</v>
      </c>
      <c r="L49" s="23">
        <f t="shared" si="21"/>
        <v>22533600</v>
      </c>
      <c r="M49" s="23">
        <f t="shared" si="21"/>
        <v>0</v>
      </c>
      <c r="N49" s="23">
        <f t="shared" si="21"/>
        <v>0</v>
      </c>
      <c r="O49" s="23">
        <f t="shared" si="21"/>
        <v>0</v>
      </c>
      <c r="P49" s="23">
        <f t="shared" si="21"/>
        <v>22533600</v>
      </c>
      <c r="Q49" s="156"/>
    </row>
    <row r="50" spans="1:18" s="124" customFormat="1" ht="90" x14ac:dyDescent="0.4">
      <c r="A50" s="20"/>
      <c r="B50" s="32"/>
      <c r="C50" s="32"/>
      <c r="D50" s="33" t="str">
        <f>D87</f>
        <v>субвенції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v>
      </c>
      <c r="E50" s="23">
        <f>E87</f>
        <v>2442000</v>
      </c>
      <c r="F50" s="23">
        <f t="shared" ref="F50:P50" si="22">F87</f>
        <v>2442000</v>
      </c>
      <c r="G50" s="23">
        <f t="shared" si="22"/>
        <v>0</v>
      </c>
      <c r="H50" s="23">
        <f t="shared" si="22"/>
        <v>0</v>
      </c>
      <c r="I50" s="23">
        <f t="shared" si="22"/>
        <v>0</v>
      </c>
      <c r="J50" s="23">
        <f t="shared" si="22"/>
        <v>12258000</v>
      </c>
      <c r="K50" s="23">
        <f t="shared" si="22"/>
        <v>12258000</v>
      </c>
      <c r="L50" s="23">
        <f t="shared" si="22"/>
        <v>0</v>
      </c>
      <c r="M50" s="23">
        <f t="shared" si="22"/>
        <v>0</v>
      </c>
      <c r="N50" s="23">
        <f t="shared" si="22"/>
        <v>0</v>
      </c>
      <c r="O50" s="23">
        <f t="shared" si="22"/>
        <v>12258000</v>
      </c>
      <c r="P50" s="23">
        <f t="shared" si="22"/>
        <v>14700000</v>
      </c>
      <c r="Q50" s="156"/>
      <c r="R50" s="24"/>
    </row>
    <row r="51" spans="1:18" s="24" customFormat="1" ht="123" customHeight="1" x14ac:dyDescent="0.4">
      <c r="A51" s="20"/>
      <c r="B51" s="32"/>
      <c r="C51" s="32"/>
      <c r="D51" s="33" t="str">
        <f>D70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51" s="23">
        <f t="shared" ref="E51:P51" si="23">E70+E92</f>
        <v>0</v>
      </c>
      <c r="F51" s="23">
        <f t="shared" si="23"/>
        <v>0</v>
      </c>
      <c r="G51" s="23">
        <f t="shared" si="23"/>
        <v>0</v>
      </c>
      <c r="H51" s="23">
        <f t="shared" si="23"/>
        <v>0</v>
      </c>
      <c r="I51" s="23">
        <f t="shared" si="23"/>
        <v>0</v>
      </c>
      <c r="J51" s="23">
        <f t="shared" si="23"/>
        <v>35673973.670000002</v>
      </c>
      <c r="K51" s="23">
        <f t="shared" si="23"/>
        <v>35673973.670000002</v>
      </c>
      <c r="L51" s="23">
        <f t="shared" si="23"/>
        <v>0</v>
      </c>
      <c r="M51" s="23">
        <f t="shared" si="23"/>
        <v>0</v>
      </c>
      <c r="N51" s="23">
        <f t="shared" si="23"/>
        <v>0</v>
      </c>
      <c r="O51" s="23">
        <f t="shared" si="23"/>
        <v>35673973.670000002</v>
      </c>
      <c r="P51" s="23">
        <f t="shared" si="23"/>
        <v>35673973.670000002</v>
      </c>
      <c r="Q51" s="156"/>
    </row>
    <row r="52" spans="1:18" s="24" customFormat="1" ht="63" customHeight="1" x14ac:dyDescent="0.4">
      <c r="A52" s="20"/>
      <c r="B52" s="32"/>
      <c r="C52" s="32"/>
      <c r="D52" s="33" t="str">
        <f>D99</f>
        <v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52" s="23">
        <f>E99</f>
        <v>0</v>
      </c>
      <c r="F52" s="23">
        <f t="shared" ref="F52:P52" si="24">F99</f>
        <v>0</v>
      </c>
      <c r="G52" s="23">
        <f t="shared" si="24"/>
        <v>0</v>
      </c>
      <c r="H52" s="23">
        <f t="shared" si="24"/>
        <v>0</v>
      </c>
      <c r="I52" s="23">
        <f t="shared" si="24"/>
        <v>0</v>
      </c>
      <c r="J52" s="23">
        <f t="shared" si="24"/>
        <v>2892900</v>
      </c>
      <c r="K52" s="23">
        <f t="shared" si="24"/>
        <v>0</v>
      </c>
      <c r="L52" s="23">
        <f t="shared" si="24"/>
        <v>2892900</v>
      </c>
      <c r="M52" s="23">
        <f t="shared" si="24"/>
        <v>0</v>
      </c>
      <c r="N52" s="23">
        <f t="shared" si="24"/>
        <v>0</v>
      </c>
      <c r="O52" s="23">
        <f t="shared" si="24"/>
        <v>0</v>
      </c>
      <c r="P52" s="23">
        <f t="shared" si="24"/>
        <v>2892900</v>
      </c>
      <c r="Q52" s="156"/>
    </row>
    <row r="53" spans="1:18" s="24" customFormat="1" ht="79.150000000000006" customHeight="1" x14ac:dyDescent="0.4">
      <c r="A53" s="20"/>
      <c r="B53" s="32"/>
      <c r="C53" s="32"/>
      <c r="D53" s="33" t="str">
        <f>D98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53" s="33">
        <f t="shared" ref="E53:P53" si="25">E98</f>
        <v>0</v>
      </c>
      <c r="F53" s="33">
        <f t="shared" si="25"/>
        <v>0</v>
      </c>
      <c r="G53" s="33">
        <f t="shared" si="25"/>
        <v>0</v>
      </c>
      <c r="H53" s="33">
        <f t="shared" si="25"/>
        <v>0</v>
      </c>
      <c r="I53" s="33">
        <f t="shared" si="25"/>
        <v>0</v>
      </c>
      <c r="J53" s="23">
        <f t="shared" si="25"/>
        <v>2892900</v>
      </c>
      <c r="K53" s="23">
        <f t="shared" si="25"/>
        <v>0</v>
      </c>
      <c r="L53" s="23">
        <f t="shared" si="25"/>
        <v>2892900</v>
      </c>
      <c r="M53" s="23">
        <f t="shared" si="25"/>
        <v>0</v>
      </c>
      <c r="N53" s="23">
        <f t="shared" si="25"/>
        <v>0</v>
      </c>
      <c r="O53" s="23">
        <f t="shared" si="25"/>
        <v>0</v>
      </c>
      <c r="P53" s="23">
        <f t="shared" si="25"/>
        <v>2892900</v>
      </c>
      <c r="Q53" s="156"/>
    </row>
    <row r="54" spans="1:18" s="24" customFormat="1" ht="44.25" customHeight="1" x14ac:dyDescent="0.4">
      <c r="A54" s="20"/>
      <c r="B54" s="32"/>
      <c r="C54" s="32"/>
      <c r="D54" s="22" t="s">
        <v>399</v>
      </c>
      <c r="E54" s="23">
        <f t="shared" ref="E54:P54" si="26">E63+E79+E74</f>
        <v>3648622.55</v>
      </c>
      <c r="F54" s="23">
        <f t="shared" si="26"/>
        <v>3648622.55</v>
      </c>
      <c r="G54" s="23">
        <f t="shared" si="26"/>
        <v>1268474</v>
      </c>
      <c r="H54" s="23">
        <f t="shared" si="26"/>
        <v>0</v>
      </c>
      <c r="I54" s="23">
        <f t="shared" si="26"/>
        <v>0</v>
      </c>
      <c r="J54" s="23">
        <f t="shared" si="26"/>
        <v>0</v>
      </c>
      <c r="K54" s="23">
        <f t="shared" si="26"/>
        <v>0</v>
      </c>
      <c r="L54" s="23">
        <f t="shared" si="26"/>
        <v>0</v>
      </c>
      <c r="M54" s="23">
        <f t="shared" si="26"/>
        <v>0</v>
      </c>
      <c r="N54" s="23">
        <f t="shared" si="26"/>
        <v>0</v>
      </c>
      <c r="O54" s="23">
        <f t="shared" si="26"/>
        <v>0</v>
      </c>
      <c r="P54" s="23">
        <f t="shared" si="26"/>
        <v>3648622.55</v>
      </c>
      <c r="Q54" s="156"/>
    </row>
    <row r="55" spans="1:18" s="24" customFormat="1" ht="15" x14ac:dyDescent="0.4">
      <c r="A55" s="20"/>
      <c r="B55" s="32"/>
      <c r="C55" s="32"/>
      <c r="D55" s="22" t="str">
        <f>D71</f>
        <v>іншої субвенції з місцевого бюджету</v>
      </c>
      <c r="E55" s="23">
        <f>E71</f>
        <v>29494</v>
      </c>
      <c r="F55" s="23">
        <f t="shared" ref="F55:P55" si="27">F71</f>
        <v>29494</v>
      </c>
      <c r="G55" s="23">
        <f t="shared" si="27"/>
        <v>24176</v>
      </c>
      <c r="H55" s="23">
        <f t="shared" si="27"/>
        <v>0</v>
      </c>
      <c r="I55" s="23">
        <f t="shared" si="27"/>
        <v>0</v>
      </c>
      <c r="J55" s="23">
        <f t="shared" si="27"/>
        <v>4500000</v>
      </c>
      <c r="K55" s="23">
        <f t="shared" si="27"/>
        <v>4500000</v>
      </c>
      <c r="L55" s="23">
        <f t="shared" si="27"/>
        <v>0</v>
      </c>
      <c r="M55" s="23">
        <f t="shared" si="27"/>
        <v>0</v>
      </c>
      <c r="N55" s="23">
        <f t="shared" si="27"/>
        <v>0</v>
      </c>
      <c r="O55" s="23">
        <f t="shared" si="27"/>
        <v>4500000</v>
      </c>
      <c r="P55" s="23">
        <f t="shared" si="27"/>
        <v>4529494</v>
      </c>
      <c r="Q55" s="137"/>
    </row>
    <row r="56" spans="1:18" s="29" customFormat="1" ht="45.75" customHeight="1" x14ac:dyDescent="0.45">
      <c r="A56" s="25" t="s">
        <v>136</v>
      </c>
      <c r="B56" s="26" t="str">
        <f>'дод 7'!A17</f>
        <v>0160</v>
      </c>
      <c r="C56" s="26" t="str">
        <f>'дод 7'!B17</f>
        <v>0111</v>
      </c>
      <c r="D56" s="27" t="str">
        <f>'дод 7'!C17</f>
        <v>Керівництво і управління у відповідній сфері у містах (місті Києві), селищах, селах, територіальних громадах</v>
      </c>
      <c r="E56" s="28">
        <f t="shared" ref="E56:E104" si="28">F56+I56</f>
        <v>5997800</v>
      </c>
      <c r="F56" s="28">
        <v>5997800</v>
      </c>
      <c r="G56" s="28">
        <v>4567200</v>
      </c>
      <c r="H56" s="28">
        <v>111900</v>
      </c>
      <c r="I56" s="28"/>
      <c r="J56" s="28">
        <f>L56+O56</f>
        <v>0</v>
      </c>
      <c r="K56" s="28">
        <v>0</v>
      </c>
      <c r="L56" s="28"/>
      <c r="M56" s="28"/>
      <c r="N56" s="28"/>
      <c r="O56" s="28">
        <v>0</v>
      </c>
      <c r="P56" s="28">
        <f t="shared" ref="P56:P104" si="29">E56+J56</f>
        <v>5997800</v>
      </c>
      <c r="Q56" s="156">
        <v>3</v>
      </c>
    </row>
    <row r="57" spans="1:18" s="29" customFormat="1" ht="21.75" customHeight="1" x14ac:dyDescent="0.45">
      <c r="A57" s="25" t="s">
        <v>137</v>
      </c>
      <c r="B57" s="26" t="str">
        <f>'дод 7'!A33</f>
        <v>1010</v>
      </c>
      <c r="C57" s="26" t="str">
        <f>'дод 7'!B33</f>
        <v>0910</v>
      </c>
      <c r="D57" s="27" t="str">
        <f>'дод 7'!C33</f>
        <v>Надання дошкільної освіти</v>
      </c>
      <c r="E57" s="28">
        <f t="shared" si="28"/>
        <v>372827900</v>
      </c>
      <c r="F57" s="28">
        <f>372792900+35000</f>
        <v>372827900</v>
      </c>
      <c r="G57" s="28">
        <v>253895000</v>
      </c>
      <c r="H57" s="28">
        <v>47086600</v>
      </c>
      <c r="I57" s="28"/>
      <c r="J57" s="28">
        <f>L57+O57</f>
        <v>17052030</v>
      </c>
      <c r="K57" s="28"/>
      <c r="L57" s="28">
        <v>17052030</v>
      </c>
      <c r="M57" s="28"/>
      <c r="N57" s="28"/>
      <c r="O57" s="28"/>
      <c r="P57" s="28">
        <f t="shared" si="29"/>
        <v>389879930</v>
      </c>
      <c r="Q57" s="156"/>
    </row>
    <row r="58" spans="1:18" s="116" customFormat="1" ht="54" customHeight="1" x14ac:dyDescent="0.45">
      <c r="A58" s="25" t="s">
        <v>297</v>
      </c>
      <c r="B58" s="25">
        <f>'дод 7'!A34</f>
        <v>1021</v>
      </c>
      <c r="C58" s="26" t="str">
        <f>'дод 7'!B34</f>
        <v>0921</v>
      </c>
      <c r="D58" s="27" t="str">
        <f>'дод 7'!C34</f>
        <v>Надання загальної середньої освіти закладами загальної середньої освіти за рахунок коштів місцевого бюджету</v>
      </c>
      <c r="E58" s="28">
        <f t="shared" si="28"/>
        <v>276673151</v>
      </c>
      <c r="F58" s="28">
        <f>275705700+120960+470000+40359+210000+126132</f>
        <v>276673151</v>
      </c>
      <c r="G58" s="28">
        <v>145056200</v>
      </c>
      <c r="H58" s="28">
        <v>65222400</v>
      </c>
      <c r="I58" s="28"/>
      <c r="J58" s="28">
        <f t="shared" ref="J58:J104" si="30">L58+O58</f>
        <v>26849410</v>
      </c>
      <c r="K58" s="28">
        <f>1000000+500000+3654000+1500000</f>
        <v>6654000</v>
      </c>
      <c r="L58" s="28">
        <v>20195410</v>
      </c>
      <c r="M58" s="28">
        <v>2627920</v>
      </c>
      <c r="N58" s="28">
        <v>244330</v>
      </c>
      <c r="O58" s="139">
        <f>1000000+500000+3654000+1500000</f>
        <v>6654000</v>
      </c>
      <c r="P58" s="28">
        <f t="shared" si="29"/>
        <v>303522561</v>
      </c>
      <c r="Q58" s="156"/>
      <c r="R58" s="29"/>
    </row>
    <row r="59" spans="1:18" s="29" customFormat="1" ht="80.25" customHeight="1" x14ac:dyDescent="0.45">
      <c r="A59" s="25" t="s">
        <v>298</v>
      </c>
      <c r="B59" s="26">
        <f>'дод 7'!A35</f>
        <v>1022</v>
      </c>
      <c r="C59" s="26" t="str">
        <f>'дод 7'!B35</f>
        <v>0922</v>
      </c>
      <c r="D59" s="30" t="str">
        <f>'дод 7'!C35</f>
        <v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v>
      </c>
      <c r="E59" s="28">
        <f t="shared" si="28"/>
        <v>18577200</v>
      </c>
      <c r="F59" s="28">
        <v>18577200</v>
      </c>
      <c r="G59" s="28">
        <v>11223500</v>
      </c>
      <c r="H59" s="28">
        <v>3058200</v>
      </c>
      <c r="I59" s="28"/>
      <c r="J59" s="28">
        <f t="shared" si="30"/>
        <v>0</v>
      </c>
      <c r="K59" s="28"/>
      <c r="L59" s="28"/>
      <c r="M59" s="28"/>
      <c r="N59" s="28"/>
      <c r="O59" s="28"/>
      <c r="P59" s="28">
        <f t="shared" si="29"/>
        <v>18577200</v>
      </c>
      <c r="Q59" s="156"/>
    </row>
    <row r="60" spans="1:18" s="29" customFormat="1" ht="83.25" customHeight="1" x14ac:dyDescent="0.45">
      <c r="A60" s="25" t="s">
        <v>322</v>
      </c>
      <c r="B60" s="26">
        <f>'дод 7'!A36</f>
        <v>1025</v>
      </c>
      <c r="C60" s="26" t="str">
        <f>'дод 7'!B36</f>
        <v>0922</v>
      </c>
      <c r="D60" s="30" t="str">
        <f>'дод 7'!C36</f>
        <v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v>
      </c>
      <c r="E60" s="28">
        <f t="shared" si="28"/>
        <v>13453600</v>
      </c>
      <c r="F60" s="28">
        <v>13453600</v>
      </c>
      <c r="G60" s="28">
        <v>9459000</v>
      </c>
      <c r="H60" s="28">
        <v>1260200</v>
      </c>
      <c r="I60" s="28"/>
      <c r="J60" s="28">
        <f t="shared" si="30"/>
        <v>0</v>
      </c>
      <c r="K60" s="28"/>
      <c r="L60" s="28"/>
      <c r="M60" s="28"/>
      <c r="N60" s="28"/>
      <c r="O60" s="28"/>
      <c r="P60" s="28">
        <f t="shared" si="29"/>
        <v>13453600</v>
      </c>
      <c r="Q60" s="156"/>
    </row>
    <row r="61" spans="1:18" s="29" customFormat="1" ht="52.15" customHeight="1" x14ac:dyDescent="0.45">
      <c r="A61" s="25" t="s">
        <v>398</v>
      </c>
      <c r="B61" s="26">
        <f>'дод 7'!A37</f>
        <v>1031</v>
      </c>
      <c r="C61" s="26">
        <f>'дод 7'!B37</f>
        <v>921</v>
      </c>
      <c r="D61" s="30" t="str">
        <f>'дод 7'!C37</f>
        <v>Надання загальної середньої освіти закладами загальної середньої освіти за рахунок освітньої субвенції,  у т. ч. за рахунок:</v>
      </c>
      <c r="E61" s="28">
        <f t="shared" ref="E61:E65" si="31">F61+I61</f>
        <v>311742647</v>
      </c>
      <c r="F61" s="28">
        <f>F62+F63</f>
        <v>311742647</v>
      </c>
      <c r="G61" s="28">
        <f t="shared" ref="G61:H61" si="32">G62+G63</f>
        <v>253806400</v>
      </c>
      <c r="H61" s="28">
        <f t="shared" si="32"/>
        <v>0</v>
      </c>
      <c r="I61" s="28"/>
      <c r="J61" s="28">
        <f t="shared" ref="J61:J65" si="33">L61+O61</f>
        <v>0</v>
      </c>
      <c r="K61" s="28"/>
      <c r="L61" s="28"/>
      <c r="M61" s="28"/>
      <c r="N61" s="28"/>
      <c r="O61" s="28"/>
      <c r="P61" s="28">
        <f t="shared" ref="P61:P63" si="34">E61+J61</f>
        <v>311742647</v>
      </c>
      <c r="Q61" s="156"/>
    </row>
    <row r="62" spans="1:18" s="38" customFormat="1" ht="30.75" x14ac:dyDescent="0.45">
      <c r="A62" s="34"/>
      <c r="B62" s="35"/>
      <c r="C62" s="35"/>
      <c r="D62" s="36" t="s">
        <v>406</v>
      </c>
      <c r="E62" s="37">
        <f t="shared" ref="E62" si="35">F62+I62</f>
        <v>309641500</v>
      </c>
      <c r="F62" s="37">
        <v>309641500</v>
      </c>
      <c r="G62" s="37">
        <v>253806400</v>
      </c>
      <c r="H62" s="37"/>
      <c r="I62" s="37"/>
      <c r="J62" s="37">
        <f t="shared" ref="J62" si="36">L62+O62</f>
        <v>0</v>
      </c>
      <c r="K62" s="37"/>
      <c r="L62" s="37"/>
      <c r="M62" s="37"/>
      <c r="N62" s="37"/>
      <c r="O62" s="37"/>
      <c r="P62" s="37">
        <f t="shared" ref="P62" si="37">E62+J62</f>
        <v>309641500</v>
      </c>
      <c r="Q62" s="156"/>
    </row>
    <row r="63" spans="1:18" s="38" customFormat="1" ht="46.15" x14ac:dyDescent="0.45">
      <c r="A63" s="34"/>
      <c r="B63" s="35"/>
      <c r="C63" s="35"/>
      <c r="D63" s="39" t="s">
        <v>399</v>
      </c>
      <c r="E63" s="37">
        <f t="shared" si="31"/>
        <v>2101147</v>
      </c>
      <c r="F63" s="37">
        <v>2101147</v>
      </c>
      <c r="G63" s="37"/>
      <c r="H63" s="37"/>
      <c r="I63" s="37"/>
      <c r="J63" s="37">
        <f t="shared" si="33"/>
        <v>0</v>
      </c>
      <c r="K63" s="37"/>
      <c r="L63" s="37"/>
      <c r="M63" s="37"/>
      <c r="N63" s="37"/>
      <c r="O63" s="37"/>
      <c r="P63" s="37">
        <f t="shared" si="34"/>
        <v>2101147</v>
      </c>
      <c r="Q63" s="156"/>
    </row>
    <row r="64" spans="1:18" s="29" customFormat="1" ht="100.5" customHeight="1" x14ac:dyDescent="0.45">
      <c r="A64" s="25" t="s">
        <v>407</v>
      </c>
      <c r="B64" s="26" t="str">
        <f>'дод 7'!A40</f>
        <v>1032</v>
      </c>
      <c r="C64" s="26" t="str">
        <f>'дод 7'!B40</f>
        <v>0922</v>
      </c>
      <c r="D64" s="30" t="str">
        <f>'дод 7'!C40</f>
        <v xml:space="preserve"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 інтелектуального розвитку, фізичного та/або сенсорними порушеннями, за рахунок освітньої субвенції,  у т.ч. за рахунок: </v>
      </c>
      <c r="E64" s="28">
        <f t="shared" si="31"/>
        <v>12847200</v>
      </c>
      <c r="F64" s="28">
        <f>F65</f>
        <v>12847200</v>
      </c>
      <c r="G64" s="28">
        <f t="shared" ref="G64:O64" si="38">G65</f>
        <v>10530500</v>
      </c>
      <c r="H64" s="28">
        <f t="shared" si="38"/>
        <v>0</v>
      </c>
      <c r="I64" s="28">
        <f t="shared" si="38"/>
        <v>0</v>
      </c>
      <c r="J64" s="28">
        <f t="shared" si="38"/>
        <v>0</v>
      </c>
      <c r="K64" s="28">
        <f t="shared" si="38"/>
        <v>0</v>
      </c>
      <c r="L64" s="28">
        <f t="shared" si="38"/>
        <v>0</v>
      </c>
      <c r="M64" s="28">
        <f t="shared" si="38"/>
        <v>0</v>
      </c>
      <c r="N64" s="28">
        <f t="shared" si="38"/>
        <v>0</v>
      </c>
      <c r="O64" s="28">
        <f t="shared" si="38"/>
        <v>0</v>
      </c>
      <c r="P64" s="28">
        <f t="shared" si="29"/>
        <v>12847200</v>
      </c>
      <c r="Q64" s="156"/>
    </row>
    <row r="65" spans="1:18" s="38" customFormat="1" ht="30.75" x14ac:dyDescent="0.45">
      <c r="A65" s="34"/>
      <c r="B65" s="35">
        <f>'дод 7'!A41</f>
        <v>0</v>
      </c>
      <c r="C65" s="35">
        <f>'дод 7'!B41</f>
        <v>0</v>
      </c>
      <c r="D65" s="36" t="str">
        <f>'дод 7'!C41</f>
        <v>освітньої субвенції з державного бюджету місцевим бюджетам</v>
      </c>
      <c r="E65" s="37">
        <f t="shared" si="31"/>
        <v>12847200</v>
      </c>
      <c r="F65" s="37">
        <v>12847200</v>
      </c>
      <c r="G65" s="37">
        <v>10530500</v>
      </c>
      <c r="H65" s="37"/>
      <c r="I65" s="37"/>
      <c r="J65" s="37">
        <f t="shared" si="33"/>
        <v>0</v>
      </c>
      <c r="K65" s="37"/>
      <c r="L65" s="37"/>
      <c r="M65" s="37"/>
      <c r="N65" s="37"/>
      <c r="O65" s="37"/>
      <c r="P65" s="37">
        <f t="shared" si="29"/>
        <v>12847200</v>
      </c>
      <c r="Q65" s="156"/>
    </row>
    <row r="66" spans="1:18" s="29" customFormat="1" ht="61.5" x14ac:dyDescent="0.45">
      <c r="A66" s="25" t="s">
        <v>411</v>
      </c>
      <c r="B66" s="26">
        <f>'дод 7'!A42</f>
        <v>1035</v>
      </c>
      <c r="C66" s="26" t="str">
        <f>'дод 7'!B42</f>
        <v>0922</v>
      </c>
      <c r="D66" s="30" t="str">
        <f>'дод 7'!C42</f>
        <v xml:space="preserve"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освітньої субвенції,  у т.ч. за рахунок: </v>
      </c>
      <c r="E66" s="28">
        <f t="shared" ref="E66" si="39">F66+I66</f>
        <v>1068600</v>
      </c>
      <c r="F66" s="28">
        <f>F67</f>
        <v>1068600</v>
      </c>
      <c r="G66" s="28">
        <f t="shared" ref="G66" si="40">G67</f>
        <v>875900</v>
      </c>
      <c r="H66" s="28">
        <f t="shared" ref="H66" si="41">H67</f>
        <v>0</v>
      </c>
      <c r="I66" s="28">
        <f t="shared" ref="I66" si="42">I67</f>
        <v>0</v>
      </c>
      <c r="J66" s="28">
        <f t="shared" ref="J66" si="43">J67</f>
        <v>0</v>
      </c>
      <c r="K66" s="28">
        <f t="shared" ref="K66" si="44">K67</f>
        <v>0</v>
      </c>
      <c r="L66" s="28">
        <f t="shared" ref="L66" si="45">L67</f>
        <v>0</v>
      </c>
      <c r="M66" s="28">
        <f t="shared" ref="M66" si="46">M67</f>
        <v>0</v>
      </c>
      <c r="N66" s="28">
        <f t="shared" ref="N66" si="47">N67</f>
        <v>0</v>
      </c>
      <c r="O66" s="28">
        <f t="shared" ref="O66" si="48">O67</f>
        <v>0</v>
      </c>
      <c r="P66" s="28">
        <f t="shared" si="29"/>
        <v>1068600</v>
      </c>
      <c r="Q66" s="156"/>
    </row>
    <row r="67" spans="1:18" s="38" customFormat="1" ht="30.75" x14ac:dyDescent="0.45">
      <c r="A67" s="34"/>
      <c r="B67" s="35">
        <f>'дод 7'!A43</f>
        <v>0</v>
      </c>
      <c r="C67" s="35">
        <f>'дод 7'!B43</f>
        <v>0</v>
      </c>
      <c r="D67" s="36" t="str">
        <f>'дод 7'!C43</f>
        <v>освітньої субвенції з державного бюджету місцевим бюджетам</v>
      </c>
      <c r="E67" s="37">
        <f t="shared" ref="E67" si="49">F67+I67</f>
        <v>1068600</v>
      </c>
      <c r="F67" s="37">
        <v>1068600</v>
      </c>
      <c r="G67" s="37">
        <v>875900</v>
      </c>
      <c r="H67" s="37"/>
      <c r="I67" s="37"/>
      <c r="J67" s="37"/>
      <c r="K67" s="37"/>
      <c r="L67" s="37"/>
      <c r="M67" s="37"/>
      <c r="N67" s="37"/>
      <c r="O67" s="37"/>
      <c r="P67" s="37">
        <f t="shared" si="29"/>
        <v>1068600</v>
      </c>
      <c r="Q67" s="156"/>
    </row>
    <row r="68" spans="1:18" s="29" customFormat="1" ht="42" customHeight="1" x14ac:dyDescent="0.45">
      <c r="A68" s="25" t="s">
        <v>299</v>
      </c>
      <c r="B68" s="26" t="str">
        <f>'дод 7'!A44</f>
        <v>1070</v>
      </c>
      <c r="C68" s="26" t="str">
        <f>'дод 7'!B44</f>
        <v>0960</v>
      </c>
      <c r="D68" s="30" t="str">
        <f>'дод 7'!C44</f>
        <v>Надання позашкільної освіти закладами позашкільної освіти, заходи із позашкільної роботи з дітьми</v>
      </c>
      <c r="E68" s="28">
        <f t="shared" si="28"/>
        <v>47805900</v>
      </c>
      <c r="F68" s="28">
        <v>47805900</v>
      </c>
      <c r="G68" s="28">
        <v>32550000</v>
      </c>
      <c r="H68" s="28">
        <v>7564900</v>
      </c>
      <c r="I68" s="28"/>
      <c r="J68" s="28">
        <f t="shared" si="30"/>
        <v>0</v>
      </c>
      <c r="K68" s="28"/>
      <c r="L68" s="28"/>
      <c r="M68" s="28"/>
      <c r="N68" s="28"/>
      <c r="O68" s="28"/>
      <c r="P68" s="28">
        <f t="shared" si="29"/>
        <v>47805900</v>
      </c>
      <c r="Q68" s="156"/>
    </row>
    <row r="69" spans="1:18" s="116" customFormat="1" ht="66.75" customHeight="1" x14ac:dyDescent="0.45">
      <c r="A69" s="25" t="s">
        <v>331</v>
      </c>
      <c r="B69" s="26">
        <f>'дод 7'!A46</f>
        <v>1091</v>
      </c>
      <c r="C69" s="26" t="str">
        <f>'дод 7'!B46</f>
        <v>0930</v>
      </c>
      <c r="D69" s="30" t="str">
        <f>'дод 7'!C46</f>
        <v>Підготовка кадрів закладами професійної (професійно-технічної) освіти та іншими закладами освіти за рахунок коштів місцевого бюджету, у т.ч. за рахунок:</v>
      </c>
      <c r="E69" s="28">
        <f t="shared" si="28"/>
        <v>154436194</v>
      </c>
      <c r="F69" s="28">
        <f>154406700+29494</f>
        <v>154436194</v>
      </c>
      <c r="G69" s="28">
        <f>80199400+24176</f>
        <v>80223576</v>
      </c>
      <c r="H69" s="28">
        <v>24365100</v>
      </c>
      <c r="I69" s="28"/>
      <c r="J69" s="28">
        <f>L69+O69</f>
        <v>32625160</v>
      </c>
      <c r="K69" s="37">
        <f>6210000+4500000</f>
        <v>10710000</v>
      </c>
      <c r="L69" s="28">
        <f>21915160-437000</f>
        <v>21478160</v>
      </c>
      <c r="M69" s="28">
        <v>7258500</v>
      </c>
      <c r="N69" s="28">
        <v>6662500</v>
      </c>
      <c r="O69" s="28">
        <f>437000+6210000+4500000</f>
        <v>11147000</v>
      </c>
      <c r="P69" s="28">
        <f t="shared" si="29"/>
        <v>187061354</v>
      </c>
      <c r="Q69" s="156"/>
      <c r="R69" s="29"/>
    </row>
    <row r="70" spans="1:18" s="38" customFormat="1" ht="115.15" customHeight="1" x14ac:dyDescent="0.45">
      <c r="A70" s="34"/>
      <c r="B70" s="35"/>
      <c r="C70" s="35"/>
      <c r="D70" s="36" t="str">
        <f>'дод 7'!C47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70" s="28">
        <f t="shared" si="28"/>
        <v>0</v>
      </c>
      <c r="F70" s="37"/>
      <c r="G70" s="37"/>
      <c r="H70" s="37"/>
      <c r="I70" s="37"/>
      <c r="J70" s="28">
        <f>L70+O70</f>
        <v>6210000</v>
      </c>
      <c r="K70" s="37">
        <v>6210000</v>
      </c>
      <c r="L70" s="37"/>
      <c r="M70" s="37"/>
      <c r="N70" s="37"/>
      <c r="O70" s="37">
        <v>6210000</v>
      </c>
      <c r="P70" s="28">
        <f t="shared" si="29"/>
        <v>6210000</v>
      </c>
      <c r="Q70" s="156"/>
    </row>
    <row r="71" spans="1:18" s="117" customFormat="1" ht="30.95" customHeight="1" x14ac:dyDescent="0.45">
      <c r="A71" s="34"/>
      <c r="B71" s="35"/>
      <c r="C71" s="35"/>
      <c r="D71" s="36" t="s">
        <v>283</v>
      </c>
      <c r="E71" s="37">
        <f t="shared" ref="E71" si="50">F71+I71</f>
        <v>29494</v>
      </c>
      <c r="F71" s="37">
        <v>29494</v>
      </c>
      <c r="G71" s="37">
        <v>24176</v>
      </c>
      <c r="H71" s="37"/>
      <c r="I71" s="37"/>
      <c r="J71" s="28">
        <f>L71+O71</f>
        <v>4500000</v>
      </c>
      <c r="K71" s="37">
        <v>4500000</v>
      </c>
      <c r="L71" s="37"/>
      <c r="M71" s="37"/>
      <c r="N71" s="37"/>
      <c r="O71" s="37">
        <v>4500000</v>
      </c>
      <c r="P71" s="28">
        <f t="shared" ref="P71" si="51">E71+J71</f>
        <v>4529494</v>
      </c>
      <c r="Q71" s="156"/>
      <c r="R71" s="38"/>
    </row>
    <row r="72" spans="1:18" s="116" customFormat="1" ht="59.65" customHeight="1" x14ac:dyDescent="0.45">
      <c r="A72" s="25" t="s">
        <v>413</v>
      </c>
      <c r="B72" s="26">
        <f>'дод 7'!A49</f>
        <v>1092</v>
      </c>
      <c r="C72" s="26" t="str">
        <f>'дод 7'!B49</f>
        <v>0930</v>
      </c>
      <c r="D72" s="30" t="str">
        <f>'дод 7'!C49</f>
        <v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v>
      </c>
      <c r="E72" s="28">
        <f>F72+I72</f>
        <v>13532505.550000001</v>
      </c>
      <c r="F72" s="28">
        <f>13420000+96913+15592.55</f>
        <v>13532505.550000001</v>
      </c>
      <c r="G72" s="28">
        <f>11000000+79483+12781</f>
        <v>11092264</v>
      </c>
      <c r="H72" s="28">
        <f t="shared" ref="H72" si="52">H73</f>
        <v>0</v>
      </c>
      <c r="I72" s="28">
        <f t="shared" ref="I72" si="53">I73</f>
        <v>0</v>
      </c>
      <c r="J72" s="28">
        <f t="shared" ref="J72" si="54">J73</f>
        <v>0</v>
      </c>
      <c r="K72" s="28">
        <f t="shared" ref="K72" si="55">K73</f>
        <v>0</v>
      </c>
      <c r="L72" s="28">
        <f t="shared" ref="L72" si="56">L73</f>
        <v>0</v>
      </c>
      <c r="M72" s="28">
        <f t="shared" ref="M72" si="57">M73</f>
        <v>0</v>
      </c>
      <c r="N72" s="28">
        <f t="shared" ref="N72" si="58">N73</f>
        <v>0</v>
      </c>
      <c r="O72" s="28">
        <f t="shared" ref="O72" si="59">O73</f>
        <v>0</v>
      </c>
      <c r="P72" s="28">
        <f t="shared" ref="P72" si="60">E72+J72</f>
        <v>13532505.550000001</v>
      </c>
      <c r="Q72" s="156"/>
      <c r="R72" s="29"/>
    </row>
    <row r="73" spans="1:18" s="38" customFormat="1" ht="30.75" x14ac:dyDescent="0.45">
      <c r="A73" s="34"/>
      <c r="B73" s="35">
        <f>'дод 7'!A50</f>
        <v>0</v>
      </c>
      <c r="C73" s="35">
        <f>'дод 7'!B50</f>
        <v>0</v>
      </c>
      <c r="D73" s="36" t="str">
        <f>'дод 7'!C50</f>
        <v>освітньої субвенції з державного бюджету місцевим бюджетам</v>
      </c>
      <c r="E73" s="37">
        <f t="shared" si="28"/>
        <v>13420000</v>
      </c>
      <c r="F73" s="37">
        <v>13420000</v>
      </c>
      <c r="G73" s="37">
        <v>11000000</v>
      </c>
      <c r="H73" s="37"/>
      <c r="I73" s="37"/>
      <c r="J73" s="37">
        <f t="shared" ref="J73:J74" si="61">L73+O73</f>
        <v>0</v>
      </c>
      <c r="K73" s="37"/>
      <c r="L73" s="37"/>
      <c r="M73" s="37"/>
      <c r="N73" s="37"/>
      <c r="O73" s="37"/>
      <c r="P73" s="37">
        <f t="shared" si="29"/>
        <v>13420000</v>
      </c>
      <c r="Q73" s="156"/>
    </row>
    <row r="74" spans="1:18" s="117" customFormat="1" ht="39.75" customHeight="1" x14ac:dyDescent="0.45">
      <c r="A74" s="34"/>
      <c r="B74" s="35"/>
      <c r="C74" s="35"/>
      <c r="D74" s="36" t="s">
        <v>509</v>
      </c>
      <c r="E74" s="37">
        <f t="shared" si="28"/>
        <v>112505.55</v>
      </c>
      <c r="F74" s="37">
        <f>96913+15592.55</f>
        <v>112505.55</v>
      </c>
      <c r="G74" s="37">
        <f>79483+12781</f>
        <v>92264</v>
      </c>
      <c r="H74" s="37"/>
      <c r="I74" s="37"/>
      <c r="J74" s="37">
        <f t="shared" si="61"/>
        <v>0</v>
      </c>
      <c r="K74" s="37"/>
      <c r="L74" s="37"/>
      <c r="M74" s="37"/>
      <c r="N74" s="37"/>
      <c r="O74" s="37"/>
      <c r="P74" s="37">
        <f t="shared" si="29"/>
        <v>112505.55</v>
      </c>
      <c r="Q74" s="156"/>
      <c r="R74" s="38"/>
    </row>
    <row r="75" spans="1:18" s="29" customFormat="1" ht="34.5" customHeight="1" x14ac:dyDescent="0.45">
      <c r="A75" s="25" t="s">
        <v>300</v>
      </c>
      <c r="B75" s="26" t="str">
        <f>'дод 7'!A52</f>
        <v>1141</v>
      </c>
      <c r="C75" s="26" t="str">
        <f>'дод 7'!B52</f>
        <v>0990</v>
      </c>
      <c r="D75" s="30" t="str">
        <f>'дод 7'!C52</f>
        <v>Забезпечення діяльності інших закладів у сфері освіти</v>
      </c>
      <c r="E75" s="28">
        <f t="shared" si="28"/>
        <v>14119800</v>
      </c>
      <c r="F75" s="28">
        <v>14119800</v>
      </c>
      <c r="G75" s="28">
        <v>9824000</v>
      </c>
      <c r="H75" s="28">
        <v>1318500</v>
      </c>
      <c r="I75" s="28"/>
      <c r="J75" s="28">
        <f t="shared" si="30"/>
        <v>0</v>
      </c>
      <c r="K75" s="28"/>
      <c r="L75" s="28"/>
      <c r="M75" s="28"/>
      <c r="N75" s="28"/>
      <c r="O75" s="28"/>
      <c r="P75" s="28">
        <f t="shared" si="29"/>
        <v>14119800</v>
      </c>
      <c r="Q75" s="156"/>
    </row>
    <row r="76" spans="1:18" s="29" customFormat="1" ht="15.4" x14ac:dyDescent="0.45">
      <c r="A76" s="25" t="s">
        <v>302</v>
      </c>
      <c r="B76" s="26" t="str">
        <f>'дод 7'!A53</f>
        <v>1142</v>
      </c>
      <c r="C76" s="26" t="str">
        <f>'дод 7'!B53</f>
        <v>0990</v>
      </c>
      <c r="D76" s="30" t="str">
        <f>'дод 7'!C53</f>
        <v>Інші програми та заходи у сфері освіти</v>
      </c>
      <c r="E76" s="28">
        <f t="shared" si="28"/>
        <v>134000</v>
      </c>
      <c r="F76" s="28">
        <v>134000</v>
      </c>
      <c r="G76" s="28"/>
      <c r="H76" s="28"/>
      <c r="I76" s="28"/>
      <c r="J76" s="28">
        <f t="shared" ref="J76" si="62">L76+O76</f>
        <v>0</v>
      </c>
      <c r="K76" s="28"/>
      <c r="L76" s="28"/>
      <c r="M76" s="28"/>
      <c r="N76" s="28"/>
      <c r="O76" s="28"/>
      <c r="P76" s="28">
        <f t="shared" ref="P76" si="63">E76+J76</f>
        <v>134000</v>
      </c>
      <c r="Q76" s="156"/>
    </row>
    <row r="77" spans="1:18" s="29" customFormat="1" ht="35.25" customHeight="1" x14ac:dyDescent="0.45">
      <c r="A77" s="25" t="s">
        <v>304</v>
      </c>
      <c r="B77" s="26" t="str">
        <f>'дод 7'!A54</f>
        <v>1151</v>
      </c>
      <c r="C77" s="26" t="str">
        <f>'дод 7'!B54</f>
        <v>0990</v>
      </c>
      <c r="D77" s="30" t="str">
        <f>'дод 7'!C54</f>
        <v>Забезпечення діяльності інклюзивно-ресурсних центрів за рахунок коштів місцевого бюджету</v>
      </c>
      <c r="E77" s="28">
        <f t="shared" si="28"/>
        <v>173400</v>
      </c>
      <c r="F77" s="28">
        <v>173400</v>
      </c>
      <c r="G77" s="28"/>
      <c r="H77" s="28">
        <v>129400</v>
      </c>
      <c r="I77" s="28"/>
      <c r="J77" s="28">
        <f t="shared" si="30"/>
        <v>0</v>
      </c>
      <c r="K77" s="28"/>
      <c r="L77" s="28"/>
      <c r="M77" s="28"/>
      <c r="N77" s="28"/>
      <c r="O77" s="28"/>
      <c r="P77" s="28">
        <f t="shared" si="29"/>
        <v>173400</v>
      </c>
      <c r="Q77" s="156">
        <v>4</v>
      </c>
    </row>
    <row r="78" spans="1:18" s="29" customFormat="1" ht="30.75" x14ac:dyDescent="0.45">
      <c r="A78" s="25" t="s">
        <v>405</v>
      </c>
      <c r="B78" s="26" t="str">
        <f>'дод 7'!A55</f>
        <v>1152</v>
      </c>
      <c r="C78" s="26" t="str">
        <f>'дод 7'!B55</f>
        <v>0990</v>
      </c>
      <c r="D78" s="30" t="str">
        <f>'дод 7'!C55</f>
        <v>Забезпечення діяльності інклюзивно-ресурсних центрів за рахунок освітньої субвенції, у т. ч. за рахунок:</v>
      </c>
      <c r="E78" s="28">
        <f t="shared" ref="E78:E79" si="64">F78+I78</f>
        <v>1434970</v>
      </c>
      <c r="F78" s="28">
        <v>1434970</v>
      </c>
      <c r="G78" s="28">
        <v>1176210</v>
      </c>
      <c r="H78" s="28"/>
      <c r="I78" s="28"/>
      <c r="J78" s="28">
        <f t="shared" ref="J78:J79" si="65">L78+O78</f>
        <v>0</v>
      </c>
      <c r="K78" s="28"/>
      <c r="L78" s="28"/>
      <c r="M78" s="28"/>
      <c r="N78" s="28"/>
      <c r="O78" s="28"/>
      <c r="P78" s="28">
        <f t="shared" ref="P78:P79" si="66">E78+J78</f>
        <v>1434970</v>
      </c>
      <c r="Q78" s="156"/>
    </row>
    <row r="79" spans="1:18" s="38" customFormat="1" ht="46.15" x14ac:dyDescent="0.45">
      <c r="A79" s="34"/>
      <c r="B79" s="35"/>
      <c r="C79" s="35"/>
      <c r="D79" s="36" t="str">
        <f>'дод 7'!C56</f>
        <v>субвенції з місцевого бюджету на здійснення переданих видатків у сфері освіти за рахунок коштів освітньої субвенції</v>
      </c>
      <c r="E79" s="37">
        <f t="shared" si="64"/>
        <v>1434970</v>
      </c>
      <c r="F79" s="37">
        <v>1434970</v>
      </c>
      <c r="G79" s="37">
        <v>1176210</v>
      </c>
      <c r="H79" s="37"/>
      <c r="I79" s="37"/>
      <c r="J79" s="37">
        <f t="shared" si="65"/>
        <v>0</v>
      </c>
      <c r="K79" s="37"/>
      <c r="L79" s="37"/>
      <c r="M79" s="37"/>
      <c r="N79" s="37"/>
      <c r="O79" s="37"/>
      <c r="P79" s="37">
        <f t="shared" si="66"/>
        <v>1434970</v>
      </c>
      <c r="Q79" s="156"/>
    </row>
    <row r="80" spans="1:18" s="29" customFormat="1" ht="36" customHeight="1" x14ac:dyDescent="0.45">
      <c r="A80" s="25" t="s">
        <v>307</v>
      </c>
      <c r="B80" s="26" t="str">
        <f>'дод 7'!A57</f>
        <v>1160</v>
      </c>
      <c r="C80" s="26" t="str">
        <f>'дод 7'!B57</f>
        <v>0990</v>
      </c>
      <c r="D80" s="30" t="str">
        <f>'дод 7'!C57</f>
        <v>Забезпечення діяльності центрів професійного розвитку педагогічних працівників</v>
      </c>
      <c r="E80" s="28">
        <f t="shared" si="28"/>
        <v>3763400</v>
      </c>
      <c r="F80" s="28">
        <v>3763400</v>
      </c>
      <c r="G80" s="28">
        <v>2713000</v>
      </c>
      <c r="H80" s="28">
        <v>315500</v>
      </c>
      <c r="I80" s="28"/>
      <c r="J80" s="28">
        <f t="shared" si="30"/>
        <v>0</v>
      </c>
      <c r="K80" s="28"/>
      <c r="L80" s="28"/>
      <c r="M80" s="28"/>
      <c r="N80" s="28"/>
      <c r="O80" s="28"/>
      <c r="P80" s="28">
        <f t="shared" si="29"/>
        <v>3763400</v>
      </c>
      <c r="Q80" s="156"/>
    </row>
    <row r="81" spans="1:18" s="29" customFormat="1" ht="86.45" customHeight="1" x14ac:dyDescent="0.45">
      <c r="A81" s="25" t="s">
        <v>427</v>
      </c>
      <c r="B81" s="26" t="str">
        <f>'дод 7'!A58</f>
        <v>1183</v>
      </c>
      <c r="C81" s="26" t="str">
        <f>'дод 7'!B58</f>
        <v>0990</v>
      </c>
      <c r="D81" s="30" t="str">
        <f>'дод 7'!C58</f>
        <v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v>
      </c>
      <c r="E81" s="28">
        <f t="shared" si="28"/>
        <v>1125107</v>
      </c>
      <c r="F81" s="28">
        <v>1125107</v>
      </c>
      <c r="G81" s="28"/>
      <c r="H81" s="28"/>
      <c r="I81" s="28"/>
      <c r="J81" s="28">
        <f t="shared" si="30"/>
        <v>3290393</v>
      </c>
      <c r="K81" s="28">
        <f>4415500-1125107</f>
        <v>3290393</v>
      </c>
      <c r="L81" s="28"/>
      <c r="M81" s="28"/>
      <c r="N81" s="28"/>
      <c r="O81" s="28">
        <f>4415500-1125107</f>
        <v>3290393</v>
      </c>
      <c r="P81" s="28">
        <f t="shared" si="29"/>
        <v>4415500</v>
      </c>
      <c r="Q81" s="156"/>
    </row>
    <row r="82" spans="1:18" s="29" customFormat="1" ht="82.5" customHeight="1" x14ac:dyDescent="0.45">
      <c r="A82" s="25" t="s">
        <v>433</v>
      </c>
      <c r="B82" s="26" t="str">
        <f>'дод 7'!A59</f>
        <v>1184</v>
      </c>
      <c r="C82" s="26" t="str">
        <f>'дод 7'!B59</f>
        <v>0990</v>
      </c>
      <c r="D82" s="30" t="str">
        <f>'дод 7'!C59</f>
        <v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бюджетам, у т.ч. за рахунок:</v>
      </c>
      <c r="E82" s="28">
        <f t="shared" si="28"/>
        <v>2625231</v>
      </c>
      <c r="F82" s="28">
        <v>2625231</v>
      </c>
      <c r="G82" s="28"/>
      <c r="H82" s="28"/>
      <c r="I82" s="28"/>
      <c r="J82" s="28">
        <f t="shared" si="30"/>
        <v>7677569</v>
      </c>
      <c r="K82" s="28">
        <f>10302800-2625231</f>
        <v>7677569</v>
      </c>
      <c r="L82" s="28"/>
      <c r="M82" s="28"/>
      <c r="N82" s="28"/>
      <c r="O82" s="28">
        <f>10302800-2625231</f>
        <v>7677569</v>
      </c>
      <c r="P82" s="28">
        <f t="shared" si="29"/>
        <v>10302800</v>
      </c>
      <c r="Q82" s="156"/>
    </row>
    <row r="83" spans="1:18" s="38" customFormat="1" ht="81.400000000000006" customHeight="1" x14ac:dyDescent="0.45">
      <c r="A83" s="34"/>
      <c r="B83" s="35"/>
      <c r="C83" s="35"/>
      <c r="D83" s="36" t="str">
        <f>'дод 7'!C60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E83" s="28">
        <f t="shared" si="28"/>
        <v>2625231</v>
      </c>
      <c r="F83" s="37">
        <v>2625231</v>
      </c>
      <c r="G83" s="37"/>
      <c r="H83" s="37"/>
      <c r="I83" s="37"/>
      <c r="J83" s="37">
        <f t="shared" si="30"/>
        <v>7677569</v>
      </c>
      <c r="K83" s="37">
        <f>10302800-2625231</f>
        <v>7677569</v>
      </c>
      <c r="L83" s="37"/>
      <c r="M83" s="37"/>
      <c r="N83" s="37"/>
      <c r="O83" s="37">
        <f>10302800-2625231</f>
        <v>7677569</v>
      </c>
      <c r="P83" s="37">
        <f t="shared" si="29"/>
        <v>10302800</v>
      </c>
      <c r="Q83" s="156"/>
    </row>
    <row r="84" spans="1:18" s="29" customFormat="1" ht="78.400000000000006" customHeight="1" x14ac:dyDescent="0.45">
      <c r="A84" s="25" t="s">
        <v>434</v>
      </c>
      <c r="B84" s="26" t="str">
        <f>'дод 7'!A61</f>
        <v>1200</v>
      </c>
      <c r="C84" s="26" t="str">
        <f>'дод 7'!B61</f>
        <v>0990</v>
      </c>
      <c r="D84" s="30" t="str">
        <f>'дод 7'!C61</f>
        <v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потребами, у т.ч. за рахунок:</v>
      </c>
      <c r="E84" s="28">
        <f t="shared" si="28"/>
        <v>891200</v>
      </c>
      <c r="F84" s="28">
        <v>891200</v>
      </c>
      <c r="G84" s="28">
        <v>730490</v>
      </c>
      <c r="H84" s="28"/>
      <c r="I84" s="28"/>
      <c r="J84" s="37">
        <f t="shared" si="30"/>
        <v>0</v>
      </c>
      <c r="K84" s="28"/>
      <c r="L84" s="28"/>
      <c r="M84" s="28"/>
      <c r="N84" s="28"/>
      <c r="O84" s="28"/>
      <c r="P84" s="28">
        <f t="shared" si="29"/>
        <v>891200</v>
      </c>
      <c r="Q84" s="156"/>
    </row>
    <row r="85" spans="1:18" s="38" customFormat="1" ht="60.75" customHeight="1" x14ac:dyDescent="0.45">
      <c r="A85" s="34"/>
      <c r="B85" s="35">
        <f>'дод 7'!A62</f>
        <v>0</v>
      </c>
      <c r="C85" s="35">
        <f>'дод 7'!B62</f>
        <v>0</v>
      </c>
      <c r="D85" s="36" t="str">
        <f>'дод 7'!C62</f>
        <v>субвенції з державного бюджету місцевим бюджетам на надання державної пітримки особам з особливими освітніми потребами</v>
      </c>
      <c r="E85" s="37">
        <f t="shared" si="28"/>
        <v>891200</v>
      </c>
      <c r="F85" s="37">
        <v>891200</v>
      </c>
      <c r="G85" s="37">
        <v>730490</v>
      </c>
      <c r="H85" s="37"/>
      <c r="I85" s="37"/>
      <c r="J85" s="37">
        <f t="shared" si="30"/>
        <v>0</v>
      </c>
      <c r="K85" s="37"/>
      <c r="L85" s="37"/>
      <c r="M85" s="37"/>
      <c r="N85" s="37"/>
      <c r="O85" s="37"/>
      <c r="P85" s="37">
        <f t="shared" si="29"/>
        <v>891200</v>
      </c>
      <c r="Q85" s="156"/>
    </row>
    <row r="86" spans="1:18" s="123" customFormat="1" ht="110.25" customHeight="1" x14ac:dyDescent="0.45">
      <c r="A86" s="25" t="s">
        <v>523</v>
      </c>
      <c r="B86" s="26" t="str">
        <f>'дод 7'!A63</f>
        <v>1222</v>
      </c>
      <c r="C86" s="26" t="str">
        <f>'дод 7'!B63</f>
        <v>0990</v>
      </c>
      <c r="D86" s="30" t="str">
        <f>'дод 7'!C63</f>
        <v>Виконання заходів щодо реалізації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 за рахунок субвенції з державного бюджету місцевим бюджетам,  у т.ч. за рахунок:</v>
      </c>
      <c r="E86" s="28">
        <f t="shared" ref="E86:E87" si="67">F86+I86</f>
        <v>2442000</v>
      </c>
      <c r="F86" s="28">
        <v>2442000</v>
      </c>
      <c r="G86" s="28"/>
      <c r="H86" s="28"/>
      <c r="I86" s="28"/>
      <c r="J86" s="37">
        <f t="shared" ref="J86:J87" si="68">L86+O86</f>
        <v>12258000</v>
      </c>
      <c r="K86" s="28">
        <v>12258000</v>
      </c>
      <c r="L86" s="28"/>
      <c r="M86" s="28"/>
      <c r="N86" s="28"/>
      <c r="O86" s="28">
        <v>12258000</v>
      </c>
      <c r="P86" s="28">
        <f t="shared" ref="P86:P87" si="69">E86+J86</f>
        <v>14700000</v>
      </c>
      <c r="Q86" s="156"/>
      <c r="R86" s="29"/>
    </row>
    <row r="87" spans="1:18" s="122" customFormat="1" ht="101.65" customHeight="1" x14ac:dyDescent="0.45">
      <c r="A87" s="34"/>
      <c r="B87" s="35">
        <f>'дод 7'!A64</f>
        <v>0</v>
      </c>
      <c r="C87" s="35">
        <f>'дод 7'!B64</f>
        <v>0</v>
      </c>
      <c r="D87" s="36" t="str">
        <f>'дод 7'!C64</f>
        <v>субвенції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v>
      </c>
      <c r="E87" s="37">
        <f t="shared" si="67"/>
        <v>2442000</v>
      </c>
      <c r="F87" s="37">
        <v>2442000</v>
      </c>
      <c r="G87" s="37"/>
      <c r="H87" s="37"/>
      <c r="I87" s="37"/>
      <c r="J87" s="37">
        <f t="shared" si="68"/>
        <v>12258000</v>
      </c>
      <c r="K87" s="37">
        <v>12258000</v>
      </c>
      <c r="L87" s="37"/>
      <c r="M87" s="37"/>
      <c r="N87" s="37"/>
      <c r="O87" s="37">
        <v>12258000</v>
      </c>
      <c r="P87" s="37">
        <f t="shared" si="69"/>
        <v>14700000</v>
      </c>
      <c r="Q87" s="156"/>
      <c r="R87" s="38"/>
    </row>
    <row r="88" spans="1:18" s="116" customFormat="1" ht="100.15" customHeight="1" x14ac:dyDescent="0.45">
      <c r="A88" s="25" t="s">
        <v>518</v>
      </c>
      <c r="B88" s="26" t="str">
        <f>'дод 7'!A68</f>
        <v>1273</v>
      </c>
      <c r="C88" s="26" t="str">
        <f>'дод 7'!B68</f>
        <v>0990</v>
      </c>
      <c r="D88" s="30" t="str">
        <f>'дод 7'!C68</f>
        <v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бюджету),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v>
      </c>
      <c r="E88" s="37">
        <f t="shared" ref="E88" si="70">F88+I88</f>
        <v>0</v>
      </c>
      <c r="F88" s="28"/>
      <c r="G88" s="28"/>
      <c r="H88" s="28"/>
      <c r="I88" s="28"/>
      <c r="J88" s="28">
        <f t="shared" ref="J88" si="71">L88+O88</f>
        <v>9926266</v>
      </c>
      <c r="K88" s="28">
        <f>6615904+940671+2369691</f>
        <v>9926266</v>
      </c>
      <c r="L88" s="28"/>
      <c r="M88" s="28"/>
      <c r="N88" s="28"/>
      <c r="O88" s="28">
        <f>6615904+940671+2369691</f>
        <v>9926266</v>
      </c>
      <c r="P88" s="28">
        <f t="shared" ref="P88" si="72">E88+J88</f>
        <v>9926266</v>
      </c>
      <c r="Q88" s="156"/>
      <c r="R88" s="29"/>
    </row>
    <row r="89" spans="1:18" s="29" customFormat="1" ht="96.75" customHeight="1" x14ac:dyDescent="0.45">
      <c r="A89" s="25" t="s">
        <v>519</v>
      </c>
      <c r="B89" s="26" t="str">
        <f>'дод 7'!A69</f>
        <v>1274</v>
      </c>
      <c r="C89" s="26" t="str">
        <f>'дод 7'!B69</f>
        <v>0990</v>
      </c>
      <c r="D89" s="30" t="str">
        <f>'дод 7'!C69</f>
        <v>Реалізація заходів за рахунок освітньої субвенції з державного бюджету місцевим бюджетам (за спеціальним фондом державного бюджету)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освіти, у т.ч. за рахунок:</v>
      </c>
      <c r="E89" s="28">
        <f t="shared" ref="E89:E90" si="73">F89+I89</f>
        <v>0</v>
      </c>
      <c r="F89" s="28"/>
      <c r="G89" s="28"/>
      <c r="H89" s="28"/>
      <c r="I89" s="28"/>
      <c r="J89" s="28">
        <f t="shared" ref="J89:J90" si="74">L89+O89</f>
        <v>15081700</v>
      </c>
      <c r="K89" s="28"/>
      <c r="L89" s="28"/>
      <c r="M89" s="28"/>
      <c r="N89" s="28"/>
      <c r="O89" s="28">
        <v>15081700</v>
      </c>
      <c r="P89" s="28">
        <f t="shared" ref="P89:P90" si="75">E89+J89</f>
        <v>15081700</v>
      </c>
      <c r="Q89" s="156"/>
    </row>
    <row r="90" spans="1:18" s="38" customFormat="1" ht="30.75" x14ac:dyDescent="0.45">
      <c r="A90" s="34"/>
      <c r="B90" s="35">
        <f>'дод 7'!A70</f>
        <v>0</v>
      </c>
      <c r="C90" s="35">
        <f>'дод 7'!B70</f>
        <v>0</v>
      </c>
      <c r="D90" s="36" t="str">
        <f>'дод 7'!C70</f>
        <v>освітньої субвенції з державного бюджету місцевим бюджетам</v>
      </c>
      <c r="E90" s="37">
        <f t="shared" si="73"/>
        <v>0</v>
      </c>
      <c r="F90" s="37"/>
      <c r="G90" s="37"/>
      <c r="H90" s="37"/>
      <c r="I90" s="37"/>
      <c r="J90" s="37">
        <f t="shared" si="74"/>
        <v>15081700</v>
      </c>
      <c r="K90" s="37"/>
      <c r="L90" s="37"/>
      <c r="M90" s="37"/>
      <c r="N90" s="37"/>
      <c r="O90" s="37">
        <v>15081700</v>
      </c>
      <c r="P90" s="37">
        <f t="shared" si="75"/>
        <v>15081700</v>
      </c>
      <c r="Q90" s="156"/>
    </row>
    <row r="91" spans="1:18" s="29" customFormat="1" ht="33.75" customHeight="1" x14ac:dyDescent="0.45">
      <c r="A91" s="25" t="s">
        <v>465</v>
      </c>
      <c r="B91" s="26" t="str">
        <f>'дод 7'!A71</f>
        <v>1300</v>
      </c>
      <c r="C91" s="26" t="str">
        <f>'дод 7'!B71</f>
        <v>0990</v>
      </c>
      <c r="D91" s="30" t="s">
        <v>472</v>
      </c>
      <c r="E91" s="37">
        <f t="shared" si="28"/>
        <v>0</v>
      </c>
      <c r="F91" s="28"/>
      <c r="G91" s="28"/>
      <c r="H91" s="28"/>
      <c r="I91" s="28"/>
      <c r="J91" s="28">
        <f t="shared" si="30"/>
        <v>29713973.670000002</v>
      </c>
      <c r="K91" s="28">
        <f>29463973.67+250000</f>
        <v>29713973.670000002</v>
      </c>
      <c r="L91" s="28"/>
      <c r="M91" s="28"/>
      <c r="N91" s="28"/>
      <c r="O91" s="28">
        <f>29463973.67+250000</f>
        <v>29713973.670000002</v>
      </c>
      <c r="P91" s="28">
        <f t="shared" si="29"/>
        <v>29713973.670000002</v>
      </c>
      <c r="Q91" s="156"/>
    </row>
    <row r="92" spans="1:18" s="38" customFormat="1" ht="107.65" x14ac:dyDescent="0.45">
      <c r="A92" s="34"/>
      <c r="B92" s="35"/>
      <c r="C92" s="35"/>
      <c r="D92" s="36" t="s">
        <v>452</v>
      </c>
      <c r="E92" s="37">
        <f t="shared" si="28"/>
        <v>0</v>
      </c>
      <c r="F92" s="37"/>
      <c r="G92" s="37"/>
      <c r="H92" s="37"/>
      <c r="I92" s="37"/>
      <c r="J92" s="37">
        <f t="shared" si="30"/>
        <v>29463973.670000002</v>
      </c>
      <c r="K92" s="37">
        <v>29463973.670000002</v>
      </c>
      <c r="L92" s="37"/>
      <c r="M92" s="37"/>
      <c r="N92" s="37"/>
      <c r="O92" s="37">
        <v>29463973.670000002</v>
      </c>
      <c r="P92" s="37">
        <f t="shared" si="29"/>
        <v>29463973.670000002</v>
      </c>
      <c r="Q92" s="156">
        <v>5</v>
      </c>
    </row>
    <row r="93" spans="1:18" s="29" customFormat="1" ht="60.75" customHeight="1" x14ac:dyDescent="0.45">
      <c r="A93" s="25" t="s">
        <v>444</v>
      </c>
      <c r="B93" s="26" t="str">
        <f>'дод 7'!A75</f>
        <v>1403</v>
      </c>
      <c r="C93" s="26" t="str">
        <f>'дод 7'!B75</f>
        <v>0990</v>
      </c>
      <c r="D93" s="30" t="str">
        <f>'дод 7'!C75</f>
        <v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v>
      </c>
      <c r="E93" s="28">
        <f t="shared" ref="E93:E94" si="76">F93+I93</f>
        <v>0</v>
      </c>
      <c r="F93" s="28"/>
      <c r="G93" s="28"/>
      <c r="H93" s="28"/>
      <c r="I93" s="28"/>
      <c r="J93" s="37">
        <f t="shared" ref="J93:J94" si="77">L93+O93</f>
        <v>22533600</v>
      </c>
      <c r="K93" s="28"/>
      <c r="L93" s="28">
        <v>22533600</v>
      </c>
      <c r="M93" s="28"/>
      <c r="N93" s="28"/>
      <c r="O93" s="28"/>
      <c r="P93" s="28">
        <f t="shared" ref="P93:P94" si="78">E93+J93</f>
        <v>22533600</v>
      </c>
      <c r="Q93" s="156"/>
    </row>
    <row r="94" spans="1:18" s="38" customFormat="1" ht="57.75" customHeight="1" x14ac:dyDescent="0.45">
      <c r="A94" s="34"/>
      <c r="B94" s="35">
        <f>'дод 7'!A76</f>
        <v>0</v>
      </c>
      <c r="C94" s="35">
        <f>'дод 7'!B76</f>
        <v>0</v>
      </c>
      <c r="D94" s="36" t="str">
        <f>'дод 7'!C76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94" s="37">
        <f t="shared" si="76"/>
        <v>0</v>
      </c>
      <c r="F94" s="37"/>
      <c r="G94" s="37"/>
      <c r="H94" s="37"/>
      <c r="I94" s="37"/>
      <c r="J94" s="37">
        <f t="shared" si="77"/>
        <v>22533600</v>
      </c>
      <c r="K94" s="37"/>
      <c r="L94" s="37">
        <v>22533600</v>
      </c>
      <c r="M94" s="37"/>
      <c r="N94" s="37"/>
      <c r="O94" s="37"/>
      <c r="P94" s="37">
        <f t="shared" si="78"/>
        <v>22533600</v>
      </c>
      <c r="Q94" s="156"/>
    </row>
    <row r="95" spans="1:18" s="29" customFormat="1" ht="66.400000000000006" customHeight="1" x14ac:dyDescent="0.45">
      <c r="A95" s="25" t="s">
        <v>441</v>
      </c>
      <c r="B95" s="26" t="str">
        <f>'дод 7'!A77</f>
        <v>1600</v>
      </c>
      <c r="C95" s="26" t="str">
        <f>'дод 7'!B77</f>
        <v>0990</v>
      </c>
      <c r="D95" s="30" t="str">
        <f>'дод 7'!C77</f>
        <v>Здійснення доплат педагогічним працівникам закладів загальної середньої освіти за рахунок субвенції з державного бюджету місцевим бюджетам, у т.ч. за рахунок:</v>
      </c>
      <c r="E95" s="28">
        <f t="shared" si="28"/>
        <v>24742100</v>
      </c>
      <c r="F95" s="28">
        <v>24742100</v>
      </c>
      <c r="G95" s="28">
        <v>20280410</v>
      </c>
      <c r="H95" s="28"/>
      <c r="I95" s="28"/>
      <c r="J95" s="28">
        <f t="shared" si="30"/>
        <v>0</v>
      </c>
      <c r="K95" s="28"/>
      <c r="L95" s="28"/>
      <c r="M95" s="28"/>
      <c r="N95" s="28"/>
      <c r="O95" s="28"/>
      <c r="P95" s="28">
        <f t="shared" si="29"/>
        <v>24742100</v>
      </c>
      <c r="Q95" s="156"/>
    </row>
    <row r="96" spans="1:18" s="38" customFormat="1" ht="53.25" customHeight="1" x14ac:dyDescent="0.45">
      <c r="A96" s="34"/>
      <c r="B96" s="35">
        <f>'дод 7'!A78</f>
        <v>0</v>
      </c>
      <c r="C96" s="35">
        <f>'дод 7'!B78</f>
        <v>0</v>
      </c>
      <c r="D96" s="36" t="str">
        <f>'дод 7'!C78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E96" s="37">
        <f t="shared" si="28"/>
        <v>24742100</v>
      </c>
      <c r="F96" s="37">
        <v>24742100</v>
      </c>
      <c r="G96" s="37">
        <v>20280410</v>
      </c>
      <c r="H96" s="37"/>
      <c r="I96" s="37"/>
      <c r="J96" s="37">
        <f t="shared" si="30"/>
        <v>0</v>
      </c>
      <c r="K96" s="37"/>
      <c r="L96" s="37"/>
      <c r="M96" s="37"/>
      <c r="N96" s="37"/>
      <c r="O96" s="37"/>
      <c r="P96" s="37">
        <f t="shared" si="29"/>
        <v>24742100</v>
      </c>
      <c r="Q96" s="156"/>
    </row>
    <row r="97" spans="1:18" s="38" customFormat="1" ht="65.25" customHeight="1" x14ac:dyDescent="0.45">
      <c r="A97" s="25" t="s">
        <v>451</v>
      </c>
      <c r="B97" s="26" t="str">
        <f>'дод 7'!A79</f>
        <v>1700</v>
      </c>
      <c r="C97" s="26" t="str">
        <f>'дод 7'!B79</f>
        <v>0990</v>
      </c>
      <c r="D97" s="30" t="str">
        <f>'дод 7'!C79</f>
        <v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освіти, у т.ч. за рахунок:</v>
      </c>
      <c r="E97" s="28">
        <f t="shared" ref="E97" si="79">F97+I97</f>
        <v>0</v>
      </c>
      <c r="F97" s="28"/>
      <c r="G97" s="28"/>
      <c r="H97" s="28"/>
      <c r="I97" s="28"/>
      <c r="J97" s="28">
        <f t="shared" ref="J97" si="80">L97+O97</f>
        <v>5785800</v>
      </c>
      <c r="K97" s="28"/>
      <c r="L97" s="28">
        <f>2892900+2892900</f>
        <v>5785800</v>
      </c>
      <c r="M97" s="28"/>
      <c r="N97" s="28"/>
      <c r="O97" s="28"/>
      <c r="P97" s="28">
        <f t="shared" ref="P97:P98" si="81">E97+J97</f>
        <v>5785800</v>
      </c>
      <c r="Q97" s="156"/>
    </row>
    <row r="98" spans="1:18" s="38" customFormat="1" ht="82.9" customHeight="1" x14ac:dyDescent="0.45">
      <c r="A98" s="34"/>
      <c r="B98" s="35">
        <f>'дод 7'!A80</f>
        <v>0</v>
      </c>
      <c r="C98" s="35">
        <f>'дод 7'!B80</f>
        <v>0</v>
      </c>
      <c r="D98" s="36" t="str">
        <f>'дод 7'!C80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98" s="37">
        <f>F98+I98</f>
        <v>0</v>
      </c>
      <c r="F98" s="37"/>
      <c r="G98" s="37"/>
      <c r="H98" s="37"/>
      <c r="I98" s="37"/>
      <c r="J98" s="37">
        <f>L98+O98</f>
        <v>2892900</v>
      </c>
      <c r="K98" s="37"/>
      <c r="L98" s="37">
        <v>2892900</v>
      </c>
      <c r="M98" s="37"/>
      <c r="N98" s="37"/>
      <c r="O98" s="37"/>
      <c r="P98" s="37">
        <f t="shared" si="81"/>
        <v>2892900</v>
      </c>
      <c r="Q98" s="156"/>
    </row>
    <row r="99" spans="1:18" s="38" customFormat="1" ht="61.5" customHeight="1" x14ac:dyDescent="0.45">
      <c r="A99" s="34"/>
      <c r="B99" s="35"/>
      <c r="C99" s="35"/>
      <c r="D99" s="36" t="s">
        <v>487</v>
      </c>
      <c r="E99" s="37">
        <f>F99+I99</f>
        <v>0</v>
      </c>
      <c r="F99" s="37"/>
      <c r="G99" s="37"/>
      <c r="H99" s="37"/>
      <c r="I99" s="37"/>
      <c r="J99" s="37">
        <f>L99+O99</f>
        <v>2892900</v>
      </c>
      <c r="K99" s="37"/>
      <c r="L99" s="37">
        <v>2892900</v>
      </c>
      <c r="M99" s="37"/>
      <c r="N99" s="37"/>
      <c r="O99" s="37"/>
      <c r="P99" s="37">
        <f t="shared" ref="P99" si="82">E99+J99</f>
        <v>2892900</v>
      </c>
      <c r="Q99" s="156"/>
    </row>
    <row r="100" spans="1:18" s="38" customFormat="1" ht="39.75" customHeight="1" x14ac:dyDescent="0.45">
      <c r="A100" s="25" t="s">
        <v>310</v>
      </c>
      <c r="B100" s="26" t="str">
        <f>'дод 7'!A123</f>
        <v>3242</v>
      </c>
      <c r="C100" s="26">
        <v>1090</v>
      </c>
      <c r="D100" s="27" t="s">
        <v>286</v>
      </c>
      <c r="E100" s="28">
        <f t="shared" si="28"/>
        <v>61600</v>
      </c>
      <c r="F100" s="28">
        <v>61600</v>
      </c>
      <c r="G100" s="28"/>
      <c r="H100" s="28"/>
      <c r="I100" s="28"/>
      <c r="J100" s="28">
        <f t="shared" si="30"/>
        <v>0</v>
      </c>
      <c r="K100" s="37"/>
      <c r="L100" s="37"/>
      <c r="M100" s="37"/>
      <c r="N100" s="37"/>
      <c r="O100" s="37"/>
      <c r="P100" s="28">
        <f t="shared" si="29"/>
        <v>61600</v>
      </c>
      <c r="Q100" s="156"/>
    </row>
    <row r="101" spans="1:18" s="117" customFormat="1" ht="49.5" customHeight="1" x14ac:dyDescent="0.45">
      <c r="A101" s="25" t="s">
        <v>311</v>
      </c>
      <c r="B101" s="26" t="str">
        <f>'дод 7'!A136</f>
        <v>5031</v>
      </c>
      <c r="C101" s="26" t="str">
        <f>'дод 7'!B136</f>
        <v>0810</v>
      </c>
      <c r="D101" s="30" t="str">
        <f>'дод 7'!C136</f>
        <v>Розвиток здібностей у дітей та молоді з фізичної
культури та спорту комунальними дитячо-юнацькими спортивними школами</v>
      </c>
      <c r="E101" s="28">
        <f t="shared" si="28"/>
        <v>13302100</v>
      </c>
      <c r="F101" s="28">
        <f>12802100+500000</f>
        <v>13302100</v>
      </c>
      <c r="G101" s="28">
        <v>9623600</v>
      </c>
      <c r="H101" s="28">
        <v>508400</v>
      </c>
      <c r="I101" s="28"/>
      <c r="J101" s="28">
        <f t="shared" si="30"/>
        <v>0</v>
      </c>
      <c r="K101" s="28"/>
      <c r="L101" s="37"/>
      <c r="M101" s="37"/>
      <c r="N101" s="37"/>
      <c r="O101" s="28"/>
      <c r="P101" s="28">
        <f t="shared" si="29"/>
        <v>13302100</v>
      </c>
      <c r="Q101" s="156"/>
      <c r="R101" s="38"/>
    </row>
    <row r="102" spans="1:18" s="117" customFormat="1" ht="21" customHeight="1" x14ac:dyDescent="0.45">
      <c r="A102" s="25" t="s">
        <v>312</v>
      </c>
      <c r="B102" s="26" t="str">
        <f>'дод 7'!A185</f>
        <v>7640</v>
      </c>
      <c r="C102" s="26" t="str">
        <f>'дод 7'!B185</f>
        <v>0470</v>
      </c>
      <c r="D102" s="40" t="s">
        <v>291</v>
      </c>
      <c r="E102" s="28">
        <f t="shared" si="28"/>
        <v>585000</v>
      </c>
      <c r="F102" s="28">
        <v>585000</v>
      </c>
      <c r="G102" s="28"/>
      <c r="H102" s="28"/>
      <c r="I102" s="28"/>
      <c r="J102" s="28">
        <f>L102+O102</f>
        <v>5535913</v>
      </c>
      <c r="K102" s="28">
        <f>1230864+573027+3732022</f>
        <v>5535913</v>
      </c>
      <c r="L102" s="28"/>
      <c r="M102" s="28"/>
      <c r="N102" s="28"/>
      <c r="O102" s="28">
        <f>1230864+573027+3732022</f>
        <v>5535913</v>
      </c>
      <c r="P102" s="28">
        <f t="shared" si="29"/>
        <v>6120913</v>
      </c>
      <c r="Q102" s="156"/>
      <c r="R102" s="38"/>
    </row>
    <row r="103" spans="1:18" s="38" customFormat="1" ht="21" customHeight="1" x14ac:dyDescent="0.45">
      <c r="A103" s="25" t="s">
        <v>355</v>
      </c>
      <c r="B103" s="26">
        <f>'дод 7'!A203</f>
        <v>8240</v>
      </c>
      <c r="C103" s="26" t="str">
        <f>'дод 7'!B203</f>
        <v>0380</v>
      </c>
      <c r="D103" s="30" t="str">
        <f>'дод 7'!C203</f>
        <v>Заходи та роботи з територіальної оборони</v>
      </c>
      <c r="E103" s="28">
        <f t="shared" si="28"/>
        <v>7482000</v>
      </c>
      <c r="F103" s="102">
        <f>3741000+3741000</f>
        <v>7482000</v>
      </c>
      <c r="G103" s="28"/>
      <c r="H103" s="28">
        <f>465000+465000</f>
        <v>930000</v>
      </c>
      <c r="I103" s="28"/>
      <c r="J103" s="28">
        <f t="shared" si="30"/>
        <v>0</v>
      </c>
      <c r="K103" s="28"/>
      <c r="L103" s="28"/>
      <c r="M103" s="28"/>
      <c r="N103" s="28"/>
      <c r="O103" s="28"/>
      <c r="P103" s="28">
        <f t="shared" si="29"/>
        <v>7482000</v>
      </c>
      <c r="Q103" s="156"/>
    </row>
    <row r="104" spans="1:18" s="38" customFormat="1" ht="36" customHeight="1" x14ac:dyDescent="0.45">
      <c r="A104" s="25" t="s">
        <v>313</v>
      </c>
      <c r="B104" s="26" t="str">
        <f>'дод 7'!A206</f>
        <v>8340</v>
      </c>
      <c r="C104" s="26" t="str">
        <f>'дод 7'!B206</f>
        <v>0540</v>
      </c>
      <c r="D104" s="30" t="str">
        <f>'дод 7'!C206</f>
        <v>Природоохоронні заходи за рахунок цільових фондів</v>
      </c>
      <c r="E104" s="28">
        <f t="shared" si="28"/>
        <v>0</v>
      </c>
      <c r="F104" s="28"/>
      <c r="G104" s="28"/>
      <c r="H104" s="28"/>
      <c r="I104" s="28"/>
      <c r="J104" s="28">
        <f t="shared" si="30"/>
        <v>415000</v>
      </c>
      <c r="K104" s="28"/>
      <c r="L104" s="28">
        <v>415000</v>
      </c>
      <c r="M104" s="28"/>
      <c r="N104" s="28"/>
      <c r="O104" s="28"/>
      <c r="P104" s="28">
        <f t="shared" si="29"/>
        <v>415000</v>
      </c>
      <c r="Q104" s="156"/>
    </row>
    <row r="105" spans="1:18" s="19" customFormat="1" ht="33.75" customHeight="1" x14ac:dyDescent="0.4">
      <c r="A105" s="16" t="s">
        <v>138</v>
      </c>
      <c r="B105" s="31"/>
      <c r="C105" s="31"/>
      <c r="D105" s="17" t="s">
        <v>293</v>
      </c>
      <c r="E105" s="18">
        <f>E106</f>
        <v>138079731</v>
      </c>
      <c r="F105" s="18">
        <f t="shared" ref="F105:P105" si="83">F106</f>
        <v>137614731</v>
      </c>
      <c r="G105" s="18">
        <f t="shared" si="83"/>
        <v>5789700</v>
      </c>
      <c r="H105" s="18">
        <f t="shared" si="83"/>
        <v>249200</v>
      </c>
      <c r="I105" s="18">
        <f t="shared" si="83"/>
        <v>465000</v>
      </c>
      <c r="J105" s="18">
        <f t="shared" si="83"/>
        <v>18424310</v>
      </c>
      <c r="K105" s="18">
        <f t="shared" si="83"/>
        <v>18424310</v>
      </c>
      <c r="L105" s="18">
        <f t="shared" si="83"/>
        <v>0</v>
      </c>
      <c r="M105" s="18">
        <f t="shared" si="83"/>
        <v>0</v>
      </c>
      <c r="N105" s="18">
        <f t="shared" si="83"/>
        <v>0</v>
      </c>
      <c r="O105" s="18">
        <f t="shared" si="83"/>
        <v>18424310</v>
      </c>
      <c r="P105" s="18">
        <f t="shared" si="83"/>
        <v>156504041</v>
      </c>
      <c r="Q105" s="156"/>
    </row>
    <row r="106" spans="1:18" s="24" customFormat="1" ht="33" customHeight="1" x14ac:dyDescent="0.4">
      <c r="A106" s="20" t="s">
        <v>139</v>
      </c>
      <c r="B106" s="32"/>
      <c r="C106" s="32"/>
      <c r="D106" s="22" t="s">
        <v>525</v>
      </c>
      <c r="E106" s="23">
        <f>E108+E109+E110+E111+E112+E113+E114+E118+E115+E116+E119</f>
        <v>138079731</v>
      </c>
      <c r="F106" s="23">
        <f t="shared" ref="F106:P106" si="84">F108+F109+F110+F111+F112+F113+F114+F118+F115+F116+F119</f>
        <v>137614731</v>
      </c>
      <c r="G106" s="23">
        <f t="shared" si="84"/>
        <v>5789700</v>
      </c>
      <c r="H106" s="23">
        <f t="shared" si="84"/>
        <v>249200</v>
      </c>
      <c r="I106" s="23">
        <f t="shared" si="84"/>
        <v>465000</v>
      </c>
      <c r="J106" s="23">
        <f t="shared" si="84"/>
        <v>18424310</v>
      </c>
      <c r="K106" s="23">
        <f t="shared" si="84"/>
        <v>18424310</v>
      </c>
      <c r="L106" s="23">
        <f t="shared" si="84"/>
        <v>0</v>
      </c>
      <c r="M106" s="23">
        <f t="shared" si="84"/>
        <v>0</v>
      </c>
      <c r="N106" s="23">
        <f t="shared" si="84"/>
        <v>0</v>
      </c>
      <c r="O106" s="23">
        <f t="shared" si="84"/>
        <v>18424310</v>
      </c>
      <c r="P106" s="23">
        <f t="shared" si="84"/>
        <v>156504041</v>
      </c>
      <c r="Q106" s="156"/>
    </row>
    <row r="107" spans="1:18" s="124" customFormat="1" ht="90" x14ac:dyDescent="0.4">
      <c r="A107" s="20"/>
      <c r="B107" s="32"/>
      <c r="C107" s="32"/>
      <c r="D107" s="22" t="str">
        <f>D117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E107" s="23">
        <f>E117</f>
        <v>468236</v>
      </c>
      <c r="F107" s="23">
        <f t="shared" ref="F107:P107" si="85">F117</f>
        <v>468236</v>
      </c>
      <c r="G107" s="23">
        <f t="shared" si="85"/>
        <v>0</v>
      </c>
      <c r="H107" s="23">
        <f t="shared" si="85"/>
        <v>0</v>
      </c>
      <c r="I107" s="23">
        <f t="shared" si="85"/>
        <v>0</v>
      </c>
      <c r="J107" s="23">
        <f t="shared" si="85"/>
        <v>0</v>
      </c>
      <c r="K107" s="23">
        <f t="shared" si="85"/>
        <v>0</v>
      </c>
      <c r="L107" s="23">
        <f t="shared" si="85"/>
        <v>0</v>
      </c>
      <c r="M107" s="23">
        <f t="shared" si="85"/>
        <v>0</v>
      </c>
      <c r="N107" s="23">
        <f t="shared" si="85"/>
        <v>0</v>
      </c>
      <c r="O107" s="23">
        <f t="shared" si="85"/>
        <v>0</v>
      </c>
      <c r="P107" s="23">
        <f t="shared" si="85"/>
        <v>468236</v>
      </c>
      <c r="Q107" s="156"/>
      <c r="R107" s="24"/>
    </row>
    <row r="108" spans="1:18" s="29" customFormat="1" ht="39" customHeight="1" x14ac:dyDescent="0.45">
      <c r="A108" s="25" t="s">
        <v>140</v>
      </c>
      <c r="B108" s="26" t="str">
        <f>'дод 7'!A17</f>
        <v>0160</v>
      </c>
      <c r="C108" s="26" t="str">
        <f>'дод 7'!B17</f>
        <v>0111</v>
      </c>
      <c r="D108" s="27" t="str">
        <f>'дод 7'!C17</f>
        <v>Керівництво і управління у відповідній сфері у містах (місті Києві), селищах, селах, територіальних громадах</v>
      </c>
      <c r="E108" s="28">
        <f t="shared" ref="E108:E113" si="86">F108+I108</f>
        <v>3451700</v>
      </c>
      <c r="F108" s="28">
        <v>3451700</v>
      </c>
      <c r="G108" s="28">
        <v>2537500</v>
      </c>
      <c r="H108" s="28">
        <v>79200</v>
      </c>
      <c r="I108" s="28"/>
      <c r="J108" s="28">
        <f>L108+O108</f>
        <v>0</v>
      </c>
      <c r="K108" s="28"/>
      <c r="L108" s="28"/>
      <c r="M108" s="28"/>
      <c r="N108" s="28"/>
      <c r="O108" s="28"/>
      <c r="P108" s="28">
        <f t="shared" ref="P108:P119" si="87">E108+J108</f>
        <v>3451700</v>
      </c>
      <c r="Q108" s="156"/>
    </row>
    <row r="109" spans="1:18" s="116" customFormat="1" ht="33" customHeight="1" x14ac:dyDescent="0.45">
      <c r="A109" s="25" t="s">
        <v>141</v>
      </c>
      <c r="B109" s="26" t="str">
        <f>'дод 7'!A83</f>
        <v>2010</v>
      </c>
      <c r="C109" s="26" t="str">
        <f>'дод 7'!B83</f>
        <v>0731</v>
      </c>
      <c r="D109" s="40" t="str">
        <f>'дод 7'!C83</f>
        <v>Багатопрофільна стаціонарна медична допомога населенню</v>
      </c>
      <c r="E109" s="28">
        <f>F109+I109</f>
        <v>79509995</v>
      </c>
      <c r="F109" s="28">
        <f>79145600+79212+120770+117413+47000</f>
        <v>79509995</v>
      </c>
      <c r="G109" s="28"/>
      <c r="H109" s="28"/>
      <c r="I109" s="28"/>
      <c r="J109" s="28">
        <f t="shared" ref="J109:J119" si="88">L109+O109</f>
        <v>7780000</v>
      </c>
      <c r="K109" s="28">
        <f>7966974-1466974+1280000</f>
        <v>7780000</v>
      </c>
      <c r="L109" s="28"/>
      <c r="M109" s="28"/>
      <c r="N109" s="28"/>
      <c r="O109" s="28">
        <f>7966974-1466974+1280000</f>
        <v>7780000</v>
      </c>
      <c r="P109" s="28">
        <f t="shared" si="87"/>
        <v>87289995</v>
      </c>
      <c r="Q109" s="156"/>
      <c r="R109" s="29"/>
    </row>
    <row r="110" spans="1:18" s="29" customFormat="1" ht="30.75" x14ac:dyDescent="0.45">
      <c r="A110" s="25" t="s">
        <v>145</v>
      </c>
      <c r="B110" s="26" t="str">
        <f>'дод 7'!A84</f>
        <v>2030</v>
      </c>
      <c r="C110" s="26" t="str">
        <f>'дод 7'!B84</f>
        <v>0733</v>
      </c>
      <c r="D110" s="27" t="str">
        <f>'дод 7'!C84</f>
        <v>Лікарсько-акушерська допомога вагітним, породіллям та новонародженим</v>
      </c>
      <c r="E110" s="28">
        <f t="shared" si="86"/>
        <v>6632300</v>
      </c>
      <c r="F110" s="28">
        <v>6632300</v>
      </c>
      <c r="G110" s="28"/>
      <c r="H110" s="28"/>
      <c r="I110" s="28"/>
      <c r="J110" s="28">
        <f t="shared" si="88"/>
        <v>0</v>
      </c>
      <c r="K110" s="28"/>
      <c r="L110" s="28"/>
      <c r="M110" s="28"/>
      <c r="N110" s="28"/>
      <c r="O110" s="28"/>
      <c r="P110" s="28">
        <f t="shared" si="87"/>
        <v>6632300</v>
      </c>
      <c r="Q110" s="156"/>
    </row>
    <row r="111" spans="1:18" s="29" customFormat="1" ht="24" customHeight="1" x14ac:dyDescent="0.45">
      <c r="A111" s="25" t="s">
        <v>144</v>
      </c>
      <c r="B111" s="26" t="str">
        <f>'дод 7'!A85</f>
        <v>2100</v>
      </c>
      <c r="C111" s="26" t="str">
        <f>'дод 7'!B85</f>
        <v>0722</v>
      </c>
      <c r="D111" s="27" t="str">
        <f>'дод 7'!C85</f>
        <v>Стоматологічна допомога населенню</v>
      </c>
      <c r="E111" s="28">
        <f t="shared" si="86"/>
        <v>3005800</v>
      </c>
      <c r="F111" s="28">
        <f>1295800+1710000</f>
        <v>3005800</v>
      </c>
      <c r="G111" s="28"/>
      <c r="H111" s="28"/>
      <c r="I111" s="28"/>
      <c r="J111" s="28">
        <f t="shared" si="88"/>
        <v>0</v>
      </c>
      <c r="K111" s="28"/>
      <c r="L111" s="28"/>
      <c r="M111" s="28"/>
      <c r="N111" s="28"/>
      <c r="O111" s="28"/>
      <c r="P111" s="28">
        <f t="shared" si="87"/>
        <v>3005800</v>
      </c>
      <c r="Q111" s="156"/>
    </row>
    <row r="112" spans="1:18" s="29" customFormat="1" ht="48" customHeight="1" x14ac:dyDescent="0.45">
      <c r="A112" s="25" t="s">
        <v>143</v>
      </c>
      <c r="B112" s="26" t="str">
        <f>'дод 7'!A86</f>
        <v>2111</v>
      </c>
      <c r="C112" s="26" t="str">
        <f>'дод 7'!B86</f>
        <v>0726</v>
      </c>
      <c r="D112" s="27" t="str">
        <f>'дод 7'!C86</f>
        <v>Первинна медична допомога населенню, що надається центрами первинної медичної (медико-санітарної) допомоги</v>
      </c>
      <c r="E112" s="28">
        <f t="shared" si="86"/>
        <v>6034800</v>
      </c>
      <c r="F112" s="28">
        <v>6034800</v>
      </c>
      <c r="G112" s="28"/>
      <c r="H112" s="28"/>
      <c r="I112" s="28"/>
      <c r="J112" s="28">
        <f t="shared" si="88"/>
        <v>0</v>
      </c>
      <c r="K112" s="28"/>
      <c r="L112" s="28"/>
      <c r="M112" s="28"/>
      <c r="N112" s="28"/>
      <c r="O112" s="28"/>
      <c r="P112" s="28">
        <f t="shared" si="87"/>
        <v>6034800</v>
      </c>
      <c r="Q112" s="156"/>
    </row>
    <row r="113" spans="1:18" s="29" customFormat="1" ht="43.5" customHeight="1" x14ac:dyDescent="0.45">
      <c r="A113" s="25" t="s">
        <v>251</v>
      </c>
      <c r="B113" s="26" t="str">
        <f>'дод 7'!A87</f>
        <v>2151</v>
      </c>
      <c r="C113" s="26" t="str">
        <f>'дод 7'!B87</f>
        <v>0763</v>
      </c>
      <c r="D113" s="27" t="str">
        <f>'дод 7'!C87</f>
        <v>Забезпечення діяльності інших закладів у сфері охорони здоров'я</v>
      </c>
      <c r="E113" s="28">
        <f t="shared" si="86"/>
        <v>4355200</v>
      </c>
      <c r="F113" s="28">
        <v>4355200</v>
      </c>
      <c r="G113" s="28">
        <v>3252200</v>
      </c>
      <c r="H113" s="28">
        <v>170000</v>
      </c>
      <c r="I113" s="28"/>
      <c r="J113" s="28">
        <f t="shared" si="88"/>
        <v>0</v>
      </c>
      <c r="K113" s="28"/>
      <c r="L113" s="28"/>
      <c r="M113" s="28"/>
      <c r="N113" s="28"/>
      <c r="O113" s="28"/>
      <c r="P113" s="28">
        <f t="shared" si="87"/>
        <v>4355200</v>
      </c>
      <c r="Q113" s="156">
        <v>6</v>
      </c>
    </row>
    <row r="114" spans="1:18" s="29" customFormat="1" ht="15.4" x14ac:dyDescent="0.45">
      <c r="A114" s="25" t="s">
        <v>252</v>
      </c>
      <c r="B114" s="26" t="str">
        <f>'дод 7'!A88</f>
        <v>2152</v>
      </c>
      <c r="C114" s="26" t="str">
        <f>'дод 7'!B88</f>
        <v>0763</v>
      </c>
      <c r="D114" s="27" t="str">
        <f>'дод 7'!C88</f>
        <v>Інші програми та заходи у сфері охорони здоров'я</v>
      </c>
      <c r="E114" s="28">
        <f>F114+I114</f>
        <v>33856700</v>
      </c>
      <c r="F114" s="28">
        <f>35566700-1710000</f>
        <v>33856700</v>
      </c>
      <c r="G114" s="28"/>
      <c r="H114" s="28"/>
      <c r="I114" s="28"/>
      <c r="J114" s="28">
        <f t="shared" si="88"/>
        <v>0</v>
      </c>
      <c r="K114" s="28"/>
      <c r="L114" s="28"/>
      <c r="M114" s="28"/>
      <c r="N114" s="28"/>
      <c r="O114" s="28"/>
      <c r="P114" s="28">
        <f t="shared" si="87"/>
        <v>33856700</v>
      </c>
      <c r="Q114" s="156"/>
    </row>
    <row r="115" spans="1:18" s="29" customFormat="1" ht="15.4" x14ac:dyDescent="0.45">
      <c r="A115" s="25" t="s">
        <v>469</v>
      </c>
      <c r="B115" s="26">
        <f>'дод 7'!A89</f>
        <v>2170</v>
      </c>
      <c r="C115" s="26" t="str">
        <f>'дод 7'!B89</f>
        <v>0763</v>
      </c>
      <c r="D115" s="30" t="str">
        <f>'дод 7'!C89</f>
        <v>Будівництво1 закладів охорони здоров'я</v>
      </c>
      <c r="E115" s="28">
        <f t="shared" ref="E115:E119" si="89">F115+I115</f>
        <v>0</v>
      </c>
      <c r="F115" s="28"/>
      <c r="G115" s="28"/>
      <c r="H115" s="28"/>
      <c r="I115" s="28"/>
      <c r="J115" s="28">
        <f t="shared" si="88"/>
        <v>3645220</v>
      </c>
      <c r="K115" s="28">
        <f>2178246+1466974</f>
        <v>3645220</v>
      </c>
      <c r="L115" s="28"/>
      <c r="M115" s="28"/>
      <c r="N115" s="28"/>
      <c r="O115" s="28">
        <f>2178246+1466974</f>
        <v>3645220</v>
      </c>
      <c r="P115" s="28">
        <f t="shared" si="87"/>
        <v>3645220</v>
      </c>
      <c r="Q115" s="156"/>
    </row>
    <row r="116" spans="1:18" s="123" customFormat="1" ht="72.75" customHeight="1" x14ac:dyDescent="0.45">
      <c r="A116" s="25" t="s">
        <v>524</v>
      </c>
      <c r="B116" s="26">
        <f>'дод 7'!A118</f>
        <v>3193</v>
      </c>
      <c r="C116" s="26">
        <f>'дод 7'!B118</f>
        <v>1030</v>
      </c>
      <c r="D116" s="30" t="str">
        <f>'дод 7'!C118</f>
        <v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у т.ч. за рахунок:</v>
      </c>
      <c r="E116" s="28">
        <f t="shared" si="89"/>
        <v>468236</v>
      </c>
      <c r="F116" s="28">
        <v>468236</v>
      </c>
      <c r="G116" s="28"/>
      <c r="H116" s="28"/>
      <c r="I116" s="28"/>
      <c r="J116" s="28">
        <f t="shared" si="88"/>
        <v>0</v>
      </c>
      <c r="K116" s="28"/>
      <c r="L116" s="28"/>
      <c r="M116" s="28"/>
      <c r="N116" s="28"/>
      <c r="O116" s="28"/>
      <c r="P116" s="28">
        <f t="shared" si="87"/>
        <v>468236</v>
      </c>
      <c r="Q116" s="156"/>
      <c r="R116" s="29"/>
    </row>
    <row r="117" spans="1:18" s="122" customFormat="1" ht="94.9" customHeight="1" x14ac:dyDescent="0.45">
      <c r="A117" s="34"/>
      <c r="B117" s="35"/>
      <c r="C117" s="35"/>
      <c r="D117" s="36" t="str">
        <f>'дод 7'!C119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E117" s="28">
        <f t="shared" si="89"/>
        <v>468236</v>
      </c>
      <c r="F117" s="37">
        <v>468236</v>
      </c>
      <c r="G117" s="37"/>
      <c r="H117" s="37"/>
      <c r="I117" s="37"/>
      <c r="J117" s="28">
        <f t="shared" si="88"/>
        <v>0</v>
      </c>
      <c r="K117" s="37"/>
      <c r="L117" s="37"/>
      <c r="M117" s="37"/>
      <c r="N117" s="37"/>
      <c r="O117" s="37"/>
      <c r="P117" s="28">
        <f t="shared" si="87"/>
        <v>468236</v>
      </c>
      <c r="Q117" s="156"/>
      <c r="R117" s="38"/>
    </row>
    <row r="118" spans="1:18" s="29" customFormat="1" ht="23.25" customHeight="1" x14ac:dyDescent="0.45">
      <c r="A118" s="25" t="s">
        <v>142</v>
      </c>
      <c r="B118" s="26" t="str">
        <f>'дод 7'!A185</f>
        <v>7640</v>
      </c>
      <c r="C118" s="26" t="str">
        <f>'дод 7'!B185</f>
        <v>0470</v>
      </c>
      <c r="D118" s="27" t="s">
        <v>291</v>
      </c>
      <c r="E118" s="28">
        <f t="shared" si="89"/>
        <v>465000</v>
      </c>
      <c r="F118" s="28"/>
      <c r="G118" s="28"/>
      <c r="H118" s="28"/>
      <c r="I118" s="28">
        <v>465000</v>
      </c>
      <c r="J118" s="28">
        <f t="shared" si="88"/>
        <v>1999090</v>
      </c>
      <c r="K118" s="28">
        <v>1999090</v>
      </c>
      <c r="L118" s="28"/>
      <c r="M118" s="28"/>
      <c r="N118" s="28"/>
      <c r="O118" s="28">
        <v>1999090</v>
      </c>
      <c r="P118" s="28">
        <f t="shared" si="87"/>
        <v>2464090</v>
      </c>
      <c r="Q118" s="156"/>
    </row>
    <row r="119" spans="1:18" s="134" customFormat="1" ht="23.25" customHeight="1" x14ac:dyDescent="0.45">
      <c r="A119" s="25" t="s">
        <v>538</v>
      </c>
      <c r="B119" s="26" t="str">
        <f>'дод 7'!A212</f>
        <v>9770</v>
      </c>
      <c r="C119" s="26" t="str">
        <f>'дод 7'!B212</f>
        <v>0180</v>
      </c>
      <c r="D119" s="30" t="str">
        <f>'дод 7'!C212</f>
        <v>Інші субвенції з місцевого бюджету</v>
      </c>
      <c r="E119" s="28">
        <f t="shared" si="89"/>
        <v>300000</v>
      </c>
      <c r="F119" s="28">
        <v>300000</v>
      </c>
      <c r="G119" s="140"/>
      <c r="H119" s="140"/>
      <c r="I119" s="140"/>
      <c r="J119" s="141">
        <f t="shared" si="88"/>
        <v>5000000</v>
      </c>
      <c r="K119" s="141">
        <v>5000000</v>
      </c>
      <c r="L119" s="141"/>
      <c r="M119" s="141"/>
      <c r="N119" s="141"/>
      <c r="O119" s="141">
        <v>5000000</v>
      </c>
      <c r="P119" s="141">
        <f t="shared" si="87"/>
        <v>5300000</v>
      </c>
      <c r="Q119" s="156"/>
      <c r="R119" s="142"/>
    </row>
    <row r="120" spans="1:18" s="19" customFormat="1" ht="36" customHeight="1" x14ac:dyDescent="0.4">
      <c r="A120" s="16" t="s">
        <v>146</v>
      </c>
      <c r="B120" s="31"/>
      <c r="C120" s="31"/>
      <c r="D120" s="17" t="s">
        <v>32</v>
      </c>
      <c r="E120" s="18">
        <f>E121</f>
        <v>424429520.53999996</v>
      </c>
      <c r="F120" s="18">
        <f t="shared" ref="F120:P120" si="90">F121</f>
        <v>424429520.53999996</v>
      </c>
      <c r="G120" s="18">
        <f t="shared" si="90"/>
        <v>86602065</v>
      </c>
      <c r="H120" s="18">
        <f t="shared" si="90"/>
        <v>4235300</v>
      </c>
      <c r="I120" s="18">
        <f t="shared" si="90"/>
        <v>0</v>
      </c>
      <c r="J120" s="18">
        <f t="shared" si="90"/>
        <v>168600</v>
      </c>
      <c r="K120" s="18">
        <f t="shared" si="90"/>
        <v>110000</v>
      </c>
      <c r="L120" s="18">
        <f t="shared" si="90"/>
        <v>58600</v>
      </c>
      <c r="M120" s="18">
        <f t="shared" si="90"/>
        <v>48000</v>
      </c>
      <c r="N120" s="18">
        <f t="shared" si="90"/>
        <v>0</v>
      </c>
      <c r="O120" s="18">
        <f t="shared" si="90"/>
        <v>110000</v>
      </c>
      <c r="P120" s="18">
        <f t="shared" si="90"/>
        <v>424598120.53999996</v>
      </c>
      <c r="Q120" s="156"/>
    </row>
    <row r="121" spans="1:18" s="24" customFormat="1" ht="32.25" customHeight="1" x14ac:dyDescent="0.4">
      <c r="A121" s="20" t="s">
        <v>147</v>
      </c>
      <c r="B121" s="32"/>
      <c r="C121" s="32"/>
      <c r="D121" s="22" t="s">
        <v>349</v>
      </c>
      <c r="E121" s="23">
        <f t="shared" ref="E121:P121" si="91">E126+E127+E128+E129+E130+E131+E136+E139+E143+E144+E147+E148+E149+E153+E138+E137+E132+E134+E141+E145</f>
        <v>424429520.53999996</v>
      </c>
      <c r="F121" s="23">
        <f t="shared" si="91"/>
        <v>424429520.53999996</v>
      </c>
      <c r="G121" s="23">
        <f t="shared" si="91"/>
        <v>86602065</v>
      </c>
      <c r="H121" s="23">
        <f t="shared" si="91"/>
        <v>4235300</v>
      </c>
      <c r="I121" s="23">
        <f t="shared" si="91"/>
        <v>0</v>
      </c>
      <c r="J121" s="23">
        <f t="shared" si="91"/>
        <v>168600</v>
      </c>
      <c r="K121" s="23">
        <f t="shared" si="91"/>
        <v>110000</v>
      </c>
      <c r="L121" s="23">
        <f t="shared" si="91"/>
        <v>58600</v>
      </c>
      <c r="M121" s="23">
        <f t="shared" si="91"/>
        <v>48000</v>
      </c>
      <c r="N121" s="23">
        <f t="shared" si="91"/>
        <v>0</v>
      </c>
      <c r="O121" s="23">
        <f t="shared" si="91"/>
        <v>110000</v>
      </c>
      <c r="P121" s="23">
        <f t="shared" si="91"/>
        <v>424598120.53999996</v>
      </c>
      <c r="Q121" s="156"/>
    </row>
    <row r="122" spans="1:18" s="24" customFormat="1" ht="32.25" customHeight="1" x14ac:dyDescent="0.4">
      <c r="A122" s="20"/>
      <c r="B122" s="32"/>
      <c r="C122" s="32"/>
      <c r="D122" s="22" t="s">
        <v>414</v>
      </c>
      <c r="E122" s="23">
        <f t="shared" ref="E122:P122" si="92">E150+E133+E135+E142</f>
        <v>1422057</v>
      </c>
      <c r="F122" s="23">
        <f t="shared" si="92"/>
        <v>1422057</v>
      </c>
      <c r="G122" s="23">
        <f t="shared" si="92"/>
        <v>0</v>
      </c>
      <c r="H122" s="23">
        <f t="shared" si="92"/>
        <v>0</v>
      </c>
      <c r="I122" s="23">
        <f t="shared" si="92"/>
        <v>0</v>
      </c>
      <c r="J122" s="23">
        <f t="shared" si="92"/>
        <v>0</v>
      </c>
      <c r="K122" s="23">
        <f t="shared" si="92"/>
        <v>0</v>
      </c>
      <c r="L122" s="23">
        <f t="shared" si="92"/>
        <v>0</v>
      </c>
      <c r="M122" s="23">
        <f t="shared" si="92"/>
        <v>0</v>
      </c>
      <c r="N122" s="23">
        <f t="shared" si="92"/>
        <v>0</v>
      </c>
      <c r="O122" s="23">
        <f t="shared" si="92"/>
        <v>0</v>
      </c>
      <c r="P122" s="23">
        <f t="shared" si="92"/>
        <v>1422057</v>
      </c>
      <c r="Q122" s="156"/>
    </row>
    <row r="123" spans="1:18" s="24" customFormat="1" ht="75" x14ac:dyDescent="0.4">
      <c r="A123" s="20"/>
      <c r="B123" s="32"/>
      <c r="C123" s="32"/>
      <c r="D123" s="22" t="s">
        <v>397</v>
      </c>
      <c r="E123" s="23">
        <f t="shared" ref="E123:P123" si="93">E151+E140</f>
        <v>71303000</v>
      </c>
      <c r="F123" s="23">
        <f t="shared" si="93"/>
        <v>71303000</v>
      </c>
      <c r="G123" s="23">
        <f t="shared" si="93"/>
        <v>0</v>
      </c>
      <c r="H123" s="23">
        <f t="shared" si="93"/>
        <v>0</v>
      </c>
      <c r="I123" s="23">
        <f t="shared" si="93"/>
        <v>0</v>
      </c>
      <c r="J123" s="23">
        <f t="shared" si="93"/>
        <v>0</v>
      </c>
      <c r="K123" s="23">
        <f t="shared" si="93"/>
        <v>0</v>
      </c>
      <c r="L123" s="23">
        <f t="shared" si="93"/>
        <v>0</v>
      </c>
      <c r="M123" s="23">
        <f t="shared" si="93"/>
        <v>0</v>
      </c>
      <c r="N123" s="23">
        <f t="shared" si="93"/>
        <v>0</v>
      </c>
      <c r="O123" s="23">
        <f t="shared" si="93"/>
        <v>0</v>
      </c>
      <c r="P123" s="23">
        <f t="shared" si="93"/>
        <v>71303000</v>
      </c>
      <c r="Q123" s="156"/>
    </row>
    <row r="124" spans="1:18" s="24" customFormat="1" ht="105" x14ac:dyDescent="0.4">
      <c r="A124" s="20"/>
      <c r="B124" s="32"/>
      <c r="C124" s="32"/>
      <c r="D124" s="22" t="str">
        <f>D152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124" s="23">
        <f>E152</f>
        <v>2868232.83</v>
      </c>
      <c r="F124" s="23">
        <f t="shared" ref="F124:P124" si="94">F152</f>
        <v>2868232.83</v>
      </c>
      <c r="G124" s="23">
        <f t="shared" si="94"/>
        <v>0</v>
      </c>
      <c r="H124" s="23">
        <f t="shared" si="94"/>
        <v>0</v>
      </c>
      <c r="I124" s="23">
        <f t="shared" si="94"/>
        <v>0</v>
      </c>
      <c r="J124" s="23">
        <f t="shared" si="94"/>
        <v>0</v>
      </c>
      <c r="K124" s="23">
        <f t="shared" si="94"/>
        <v>0</v>
      </c>
      <c r="L124" s="23">
        <f t="shared" si="94"/>
        <v>0</v>
      </c>
      <c r="M124" s="23">
        <f t="shared" si="94"/>
        <v>0</v>
      </c>
      <c r="N124" s="23">
        <f t="shared" si="94"/>
        <v>0</v>
      </c>
      <c r="O124" s="23">
        <f t="shared" si="94"/>
        <v>0</v>
      </c>
      <c r="P124" s="23">
        <f t="shared" si="94"/>
        <v>2868232.83</v>
      </c>
      <c r="Q124" s="156"/>
    </row>
    <row r="125" spans="1:18" s="24" customFormat="1" ht="90" x14ac:dyDescent="0.4">
      <c r="A125" s="20"/>
      <c r="B125" s="32"/>
      <c r="C125" s="32"/>
      <c r="D125" s="22" t="str">
        <f>D146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E125" s="23">
        <f>E146</f>
        <v>430007</v>
      </c>
      <c r="F125" s="23">
        <f t="shared" ref="F125:P125" si="95">F146</f>
        <v>430007</v>
      </c>
      <c r="G125" s="23">
        <f t="shared" si="95"/>
        <v>352465</v>
      </c>
      <c r="H125" s="23">
        <f t="shared" si="95"/>
        <v>0</v>
      </c>
      <c r="I125" s="23">
        <f t="shared" si="95"/>
        <v>0</v>
      </c>
      <c r="J125" s="23">
        <f t="shared" si="95"/>
        <v>0</v>
      </c>
      <c r="K125" s="23">
        <f t="shared" si="95"/>
        <v>0</v>
      </c>
      <c r="L125" s="23">
        <f t="shared" si="95"/>
        <v>0</v>
      </c>
      <c r="M125" s="23">
        <f t="shared" si="95"/>
        <v>0</v>
      </c>
      <c r="N125" s="23">
        <f t="shared" si="95"/>
        <v>0</v>
      </c>
      <c r="O125" s="23">
        <f t="shared" si="95"/>
        <v>0</v>
      </c>
      <c r="P125" s="23">
        <f t="shared" si="95"/>
        <v>430007</v>
      </c>
      <c r="Q125" s="156"/>
    </row>
    <row r="126" spans="1:18" s="29" customFormat="1" ht="36" customHeight="1" x14ac:dyDescent="0.45">
      <c r="A126" s="25" t="s">
        <v>148</v>
      </c>
      <c r="B126" s="26" t="str">
        <f>'дод 7'!A17</f>
        <v>0160</v>
      </c>
      <c r="C126" s="26" t="str">
        <f>'дод 7'!B17</f>
        <v>0111</v>
      </c>
      <c r="D126" s="41" t="str">
        <f>'дод 7'!C17</f>
        <v>Керівництво і управління у відповідній сфері у містах (місті Києві), селищах, селах, територіальних громадах</v>
      </c>
      <c r="E126" s="28">
        <f t="shared" ref="E126:E153" si="96">F126+I126</f>
        <v>74639800</v>
      </c>
      <c r="F126" s="28">
        <f>74544600+178800-83600</f>
        <v>74639800</v>
      </c>
      <c r="G126" s="28">
        <f>57433400+146500-68500</f>
        <v>57511400</v>
      </c>
      <c r="H126" s="28">
        <v>1952800</v>
      </c>
      <c r="I126" s="28"/>
      <c r="J126" s="28">
        <f>L126+O126</f>
        <v>0</v>
      </c>
      <c r="K126" s="28"/>
      <c r="L126" s="28"/>
      <c r="M126" s="28"/>
      <c r="N126" s="28"/>
      <c r="O126" s="28"/>
      <c r="P126" s="28">
        <f t="shared" ref="P126:P153" si="97">E126+J126</f>
        <v>74639800</v>
      </c>
      <c r="Q126" s="156"/>
    </row>
    <row r="127" spans="1:18" s="29" customFormat="1" ht="36" customHeight="1" x14ac:dyDescent="0.45">
      <c r="A127" s="25" t="s">
        <v>149</v>
      </c>
      <c r="B127" s="26" t="str">
        <f>'дод 7'!A95</f>
        <v>3031</v>
      </c>
      <c r="C127" s="26" t="str">
        <f>'дод 7'!B95</f>
        <v>1030</v>
      </c>
      <c r="D127" s="27" t="str">
        <f>'дод 7'!C95</f>
        <v>Надання інших пільг окремим категоріям громадян відповідно до законодавства</v>
      </c>
      <c r="E127" s="28">
        <f t="shared" si="96"/>
        <v>438760</v>
      </c>
      <c r="F127" s="28">
        <v>438760</v>
      </c>
      <c r="G127" s="28"/>
      <c r="H127" s="28"/>
      <c r="I127" s="28"/>
      <c r="J127" s="28">
        <f t="shared" ref="J127:J147" si="98">L127+O127</f>
        <v>0</v>
      </c>
      <c r="K127" s="28"/>
      <c r="L127" s="28"/>
      <c r="M127" s="28"/>
      <c r="N127" s="28"/>
      <c r="O127" s="28"/>
      <c r="P127" s="28">
        <f t="shared" si="97"/>
        <v>438760</v>
      </c>
      <c r="Q127" s="156"/>
    </row>
    <row r="128" spans="1:18" s="29" customFormat="1" ht="33" customHeight="1" x14ac:dyDescent="0.45">
      <c r="A128" s="25" t="s">
        <v>150</v>
      </c>
      <c r="B128" s="26" t="str">
        <f>'дод 7'!A96</f>
        <v>3032</v>
      </c>
      <c r="C128" s="26" t="str">
        <f>'дод 7'!B96</f>
        <v>1070</v>
      </c>
      <c r="D128" s="27" t="str">
        <f>'дод 7'!C96</f>
        <v>Надання пільг окремим категоріям громадян з оплати послуг зв'язку</v>
      </c>
      <c r="E128" s="28">
        <f t="shared" si="96"/>
        <v>700000</v>
      </c>
      <c r="F128" s="28">
        <v>700000</v>
      </c>
      <c r="G128" s="28"/>
      <c r="H128" s="28"/>
      <c r="I128" s="28"/>
      <c r="J128" s="28">
        <f t="shared" si="98"/>
        <v>0</v>
      </c>
      <c r="K128" s="28"/>
      <c r="L128" s="28"/>
      <c r="M128" s="28"/>
      <c r="N128" s="28"/>
      <c r="O128" s="28"/>
      <c r="P128" s="28">
        <f t="shared" si="97"/>
        <v>700000</v>
      </c>
      <c r="Q128" s="156"/>
    </row>
    <row r="129" spans="1:17" s="29" customFormat="1" ht="48.75" customHeight="1" x14ac:dyDescent="0.45">
      <c r="A129" s="25" t="s">
        <v>273</v>
      </c>
      <c r="B129" s="26" t="str">
        <f>'дод 7'!A97</f>
        <v>3033</v>
      </c>
      <c r="C129" s="26" t="str">
        <f>'дод 7'!B97</f>
        <v>1070</v>
      </c>
      <c r="D129" s="27" t="str">
        <f>'дод 7'!C97</f>
        <v>Компенсаційні виплати на пільговий проїзд автомобільним транспортом окремим категоріям громадян, у т.ч. за рахунок:</v>
      </c>
      <c r="E129" s="28">
        <f t="shared" si="96"/>
        <v>21385300</v>
      </c>
      <c r="F129" s="28">
        <v>21385300</v>
      </c>
      <c r="G129" s="28"/>
      <c r="H129" s="28"/>
      <c r="I129" s="28"/>
      <c r="J129" s="28">
        <f t="shared" si="98"/>
        <v>0</v>
      </c>
      <c r="K129" s="28"/>
      <c r="L129" s="28"/>
      <c r="M129" s="28"/>
      <c r="N129" s="28"/>
      <c r="O129" s="28"/>
      <c r="P129" s="28">
        <f t="shared" si="97"/>
        <v>21385300</v>
      </c>
      <c r="Q129" s="156"/>
    </row>
    <row r="130" spans="1:17" s="29" customFormat="1" ht="42" customHeight="1" x14ac:dyDescent="0.45">
      <c r="A130" s="25" t="s">
        <v>250</v>
      </c>
      <c r="B130" s="26" t="str">
        <f>'дод 7'!A98</f>
        <v>3035</v>
      </c>
      <c r="C130" s="26" t="str">
        <f>'дод 7'!B98</f>
        <v>1070</v>
      </c>
      <c r="D130" s="27" t="str">
        <f>'дод 7'!C98</f>
        <v>Компенсаційні виплати за пільговий проїзд окремих категорій громадян на залізничному транспорті</v>
      </c>
      <c r="E130" s="28">
        <f t="shared" si="96"/>
        <v>1000000</v>
      </c>
      <c r="F130" s="28">
        <v>1000000</v>
      </c>
      <c r="G130" s="28"/>
      <c r="H130" s="28"/>
      <c r="I130" s="28"/>
      <c r="J130" s="28">
        <f t="shared" si="98"/>
        <v>0</v>
      </c>
      <c r="K130" s="28"/>
      <c r="L130" s="28"/>
      <c r="M130" s="28"/>
      <c r="N130" s="28"/>
      <c r="O130" s="28"/>
      <c r="P130" s="28">
        <f t="shared" si="97"/>
        <v>1000000</v>
      </c>
      <c r="Q130" s="156"/>
    </row>
    <row r="131" spans="1:17" s="29" customFormat="1" ht="36.75" customHeight="1" x14ac:dyDescent="0.45">
      <c r="A131" s="25" t="s">
        <v>151</v>
      </c>
      <c r="B131" s="26" t="str">
        <f>'дод 7'!A99</f>
        <v>3036</v>
      </c>
      <c r="C131" s="26" t="str">
        <f>'дод 7'!B99</f>
        <v>1070</v>
      </c>
      <c r="D131" s="27" t="str">
        <f>'дод 7'!C99</f>
        <v>Компенсаційні виплати на пільговий проїзд електротранспортом окремим категоріям громадян</v>
      </c>
      <c r="E131" s="28">
        <f t="shared" si="96"/>
        <v>43231400</v>
      </c>
      <c r="F131" s="28">
        <v>43231400</v>
      </c>
      <c r="G131" s="28"/>
      <c r="H131" s="28"/>
      <c r="I131" s="28"/>
      <c r="J131" s="28">
        <f t="shared" si="98"/>
        <v>0</v>
      </c>
      <c r="K131" s="28"/>
      <c r="L131" s="28"/>
      <c r="M131" s="28"/>
      <c r="N131" s="28"/>
      <c r="O131" s="28"/>
      <c r="P131" s="28">
        <f t="shared" si="97"/>
        <v>43231400</v>
      </c>
      <c r="Q131" s="156"/>
    </row>
    <row r="132" spans="1:17" s="29" customFormat="1" ht="52.5" customHeight="1" x14ac:dyDescent="0.45">
      <c r="A132" s="25" t="s">
        <v>415</v>
      </c>
      <c r="B132" s="26" t="str">
        <f>'дод 7'!A100</f>
        <v>3050</v>
      </c>
      <c r="C132" s="26" t="str">
        <f>'дод 7'!B100</f>
        <v>1070</v>
      </c>
      <c r="D132" s="30" t="str">
        <f>'дод 7'!C100</f>
        <v>Пільгове медичне обслуговування осіб, які постраждали внаслідок Чорнобильської катастрофи, у т.ч. за рахунок:</v>
      </c>
      <c r="E132" s="28">
        <f t="shared" si="96"/>
        <v>856600</v>
      </c>
      <c r="F132" s="28">
        <v>856600</v>
      </c>
      <c r="G132" s="28"/>
      <c r="H132" s="28"/>
      <c r="I132" s="28"/>
      <c r="J132" s="28"/>
      <c r="K132" s="28"/>
      <c r="L132" s="28"/>
      <c r="M132" s="28"/>
      <c r="N132" s="28"/>
      <c r="O132" s="28"/>
      <c r="P132" s="28">
        <f t="shared" si="97"/>
        <v>856600</v>
      </c>
      <c r="Q132" s="156"/>
    </row>
    <row r="133" spans="1:17" s="38" customFormat="1" ht="15.4" x14ac:dyDescent="0.45">
      <c r="A133" s="34"/>
      <c r="B133" s="35">
        <f>'дод 7'!A101</f>
        <v>0</v>
      </c>
      <c r="C133" s="35">
        <f>'дод 7'!B101</f>
        <v>0</v>
      </c>
      <c r="D133" s="36" t="str">
        <f>'дод 7'!C101</f>
        <v>іншої субвенції з місцевого бюджету</v>
      </c>
      <c r="E133" s="37">
        <f t="shared" si="96"/>
        <v>856600</v>
      </c>
      <c r="F133" s="37">
        <v>856600</v>
      </c>
      <c r="G133" s="37"/>
      <c r="H133" s="37"/>
      <c r="I133" s="37"/>
      <c r="J133" s="37"/>
      <c r="K133" s="37"/>
      <c r="L133" s="37"/>
      <c r="M133" s="37"/>
      <c r="N133" s="37"/>
      <c r="O133" s="37"/>
      <c r="P133" s="37">
        <f t="shared" si="97"/>
        <v>856600</v>
      </c>
      <c r="Q133" s="156"/>
    </row>
    <row r="134" spans="1:17" s="29" customFormat="1" ht="42" customHeight="1" x14ac:dyDescent="0.45">
      <c r="A134" s="25" t="s">
        <v>416</v>
      </c>
      <c r="B134" s="26" t="str">
        <f>'дод 7'!A102</f>
        <v>3090</v>
      </c>
      <c r="C134" s="26" t="str">
        <f>'дод 7'!B102</f>
        <v>1030</v>
      </c>
      <c r="D134" s="30" t="str">
        <f>'дод 7'!C102</f>
        <v>Видатки на поховання учасників бойових дій та осіб з інвалідністю внаслідок війни, у т.ч. за рахунок:</v>
      </c>
      <c r="E134" s="28">
        <f t="shared" si="96"/>
        <v>124000</v>
      </c>
      <c r="F134" s="28">
        <v>124000</v>
      </c>
      <c r="G134" s="28"/>
      <c r="H134" s="28"/>
      <c r="I134" s="28"/>
      <c r="J134" s="28"/>
      <c r="K134" s="28"/>
      <c r="L134" s="28"/>
      <c r="M134" s="28"/>
      <c r="N134" s="28"/>
      <c r="O134" s="28"/>
      <c r="P134" s="28">
        <f t="shared" si="97"/>
        <v>124000</v>
      </c>
      <c r="Q134" s="156"/>
    </row>
    <row r="135" spans="1:17" s="38" customFormat="1" ht="15.4" x14ac:dyDescent="0.45">
      <c r="A135" s="34"/>
      <c r="B135" s="35">
        <f>'дод 7'!A103</f>
        <v>0</v>
      </c>
      <c r="C135" s="35">
        <f>'дод 7'!B103</f>
        <v>0</v>
      </c>
      <c r="D135" s="36" t="str">
        <f>'дод 7'!C103</f>
        <v>іншої субвенції з місцевого бюджету</v>
      </c>
      <c r="E135" s="37">
        <f t="shared" si="96"/>
        <v>124000</v>
      </c>
      <c r="F135" s="37">
        <v>124000</v>
      </c>
      <c r="G135" s="37"/>
      <c r="H135" s="37"/>
      <c r="I135" s="37"/>
      <c r="J135" s="37"/>
      <c r="K135" s="37"/>
      <c r="L135" s="37"/>
      <c r="M135" s="37"/>
      <c r="N135" s="37"/>
      <c r="O135" s="37"/>
      <c r="P135" s="37">
        <f t="shared" si="97"/>
        <v>124000</v>
      </c>
      <c r="Q135" s="156"/>
    </row>
    <row r="136" spans="1:17" s="29" customFormat="1" ht="64.5" customHeight="1" x14ac:dyDescent="0.45">
      <c r="A136" s="25" t="s">
        <v>152</v>
      </c>
      <c r="B136" s="26" t="str">
        <f>'дод 7'!A104</f>
        <v>3104</v>
      </c>
      <c r="C136" s="26" t="str">
        <f>'дод 7'!B104</f>
        <v>1020</v>
      </c>
      <c r="D136" s="27" t="str">
        <f>'дод 7'!C104</f>
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</c>
      <c r="E136" s="28">
        <f>F136+I136</f>
        <v>27074900</v>
      </c>
      <c r="F136" s="28">
        <v>27074900</v>
      </c>
      <c r="G136" s="28">
        <v>20066500</v>
      </c>
      <c r="H136" s="28">
        <v>1317500</v>
      </c>
      <c r="I136" s="28"/>
      <c r="J136" s="28">
        <f t="shared" si="98"/>
        <v>58600</v>
      </c>
      <c r="K136" s="28"/>
      <c r="L136" s="28">
        <v>58600</v>
      </c>
      <c r="M136" s="28">
        <v>48000</v>
      </c>
      <c r="N136" s="28"/>
      <c r="O136" s="28"/>
      <c r="P136" s="28">
        <f t="shared" si="97"/>
        <v>27133500</v>
      </c>
      <c r="Q136" s="156">
        <v>7</v>
      </c>
    </row>
    <row r="137" spans="1:17" s="29" customFormat="1" ht="83.25" customHeight="1" x14ac:dyDescent="0.45">
      <c r="A137" s="25" t="s">
        <v>395</v>
      </c>
      <c r="B137" s="26" t="str">
        <f>'дод 7'!A108</f>
        <v>3121</v>
      </c>
      <c r="C137" s="26" t="str">
        <f>'дод 7'!B108</f>
        <v>1040</v>
      </c>
      <c r="D137" s="86" t="str">
        <f>'дод 7'!C108</f>
        <v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v>
      </c>
      <c r="E137" s="28">
        <f t="shared" ref="E137" si="99">F137+I137</f>
        <v>6159000</v>
      </c>
      <c r="F137" s="28">
        <f>4261800+1897200</f>
        <v>6159000</v>
      </c>
      <c r="G137" s="28">
        <f>3095700+1260800</f>
        <v>4356500</v>
      </c>
      <c r="H137" s="28">
        <f>114600+287500</f>
        <v>402100</v>
      </c>
      <c r="I137" s="28"/>
      <c r="J137" s="28">
        <f t="shared" si="98"/>
        <v>0</v>
      </c>
      <c r="K137" s="28"/>
      <c r="L137" s="28"/>
      <c r="M137" s="28"/>
      <c r="N137" s="28"/>
      <c r="O137" s="28"/>
      <c r="P137" s="28">
        <f t="shared" si="97"/>
        <v>6159000</v>
      </c>
      <c r="Q137" s="156"/>
    </row>
    <row r="138" spans="1:17" s="29" customFormat="1" ht="69.75" customHeight="1" x14ac:dyDescent="0.45">
      <c r="A138" s="25" t="s">
        <v>381</v>
      </c>
      <c r="B138" s="26">
        <f>'дод 7'!A111</f>
        <v>3140</v>
      </c>
      <c r="C138" s="26">
        <f>'дод 7'!B111</f>
        <v>1040</v>
      </c>
      <c r="D138" s="30" t="str">
        <f>'дод 7'!C111</f>
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</c>
      <c r="E138" s="28">
        <f t="shared" ref="E138" si="100">F138+I138</f>
        <v>2000000</v>
      </c>
      <c r="F138" s="28">
        <v>2000000</v>
      </c>
      <c r="G138" s="28"/>
      <c r="H138" s="28"/>
      <c r="I138" s="28"/>
      <c r="J138" s="28"/>
      <c r="K138" s="28"/>
      <c r="L138" s="28"/>
      <c r="M138" s="28"/>
      <c r="N138" s="28"/>
      <c r="O138" s="28"/>
      <c r="P138" s="28">
        <f t="shared" ref="P138" si="101">E138+J138</f>
        <v>2000000</v>
      </c>
      <c r="Q138" s="156"/>
    </row>
    <row r="139" spans="1:17" s="29" customFormat="1" ht="61.5" x14ac:dyDescent="0.45">
      <c r="A139" s="25" t="s">
        <v>153</v>
      </c>
      <c r="B139" s="26" t="str">
        <f>'дод 7'!A112</f>
        <v>3160</v>
      </c>
      <c r="C139" s="26">
        <f>'дод 7'!B112</f>
        <v>1010</v>
      </c>
      <c r="D139" s="27" t="str">
        <f>'дод 7'!C112</f>
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</c>
      <c r="E139" s="28">
        <f>F139+I139</f>
        <v>22228000</v>
      </c>
      <c r="F139" s="28">
        <v>22228000</v>
      </c>
      <c r="G139" s="28"/>
      <c r="H139" s="28"/>
      <c r="I139" s="28"/>
      <c r="J139" s="28">
        <f t="shared" si="98"/>
        <v>0</v>
      </c>
      <c r="K139" s="28"/>
      <c r="L139" s="28"/>
      <c r="M139" s="28"/>
      <c r="N139" s="28"/>
      <c r="O139" s="28"/>
      <c r="P139" s="28">
        <f t="shared" si="97"/>
        <v>22228000</v>
      </c>
      <c r="Q139" s="156"/>
    </row>
    <row r="140" spans="1:17" s="38" customFormat="1" ht="76.900000000000006" x14ac:dyDescent="0.45">
      <c r="A140" s="34"/>
      <c r="B140" s="35"/>
      <c r="C140" s="35"/>
      <c r="D140" s="39" t="s">
        <v>397</v>
      </c>
      <c r="E140" s="37">
        <f t="shared" ref="E140:E142" si="102">F140+I140</f>
        <v>20000000</v>
      </c>
      <c r="F140" s="37">
        <v>20000000</v>
      </c>
      <c r="G140" s="37"/>
      <c r="H140" s="37"/>
      <c r="I140" s="37"/>
      <c r="J140" s="37">
        <f t="shared" si="98"/>
        <v>0</v>
      </c>
      <c r="K140" s="37"/>
      <c r="L140" s="37"/>
      <c r="M140" s="37"/>
      <c r="N140" s="37"/>
      <c r="O140" s="37"/>
      <c r="P140" s="37">
        <f t="shared" si="97"/>
        <v>20000000</v>
      </c>
      <c r="Q140" s="156"/>
    </row>
    <row r="141" spans="1:17" s="29" customFormat="1" ht="46.15" x14ac:dyDescent="0.45">
      <c r="A141" s="25" t="s">
        <v>417</v>
      </c>
      <c r="B141" s="26" t="str">
        <f>'дод 7'!A114</f>
        <v>3171</v>
      </c>
      <c r="C141" s="26">
        <f>'дод 7'!B114</f>
        <v>1010</v>
      </c>
      <c r="D141" s="30" t="str">
        <f>'дод 7'!C114</f>
        <v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v>
      </c>
      <c r="E141" s="28">
        <f t="shared" si="102"/>
        <v>203057</v>
      </c>
      <c r="F141" s="28">
        <v>203057</v>
      </c>
      <c r="G141" s="28"/>
      <c r="H141" s="28"/>
      <c r="I141" s="28"/>
      <c r="J141" s="28"/>
      <c r="K141" s="28"/>
      <c r="L141" s="28"/>
      <c r="M141" s="28"/>
      <c r="N141" s="28"/>
      <c r="O141" s="28"/>
      <c r="P141" s="28">
        <f t="shared" si="97"/>
        <v>203057</v>
      </c>
      <c r="Q141" s="156"/>
    </row>
    <row r="142" spans="1:17" s="38" customFormat="1" ht="21" customHeight="1" x14ac:dyDescent="0.45">
      <c r="A142" s="34"/>
      <c r="B142" s="35">
        <f>'дод 7'!A115</f>
        <v>0</v>
      </c>
      <c r="C142" s="35">
        <f>'дод 7'!B115</f>
        <v>0</v>
      </c>
      <c r="D142" s="36" t="str">
        <f>'дод 7'!C115</f>
        <v>іншої субвенції з місцевого бюджету</v>
      </c>
      <c r="E142" s="37">
        <f t="shared" si="102"/>
        <v>203057</v>
      </c>
      <c r="F142" s="37">
        <v>203057</v>
      </c>
      <c r="G142" s="37"/>
      <c r="H142" s="37"/>
      <c r="I142" s="37"/>
      <c r="J142" s="37"/>
      <c r="K142" s="37"/>
      <c r="L142" s="37"/>
      <c r="M142" s="37"/>
      <c r="N142" s="37"/>
      <c r="O142" s="37"/>
      <c r="P142" s="37">
        <f t="shared" si="97"/>
        <v>203057</v>
      </c>
      <c r="Q142" s="156"/>
    </row>
    <row r="143" spans="1:17" s="29" customFormat="1" ht="40.5" customHeight="1" x14ac:dyDescent="0.45">
      <c r="A143" s="25" t="s">
        <v>240</v>
      </c>
      <c r="B143" s="26" t="str">
        <f>'дод 7'!A116</f>
        <v>3191</v>
      </c>
      <c r="C143" s="26" t="str">
        <f>'дод 7'!B116</f>
        <v>1030</v>
      </c>
      <c r="D143" s="27" t="str">
        <f>'дод 7'!C116</f>
        <v>Інші видатки на соціальний захист ветеранів війни та праці</v>
      </c>
      <c r="E143" s="28">
        <f t="shared" si="96"/>
        <v>29337700</v>
      </c>
      <c r="F143" s="28">
        <f>28137700+1200000</f>
        <v>29337700</v>
      </c>
      <c r="G143" s="28"/>
      <c r="H143" s="28"/>
      <c r="I143" s="28"/>
      <c r="J143" s="28">
        <f t="shared" si="98"/>
        <v>0</v>
      </c>
      <c r="K143" s="28"/>
      <c r="L143" s="28"/>
      <c r="M143" s="28"/>
      <c r="N143" s="28"/>
      <c r="O143" s="28"/>
      <c r="P143" s="28">
        <f t="shared" si="97"/>
        <v>29337700</v>
      </c>
      <c r="Q143" s="156"/>
    </row>
    <row r="144" spans="1:17" s="29" customFormat="1" ht="60.75" customHeight="1" x14ac:dyDescent="0.45">
      <c r="A144" s="25" t="s">
        <v>241</v>
      </c>
      <c r="B144" s="26" t="str">
        <f>'дод 7'!A117</f>
        <v>3192</v>
      </c>
      <c r="C144" s="26" t="str">
        <f>'дод 7'!B117</f>
        <v>1030</v>
      </c>
      <c r="D144" s="27" t="str">
        <f>'дод 7'!C117</f>
        <v>Надання фінансової підтримки громадським об'єднанням ветеранів і осіб з інвалідністю, діяльність яких має соціальну спрямованість</v>
      </c>
      <c r="E144" s="28">
        <f t="shared" si="96"/>
        <v>2042540</v>
      </c>
      <c r="F144" s="28">
        <v>2042540</v>
      </c>
      <c r="G144" s="28"/>
      <c r="H144" s="28"/>
      <c r="I144" s="28"/>
      <c r="J144" s="28">
        <f t="shared" si="98"/>
        <v>0</v>
      </c>
      <c r="K144" s="28"/>
      <c r="L144" s="28"/>
      <c r="M144" s="28"/>
      <c r="N144" s="28"/>
      <c r="O144" s="28"/>
      <c r="P144" s="28">
        <f t="shared" si="97"/>
        <v>2042540</v>
      </c>
      <c r="Q144" s="156"/>
    </row>
    <row r="145" spans="1:18" s="29" customFormat="1" ht="85.5" customHeight="1" x14ac:dyDescent="0.45">
      <c r="A145" s="25" t="s">
        <v>475</v>
      </c>
      <c r="B145" s="26">
        <f>'дод 7'!A118</f>
        <v>3193</v>
      </c>
      <c r="C145" s="26">
        <f>'дод 7'!B118</f>
        <v>1030</v>
      </c>
      <c r="D145" s="30" t="str">
        <f>'дод 7'!C118</f>
        <v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у т.ч. за рахунок:</v>
      </c>
      <c r="E145" s="28">
        <f t="shared" si="96"/>
        <v>430007</v>
      </c>
      <c r="F145" s="28">
        <f>430007</f>
        <v>430007</v>
      </c>
      <c r="G145" s="28">
        <f>352465</f>
        <v>352465</v>
      </c>
      <c r="H145" s="28"/>
      <c r="I145" s="28"/>
      <c r="J145" s="28">
        <f t="shared" si="98"/>
        <v>0</v>
      </c>
      <c r="K145" s="28"/>
      <c r="L145" s="28"/>
      <c r="M145" s="28"/>
      <c r="N145" s="28"/>
      <c r="O145" s="28"/>
      <c r="P145" s="28">
        <f t="shared" si="97"/>
        <v>430007</v>
      </c>
      <c r="Q145" s="156"/>
    </row>
    <row r="146" spans="1:18" s="38" customFormat="1" ht="96.4" customHeight="1" x14ac:dyDescent="0.45">
      <c r="A146" s="34"/>
      <c r="B146" s="35">
        <f>'дод 7'!A119</f>
        <v>0</v>
      </c>
      <c r="C146" s="35">
        <f>'дод 7'!B119</f>
        <v>0</v>
      </c>
      <c r="D146" s="36" t="str">
        <f>'дод 7'!C119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E146" s="37">
        <f t="shared" si="96"/>
        <v>430007</v>
      </c>
      <c r="F146" s="37">
        <f>430007</f>
        <v>430007</v>
      </c>
      <c r="G146" s="37">
        <f>352465</f>
        <v>352465</v>
      </c>
      <c r="H146" s="37"/>
      <c r="I146" s="37"/>
      <c r="J146" s="28">
        <f t="shared" si="98"/>
        <v>0</v>
      </c>
      <c r="K146" s="37"/>
      <c r="L146" s="37"/>
      <c r="M146" s="37"/>
      <c r="N146" s="37"/>
      <c r="O146" s="37"/>
      <c r="P146" s="28">
        <f t="shared" si="97"/>
        <v>430007</v>
      </c>
      <c r="Q146" s="156"/>
    </row>
    <row r="147" spans="1:18" s="29" customFormat="1" ht="42.75" customHeight="1" x14ac:dyDescent="0.45">
      <c r="A147" s="25" t="s">
        <v>154</v>
      </c>
      <c r="B147" s="26" t="str">
        <f>'дод 7'!A120</f>
        <v>3200</v>
      </c>
      <c r="C147" s="26" t="str">
        <f>'дод 7'!B120</f>
        <v>1090</v>
      </c>
      <c r="D147" s="27" t="str">
        <f>'дод 7'!C120</f>
        <v>Забезпечення обробки інформації з нарахування та виплати допомог і компенсацій</v>
      </c>
      <c r="E147" s="28">
        <f t="shared" si="96"/>
        <v>107000</v>
      </c>
      <c r="F147" s="28">
        <v>107000</v>
      </c>
      <c r="G147" s="28"/>
      <c r="H147" s="28"/>
      <c r="I147" s="28"/>
      <c r="J147" s="28">
        <f t="shared" si="98"/>
        <v>0</v>
      </c>
      <c r="K147" s="28"/>
      <c r="L147" s="28"/>
      <c r="M147" s="28"/>
      <c r="N147" s="28"/>
      <c r="O147" s="28"/>
      <c r="P147" s="28">
        <f t="shared" si="97"/>
        <v>107000</v>
      </c>
      <c r="Q147" s="156"/>
    </row>
    <row r="148" spans="1:18" s="116" customFormat="1" ht="57" customHeight="1" x14ac:dyDescent="0.45">
      <c r="A148" s="25" t="s">
        <v>239</v>
      </c>
      <c r="B148" s="26" t="str">
        <f>'дод 7'!A122</f>
        <v>3241</v>
      </c>
      <c r="C148" s="26" t="str">
        <f>'дод 7'!B122</f>
        <v>1090</v>
      </c>
      <c r="D148" s="27" t="str">
        <f>'дод 7'!C122</f>
        <v>Надання комплексу послуг особам/сім’ям у сфері соціального захисту та соціального забезпечення іншими надавачами соціальних послуг</v>
      </c>
      <c r="E148" s="28">
        <f t="shared" si="96"/>
        <v>7683300</v>
      </c>
      <c r="F148" s="28">
        <f>7634300+1897200-1897200+49000</f>
        <v>7683300</v>
      </c>
      <c r="G148" s="28">
        <f>4315200+1260800-1260800</f>
        <v>4315200</v>
      </c>
      <c r="H148" s="28">
        <f>562900+287500-287500</f>
        <v>562900</v>
      </c>
      <c r="I148" s="28"/>
      <c r="J148" s="28">
        <f t="shared" ref="J148:J153" si="103">L148+O148</f>
        <v>110000</v>
      </c>
      <c r="K148" s="28">
        <v>110000</v>
      </c>
      <c r="L148" s="28"/>
      <c r="M148" s="28"/>
      <c r="N148" s="28"/>
      <c r="O148" s="28">
        <v>110000</v>
      </c>
      <c r="P148" s="28">
        <f t="shared" si="97"/>
        <v>7793300</v>
      </c>
      <c r="Q148" s="156"/>
      <c r="R148" s="29"/>
    </row>
    <row r="149" spans="1:18" s="116" customFormat="1" ht="39.75" customHeight="1" x14ac:dyDescent="0.45">
      <c r="A149" s="25" t="s">
        <v>274</v>
      </c>
      <c r="B149" s="26" t="str">
        <f>'дод 7'!A123</f>
        <v>3242</v>
      </c>
      <c r="C149" s="26" t="str">
        <f>'дод 7'!B123</f>
        <v>1090</v>
      </c>
      <c r="D149" s="27" t="str">
        <f>'дод 7'!C123</f>
        <v>Інші заходи у сфері соціального захисту і соціального забезпечення,    у т. ч. за рахунок:</v>
      </c>
      <c r="E149" s="28">
        <f t="shared" si="96"/>
        <v>184632506.53999999</v>
      </c>
      <c r="F149" s="28">
        <f>72756307+238400+6000000+207800+41235267.17+1750000+2868232.83+500000+600000+9000000+31410593.54+13665906+4400000</f>
        <v>184632506.53999999</v>
      </c>
      <c r="G149" s="28"/>
      <c r="H149" s="28"/>
      <c r="I149" s="28"/>
      <c r="J149" s="28">
        <f t="shared" si="103"/>
        <v>0</v>
      </c>
      <c r="K149" s="28"/>
      <c r="L149" s="28"/>
      <c r="M149" s="28"/>
      <c r="N149" s="28"/>
      <c r="O149" s="28"/>
      <c r="P149" s="28">
        <f t="shared" si="97"/>
        <v>184632506.53999999</v>
      </c>
      <c r="Q149" s="156"/>
      <c r="R149" s="29"/>
    </row>
    <row r="150" spans="1:18" s="38" customFormat="1" ht="15.4" x14ac:dyDescent="0.45">
      <c r="A150" s="34"/>
      <c r="B150" s="35"/>
      <c r="C150" s="35"/>
      <c r="D150" s="39" t="str">
        <f>'дод 7'!C124</f>
        <v>іншої субвенції з місцевого бюджету</v>
      </c>
      <c r="E150" s="37">
        <f t="shared" ref="E150:E152" si="104">F150+I150</f>
        <v>238400</v>
      </c>
      <c r="F150" s="37">
        <f>201600+24000+12800</f>
        <v>238400</v>
      </c>
      <c r="G150" s="28"/>
      <c r="H150" s="37"/>
      <c r="I150" s="37"/>
      <c r="J150" s="28">
        <f t="shared" si="103"/>
        <v>0</v>
      </c>
      <c r="K150" s="37"/>
      <c r="L150" s="37"/>
      <c r="M150" s="37"/>
      <c r="N150" s="37"/>
      <c r="O150" s="37"/>
      <c r="P150" s="37">
        <f t="shared" ref="P150:P151" si="105">E150+J150</f>
        <v>238400</v>
      </c>
      <c r="Q150" s="156"/>
    </row>
    <row r="151" spans="1:18" s="38" customFormat="1" ht="76.900000000000006" x14ac:dyDescent="0.45">
      <c r="A151" s="34"/>
      <c r="B151" s="35"/>
      <c r="C151" s="35"/>
      <c r="D151" s="39" t="s">
        <v>397</v>
      </c>
      <c r="E151" s="37">
        <f t="shared" si="104"/>
        <v>51303000</v>
      </c>
      <c r="F151" s="37">
        <v>51303000</v>
      </c>
      <c r="G151" s="37"/>
      <c r="H151" s="37"/>
      <c r="I151" s="37"/>
      <c r="J151" s="28">
        <f t="shared" si="103"/>
        <v>0</v>
      </c>
      <c r="K151" s="37"/>
      <c r="L151" s="37"/>
      <c r="M151" s="37"/>
      <c r="N151" s="37"/>
      <c r="O151" s="37"/>
      <c r="P151" s="37">
        <f t="shared" si="105"/>
        <v>51303000</v>
      </c>
      <c r="Q151" s="156"/>
    </row>
    <row r="152" spans="1:18" s="38" customFormat="1" ht="112.5" customHeight="1" x14ac:dyDescent="0.45">
      <c r="A152" s="34"/>
      <c r="B152" s="35"/>
      <c r="C152" s="35"/>
      <c r="D152" s="36" t="s">
        <v>452</v>
      </c>
      <c r="E152" s="37">
        <f t="shared" si="104"/>
        <v>2868232.83</v>
      </c>
      <c r="F152" s="37">
        <v>2868232.83</v>
      </c>
      <c r="G152" s="37"/>
      <c r="H152" s="37"/>
      <c r="I152" s="37"/>
      <c r="J152" s="28">
        <f t="shared" si="103"/>
        <v>0</v>
      </c>
      <c r="K152" s="37"/>
      <c r="L152" s="37"/>
      <c r="M152" s="37"/>
      <c r="N152" s="37"/>
      <c r="O152" s="37"/>
      <c r="P152" s="28">
        <f t="shared" si="97"/>
        <v>2868232.83</v>
      </c>
      <c r="Q152" s="137"/>
    </row>
    <row r="153" spans="1:18" s="29" customFormat="1" ht="27" customHeight="1" x14ac:dyDescent="0.45">
      <c r="A153" s="25" t="s">
        <v>216</v>
      </c>
      <c r="B153" s="26" t="str">
        <f>'дод 7'!A212</f>
        <v>9770</v>
      </c>
      <c r="C153" s="26" t="str">
        <f>'дод 7'!B212</f>
        <v>0180</v>
      </c>
      <c r="D153" s="30" t="str">
        <f>'дод 7'!C212</f>
        <v>Інші субвенції з місцевого бюджету</v>
      </c>
      <c r="E153" s="28">
        <f t="shared" si="96"/>
        <v>155650</v>
      </c>
      <c r="F153" s="28">
        <v>155650</v>
      </c>
      <c r="G153" s="28"/>
      <c r="H153" s="28"/>
      <c r="I153" s="28"/>
      <c r="J153" s="28">
        <f t="shared" si="103"/>
        <v>0</v>
      </c>
      <c r="K153" s="28"/>
      <c r="L153" s="28"/>
      <c r="M153" s="28"/>
      <c r="N153" s="28"/>
      <c r="O153" s="28"/>
      <c r="P153" s="28">
        <f t="shared" si="97"/>
        <v>155650</v>
      </c>
      <c r="Q153" s="156">
        <v>8</v>
      </c>
    </row>
    <row r="154" spans="1:18" s="19" customFormat="1" ht="30" x14ac:dyDescent="0.4">
      <c r="A154" s="16" t="s">
        <v>155</v>
      </c>
      <c r="B154" s="31"/>
      <c r="C154" s="31"/>
      <c r="D154" s="17" t="s">
        <v>279</v>
      </c>
      <c r="E154" s="18">
        <f>E155</f>
        <v>9438000</v>
      </c>
      <c r="F154" s="18">
        <f t="shared" ref="F154:J154" si="106">F155</f>
        <v>9438000</v>
      </c>
      <c r="G154" s="18">
        <f t="shared" si="106"/>
        <v>7109300</v>
      </c>
      <c r="H154" s="18">
        <f t="shared" si="106"/>
        <v>159900</v>
      </c>
      <c r="I154" s="18">
        <f t="shared" si="106"/>
        <v>0</v>
      </c>
      <c r="J154" s="18">
        <f t="shared" si="106"/>
        <v>0</v>
      </c>
      <c r="K154" s="18">
        <f t="shared" ref="K154" si="107">K155</f>
        <v>0</v>
      </c>
      <c r="L154" s="18">
        <f t="shared" ref="L154" si="108">L155</f>
        <v>0</v>
      </c>
      <c r="M154" s="18">
        <f t="shared" ref="M154" si="109">M155</f>
        <v>0</v>
      </c>
      <c r="N154" s="18">
        <f t="shared" ref="N154" si="110">N155</f>
        <v>0</v>
      </c>
      <c r="O154" s="18">
        <f t="shared" ref="O154:P154" si="111">O155</f>
        <v>0</v>
      </c>
      <c r="P154" s="18">
        <f t="shared" si="111"/>
        <v>9438000</v>
      </c>
      <c r="Q154" s="156"/>
    </row>
    <row r="155" spans="1:18" s="24" customFormat="1" ht="30" x14ac:dyDescent="0.4">
      <c r="A155" s="20" t="s">
        <v>156</v>
      </c>
      <c r="B155" s="32"/>
      <c r="C155" s="32"/>
      <c r="D155" s="22" t="s">
        <v>279</v>
      </c>
      <c r="E155" s="23">
        <f>E156+E157+E158+E159</f>
        <v>9438000</v>
      </c>
      <c r="F155" s="23">
        <f t="shared" ref="F155:P155" si="112">F156+F157+F158+F159</f>
        <v>9438000</v>
      </c>
      <c r="G155" s="23">
        <f t="shared" si="112"/>
        <v>7109300</v>
      </c>
      <c r="H155" s="23">
        <f t="shared" si="112"/>
        <v>159900</v>
      </c>
      <c r="I155" s="23">
        <f t="shared" si="112"/>
        <v>0</v>
      </c>
      <c r="J155" s="23">
        <f t="shared" si="112"/>
        <v>0</v>
      </c>
      <c r="K155" s="23">
        <f t="shared" si="112"/>
        <v>0</v>
      </c>
      <c r="L155" s="23">
        <f t="shared" si="112"/>
        <v>0</v>
      </c>
      <c r="M155" s="23">
        <f t="shared" si="112"/>
        <v>0</v>
      </c>
      <c r="N155" s="23">
        <f t="shared" si="112"/>
        <v>0</v>
      </c>
      <c r="O155" s="23">
        <f t="shared" si="112"/>
        <v>0</v>
      </c>
      <c r="P155" s="23">
        <f t="shared" si="112"/>
        <v>9438000</v>
      </c>
      <c r="Q155" s="156"/>
    </row>
    <row r="156" spans="1:18" s="29" customFormat="1" ht="30.75" x14ac:dyDescent="0.45">
      <c r="A156" s="25" t="s">
        <v>157</v>
      </c>
      <c r="B156" s="26" t="str">
        <f>'дод 7'!A17</f>
        <v>0160</v>
      </c>
      <c r="C156" s="26" t="str">
        <f>'дод 7'!B17</f>
        <v>0111</v>
      </c>
      <c r="D156" s="27" t="str">
        <f>'дод 7'!C17</f>
        <v>Керівництво і управління у відповідній сфері у містах (місті Києві), селищах, селах, територіальних громадах</v>
      </c>
      <c r="E156" s="28">
        <f t="shared" ref="E156:E159" si="113">F156+I156</f>
        <v>9145800</v>
      </c>
      <c r="F156" s="28">
        <f>8891300+254500</f>
        <v>9145800</v>
      </c>
      <c r="G156" s="28">
        <f>6900700+208600</f>
        <v>7109300</v>
      </c>
      <c r="H156" s="28">
        <v>159900</v>
      </c>
      <c r="I156" s="28"/>
      <c r="J156" s="28">
        <f>L156+O156</f>
        <v>0</v>
      </c>
      <c r="K156" s="28">
        <f>12000-12000</f>
        <v>0</v>
      </c>
      <c r="L156" s="28"/>
      <c r="M156" s="28"/>
      <c r="N156" s="28"/>
      <c r="O156" s="28">
        <f>12000-12000</f>
        <v>0</v>
      </c>
      <c r="P156" s="28">
        <f t="shared" ref="P156:P159" si="114">E156+J156</f>
        <v>9145800</v>
      </c>
      <c r="Q156" s="156"/>
    </row>
    <row r="157" spans="1:18" s="29" customFormat="1" ht="84.75" hidden="1" customHeight="1" x14ac:dyDescent="0.45">
      <c r="A157" s="25" t="s">
        <v>258</v>
      </c>
      <c r="B157" s="26" t="str">
        <f>'дод 7'!A105</f>
        <v>3111</v>
      </c>
      <c r="C157" s="26" t="str">
        <f>'дод 7'!B105</f>
        <v>1040</v>
      </c>
      <c r="D157" s="30" t="str">
        <f>'дод 7'!C105</f>
        <v>Надання комплексу послуг дітям-сиротам, дітям,
позбавленим батьківського піклування, особам з їх
числа та дітям віком від 3 до 18 років, які опинились
у складних життєвих обставинах, закладами, які
надають соціальні послуги дітям</v>
      </c>
      <c r="E157" s="28">
        <f t="shared" si="113"/>
        <v>0</v>
      </c>
      <c r="F157" s="28">
        <f>100000-100000</f>
        <v>0</v>
      </c>
      <c r="G157" s="28"/>
      <c r="H157" s="28"/>
      <c r="I157" s="28"/>
      <c r="J157" s="28">
        <f t="shared" ref="J157:J158" si="115">L157+O157</f>
        <v>0</v>
      </c>
      <c r="K157" s="28">
        <f>21140-21140</f>
        <v>0</v>
      </c>
      <c r="L157" s="28"/>
      <c r="M157" s="28"/>
      <c r="N157" s="28"/>
      <c r="O157" s="28">
        <f>21140-21140</f>
        <v>0</v>
      </c>
      <c r="P157" s="28">
        <f t="shared" si="114"/>
        <v>0</v>
      </c>
      <c r="Q157" s="156"/>
    </row>
    <row r="158" spans="1:18" s="29" customFormat="1" ht="31.5" customHeight="1" x14ac:dyDescent="0.45">
      <c r="A158" s="25" t="s">
        <v>158</v>
      </c>
      <c r="B158" s="26" t="str">
        <f>'дод 7'!A106</f>
        <v>3112</v>
      </c>
      <c r="C158" s="26" t="str">
        <f>'дод 7'!B106</f>
        <v>1040</v>
      </c>
      <c r="D158" s="30" t="str">
        <f>'дод 7'!C106</f>
        <v>Заходи державної політики з питань дітей та їх соціального захисту</v>
      </c>
      <c r="E158" s="28">
        <f t="shared" si="113"/>
        <v>141200</v>
      </c>
      <c r="F158" s="28">
        <f>192200-51000</f>
        <v>141200</v>
      </c>
      <c r="G158" s="28"/>
      <c r="H158" s="28"/>
      <c r="I158" s="28"/>
      <c r="J158" s="28">
        <f t="shared" si="115"/>
        <v>0</v>
      </c>
      <c r="K158" s="28"/>
      <c r="L158" s="28"/>
      <c r="M158" s="28"/>
      <c r="N158" s="28"/>
      <c r="O158" s="28"/>
      <c r="P158" s="28">
        <f t="shared" si="114"/>
        <v>141200</v>
      </c>
      <c r="Q158" s="156"/>
    </row>
    <row r="159" spans="1:18" s="29" customFormat="1" ht="46.15" x14ac:dyDescent="0.45">
      <c r="A159" s="25" t="s">
        <v>442</v>
      </c>
      <c r="B159" s="26">
        <f>'дод 7'!A107</f>
        <v>3114</v>
      </c>
      <c r="C159" s="26">
        <f>'дод 7'!B107</f>
        <v>1040</v>
      </c>
      <c r="D159" s="30" t="str">
        <f>'дод 7'!C107</f>
        <v>Забезпечення умов для догляду та виховання дітей і молоді в дитячих будинках сімейного типу, прийомних сім’ях та сім’ях патронатних вихователів</v>
      </c>
      <c r="E159" s="28">
        <f t="shared" si="113"/>
        <v>151000</v>
      </c>
      <c r="F159" s="28">
        <v>151000</v>
      </c>
      <c r="G159" s="28"/>
      <c r="H159" s="28"/>
      <c r="I159" s="28"/>
      <c r="J159" s="28"/>
      <c r="K159" s="28"/>
      <c r="L159" s="28"/>
      <c r="M159" s="28"/>
      <c r="N159" s="28"/>
      <c r="O159" s="28"/>
      <c r="P159" s="28">
        <f t="shared" si="114"/>
        <v>151000</v>
      </c>
      <c r="Q159" s="156"/>
    </row>
    <row r="160" spans="1:18" s="19" customFormat="1" ht="22.5" customHeight="1" x14ac:dyDescent="0.4">
      <c r="A160" s="16" t="s">
        <v>22</v>
      </c>
      <c r="B160" s="31"/>
      <c r="C160" s="31"/>
      <c r="D160" s="17" t="s">
        <v>259</v>
      </c>
      <c r="E160" s="18">
        <f>E161</f>
        <v>98534800</v>
      </c>
      <c r="F160" s="18">
        <f t="shared" ref="F160:J160" si="116">F161</f>
        <v>98534800</v>
      </c>
      <c r="G160" s="18">
        <f t="shared" si="116"/>
        <v>73705800</v>
      </c>
      <c r="H160" s="18">
        <f t="shared" si="116"/>
        <v>5133000</v>
      </c>
      <c r="I160" s="18">
        <f t="shared" si="116"/>
        <v>0</v>
      </c>
      <c r="J160" s="18">
        <f t="shared" si="116"/>
        <v>4820700</v>
      </c>
      <c r="K160" s="18">
        <f t="shared" ref="K160" si="117">K161</f>
        <v>1060000</v>
      </c>
      <c r="L160" s="18">
        <f t="shared" ref="L160" si="118">L161</f>
        <v>3758500</v>
      </c>
      <c r="M160" s="18">
        <f t="shared" ref="M160" si="119">M161</f>
        <v>3029160</v>
      </c>
      <c r="N160" s="18">
        <f t="shared" ref="N160" si="120">N161</f>
        <v>0</v>
      </c>
      <c r="O160" s="18">
        <f t="shared" ref="O160:P160" si="121">O161</f>
        <v>1062200</v>
      </c>
      <c r="P160" s="18">
        <f t="shared" si="121"/>
        <v>103355500</v>
      </c>
      <c r="Q160" s="156"/>
      <c r="R160" s="19">
        <f>J161-K161-L169</f>
        <v>3713600</v>
      </c>
    </row>
    <row r="161" spans="1:18" s="24" customFormat="1" ht="21.75" customHeight="1" x14ac:dyDescent="0.4">
      <c r="A161" s="20" t="s">
        <v>159</v>
      </c>
      <c r="B161" s="32"/>
      <c r="C161" s="32"/>
      <c r="D161" s="22" t="s">
        <v>259</v>
      </c>
      <c r="E161" s="23">
        <f>E162+E163+E164+E165+E166+E167+E168+E169</f>
        <v>98534800</v>
      </c>
      <c r="F161" s="23">
        <f t="shared" ref="F161:P161" si="122">F162+F163+F164+F165+F166+F167+F168+F169</f>
        <v>98534800</v>
      </c>
      <c r="G161" s="23">
        <f t="shared" si="122"/>
        <v>73705800</v>
      </c>
      <c r="H161" s="23">
        <f t="shared" si="122"/>
        <v>5133000</v>
      </c>
      <c r="I161" s="23">
        <f t="shared" si="122"/>
        <v>0</v>
      </c>
      <c r="J161" s="23">
        <f t="shared" si="122"/>
        <v>4820700</v>
      </c>
      <c r="K161" s="23">
        <f t="shared" si="122"/>
        <v>1060000</v>
      </c>
      <c r="L161" s="23">
        <f t="shared" si="122"/>
        <v>3758500</v>
      </c>
      <c r="M161" s="23">
        <f t="shared" si="122"/>
        <v>3029160</v>
      </c>
      <c r="N161" s="23">
        <f t="shared" si="122"/>
        <v>0</v>
      </c>
      <c r="O161" s="23">
        <f t="shared" si="122"/>
        <v>1062200</v>
      </c>
      <c r="P161" s="23">
        <f t="shared" si="122"/>
        <v>103355500</v>
      </c>
      <c r="Q161" s="156"/>
    </row>
    <row r="162" spans="1:18" s="29" customFormat="1" ht="30.75" x14ac:dyDescent="0.45">
      <c r="A162" s="25" t="s">
        <v>114</v>
      </c>
      <c r="B162" s="26" t="str">
        <f>'дод 7'!A17</f>
        <v>0160</v>
      </c>
      <c r="C162" s="26" t="str">
        <f>'дод 7'!B17</f>
        <v>0111</v>
      </c>
      <c r="D162" s="27" t="str">
        <f>'дод 7'!C17</f>
        <v>Керівництво і управління у відповідній сфері у містах (місті Києві), селищах, селах, територіальних громадах</v>
      </c>
      <c r="E162" s="28">
        <f t="shared" ref="E162:E169" si="123">F162+I162</f>
        <v>3286900</v>
      </c>
      <c r="F162" s="28">
        <f>3280300+6600</f>
        <v>3286900</v>
      </c>
      <c r="G162" s="28">
        <f>2536800+5400</f>
        <v>2542200</v>
      </c>
      <c r="H162" s="28">
        <v>93300</v>
      </c>
      <c r="I162" s="28"/>
      <c r="J162" s="28">
        <f>L162+O162</f>
        <v>0</v>
      </c>
      <c r="K162" s="28"/>
      <c r="L162" s="28"/>
      <c r="M162" s="28"/>
      <c r="N162" s="28"/>
      <c r="O162" s="28"/>
      <c r="P162" s="28">
        <f t="shared" ref="P162:P169" si="124">E162+J162</f>
        <v>3286900</v>
      </c>
      <c r="Q162" s="156"/>
    </row>
    <row r="163" spans="1:18" s="29" customFormat="1" ht="34.9" customHeight="1" x14ac:dyDescent="0.45">
      <c r="A163" s="25" t="s">
        <v>316</v>
      </c>
      <c r="B163" s="26">
        <f>'дод 7'!A45</f>
        <v>1080</v>
      </c>
      <c r="C163" s="26" t="str">
        <f>'дод 7'!B45</f>
        <v>0960</v>
      </c>
      <c r="D163" s="30" t="str">
        <f>'дод 7'!C45</f>
        <v>Надання спеціалізованої освіти мистецькими школами</v>
      </c>
      <c r="E163" s="28">
        <f t="shared" si="123"/>
        <v>58762400</v>
      </c>
      <c r="F163" s="28">
        <v>58762400</v>
      </c>
      <c r="G163" s="28">
        <v>46330300</v>
      </c>
      <c r="H163" s="28">
        <v>1616300</v>
      </c>
      <c r="I163" s="28"/>
      <c r="J163" s="28">
        <f>L163+O163</f>
        <v>3703600</v>
      </c>
      <c r="K163" s="28"/>
      <c r="L163" s="28">
        <v>3701400</v>
      </c>
      <c r="M163" s="28">
        <v>3029160</v>
      </c>
      <c r="N163" s="28"/>
      <c r="O163" s="28">
        <v>2200</v>
      </c>
      <c r="P163" s="28">
        <f t="shared" si="124"/>
        <v>62466000</v>
      </c>
      <c r="Q163" s="156"/>
    </row>
    <row r="164" spans="1:18" s="29" customFormat="1" ht="21" customHeight="1" x14ac:dyDescent="0.45">
      <c r="A164" s="25" t="s">
        <v>160</v>
      </c>
      <c r="B164" s="26" t="str">
        <f>'дод 7'!A128</f>
        <v>4030</v>
      </c>
      <c r="C164" s="26" t="str">
        <f>'дод 7'!B128</f>
        <v>0824</v>
      </c>
      <c r="D164" s="27" t="str">
        <f>'дод 7'!C128</f>
        <v>Забезпечення діяльності бібліотек</v>
      </c>
      <c r="E164" s="28">
        <f t="shared" si="123"/>
        <v>26641500</v>
      </c>
      <c r="F164" s="28">
        <f>26555900+85600</f>
        <v>26641500</v>
      </c>
      <c r="G164" s="28">
        <v>18518800</v>
      </c>
      <c r="H164" s="28">
        <v>2877800</v>
      </c>
      <c r="I164" s="28"/>
      <c r="J164" s="28">
        <f t="shared" ref="J164:J169" si="125">L164+O164</f>
        <v>670000</v>
      </c>
      <c r="K164" s="28">
        <f>500000+160000</f>
        <v>660000</v>
      </c>
      <c r="L164" s="28">
        <v>10000</v>
      </c>
      <c r="M164" s="28"/>
      <c r="N164" s="28"/>
      <c r="O164" s="28">
        <f>500000+160000</f>
        <v>660000</v>
      </c>
      <c r="P164" s="28">
        <f t="shared" si="124"/>
        <v>27311500</v>
      </c>
      <c r="Q164" s="156"/>
    </row>
    <row r="165" spans="1:18" s="123" customFormat="1" ht="54.75" customHeight="1" x14ac:dyDescent="0.45">
      <c r="A165" s="25">
        <v>1014060</v>
      </c>
      <c r="B165" s="26" t="str">
        <f>'дод 7'!A129</f>
        <v>4060</v>
      </c>
      <c r="C165" s="26" t="str">
        <f>'дод 7'!B129</f>
        <v>0828</v>
      </c>
      <c r="D165" s="27" t="str">
        <f>'дод 7'!C129</f>
        <v>Забезпечення діяльності палаців i будинків культури, клубів, центрів дозвілля та iнших клубних закладів</v>
      </c>
      <c r="E165" s="28">
        <f t="shared" si="123"/>
        <v>5950000</v>
      </c>
      <c r="F165" s="28">
        <v>5950000</v>
      </c>
      <c r="G165" s="28">
        <v>3831000</v>
      </c>
      <c r="H165" s="28">
        <v>413000</v>
      </c>
      <c r="I165" s="28"/>
      <c r="J165" s="28">
        <f t="shared" si="125"/>
        <v>200000</v>
      </c>
      <c r="K165" s="28">
        <f>400000-200000</f>
        <v>200000</v>
      </c>
      <c r="L165" s="28"/>
      <c r="M165" s="28"/>
      <c r="N165" s="28"/>
      <c r="O165" s="28">
        <f>400000-200000</f>
        <v>200000</v>
      </c>
      <c r="P165" s="28">
        <f t="shared" si="124"/>
        <v>6150000</v>
      </c>
      <c r="Q165" s="156"/>
      <c r="R165" s="29"/>
    </row>
    <row r="166" spans="1:18" s="38" customFormat="1" ht="33.75" customHeight="1" x14ac:dyDescent="0.45">
      <c r="A166" s="25">
        <v>1014081</v>
      </c>
      <c r="B166" s="26" t="str">
        <f>'дод 7'!A130</f>
        <v>4081</v>
      </c>
      <c r="C166" s="26" t="str">
        <f>'дод 7'!B130</f>
        <v>0829</v>
      </c>
      <c r="D166" s="27" t="str">
        <f>'дод 7'!C130</f>
        <v>Забезпечення діяльності інших закладів в галузі культури і мистецтва</v>
      </c>
      <c r="E166" s="28">
        <f t="shared" si="123"/>
        <v>3394000</v>
      </c>
      <c r="F166" s="28">
        <v>3394000</v>
      </c>
      <c r="G166" s="28">
        <v>2483500</v>
      </c>
      <c r="H166" s="28">
        <v>132600</v>
      </c>
      <c r="I166" s="28"/>
      <c r="J166" s="28">
        <f t="shared" si="125"/>
        <v>0</v>
      </c>
      <c r="K166" s="28"/>
      <c r="L166" s="28"/>
      <c r="M166" s="28"/>
      <c r="N166" s="28"/>
      <c r="O166" s="28"/>
      <c r="P166" s="28">
        <f t="shared" si="124"/>
        <v>3394000</v>
      </c>
      <c r="Q166" s="156"/>
    </row>
    <row r="167" spans="1:18" s="38" customFormat="1" ht="25.5" customHeight="1" x14ac:dyDescent="0.45">
      <c r="A167" s="25">
        <v>1014082</v>
      </c>
      <c r="B167" s="26" t="str">
        <f>'дод 7'!A131</f>
        <v>4082</v>
      </c>
      <c r="C167" s="26" t="str">
        <f>'дод 7'!B131</f>
        <v>0829</v>
      </c>
      <c r="D167" s="27" t="str">
        <f>'дод 7'!C131</f>
        <v>Інші заходи в галузі культури і мистецтва</v>
      </c>
      <c r="E167" s="28">
        <f t="shared" si="123"/>
        <v>500000</v>
      </c>
      <c r="F167" s="28">
        <v>500000</v>
      </c>
      <c r="G167" s="28"/>
      <c r="H167" s="28"/>
      <c r="I167" s="28"/>
      <c r="J167" s="28">
        <f t="shared" si="125"/>
        <v>0</v>
      </c>
      <c r="K167" s="28"/>
      <c r="L167" s="28"/>
      <c r="M167" s="28"/>
      <c r="N167" s="28"/>
      <c r="O167" s="28"/>
      <c r="P167" s="28">
        <f t="shared" si="124"/>
        <v>500000</v>
      </c>
      <c r="Q167" s="156"/>
    </row>
    <row r="168" spans="1:18" s="122" customFormat="1" ht="25.5" customHeight="1" x14ac:dyDescent="0.45">
      <c r="A168" s="25" t="s">
        <v>511</v>
      </c>
      <c r="B168" s="26">
        <f>'дод 7'!A132</f>
        <v>4083</v>
      </c>
      <c r="C168" s="26" t="str">
        <f>'дод 7'!B132</f>
        <v>0829</v>
      </c>
      <c r="D168" s="30" t="str">
        <f>'дод 7'!C132</f>
        <v>Будівництво-1 закладів культури і мистецтва</v>
      </c>
      <c r="E168" s="28">
        <f t="shared" si="123"/>
        <v>0</v>
      </c>
      <c r="F168" s="28"/>
      <c r="G168" s="28"/>
      <c r="H168" s="28"/>
      <c r="I168" s="28"/>
      <c r="J168" s="28">
        <f t="shared" si="125"/>
        <v>200000</v>
      </c>
      <c r="K168" s="28">
        <v>200000</v>
      </c>
      <c r="L168" s="28"/>
      <c r="M168" s="28"/>
      <c r="N168" s="28"/>
      <c r="O168" s="28">
        <v>200000</v>
      </c>
      <c r="P168" s="28">
        <f t="shared" si="124"/>
        <v>200000</v>
      </c>
      <c r="Q168" s="156"/>
      <c r="R168" s="38"/>
    </row>
    <row r="169" spans="1:18" s="29" customFormat="1" ht="40.5" customHeight="1" x14ac:dyDescent="0.45">
      <c r="A169" s="25">
        <v>1018340</v>
      </c>
      <c r="B169" s="26" t="str">
        <f>'дод 7'!A206</f>
        <v>8340</v>
      </c>
      <c r="C169" s="26" t="str">
        <f>'дод 7'!B206</f>
        <v>0540</v>
      </c>
      <c r="D169" s="30" t="str">
        <f>'дод 7'!C206</f>
        <v>Природоохоронні заходи за рахунок цільових фондів</v>
      </c>
      <c r="E169" s="28">
        <f t="shared" si="123"/>
        <v>0</v>
      </c>
      <c r="F169" s="28"/>
      <c r="G169" s="28"/>
      <c r="H169" s="28"/>
      <c r="I169" s="28"/>
      <c r="J169" s="28">
        <f t="shared" si="125"/>
        <v>47100</v>
      </c>
      <c r="K169" s="28"/>
      <c r="L169" s="28">
        <v>47100</v>
      </c>
      <c r="M169" s="28"/>
      <c r="N169" s="28"/>
      <c r="O169" s="28"/>
      <c r="P169" s="28">
        <f t="shared" si="124"/>
        <v>47100</v>
      </c>
      <c r="Q169" s="156"/>
    </row>
    <row r="170" spans="1:18" s="19" customFormat="1" ht="34.5" customHeight="1" x14ac:dyDescent="0.4">
      <c r="A170" s="16" t="s">
        <v>161</v>
      </c>
      <c r="B170" s="31"/>
      <c r="C170" s="31"/>
      <c r="D170" s="17" t="s">
        <v>27</v>
      </c>
      <c r="E170" s="18">
        <f>E171</f>
        <v>536736326</v>
      </c>
      <c r="F170" s="18">
        <f t="shared" ref="F170:H170" si="126">F171</f>
        <v>375792917</v>
      </c>
      <c r="G170" s="18">
        <f t="shared" si="126"/>
        <v>23787200</v>
      </c>
      <c r="H170" s="18">
        <f t="shared" si="126"/>
        <v>55799100</v>
      </c>
      <c r="I170" s="18">
        <f>I171</f>
        <v>160943409</v>
      </c>
      <c r="J170" s="18">
        <f>J171</f>
        <v>173004645.18000001</v>
      </c>
      <c r="K170" s="18">
        <f t="shared" ref="K170:P170" si="127">K171</f>
        <v>75042975.280000001</v>
      </c>
      <c r="L170" s="18">
        <f t="shared" si="127"/>
        <v>1612200</v>
      </c>
      <c r="M170" s="18">
        <f t="shared" si="127"/>
        <v>0</v>
      </c>
      <c r="N170" s="18">
        <f t="shared" si="127"/>
        <v>0</v>
      </c>
      <c r="O170" s="18">
        <f t="shared" si="127"/>
        <v>171392445.18000001</v>
      </c>
      <c r="P170" s="18">
        <f t="shared" si="127"/>
        <v>709740971.17999995</v>
      </c>
      <c r="Q170" s="156"/>
    </row>
    <row r="171" spans="1:18" s="24" customFormat="1" ht="35.65" customHeight="1" x14ac:dyDescent="0.4">
      <c r="A171" s="20" t="s">
        <v>162</v>
      </c>
      <c r="B171" s="32"/>
      <c r="C171" s="32"/>
      <c r="D171" s="22" t="s">
        <v>479</v>
      </c>
      <c r="E171" s="23">
        <f>E177+E178+E179+E180+E182+E183+E184+E185+E194+E202+E203+E204+E207+E208+E205+E206+E187+E198+E200+E201+E186+E181+E199+E196+E192+E190+E195</f>
        <v>536736326</v>
      </c>
      <c r="F171" s="23">
        <f t="shared" ref="F171:P171" si="128">F177+F178+F179+F180+F182+F183+F184+F185+F194+F202+F203+F204+F207+F208+F205+F206+F187+F198+F200+F201+F186+F181+F199+F196+F192+F190+F195</f>
        <v>375792917</v>
      </c>
      <c r="G171" s="23">
        <f t="shared" si="128"/>
        <v>23787200</v>
      </c>
      <c r="H171" s="23">
        <f t="shared" si="128"/>
        <v>55799100</v>
      </c>
      <c r="I171" s="23">
        <f t="shared" si="128"/>
        <v>160943409</v>
      </c>
      <c r="J171" s="23">
        <f t="shared" si="128"/>
        <v>173004645.18000001</v>
      </c>
      <c r="K171" s="23">
        <f t="shared" si="128"/>
        <v>75042975.280000001</v>
      </c>
      <c r="L171" s="23">
        <f t="shared" si="128"/>
        <v>1612200</v>
      </c>
      <c r="M171" s="23">
        <f t="shared" si="128"/>
        <v>0</v>
      </c>
      <c r="N171" s="23">
        <f t="shared" si="128"/>
        <v>0</v>
      </c>
      <c r="O171" s="23">
        <f t="shared" si="128"/>
        <v>171392445.18000001</v>
      </c>
      <c r="P171" s="23">
        <f t="shared" si="128"/>
        <v>709740971.17999995</v>
      </c>
      <c r="Q171" s="156"/>
    </row>
    <row r="172" spans="1:18" s="24" customFormat="1" ht="75" x14ac:dyDescent="0.4">
      <c r="A172" s="20"/>
      <c r="B172" s="32"/>
      <c r="C172" s="32"/>
      <c r="D172" s="22" t="str">
        <f>D193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E172" s="23">
        <f>E193</f>
        <v>0</v>
      </c>
      <c r="F172" s="23">
        <f t="shared" ref="F172:P172" si="129">F193</f>
        <v>0</v>
      </c>
      <c r="G172" s="23">
        <f t="shared" si="129"/>
        <v>0</v>
      </c>
      <c r="H172" s="23">
        <f t="shared" si="129"/>
        <v>0</v>
      </c>
      <c r="I172" s="23">
        <f t="shared" si="129"/>
        <v>0</v>
      </c>
      <c r="J172" s="23">
        <f t="shared" si="129"/>
        <v>89775000</v>
      </c>
      <c r="K172" s="23">
        <f t="shared" si="129"/>
        <v>0</v>
      </c>
      <c r="L172" s="23">
        <f t="shared" si="129"/>
        <v>0</v>
      </c>
      <c r="M172" s="23">
        <f t="shared" si="129"/>
        <v>0</v>
      </c>
      <c r="N172" s="23">
        <f t="shared" si="129"/>
        <v>0</v>
      </c>
      <c r="O172" s="23">
        <f t="shared" si="129"/>
        <v>89775000</v>
      </c>
      <c r="P172" s="23">
        <f t="shared" si="129"/>
        <v>89775000</v>
      </c>
      <c r="Q172" s="156"/>
    </row>
    <row r="173" spans="1:18" s="124" customFormat="1" ht="81" customHeight="1" x14ac:dyDescent="0.4">
      <c r="A173" s="20"/>
      <c r="B173" s="32"/>
      <c r="C173" s="32"/>
      <c r="D173" s="22" t="str">
        <f>D191</f>
        <v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173" s="23">
        <f>E191</f>
        <v>313360</v>
      </c>
      <c r="F173" s="23">
        <f t="shared" ref="F173:P173" si="130">F191</f>
        <v>313360</v>
      </c>
      <c r="G173" s="23">
        <f t="shared" si="130"/>
        <v>0</v>
      </c>
      <c r="H173" s="23">
        <f t="shared" si="130"/>
        <v>0</v>
      </c>
      <c r="I173" s="23">
        <f t="shared" si="130"/>
        <v>0</v>
      </c>
      <c r="J173" s="23">
        <f t="shared" si="130"/>
        <v>0</v>
      </c>
      <c r="K173" s="23">
        <f t="shared" si="130"/>
        <v>0</v>
      </c>
      <c r="L173" s="23">
        <f t="shared" si="130"/>
        <v>0</v>
      </c>
      <c r="M173" s="23">
        <f t="shared" si="130"/>
        <v>0</v>
      </c>
      <c r="N173" s="23">
        <f t="shared" si="130"/>
        <v>0</v>
      </c>
      <c r="O173" s="23">
        <f t="shared" si="130"/>
        <v>0</v>
      </c>
      <c r="P173" s="23">
        <f t="shared" si="130"/>
        <v>313360</v>
      </c>
      <c r="Q173" s="156"/>
      <c r="R173" s="24"/>
    </row>
    <row r="174" spans="1:18" s="24" customFormat="1" ht="105" x14ac:dyDescent="0.4">
      <c r="A174" s="20"/>
      <c r="B174" s="32"/>
      <c r="C174" s="32"/>
      <c r="D174" s="22" t="str">
        <f>D197</f>
        <v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v>
      </c>
      <c r="E174" s="23">
        <f>E197</f>
        <v>0</v>
      </c>
      <c r="F174" s="23">
        <f t="shared" ref="F174:P174" si="131">F197</f>
        <v>0</v>
      </c>
      <c r="G174" s="23">
        <f t="shared" si="131"/>
        <v>0</v>
      </c>
      <c r="H174" s="23">
        <f t="shared" si="131"/>
        <v>0</v>
      </c>
      <c r="I174" s="23">
        <f t="shared" si="131"/>
        <v>0</v>
      </c>
      <c r="J174" s="23">
        <f t="shared" si="131"/>
        <v>6564069.9000000004</v>
      </c>
      <c r="K174" s="23">
        <f t="shared" si="131"/>
        <v>0</v>
      </c>
      <c r="L174" s="23">
        <f t="shared" si="131"/>
        <v>0</v>
      </c>
      <c r="M174" s="23">
        <f t="shared" si="131"/>
        <v>0</v>
      </c>
      <c r="N174" s="23">
        <f t="shared" si="131"/>
        <v>0</v>
      </c>
      <c r="O174" s="23">
        <f t="shared" si="131"/>
        <v>6564069.9000000004</v>
      </c>
      <c r="P174" s="23">
        <f t="shared" si="131"/>
        <v>6564069.9000000004</v>
      </c>
      <c r="Q174" s="156"/>
    </row>
    <row r="175" spans="1:18" s="124" customFormat="1" ht="39.4" customHeight="1" x14ac:dyDescent="0.4">
      <c r="A175" s="20"/>
      <c r="B175" s="32"/>
      <c r="C175" s="32"/>
      <c r="D175" s="22" t="str">
        <f>D188</f>
        <v>залишку коштів інших субвенцій з місцевого бюджету,  що склався станом на 01.01.2025 року</v>
      </c>
      <c r="E175" s="23">
        <f>E188</f>
        <v>0</v>
      </c>
      <c r="F175" s="23">
        <f t="shared" ref="F175:P175" si="132">F188</f>
        <v>0</v>
      </c>
      <c r="G175" s="23">
        <f t="shared" si="132"/>
        <v>0</v>
      </c>
      <c r="H175" s="23">
        <f t="shared" si="132"/>
        <v>0</v>
      </c>
      <c r="I175" s="23">
        <f t="shared" si="132"/>
        <v>0</v>
      </c>
      <c r="J175" s="23">
        <f t="shared" si="132"/>
        <v>4380600</v>
      </c>
      <c r="K175" s="23">
        <f t="shared" si="132"/>
        <v>4380600</v>
      </c>
      <c r="L175" s="23">
        <f t="shared" si="132"/>
        <v>0</v>
      </c>
      <c r="M175" s="23">
        <f t="shared" si="132"/>
        <v>0</v>
      </c>
      <c r="N175" s="23">
        <f t="shared" si="132"/>
        <v>0</v>
      </c>
      <c r="O175" s="23">
        <f t="shared" si="132"/>
        <v>4380600</v>
      </c>
      <c r="P175" s="23">
        <f t="shared" si="132"/>
        <v>4380600</v>
      </c>
      <c r="Q175" s="156"/>
      <c r="R175" s="24"/>
    </row>
    <row r="176" spans="1:18" s="124" customFormat="1" ht="15" x14ac:dyDescent="0.4">
      <c r="A176" s="20"/>
      <c r="B176" s="32"/>
      <c r="C176" s="32"/>
      <c r="D176" s="22" t="str">
        <f>D189</f>
        <v>іншої субвенції з місцевого бюджету</v>
      </c>
      <c r="E176" s="23">
        <f>E189</f>
        <v>0</v>
      </c>
      <c r="F176" s="23">
        <f t="shared" ref="F176:P176" si="133">F189</f>
        <v>0</v>
      </c>
      <c r="G176" s="23">
        <f t="shared" si="133"/>
        <v>0</v>
      </c>
      <c r="H176" s="23">
        <f t="shared" si="133"/>
        <v>0</v>
      </c>
      <c r="I176" s="23">
        <f t="shared" si="133"/>
        <v>0</v>
      </c>
      <c r="J176" s="23">
        <f t="shared" si="133"/>
        <v>68255</v>
      </c>
      <c r="K176" s="23">
        <f t="shared" si="133"/>
        <v>68255</v>
      </c>
      <c r="L176" s="23">
        <f t="shared" si="133"/>
        <v>0</v>
      </c>
      <c r="M176" s="23">
        <f t="shared" si="133"/>
        <v>0</v>
      </c>
      <c r="N176" s="23">
        <f t="shared" si="133"/>
        <v>0</v>
      </c>
      <c r="O176" s="23">
        <f t="shared" si="133"/>
        <v>68255</v>
      </c>
      <c r="P176" s="23">
        <f t="shared" si="133"/>
        <v>68255</v>
      </c>
      <c r="Q176" s="156"/>
      <c r="R176" s="24"/>
    </row>
    <row r="177" spans="1:18" s="29" customFormat="1" ht="30.75" x14ac:dyDescent="0.45">
      <c r="A177" s="25" t="s">
        <v>163</v>
      </c>
      <c r="B177" s="25" t="str">
        <f>'дод 7'!A17</f>
        <v>0160</v>
      </c>
      <c r="C177" s="25" t="str">
        <f>'дод 7'!B17</f>
        <v>0111</v>
      </c>
      <c r="D177" s="27" t="str">
        <f>'дод 7'!C17</f>
        <v>Керівництво і управління у відповідній сфері у містах (місті Києві), селищах, селах, територіальних громадах</v>
      </c>
      <c r="E177" s="28">
        <f t="shared" ref="E177:E208" si="134">F177+I177</f>
        <v>30674300</v>
      </c>
      <c r="F177" s="28">
        <f>30800100+367200-100000-393000</f>
        <v>30674300</v>
      </c>
      <c r="G177" s="28">
        <f>24109300-322100</f>
        <v>23787200</v>
      </c>
      <c r="H177" s="28">
        <v>593100</v>
      </c>
      <c r="I177" s="28"/>
      <c r="J177" s="28">
        <f>L177+O177</f>
        <v>0</v>
      </c>
      <c r="K177" s="28"/>
      <c r="L177" s="28"/>
      <c r="M177" s="28"/>
      <c r="N177" s="28"/>
      <c r="O177" s="28"/>
      <c r="P177" s="28">
        <f t="shared" ref="P177:P208" si="135">E177+J177</f>
        <v>30674300</v>
      </c>
      <c r="Q177" s="156"/>
    </row>
    <row r="178" spans="1:18" s="29" customFormat="1" ht="23.25" hidden="1" customHeight="1" x14ac:dyDescent="0.45">
      <c r="A178" s="25" t="s">
        <v>320</v>
      </c>
      <c r="B178" s="25" t="str">
        <f>'дод 7'!A18</f>
        <v>0180</v>
      </c>
      <c r="C178" s="25" t="str">
        <f>'дод 7'!B18</f>
        <v>0133</v>
      </c>
      <c r="D178" s="42" t="str">
        <f>'дод 7'!C18</f>
        <v>Інша діяльність у сфері державного управління</v>
      </c>
      <c r="E178" s="28">
        <f t="shared" si="134"/>
        <v>0</v>
      </c>
      <c r="F178" s="28"/>
      <c r="G178" s="28"/>
      <c r="H178" s="28"/>
      <c r="I178" s="28"/>
      <c r="J178" s="28">
        <f>L178+O178</f>
        <v>0</v>
      </c>
      <c r="K178" s="28"/>
      <c r="L178" s="28"/>
      <c r="M178" s="28"/>
      <c r="N178" s="28"/>
      <c r="O178" s="28"/>
      <c r="P178" s="28">
        <f t="shared" si="135"/>
        <v>0</v>
      </c>
      <c r="Q178" s="156"/>
    </row>
    <row r="179" spans="1:18" s="29" customFormat="1" ht="19.5" customHeight="1" x14ac:dyDescent="0.45">
      <c r="A179" s="25" t="s">
        <v>236</v>
      </c>
      <c r="B179" s="26" t="str">
        <f>'дод 7'!A121</f>
        <v>3210</v>
      </c>
      <c r="C179" s="26" t="str">
        <f>'дод 7'!B121</f>
        <v>1050</v>
      </c>
      <c r="D179" s="27" t="str">
        <f>'дод 7'!C121</f>
        <v>Організація та проведення громадських робіт</v>
      </c>
      <c r="E179" s="28">
        <f t="shared" si="134"/>
        <v>100000</v>
      </c>
      <c r="F179" s="28">
        <v>100000</v>
      </c>
      <c r="G179" s="28"/>
      <c r="H179" s="28"/>
      <c r="I179" s="28"/>
      <c r="J179" s="28">
        <f t="shared" ref="J179:J208" si="136">L179+O179</f>
        <v>0</v>
      </c>
      <c r="K179" s="28"/>
      <c r="L179" s="28"/>
      <c r="M179" s="28"/>
      <c r="N179" s="28"/>
      <c r="O179" s="28"/>
      <c r="P179" s="28">
        <f t="shared" si="135"/>
        <v>100000</v>
      </c>
      <c r="Q179" s="156"/>
    </row>
    <row r="180" spans="1:18" s="29" customFormat="1" ht="30.75" x14ac:dyDescent="0.45">
      <c r="A180" s="25" t="s">
        <v>164</v>
      </c>
      <c r="B180" s="26" t="str">
        <f>'дод 7'!A145</f>
        <v>6013</v>
      </c>
      <c r="C180" s="26" t="str">
        <f>'дод 7'!B145</f>
        <v>0620</v>
      </c>
      <c r="D180" s="27" t="str">
        <f>'дод 7'!C145</f>
        <v>Забезпечення діяльності водопровідно-каналізаційного господарства</v>
      </c>
      <c r="E180" s="28">
        <f t="shared" si="134"/>
        <v>61034773</v>
      </c>
      <c r="F180" s="28">
        <f>1005000+29773</f>
        <v>1034773</v>
      </c>
      <c r="G180" s="28"/>
      <c r="H180" s="28"/>
      <c r="I180" s="28">
        <v>60000000</v>
      </c>
      <c r="J180" s="28">
        <f t="shared" si="136"/>
        <v>8583307</v>
      </c>
      <c r="K180" s="28">
        <v>8583307</v>
      </c>
      <c r="L180" s="28"/>
      <c r="M180" s="28"/>
      <c r="N180" s="28"/>
      <c r="O180" s="28">
        <v>8583307</v>
      </c>
      <c r="P180" s="28">
        <f t="shared" si="135"/>
        <v>69618080</v>
      </c>
      <c r="Q180" s="156"/>
    </row>
    <row r="181" spans="1:18" s="29" customFormat="1" ht="15.4" x14ac:dyDescent="0.45">
      <c r="A181" s="25" t="s">
        <v>384</v>
      </c>
      <c r="B181" s="26">
        <f>'дод 7'!A146</f>
        <v>6014</v>
      </c>
      <c r="C181" s="26" t="str">
        <f>'дод 7'!B146</f>
        <v>0620</v>
      </c>
      <c r="D181" s="30" t="str">
        <f>'дод 7'!C146</f>
        <v>Забезпечення збору та вивезення сміття і відходів</v>
      </c>
      <c r="E181" s="28">
        <f t="shared" ref="E181" si="137">F181+I181</f>
        <v>6500000</v>
      </c>
      <c r="F181" s="28">
        <v>6500000</v>
      </c>
      <c r="G181" s="28"/>
      <c r="H181" s="28"/>
      <c r="I181" s="28"/>
      <c r="J181" s="28">
        <f t="shared" ref="J181" si="138">L181+O181</f>
        <v>0</v>
      </c>
      <c r="K181" s="28"/>
      <c r="L181" s="28"/>
      <c r="M181" s="28"/>
      <c r="N181" s="28"/>
      <c r="O181" s="28"/>
      <c r="P181" s="28">
        <f t="shared" ref="P181" si="139">E181+J181</f>
        <v>6500000</v>
      </c>
      <c r="Q181" s="156"/>
    </row>
    <row r="182" spans="1:18" s="29" customFormat="1" ht="32.25" customHeight="1" x14ac:dyDescent="0.45">
      <c r="A182" s="25" t="s">
        <v>213</v>
      </c>
      <c r="B182" s="26" t="str">
        <f>'дод 7'!A147</f>
        <v>6017</v>
      </c>
      <c r="C182" s="26" t="str">
        <f>'дод 7'!B147</f>
        <v>0620</v>
      </c>
      <c r="D182" s="27" t="str">
        <f>'дод 7'!C147</f>
        <v>Інша діяльність, пов’язана з експлуатацією об’єктів житлово-комунального господарства</v>
      </c>
      <c r="E182" s="28">
        <f t="shared" si="134"/>
        <v>600000</v>
      </c>
      <c r="F182" s="28">
        <f>400000+200000</f>
        <v>600000</v>
      </c>
      <c r="G182" s="28"/>
      <c r="H182" s="28"/>
      <c r="I182" s="28"/>
      <c r="J182" s="28">
        <f t="shared" si="136"/>
        <v>0</v>
      </c>
      <c r="K182" s="28"/>
      <c r="L182" s="28"/>
      <c r="M182" s="28"/>
      <c r="N182" s="28"/>
      <c r="O182" s="28"/>
      <c r="P182" s="28">
        <f t="shared" si="135"/>
        <v>600000</v>
      </c>
      <c r="Q182" s="156">
        <v>9</v>
      </c>
    </row>
    <row r="183" spans="1:18" s="29" customFormat="1" ht="63.75" customHeight="1" x14ac:dyDescent="0.45">
      <c r="A183" s="25" t="s">
        <v>165</v>
      </c>
      <c r="B183" s="26" t="str">
        <f>'дод 7'!A148</f>
        <v>6020</v>
      </c>
      <c r="C183" s="26" t="str">
        <f>'дод 7'!B148</f>
        <v>0620</v>
      </c>
      <c r="D183" s="27" t="str">
        <f>'дод 7'!C148</f>
        <v>Забезпечення функціонування підприємств, установ та організацій, що виробляють, виконують та/або надають житлово-комунальні послуги</v>
      </c>
      <c r="E183" s="28">
        <f t="shared" si="134"/>
        <v>2991209</v>
      </c>
      <c r="F183" s="28"/>
      <c r="G183" s="28"/>
      <c r="H183" s="28"/>
      <c r="I183" s="28">
        <f>2785000+200000+6209</f>
        <v>2991209</v>
      </c>
      <c r="J183" s="28">
        <f t="shared" si="136"/>
        <v>0</v>
      </c>
      <c r="K183" s="28"/>
      <c r="L183" s="28"/>
      <c r="M183" s="28"/>
      <c r="N183" s="28"/>
      <c r="O183" s="28"/>
      <c r="P183" s="28">
        <f t="shared" si="135"/>
        <v>2991209</v>
      </c>
      <c r="Q183" s="156"/>
    </row>
    <row r="184" spans="1:18" s="116" customFormat="1" ht="24.75" customHeight="1" x14ac:dyDescent="0.45">
      <c r="A184" s="25" t="s">
        <v>166</v>
      </c>
      <c r="B184" s="26" t="str">
        <f>'дод 7'!A149</f>
        <v>6030</v>
      </c>
      <c r="C184" s="26" t="str">
        <f>'дод 7'!B149</f>
        <v>0620</v>
      </c>
      <c r="D184" s="27" t="str">
        <f>'дод 7'!C149</f>
        <v>Організація благоустрою населених пунктів</v>
      </c>
      <c r="E184" s="28">
        <f t="shared" si="134"/>
        <v>295607647</v>
      </c>
      <c r="F184" s="28">
        <f>294490800+1000000-1000000-367200+100000+50000+134047</f>
        <v>294407647</v>
      </c>
      <c r="G184" s="28"/>
      <c r="H184" s="28">
        <f>60350000-5000000-150000</f>
        <v>55200000</v>
      </c>
      <c r="I184" s="28">
        <f>200000+1000000</f>
        <v>1200000</v>
      </c>
      <c r="J184" s="28">
        <f t="shared" si="136"/>
        <v>71000</v>
      </c>
      <c r="K184" s="28">
        <v>71000</v>
      </c>
      <c r="L184" s="28"/>
      <c r="M184" s="28"/>
      <c r="N184" s="28"/>
      <c r="O184" s="28">
        <v>71000</v>
      </c>
      <c r="P184" s="28">
        <f t="shared" si="135"/>
        <v>295678647</v>
      </c>
      <c r="Q184" s="156"/>
      <c r="R184" s="29"/>
    </row>
    <row r="185" spans="1:18" s="29" customFormat="1" ht="28.5" customHeight="1" x14ac:dyDescent="0.45">
      <c r="A185" s="25" t="s">
        <v>210</v>
      </c>
      <c r="B185" s="26" t="str">
        <f>'дод 7'!A151</f>
        <v>6090</v>
      </c>
      <c r="C185" s="26" t="str">
        <f>'дод 7'!B151</f>
        <v>0640</v>
      </c>
      <c r="D185" s="27" t="str">
        <f>'дод 7'!C151</f>
        <v>Інша діяльність у сфері житлово-комунального господарства</v>
      </c>
      <c r="E185" s="28">
        <f t="shared" si="134"/>
        <v>2723087</v>
      </c>
      <c r="F185" s="28">
        <f>1590360-29773</f>
        <v>1560587</v>
      </c>
      <c r="G185" s="28"/>
      <c r="H185" s="28">
        <v>6000</v>
      </c>
      <c r="I185" s="28">
        <v>1162500</v>
      </c>
      <c r="J185" s="28">
        <f t="shared" ref="J185" si="140">L185+O185</f>
        <v>0</v>
      </c>
      <c r="K185" s="28"/>
      <c r="L185" s="28"/>
      <c r="M185" s="28"/>
      <c r="N185" s="28"/>
      <c r="O185" s="28"/>
      <c r="P185" s="28">
        <f t="shared" si="135"/>
        <v>2723087</v>
      </c>
      <c r="Q185" s="156"/>
    </row>
    <row r="186" spans="1:18" s="29" customFormat="1" ht="28.5" customHeight="1" x14ac:dyDescent="0.45">
      <c r="A186" s="25" t="s">
        <v>394</v>
      </c>
      <c r="B186" s="26">
        <f>'дод 7'!A152</f>
        <v>6091</v>
      </c>
      <c r="C186" s="26" t="str">
        <f>'дод 7'!B152</f>
        <v>0640</v>
      </c>
      <c r="D186" s="27" t="str">
        <f>'дод 7'!C152</f>
        <v>Будівництво1 об'єктів житлово-комунального господарства</v>
      </c>
      <c r="E186" s="28">
        <f>F186+I186</f>
        <v>0</v>
      </c>
      <c r="F186" s="28"/>
      <c r="G186" s="28"/>
      <c r="H186" s="28"/>
      <c r="I186" s="28"/>
      <c r="J186" s="28">
        <f t="shared" ref="J186" si="141">L186+O186</f>
        <v>5647000</v>
      </c>
      <c r="K186" s="28">
        <f>14083307+147000-8583307</f>
        <v>5647000</v>
      </c>
      <c r="L186" s="28"/>
      <c r="M186" s="28"/>
      <c r="N186" s="28"/>
      <c r="O186" s="28">
        <f>14083307+147000-8583307</f>
        <v>5647000</v>
      </c>
      <c r="P186" s="28">
        <f t="shared" ref="P186" si="142">E186+J186</f>
        <v>5647000</v>
      </c>
      <c r="Q186" s="156"/>
    </row>
    <row r="187" spans="1:18" s="123" customFormat="1" ht="60.75" customHeight="1" x14ac:dyDescent="0.45">
      <c r="A187" s="25" t="s">
        <v>385</v>
      </c>
      <c r="B187" s="26">
        <f>'дод 7'!A153</f>
        <v>6092</v>
      </c>
      <c r="C187" s="26" t="str">
        <f>'дод 7'!B153</f>
        <v>0610</v>
      </c>
      <c r="D187" s="30" t="str">
        <f>'дод 7'!C153</f>
        <v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бюджетів, у т.ч. за рахунок:</v>
      </c>
      <c r="E187" s="28">
        <f t="shared" ref="E187:E197" si="143">F187+I187</f>
        <v>4000000</v>
      </c>
      <c r="F187" s="28">
        <f>10000000-6000000</f>
        <v>4000000</v>
      </c>
      <c r="G187" s="28"/>
      <c r="H187" s="28"/>
      <c r="I187" s="28"/>
      <c r="J187" s="28">
        <f t="shared" ref="J187:J193" si="144">L187+O187</f>
        <v>20448855</v>
      </c>
      <c r="K187" s="28">
        <f>6000000+10000000+2832085+1616770</f>
        <v>20448855</v>
      </c>
      <c r="L187" s="28"/>
      <c r="M187" s="28"/>
      <c r="N187" s="28"/>
      <c r="O187" s="28">
        <f>6000000+10000000+2832085+1616770</f>
        <v>20448855</v>
      </c>
      <c r="P187" s="28">
        <f t="shared" ref="P187:P193" si="145">E187+J187</f>
        <v>24448855</v>
      </c>
      <c r="Q187" s="156"/>
      <c r="R187" s="29"/>
    </row>
    <row r="188" spans="1:18" s="122" customFormat="1" ht="30.75" x14ac:dyDescent="0.45">
      <c r="A188" s="34"/>
      <c r="B188" s="35"/>
      <c r="C188" s="35"/>
      <c r="D188" s="36" t="str">
        <f>'дод 7'!C154</f>
        <v>залишку коштів інших субвенцій з місцевого бюджету,  що склався станом на 01.01.2025 року</v>
      </c>
      <c r="E188" s="37">
        <f t="shared" si="143"/>
        <v>0</v>
      </c>
      <c r="F188" s="37"/>
      <c r="G188" s="37"/>
      <c r="H188" s="37"/>
      <c r="I188" s="37"/>
      <c r="J188" s="37">
        <f t="shared" si="144"/>
        <v>4380600</v>
      </c>
      <c r="K188" s="37">
        <v>4380600</v>
      </c>
      <c r="L188" s="37"/>
      <c r="M188" s="37"/>
      <c r="N188" s="37"/>
      <c r="O188" s="37">
        <v>4380600</v>
      </c>
      <c r="P188" s="37">
        <f t="shared" si="145"/>
        <v>4380600</v>
      </c>
      <c r="Q188" s="156"/>
      <c r="R188" s="38"/>
    </row>
    <row r="189" spans="1:18" s="122" customFormat="1" ht="15.4" x14ac:dyDescent="0.45">
      <c r="A189" s="34"/>
      <c r="B189" s="35"/>
      <c r="C189" s="35"/>
      <c r="D189" s="36" t="s">
        <v>283</v>
      </c>
      <c r="E189" s="37">
        <f t="shared" si="143"/>
        <v>0</v>
      </c>
      <c r="F189" s="37"/>
      <c r="G189" s="37"/>
      <c r="H189" s="37"/>
      <c r="I189" s="37"/>
      <c r="J189" s="37">
        <f t="shared" si="144"/>
        <v>68255</v>
      </c>
      <c r="K189" s="37">
        <v>68255</v>
      </c>
      <c r="L189" s="37"/>
      <c r="M189" s="37"/>
      <c r="N189" s="37"/>
      <c r="O189" s="37">
        <v>68255</v>
      </c>
      <c r="P189" s="37">
        <f t="shared" si="145"/>
        <v>68255</v>
      </c>
      <c r="Q189" s="156"/>
      <c r="R189" s="38"/>
    </row>
    <row r="190" spans="1:18" s="123" customFormat="1" ht="61.5" x14ac:dyDescent="0.45">
      <c r="A190" s="25" t="s">
        <v>530</v>
      </c>
      <c r="B190" s="26">
        <f>'дод 7'!A157</f>
        <v>6093</v>
      </c>
      <c r="C190" s="26" t="str">
        <f>'дод 7'!B157</f>
        <v>0640</v>
      </c>
      <c r="D190" s="30" t="str">
        <f>'дод 7'!C157</f>
        <v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бюджетів, у т.ч. за рахунок:</v>
      </c>
      <c r="E190" s="28">
        <f t="shared" si="143"/>
        <v>313360</v>
      </c>
      <c r="F190" s="28">
        <v>313360</v>
      </c>
      <c r="G190" s="28"/>
      <c r="H190" s="28"/>
      <c r="I190" s="28"/>
      <c r="J190" s="28">
        <f t="shared" si="144"/>
        <v>0</v>
      </c>
      <c r="K190" s="28"/>
      <c r="L190" s="28"/>
      <c r="M190" s="28"/>
      <c r="N190" s="28"/>
      <c r="O190" s="28"/>
      <c r="P190" s="28">
        <f t="shared" si="145"/>
        <v>313360</v>
      </c>
      <c r="Q190" s="156"/>
      <c r="R190" s="29"/>
    </row>
    <row r="191" spans="1:18" s="122" customFormat="1" ht="76.900000000000006" x14ac:dyDescent="0.45">
      <c r="A191" s="34"/>
      <c r="B191" s="35">
        <f>'дод 7'!A158</f>
        <v>0</v>
      </c>
      <c r="C191" s="35">
        <f>'дод 7'!B158</f>
        <v>0</v>
      </c>
      <c r="D191" s="36" t="str">
        <f>'дод 7'!C158</f>
        <v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191" s="28">
        <f t="shared" si="143"/>
        <v>313360</v>
      </c>
      <c r="F191" s="37">
        <v>313360</v>
      </c>
      <c r="G191" s="37"/>
      <c r="H191" s="37"/>
      <c r="I191" s="37"/>
      <c r="J191" s="37">
        <f t="shared" si="144"/>
        <v>0</v>
      </c>
      <c r="K191" s="37"/>
      <c r="L191" s="37"/>
      <c r="M191" s="37"/>
      <c r="N191" s="37"/>
      <c r="O191" s="37"/>
      <c r="P191" s="37">
        <f t="shared" si="145"/>
        <v>313360</v>
      </c>
      <c r="Q191" s="156"/>
      <c r="R191" s="38"/>
    </row>
    <row r="192" spans="1:18" s="29" customFormat="1" ht="73.150000000000006" customHeight="1" x14ac:dyDescent="0.45">
      <c r="A192" s="25" t="s">
        <v>488</v>
      </c>
      <c r="B192" s="26">
        <f>'дод 7'!A159</f>
        <v>6094</v>
      </c>
      <c r="C192" s="26" t="str">
        <f>'дод 7'!B159</f>
        <v>0620</v>
      </c>
      <c r="D192" s="103" t="str">
        <f>'дод 7'!C159</f>
        <v>Реалізація заходів з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- 2», у т.ч. за рахунок:</v>
      </c>
      <c r="E192" s="28">
        <f t="shared" si="143"/>
        <v>0</v>
      </c>
      <c r="F192" s="28"/>
      <c r="G192" s="28"/>
      <c r="H192" s="28"/>
      <c r="I192" s="28"/>
      <c r="J192" s="28">
        <f t="shared" si="144"/>
        <v>89775000</v>
      </c>
      <c r="K192" s="28"/>
      <c r="L192" s="28"/>
      <c r="M192" s="28"/>
      <c r="N192" s="28"/>
      <c r="O192" s="28">
        <v>89775000</v>
      </c>
      <c r="P192" s="28">
        <f t="shared" si="145"/>
        <v>89775000</v>
      </c>
      <c r="Q192" s="156"/>
    </row>
    <row r="193" spans="1:18" s="38" customFormat="1" ht="66.400000000000006" customHeight="1" x14ac:dyDescent="0.45">
      <c r="A193" s="34"/>
      <c r="B193" s="35">
        <f>'дод 7'!A160</f>
        <v>0</v>
      </c>
      <c r="C193" s="35">
        <f>'дод 7'!B160</f>
        <v>0</v>
      </c>
      <c r="D193" s="104" t="str">
        <f>'дод 7'!C160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E193" s="28">
        <f t="shared" si="143"/>
        <v>0</v>
      </c>
      <c r="F193" s="37"/>
      <c r="G193" s="37"/>
      <c r="H193" s="37"/>
      <c r="I193" s="37"/>
      <c r="J193" s="37">
        <f t="shared" si="144"/>
        <v>89775000</v>
      </c>
      <c r="K193" s="37"/>
      <c r="L193" s="37"/>
      <c r="M193" s="37"/>
      <c r="N193" s="37"/>
      <c r="O193" s="37">
        <v>89775000</v>
      </c>
      <c r="P193" s="28">
        <f t="shared" si="145"/>
        <v>89775000</v>
      </c>
      <c r="Q193" s="156"/>
    </row>
    <row r="194" spans="1:18" s="116" customFormat="1" ht="22.5" customHeight="1" x14ac:dyDescent="0.45">
      <c r="A194" s="25" t="s">
        <v>220</v>
      </c>
      <c r="B194" s="26" t="str">
        <f>'дод 7'!A169</f>
        <v>7330</v>
      </c>
      <c r="C194" s="26" t="str">
        <f>'дод 7'!B169</f>
        <v>0443</v>
      </c>
      <c r="D194" s="40" t="s">
        <v>466</v>
      </c>
      <c r="E194" s="28">
        <f t="shared" si="143"/>
        <v>0</v>
      </c>
      <c r="F194" s="28"/>
      <c r="G194" s="28"/>
      <c r="H194" s="28"/>
      <c r="I194" s="28"/>
      <c r="J194" s="28">
        <f>L194+O194</f>
        <v>23006724.280000001</v>
      </c>
      <c r="K194" s="28">
        <f>10000000+8034503+2500000+1472048+1000000+173.28</f>
        <v>23006724.280000001</v>
      </c>
      <c r="L194" s="28"/>
      <c r="M194" s="28"/>
      <c r="N194" s="28"/>
      <c r="O194" s="28">
        <f>10000000+8034503+2500000+1472048+1000000+173.28</f>
        <v>23006724.280000001</v>
      </c>
      <c r="P194" s="28">
        <f t="shared" si="135"/>
        <v>23006724.280000001</v>
      </c>
      <c r="Q194" s="156"/>
      <c r="R194" s="29"/>
    </row>
    <row r="195" spans="1:18" s="123" customFormat="1" ht="61.15" customHeight="1" x14ac:dyDescent="0.45">
      <c r="A195" s="25" t="s">
        <v>535</v>
      </c>
      <c r="B195" s="26">
        <v>7377</v>
      </c>
      <c r="C195" s="25" t="s">
        <v>70</v>
      </c>
      <c r="D195" s="40" t="s">
        <v>536</v>
      </c>
      <c r="E195" s="28">
        <f t="shared" si="143"/>
        <v>0</v>
      </c>
      <c r="F195" s="28"/>
      <c r="G195" s="28"/>
      <c r="H195" s="28"/>
      <c r="I195" s="28"/>
      <c r="J195" s="28">
        <f>L195+O195</f>
        <v>1300000</v>
      </c>
      <c r="K195" s="28">
        <v>1300000</v>
      </c>
      <c r="L195" s="28"/>
      <c r="M195" s="28"/>
      <c r="N195" s="28"/>
      <c r="O195" s="28">
        <v>1300000</v>
      </c>
      <c r="P195" s="28">
        <f t="shared" si="135"/>
        <v>1300000</v>
      </c>
      <c r="Q195" s="156"/>
      <c r="R195" s="29"/>
    </row>
    <row r="196" spans="1:18" s="29" customFormat="1" ht="76.900000000000006" x14ac:dyDescent="0.45">
      <c r="A196" s="25" t="s">
        <v>478</v>
      </c>
      <c r="B196" s="26">
        <f>'дод 7'!A172</f>
        <v>7384</v>
      </c>
      <c r="C196" s="26" t="str">
        <f>'дод 7'!B172</f>
        <v>0490</v>
      </c>
      <c r="D196" s="30" t="str">
        <f>'дод 7'!C172</f>
        <v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банку, у т.ч. за рахунок:</v>
      </c>
      <c r="E196" s="28">
        <f t="shared" si="143"/>
        <v>0</v>
      </c>
      <c r="F196" s="28"/>
      <c r="G196" s="28"/>
      <c r="H196" s="28"/>
      <c r="I196" s="28"/>
      <c r="J196" s="28">
        <f t="shared" ref="J196:J197" si="146">L196+O196</f>
        <v>6564069.9000000004</v>
      </c>
      <c r="K196" s="28"/>
      <c r="L196" s="28"/>
      <c r="M196" s="28"/>
      <c r="N196" s="28"/>
      <c r="O196" s="28">
        <v>6564069.9000000004</v>
      </c>
      <c r="P196" s="28">
        <f t="shared" si="135"/>
        <v>6564069.9000000004</v>
      </c>
      <c r="Q196" s="156"/>
    </row>
    <row r="197" spans="1:18" s="38" customFormat="1" ht="107.65" x14ac:dyDescent="0.45">
      <c r="A197" s="34"/>
      <c r="B197" s="35"/>
      <c r="C197" s="35"/>
      <c r="D197" s="36" t="str">
        <f>'дод 7'!C173</f>
        <v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v>
      </c>
      <c r="E197" s="37">
        <f t="shared" si="143"/>
        <v>0</v>
      </c>
      <c r="F197" s="37"/>
      <c r="G197" s="37"/>
      <c r="H197" s="37"/>
      <c r="I197" s="37"/>
      <c r="J197" s="37">
        <f t="shared" si="146"/>
        <v>6564069.9000000004</v>
      </c>
      <c r="K197" s="37"/>
      <c r="L197" s="37"/>
      <c r="M197" s="37"/>
      <c r="N197" s="37"/>
      <c r="O197" s="37">
        <v>6564069.9000000004</v>
      </c>
      <c r="P197" s="37">
        <f t="shared" si="135"/>
        <v>6564069.9000000004</v>
      </c>
      <c r="Q197" s="156"/>
    </row>
    <row r="198" spans="1:18" s="38" customFormat="1" ht="39" customHeight="1" x14ac:dyDescent="0.45">
      <c r="A198" s="25" t="s">
        <v>386</v>
      </c>
      <c r="B198" s="26" t="str">
        <f>'дод 7'!A175</f>
        <v>7412</v>
      </c>
      <c r="C198" s="26" t="str">
        <f>'дод 7'!B175</f>
        <v>0451</v>
      </c>
      <c r="D198" s="30" t="str">
        <f>'дод 7'!C175</f>
        <v>Регулювання цін на послуги місцевого автотранспорту</v>
      </c>
      <c r="E198" s="28">
        <f t="shared" ref="E198:E199" si="147">F198+I198</f>
        <v>29059700</v>
      </c>
      <c r="F198" s="28"/>
      <c r="G198" s="37"/>
      <c r="H198" s="37"/>
      <c r="I198" s="28">
        <v>29059700</v>
      </c>
      <c r="J198" s="28">
        <f t="shared" ref="J198:J199" si="148">L198+O198</f>
        <v>0</v>
      </c>
      <c r="K198" s="28"/>
      <c r="L198" s="28"/>
      <c r="M198" s="28"/>
      <c r="N198" s="28"/>
      <c r="O198" s="28"/>
      <c r="P198" s="28">
        <f t="shared" ref="P198:P199" si="149">E198+J198</f>
        <v>29059700</v>
      </c>
      <c r="Q198" s="156"/>
    </row>
    <row r="199" spans="1:18" s="38" customFormat="1" ht="30.95" customHeight="1" x14ac:dyDescent="0.45">
      <c r="A199" s="25" t="s">
        <v>461</v>
      </c>
      <c r="B199" s="26">
        <f>'дод 7'!A176</f>
        <v>7422</v>
      </c>
      <c r="C199" s="26" t="str">
        <f>'дод 7'!B176</f>
        <v>0453</v>
      </c>
      <c r="D199" s="30" t="str">
        <f>'дод 7'!C176</f>
        <v>Регулювання цін на послуги місцевого наземного електротранспорту</v>
      </c>
      <c r="E199" s="28">
        <f t="shared" si="147"/>
        <v>65000000</v>
      </c>
      <c r="F199" s="28"/>
      <c r="G199" s="37"/>
      <c r="H199" s="37"/>
      <c r="I199" s="28">
        <v>65000000</v>
      </c>
      <c r="J199" s="28">
        <f t="shared" si="148"/>
        <v>0</v>
      </c>
      <c r="K199" s="28"/>
      <c r="L199" s="28"/>
      <c r="M199" s="28"/>
      <c r="N199" s="28"/>
      <c r="O199" s="28"/>
      <c r="P199" s="28">
        <f t="shared" si="149"/>
        <v>65000000</v>
      </c>
      <c r="Q199" s="156"/>
    </row>
    <row r="200" spans="1:18" s="117" customFormat="1" ht="15.75" customHeight="1" x14ac:dyDescent="0.45">
      <c r="A200" s="25" t="s">
        <v>390</v>
      </c>
      <c r="B200" s="26">
        <f>'дод 7'!A177</f>
        <v>7426</v>
      </c>
      <c r="C200" s="26" t="str">
        <f>'дод 7'!B177</f>
        <v>0455</v>
      </c>
      <c r="D200" s="30" t="str">
        <f>'дод 7'!C177</f>
        <v>Інші заходи у сфері електротранспорту</v>
      </c>
      <c r="E200" s="28">
        <f t="shared" ref="E200:E201" si="150">F200+I200</f>
        <v>700000</v>
      </c>
      <c r="F200" s="28">
        <f>65000000-65000000</f>
        <v>0</v>
      </c>
      <c r="G200" s="37"/>
      <c r="H200" s="37"/>
      <c r="I200" s="28">
        <v>700000</v>
      </c>
      <c r="J200" s="28">
        <f t="shared" ref="J200:J201" si="151">L200+O200</f>
        <v>0</v>
      </c>
      <c r="K200" s="28"/>
      <c r="L200" s="28"/>
      <c r="M200" s="28"/>
      <c r="N200" s="28"/>
      <c r="O200" s="28"/>
      <c r="P200" s="28">
        <f t="shared" ref="P200:P201" si="152">E200+J200</f>
        <v>700000</v>
      </c>
      <c r="Q200" s="156"/>
      <c r="R200" s="38"/>
    </row>
    <row r="201" spans="1:18" s="38" customFormat="1" ht="15.4" x14ac:dyDescent="0.45">
      <c r="A201" s="25" t="s">
        <v>387</v>
      </c>
      <c r="B201" s="26">
        <f>'дод 7'!A178</f>
        <v>7450</v>
      </c>
      <c r="C201" s="26" t="str">
        <f>'дод 7'!B178</f>
        <v>0456</v>
      </c>
      <c r="D201" s="30" t="str">
        <f>'дод 7'!C178</f>
        <v>Інша діяльність у сфері транспорту</v>
      </c>
      <c r="E201" s="28">
        <f t="shared" si="150"/>
        <v>984000</v>
      </c>
      <c r="F201" s="28">
        <v>984000</v>
      </c>
      <c r="G201" s="37"/>
      <c r="H201" s="37"/>
      <c r="I201" s="37"/>
      <c r="J201" s="28">
        <f t="shared" si="151"/>
        <v>0</v>
      </c>
      <c r="K201" s="28"/>
      <c r="L201" s="28"/>
      <c r="M201" s="28"/>
      <c r="N201" s="28"/>
      <c r="O201" s="28"/>
      <c r="P201" s="28">
        <f t="shared" si="152"/>
        <v>984000</v>
      </c>
      <c r="Q201" s="156"/>
      <c r="R201" s="37"/>
    </row>
    <row r="202" spans="1:18" s="29" customFormat="1" ht="15.4" x14ac:dyDescent="0.45">
      <c r="A202" s="25" t="s">
        <v>167</v>
      </c>
      <c r="B202" s="26" t="str">
        <f>'дод 7'!A185</f>
        <v>7640</v>
      </c>
      <c r="C202" s="25" t="str">
        <f>'дод 7'!B185</f>
        <v>0470</v>
      </c>
      <c r="D202" s="27" t="s">
        <v>291</v>
      </c>
      <c r="E202" s="28">
        <f t="shared" si="134"/>
        <v>835000</v>
      </c>
      <c r="F202" s="28">
        <v>5000</v>
      </c>
      <c r="G202" s="28"/>
      <c r="H202" s="28"/>
      <c r="I202" s="28">
        <v>830000</v>
      </c>
      <c r="J202" s="28">
        <f t="shared" si="136"/>
        <v>0</v>
      </c>
      <c r="K202" s="28"/>
      <c r="L202" s="28"/>
      <c r="M202" s="28"/>
      <c r="N202" s="28"/>
      <c r="O202" s="28"/>
      <c r="P202" s="28">
        <f t="shared" si="135"/>
        <v>835000</v>
      </c>
      <c r="Q202" s="156"/>
    </row>
    <row r="203" spans="1:18" s="29" customFormat="1" ht="15.4" x14ac:dyDescent="0.45">
      <c r="A203" s="25" t="s">
        <v>256</v>
      </c>
      <c r="B203" s="26" t="str">
        <f>'дод 7'!A190</f>
        <v>7670</v>
      </c>
      <c r="C203" s="25" t="str">
        <f>'дод 7'!B190</f>
        <v>0490</v>
      </c>
      <c r="D203" s="27" t="str">
        <f>'дод 7'!C190</f>
        <v>Внески до статутного капіталу суб'єктів господарювання</v>
      </c>
      <c r="E203" s="28">
        <f>F203+I203</f>
        <v>0</v>
      </c>
      <c r="F203" s="28"/>
      <c r="G203" s="28"/>
      <c r="H203" s="28"/>
      <c r="I203" s="28"/>
      <c r="J203" s="28">
        <f>L203+O203</f>
        <v>15386089</v>
      </c>
      <c r="K203" s="28">
        <f>4930625+2773202+3015602+2333330+2333330</f>
        <v>15386089</v>
      </c>
      <c r="L203" s="28"/>
      <c r="M203" s="28"/>
      <c r="N203" s="28"/>
      <c r="O203" s="28">
        <f>4930625+2773202+3015602+2333330+2333330</f>
        <v>15386089</v>
      </c>
      <c r="P203" s="28">
        <f>E203+J203</f>
        <v>15386089</v>
      </c>
      <c r="Q203" s="156"/>
    </row>
    <row r="204" spans="1:18" s="29" customFormat="1" ht="103.15" customHeight="1" x14ac:dyDescent="0.45">
      <c r="A204" s="25" t="s">
        <v>234</v>
      </c>
      <c r="B204" s="26" t="str">
        <f>'дод 7'!A192</f>
        <v>7691</v>
      </c>
      <c r="C204" s="26" t="str">
        <f>'дод 7'!B192</f>
        <v>0490</v>
      </c>
      <c r="D204" s="30" t="s">
        <v>244</v>
      </c>
      <c r="E204" s="28">
        <f t="shared" si="134"/>
        <v>0</v>
      </c>
      <c r="F204" s="28"/>
      <c r="G204" s="28"/>
      <c r="H204" s="28"/>
      <c r="I204" s="28"/>
      <c r="J204" s="28">
        <f t="shared" si="136"/>
        <v>65000</v>
      </c>
      <c r="K204" s="28"/>
      <c r="L204" s="28">
        <v>65000</v>
      </c>
      <c r="M204" s="28"/>
      <c r="N204" s="28"/>
      <c r="O204" s="28"/>
      <c r="P204" s="28">
        <f t="shared" si="135"/>
        <v>65000</v>
      </c>
      <c r="Q204" s="156">
        <v>10</v>
      </c>
    </row>
    <row r="205" spans="1:18" s="123" customFormat="1" ht="39" customHeight="1" x14ac:dyDescent="0.45">
      <c r="A205" s="25" t="s">
        <v>281</v>
      </c>
      <c r="B205" s="26" t="str">
        <f>'дод 7'!A198</f>
        <v>8110</v>
      </c>
      <c r="C205" s="26" t="str">
        <f>'дод 7'!B198</f>
        <v>0320</v>
      </c>
      <c r="D205" s="30" t="str">
        <f>'дод 7'!C198</f>
        <v>Заходи із запобігання та ліквідації надзвичайних ситуацій та наслідків стихійного лиха</v>
      </c>
      <c r="E205" s="28">
        <f t="shared" ref="E205:E207" si="153">F205+I205</f>
        <v>16213250</v>
      </c>
      <c r="F205" s="28">
        <f>14494000+719250+1000000</f>
        <v>16213250</v>
      </c>
      <c r="G205" s="28"/>
      <c r="H205" s="28"/>
      <c r="I205" s="28"/>
      <c r="J205" s="28">
        <f>L205+O205</f>
        <v>0</v>
      </c>
      <c r="K205" s="28"/>
      <c r="L205" s="28"/>
      <c r="M205" s="28"/>
      <c r="N205" s="28"/>
      <c r="O205" s="28"/>
      <c r="P205" s="28">
        <f t="shared" ref="P205:P206" si="154">E205+J205</f>
        <v>16213250</v>
      </c>
      <c r="Q205" s="156"/>
      <c r="R205" s="29"/>
    </row>
    <row r="206" spans="1:18" s="29" customFormat="1" ht="27" customHeight="1" x14ac:dyDescent="0.45">
      <c r="A206" s="25" t="s">
        <v>354</v>
      </c>
      <c r="B206" s="26">
        <f>'дод 7'!A203</f>
        <v>8240</v>
      </c>
      <c r="C206" s="26" t="str">
        <f>'дод 7'!B203</f>
        <v>0380</v>
      </c>
      <c r="D206" s="30" t="str">
        <f>'дод 7'!C203</f>
        <v>Заходи та роботи з територіальної оборони</v>
      </c>
      <c r="E206" s="28">
        <f>F206+I206</f>
        <v>6000000</v>
      </c>
      <c r="F206" s="28">
        <f>3000000+3000000</f>
        <v>6000000</v>
      </c>
      <c r="G206" s="28"/>
      <c r="H206" s="28"/>
      <c r="I206" s="28"/>
      <c r="J206" s="28">
        <f>L206+O206</f>
        <v>0</v>
      </c>
      <c r="K206" s="28"/>
      <c r="L206" s="28"/>
      <c r="M206" s="28"/>
      <c r="N206" s="28"/>
      <c r="O206" s="28"/>
      <c r="P206" s="28">
        <f t="shared" si="154"/>
        <v>6000000</v>
      </c>
      <c r="Q206" s="156"/>
    </row>
    <row r="207" spans="1:18" s="29" customFormat="1" ht="31.5" customHeight="1" x14ac:dyDescent="0.45">
      <c r="A207" s="25" t="s">
        <v>168</v>
      </c>
      <c r="B207" s="26" t="str">
        <f>'дод 7'!A206</f>
        <v>8340</v>
      </c>
      <c r="C207" s="26" t="str">
        <f>'дод 7'!B206</f>
        <v>0540</v>
      </c>
      <c r="D207" s="27" t="str">
        <f>'дод 7'!C206</f>
        <v>Природоохоронні заходи за рахунок цільових фондів</v>
      </c>
      <c r="E207" s="28">
        <f t="shared" si="153"/>
        <v>0</v>
      </c>
      <c r="F207" s="28"/>
      <c r="G207" s="28"/>
      <c r="H207" s="28"/>
      <c r="I207" s="28"/>
      <c r="J207" s="28">
        <f t="shared" ref="J207" si="155">L207+O207</f>
        <v>1557600</v>
      </c>
      <c r="K207" s="28"/>
      <c r="L207" s="28">
        <f>1557600-10400</f>
        <v>1547200</v>
      </c>
      <c r="M207" s="28"/>
      <c r="N207" s="28"/>
      <c r="O207" s="28">
        <v>10400</v>
      </c>
      <c r="P207" s="28">
        <f t="shared" si="135"/>
        <v>1557600</v>
      </c>
      <c r="Q207" s="156"/>
    </row>
    <row r="208" spans="1:18" s="29" customFormat="1" ht="26.25" customHeight="1" x14ac:dyDescent="0.45">
      <c r="A208" s="25" t="s">
        <v>169</v>
      </c>
      <c r="B208" s="26" t="str">
        <f>'дод 7'!A212</f>
        <v>9770</v>
      </c>
      <c r="C208" s="26" t="str">
        <f>'дод 7'!B212</f>
        <v>0180</v>
      </c>
      <c r="D208" s="27" t="str">
        <f>'дод 7'!C212</f>
        <v>Інші субвенції з місцевого бюджету</v>
      </c>
      <c r="E208" s="28">
        <f t="shared" si="134"/>
        <v>13400000</v>
      </c>
      <c r="F208" s="28">
        <f>14000000-600000</f>
        <v>13400000</v>
      </c>
      <c r="G208" s="28"/>
      <c r="H208" s="28"/>
      <c r="I208" s="28"/>
      <c r="J208" s="28">
        <f t="shared" si="136"/>
        <v>600000</v>
      </c>
      <c r="K208" s="28">
        <v>600000</v>
      </c>
      <c r="L208" s="28"/>
      <c r="M208" s="28"/>
      <c r="N208" s="28"/>
      <c r="O208" s="28">
        <v>600000</v>
      </c>
      <c r="P208" s="28">
        <f t="shared" si="135"/>
        <v>14000000</v>
      </c>
      <c r="Q208" s="156"/>
    </row>
    <row r="209" spans="1:18" s="19" customFormat="1" ht="47.25" customHeight="1" x14ac:dyDescent="0.4">
      <c r="A209" s="16" t="s">
        <v>23</v>
      </c>
      <c r="B209" s="31"/>
      <c r="C209" s="31"/>
      <c r="D209" s="17" t="s">
        <v>28</v>
      </c>
      <c r="E209" s="18">
        <f>E210</f>
        <v>6993534</v>
      </c>
      <c r="F209" s="18">
        <f t="shared" ref="F209:J209" si="156">F210</f>
        <v>6993534</v>
      </c>
      <c r="G209" s="18">
        <f t="shared" si="156"/>
        <v>5309700</v>
      </c>
      <c r="H209" s="18">
        <f t="shared" si="156"/>
        <v>0</v>
      </c>
      <c r="I209" s="18">
        <f t="shared" si="156"/>
        <v>0</v>
      </c>
      <c r="J209" s="18">
        <f t="shared" si="156"/>
        <v>665625996.94000006</v>
      </c>
      <c r="K209" s="18">
        <f t="shared" ref="K209" si="157">K210</f>
        <v>664871223.38999999</v>
      </c>
      <c r="L209" s="18">
        <f t="shared" ref="L209" si="158">L210</f>
        <v>400000</v>
      </c>
      <c r="M209" s="18">
        <f t="shared" ref="M209" si="159">M210</f>
        <v>0</v>
      </c>
      <c r="N209" s="18">
        <f t="shared" ref="N209" si="160">N210</f>
        <v>228200</v>
      </c>
      <c r="O209" s="18">
        <f t="shared" ref="O209:P209" si="161">O210</f>
        <v>665225996.94000006</v>
      </c>
      <c r="P209" s="18">
        <f t="shared" si="161"/>
        <v>672619530.94000006</v>
      </c>
      <c r="Q209" s="156"/>
    </row>
    <row r="210" spans="1:18" s="24" customFormat="1" ht="30" x14ac:dyDescent="0.4">
      <c r="A210" s="20" t="s">
        <v>24</v>
      </c>
      <c r="B210" s="32"/>
      <c r="C210" s="32"/>
      <c r="D210" s="22" t="s">
        <v>289</v>
      </c>
      <c r="E210" s="23">
        <f>E215+E228+E234+E222+E226+E229+E232+E219+E220+E225+E227+E216+E217+E218+E233+E223+E230</f>
        <v>6993534</v>
      </c>
      <c r="F210" s="23">
        <f t="shared" ref="F210:P210" si="162">F215+F228+F234+F222+F226+F229+F232+F219+F220+F225+F227+F216+F217+F218+F233+F223+F230</f>
        <v>6993534</v>
      </c>
      <c r="G210" s="23">
        <f t="shared" si="162"/>
        <v>5309700</v>
      </c>
      <c r="H210" s="23">
        <f t="shared" si="162"/>
        <v>0</v>
      </c>
      <c r="I210" s="23">
        <f t="shared" si="162"/>
        <v>0</v>
      </c>
      <c r="J210" s="23">
        <f t="shared" si="162"/>
        <v>665625996.94000006</v>
      </c>
      <c r="K210" s="23">
        <f t="shared" si="162"/>
        <v>664871223.38999999</v>
      </c>
      <c r="L210" s="23">
        <f t="shared" si="162"/>
        <v>400000</v>
      </c>
      <c r="M210" s="23">
        <f t="shared" si="162"/>
        <v>0</v>
      </c>
      <c r="N210" s="23">
        <f t="shared" si="162"/>
        <v>228200</v>
      </c>
      <c r="O210" s="23">
        <f t="shared" si="162"/>
        <v>665225996.94000006</v>
      </c>
      <c r="P210" s="23">
        <f t="shared" si="162"/>
        <v>672619530.94000006</v>
      </c>
      <c r="Q210" s="156"/>
    </row>
    <row r="211" spans="1:18" s="24" customFormat="1" ht="126.4" customHeight="1" x14ac:dyDescent="0.4">
      <c r="A211" s="20"/>
      <c r="B211" s="32"/>
      <c r="C211" s="32"/>
      <c r="D211" s="22" t="str">
        <f>D221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211" s="23">
        <f>E221</f>
        <v>0</v>
      </c>
      <c r="F211" s="23">
        <f t="shared" ref="F211:P211" si="163">F221</f>
        <v>0</v>
      </c>
      <c r="G211" s="23">
        <f t="shared" si="163"/>
        <v>0</v>
      </c>
      <c r="H211" s="23">
        <f t="shared" si="163"/>
        <v>0</v>
      </c>
      <c r="I211" s="23">
        <f t="shared" si="163"/>
        <v>0</v>
      </c>
      <c r="J211" s="23">
        <f t="shared" si="163"/>
        <v>213902286</v>
      </c>
      <c r="K211" s="23">
        <f t="shared" si="163"/>
        <v>213902286</v>
      </c>
      <c r="L211" s="23">
        <f t="shared" si="163"/>
        <v>0</v>
      </c>
      <c r="M211" s="23">
        <f t="shared" si="163"/>
        <v>0</v>
      </c>
      <c r="N211" s="23">
        <f t="shared" si="163"/>
        <v>0</v>
      </c>
      <c r="O211" s="23">
        <f t="shared" si="163"/>
        <v>213902286</v>
      </c>
      <c r="P211" s="23">
        <f t="shared" si="163"/>
        <v>213902286</v>
      </c>
      <c r="Q211" s="156"/>
    </row>
    <row r="212" spans="1:18" s="124" customFormat="1" ht="77.849999999999994" customHeight="1" x14ac:dyDescent="0.4">
      <c r="A212" s="20"/>
      <c r="B212" s="32"/>
      <c r="C212" s="32"/>
      <c r="D212" s="22" t="str">
        <f>D224</f>
        <v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212" s="23">
        <f>E224+E231</f>
        <v>0</v>
      </c>
      <c r="F212" s="23">
        <f t="shared" ref="F212:P212" si="164">F224+F231</f>
        <v>0</v>
      </c>
      <c r="G212" s="23">
        <f t="shared" si="164"/>
        <v>0</v>
      </c>
      <c r="H212" s="23">
        <f t="shared" si="164"/>
        <v>0</v>
      </c>
      <c r="I212" s="23">
        <f t="shared" si="164"/>
        <v>0</v>
      </c>
      <c r="J212" s="23">
        <f t="shared" si="164"/>
        <v>32950000</v>
      </c>
      <c r="K212" s="23">
        <f t="shared" si="164"/>
        <v>32950000</v>
      </c>
      <c r="L212" s="23">
        <f t="shared" si="164"/>
        <v>0</v>
      </c>
      <c r="M212" s="23">
        <f t="shared" si="164"/>
        <v>0</v>
      </c>
      <c r="N212" s="23">
        <f t="shared" si="164"/>
        <v>0</v>
      </c>
      <c r="O212" s="23">
        <f t="shared" si="164"/>
        <v>32950000</v>
      </c>
      <c r="P212" s="23">
        <f t="shared" si="164"/>
        <v>32950000</v>
      </c>
      <c r="Q212" s="156"/>
      <c r="R212" s="24"/>
    </row>
    <row r="213" spans="1:18" s="24" customFormat="1" ht="15" x14ac:dyDescent="0.4">
      <c r="A213" s="20"/>
      <c r="B213" s="32"/>
      <c r="C213" s="32"/>
      <c r="D213" s="22" t="s">
        <v>288</v>
      </c>
      <c r="E213" s="23">
        <f>E235</f>
        <v>0</v>
      </c>
      <c r="F213" s="23">
        <f t="shared" ref="F213:P213" si="165">F235</f>
        <v>0</v>
      </c>
      <c r="G213" s="23">
        <f t="shared" si="165"/>
        <v>0</v>
      </c>
      <c r="H213" s="23">
        <f t="shared" si="165"/>
        <v>0</v>
      </c>
      <c r="I213" s="23">
        <f t="shared" si="165"/>
        <v>0</v>
      </c>
      <c r="J213" s="23">
        <f>J235</f>
        <v>209249640</v>
      </c>
      <c r="K213" s="23">
        <f t="shared" si="165"/>
        <v>209249640</v>
      </c>
      <c r="L213" s="23">
        <f t="shared" si="165"/>
        <v>0</v>
      </c>
      <c r="M213" s="23">
        <f t="shared" si="165"/>
        <v>0</v>
      </c>
      <c r="N213" s="23">
        <f t="shared" si="165"/>
        <v>0</v>
      </c>
      <c r="O213" s="23">
        <f t="shared" si="165"/>
        <v>209249640</v>
      </c>
      <c r="P213" s="23">
        <f t="shared" si="165"/>
        <v>209249640</v>
      </c>
      <c r="Q213" s="156"/>
    </row>
    <row r="214" spans="1:18" s="24" customFormat="1" ht="65.25" customHeight="1" x14ac:dyDescent="0.4">
      <c r="A214" s="20"/>
      <c r="B214" s="32"/>
      <c r="C214" s="32"/>
      <c r="D214" s="22" t="str">
        <f>D236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E214" s="23">
        <f>E236</f>
        <v>0</v>
      </c>
      <c r="F214" s="23">
        <f t="shared" ref="F214:P214" si="166">F236</f>
        <v>0</v>
      </c>
      <c r="G214" s="23">
        <f t="shared" si="166"/>
        <v>0</v>
      </c>
      <c r="H214" s="23">
        <f t="shared" si="166"/>
        <v>0</v>
      </c>
      <c r="I214" s="23">
        <f t="shared" si="166"/>
        <v>0</v>
      </c>
      <c r="J214" s="23">
        <f t="shared" si="166"/>
        <v>42813357.390000001</v>
      </c>
      <c r="K214" s="23">
        <f t="shared" si="166"/>
        <v>42813357.390000001</v>
      </c>
      <c r="L214" s="23">
        <f t="shared" si="166"/>
        <v>0</v>
      </c>
      <c r="M214" s="23">
        <f t="shared" si="166"/>
        <v>0</v>
      </c>
      <c r="N214" s="23">
        <f t="shared" si="166"/>
        <v>0</v>
      </c>
      <c r="O214" s="23">
        <f t="shared" si="166"/>
        <v>42813357.390000001</v>
      </c>
      <c r="P214" s="23">
        <f t="shared" si="166"/>
        <v>42813357.390000001</v>
      </c>
      <c r="Q214" s="156"/>
    </row>
    <row r="215" spans="1:18" s="29" customFormat="1" ht="46.5" customHeight="1" x14ac:dyDescent="0.45">
      <c r="A215" s="25" t="s">
        <v>115</v>
      </c>
      <c r="B215" s="26" t="str">
        <f>'дод 7'!A17</f>
        <v>0160</v>
      </c>
      <c r="C215" s="26" t="str">
        <f>'дод 7'!B17</f>
        <v>0111</v>
      </c>
      <c r="D215" s="27" t="str">
        <f>'дод 7'!C17</f>
        <v>Керівництво і управління у відповідній сфері у містах (місті Києві), селищах, селах, територіальних громадах</v>
      </c>
      <c r="E215" s="28">
        <f t="shared" ref="E215:E235" si="167">F215+I215</f>
        <v>6477800</v>
      </c>
      <c r="F215" s="28">
        <v>6477800</v>
      </c>
      <c r="G215" s="28">
        <v>5309700</v>
      </c>
      <c r="H215" s="28"/>
      <c r="I215" s="28"/>
      <c r="J215" s="28">
        <f>L215+O215</f>
        <v>400000</v>
      </c>
      <c r="K215" s="28"/>
      <c r="L215" s="28">
        <v>400000</v>
      </c>
      <c r="M215" s="28"/>
      <c r="N215" s="28">
        <v>228200</v>
      </c>
      <c r="O215" s="28"/>
      <c r="P215" s="28">
        <f t="shared" ref="P215:P236" si="168">E215+J215</f>
        <v>6877800</v>
      </c>
      <c r="Q215" s="156"/>
    </row>
    <row r="216" spans="1:18" s="123" customFormat="1" ht="32.25" hidden="1" customHeight="1" x14ac:dyDescent="0.45">
      <c r="A216" s="25" t="s">
        <v>503</v>
      </c>
      <c r="B216" s="26" t="str">
        <f>'дод 7'!A33</f>
        <v>1010</v>
      </c>
      <c r="C216" s="26" t="str">
        <f>'дод 7'!B33</f>
        <v>0910</v>
      </c>
      <c r="D216" s="30" t="str">
        <f>'дод 7'!C33</f>
        <v>Надання дошкільної освіти</v>
      </c>
      <c r="E216" s="28">
        <f t="shared" si="167"/>
        <v>0</v>
      </c>
      <c r="F216" s="28"/>
      <c r="G216" s="28"/>
      <c r="H216" s="28"/>
      <c r="I216" s="28"/>
      <c r="J216" s="28">
        <f t="shared" ref="J216:J218" si="169">L216+O216</f>
        <v>0</v>
      </c>
      <c r="K216" s="28">
        <f>120000-120000</f>
        <v>0</v>
      </c>
      <c r="L216" s="28"/>
      <c r="M216" s="28"/>
      <c r="N216" s="28"/>
      <c r="O216" s="28">
        <f>120000-120000</f>
        <v>0</v>
      </c>
      <c r="P216" s="28">
        <f t="shared" si="168"/>
        <v>0</v>
      </c>
      <c r="Q216" s="156"/>
      <c r="R216" s="29"/>
    </row>
    <row r="217" spans="1:18" s="116" customFormat="1" ht="46.5" customHeight="1" x14ac:dyDescent="0.45">
      <c r="A217" s="25" t="s">
        <v>504</v>
      </c>
      <c r="B217" s="26">
        <f>'дод 7'!A34</f>
        <v>1021</v>
      </c>
      <c r="C217" s="26" t="str">
        <f>'дод 7'!B34</f>
        <v>0921</v>
      </c>
      <c r="D217" s="30" t="str">
        <f>'дод 7'!C34</f>
        <v>Надання загальної середньої освіти закладами загальної середньої освіти за рахунок коштів місцевого бюджету</v>
      </c>
      <c r="E217" s="28">
        <f t="shared" si="167"/>
        <v>0</v>
      </c>
      <c r="F217" s="28"/>
      <c r="G217" s="28"/>
      <c r="H217" s="28"/>
      <c r="I217" s="28"/>
      <c r="J217" s="28">
        <f t="shared" si="169"/>
        <v>200000</v>
      </c>
      <c r="K217" s="28">
        <v>200000</v>
      </c>
      <c r="L217" s="28"/>
      <c r="M217" s="28"/>
      <c r="N217" s="28"/>
      <c r="O217" s="28">
        <v>200000</v>
      </c>
      <c r="P217" s="28">
        <f t="shared" si="168"/>
        <v>200000</v>
      </c>
      <c r="Q217" s="156"/>
      <c r="R217" s="29"/>
    </row>
    <row r="218" spans="1:18" s="123" customFormat="1" ht="46.5" hidden="1" customHeight="1" x14ac:dyDescent="0.45">
      <c r="A218" s="25" t="s">
        <v>505</v>
      </c>
      <c r="B218" s="26" t="str">
        <f>'дод 7'!A52</f>
        <v>1141</v>
      </c>
      <c r="C218" s="26" t="str">
        <f>'дод 7'!B52</f>
        <v>0990</v>
      </c>
      <c r="D218" s="30" t="str">
        <f>'дод 7'!C52</f>
        <v>Забезпечення діяльності інших закладів у сфері освіти</v>
      </c>
      <c r="E218" s="28">
        <f t="shared" si="167"/>
        <v>0</v>
      </c>
      <c r="F218" s="28"/>
      <c r="G218" s="28"/>
      <c r="H218" s="28"/>
      <c r="I218" s="28"/>
      <c r="J218" s="28">
        <f t="shared" si="169"/>
        <v>0</v>
      </c>
      <c r="K218" s="28">
        <f>120000-120000</f>
        <v>0</v>
      </c>
      <c r="L218" s="28"/>
      <c r="M218" s="28"/>
      <c r="N218" s="28"/>
      <c r="O218" s="28">
        <f>120000-120000</f>
        <v>0</v>
      </c>
      <c r="P218" s="28">
        <f t="shared" si="168"/>
        <v>0</v>
      </c>
      <c r="Q218" s="156"/>
      <c r="R218" s="29"/>
    </row>
    <row r="219" spans="1:18" s="29" customFormat="1" ht="123" x14ac:dyDescent="0.45">
      <c r="A219" s="25" t="s">
        <v>482</v>
      </c>
      <c r="B219" s="26" t="str">
        <f>'дод 7'!A65</f>
        <v>1261</v>
      </c>
      <c r="C219" s="26" t="str">
        <f>'дод 7'!B65</f>
        <v>0990</v>
      </c>
      <c r="D219" s="30" t="str">
        <f>'дод 7'!C65</f>
        <v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219" s="28">
        <f t="shared" si="167"/>
        <v>0</v>
      </c>
      <c r="F219" s="28"/>
      <c r="G219" s="28"/>
      <c r="H219" s="28"/>
      <c r="I219" s="28"/>
      <c r="J219" s="28">
        <f>L219+O219</f>
        <v>112284866</v>
      </c>
      <c r="K219" s="28">
        <f>13800000+5000+5000+5000+130000+34890978+21854049+18172002+21922837+1500000</f>
        <v>112284866</v>
      </c>
      <c r="L219" s="28"/>
      <c r="M219" s="28"/>
      <c r="N219" s="28"/>
      <c r="O219" s="28">
        <f>13800000+5000+5000+5000+130000+34890978+21854049+18172002+21922837+1500000</f>
        <v>112284866</v>
      </c>
      <c r="P219" s="28">
        <f t="shared" si="168"/>
        <v>112284866</v>
      </c>
      <c r="Q219" s="156"/>
    </row>
    <row r="220" spans="1:18" s="29" customFormat="1" ht="125.25" customHeight="1" x14ac:dyDescent="0.45">
      <c r="A220" s="25" t="s">
        <v>483</v>
      </c>
      <c r="B220" s="26" t="str">
        <f>'дод 7'!A66</f>
        <v>1262</v>
      </c>
      <c r="C220" s="26" t="str">
        <f>'дод 7'!B66</f>
        <v>0990</v>
      </c>
      <c r="D220" s="30" t="str">
        <f>'дод 7'!C66</f>
        <v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бюджетам, у т.ч. за рахунок:</v>
      </c>
      <c r="E220" s="28">
        <f t="shared" si="167"/>
        <v>0</v>
      </c>
      <c r="F220" s="28"/>
      <c r="G220" s="28"/>
      <c r="H220" s="28"/>
      <c r="I220" s="28"/>
      <c r="J220" s="28">
        <f t="shared" ref="J220:J221" si="170">L220+O220</f>
        <v>213902286</v>
      </c>
      <c r="K220" s="28">
        <f>7809449+206092837</f>
        <v>213902286</v>
      </c>
      <c r="L220" s="28"/>
      <c r="M220" s="28"/>
      <c r="N220" s="28"/>
      <c r="O220" s="28">
        <f>7809449+206092837</f>
        <v>213902286</v>
      </c>
      <c r="P220" s="28">
        <f t="shared" si="168"/>
        <v>213902286</v>
      </c>
      <c r="Q220" s="156"/>
    </row>
    <row r="221" spans="1:18" s="38" customFormat="1" ht="106.5" customHeight="1" x14ac:dyDescent="0.45">
      <c r="A221" s="34"/>
      <c r="B221" s="35"/>
      <c r="C221" s="35"/>
      <c r="D221" s="36" t="str">
        <f>'дод 7'!C67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221" s="37">
        <f t="shared" si="167"/>
        <v>0</v>
      </c>
      <c r="F221" s="37"/>
      <c r="G221" s="37"/>
      <c r="H221" s="37"/>
      <c r="I221" s="37"/>
      <c r="J221" s="37">
        <f t="shared" si="170"/>
        <v>213902286</v>
      </c>
      <c r="K221" s="37">
        <f>7809449+206092837</f>
        <v>213902286</v>
      </c>
      <c r="L221" s="37"/>
      <c r="M221" s="37"/>
      <c r="N221" s="37"/>
      <c r="O221" s="37">
        <f>7809449+206092837</f>
        <v>213902286</v>
      </c>
      <c r="P221" s="37">
        <f t="shared" si="168"/>
        <v>213902286</v>
      </c>
      <c r="Q221" s="156"/>
    </row>
    <row r="222" spans="1:18" s="29" customFormat="1" ht="18.75" customHeight="1" x14ac:dyDescent="0.45">
      <c r="A222" s="25" t="s">
        <v>455</v>
      </c>
      <c r="B222" s="26" t="str">
        <f>'дод 7'!A71</f>
        <v>1300</v>
      </c>
      <c r="C222" s="26" t="str">
        <f>'дод 7'!B71</f>
        <v>0990</v>
      </c>
      <c r="D222" s="30" t="s">
        <v>539</v>
      </c>
      <c r="E222" s="28">
        <f t="shared" si="167"/>
        <v>0</v>
      </c>
      <c r="F222" s="28"/>
      <c r="G222" s="28"/>
      <c r="H222" s="28"/>
      <c r="I222" s="28"/>
      <c r="J222" s="28">
        <f>L222+O222</f>
        <v>1640621</v>
      </c>
      <c r="K222" s="28">
        <f>1050000+500000+50000+130000+5000+5000+5000+5000+30000-5000-5000-5000-130000+5621</f>
        <v>1640621</v>
      </c>
      <c r="L222" s="28"/>
      <c r="M222" s="28"/>
      <c r="N222" s="28"/>
      <c r="O222" s="28">
        <f>1050000+500000+50000+130000+5000+5000+5000+5000+30000-5000-5000-5000-130000+5621</f>
        <v>1640621</v>
      </c>
      <c r="P222" s="28">
        <f t="shared" si="168"/>
        <v>1640621</v>
      </c>
      <c r="Q222" s="156">
        <v>11</v>
      </c>
    </row>
    <row r="223" spans="1:18" s="123" customFormat="1" ht="52.15" customHeight="1" x14ac:dyDescent="0.45">
      <c r="A223" s="25" t="s">
        <v>527</v>
      </c>
      <c r="B223" s="26" t="str">
        <f>'дод 7'!A73</f>
        <v>1310</v>
      </c>
      <c r="C223" s="26" t="str">
        <f>'дод 7'!B73</f>
        <v>0990</v>
      </c>
      <c r="D223" s="30" t="str">
        <f>'дод 7'!C73</f>
        <v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бюджетів, у т.ч. за рахунок:</v>
      </c>
      <c r="E223" s="28">
        <f t="shared" si="167"/>
        <v>0</v>
      </c>
      <c r="F223" s="28"/>
      <c r="G223" s="28"/>
      <c r="H223" s="28"/>
      <c r="I223" s="28"/>
      <c r="J223" s="28">
        <f>L223+O223</f>
        <v>23030000</v>
      </c>
      <c r="K223" s="28">
        <f>120000+120000+120000+220000+8750000+7200000+3750000+2750000</f>
        <v>23030000</v>
      </c>
      <c r="L223" s="28"/>
      <c r="M223" s="28"/>
      <c r="N223" s="28"/>
      <c r="O223" s="28">
        <f>120000+120000+120000+220000+8750000+7200000+3750000+2750000</f>
        <v>23030000</v>
      </c>
      <c r="P223" s="28">
        <f t="shared" si="168"/>
        <v>23030000</v>
      </c>
      <c r="Q223" s="156"/>
      <c r="R223" s="29"/>
    </row>
    <row r="224" spans="1:18" s="122" customFormat="1" ht="85.15" customHeight="1" x14ac:dyDescent="0.45">
      <c r="A224" s="34"/>
      <c r="B224" s="35"/>
      <c r="C224" s="35"/>
      <c r="D224" s="36" t="s">
        <v>397</v>
      </c>
      <c r="E224" s="37">
        <f t="shared" si="167"/>
        <v>0</v>
      </c>
      <c r="F224" s="37"/>
      <c r="G224" s="37"/>
      <c r="H224" s="37"/>
      <c r="I224" s="37"/>
      <c r="J224" s="37">
        <f>L224+O224</f>
        <v>22450000</v>
      </c>
      <c r="K224" s="37">
        <f>8750000+7200000+3750000+2750000</f>
        <v>22450000</v>
      </c>
      <c r="L224" s="37"/>
      <c r="M224" s="37"/>
      <c r="N224" s="37"/>
      <c r="O224" s="37">
        <f>8750000+7200000+3750000+2750000</f>
        <v>22450000</v>
      </c>
      <c r="P224" s="37">
        <f t="shared" si="168"/>
        <v>22450000</v>
      </c>
      <c r="Q224" s="156"/>
      <c r="R224" s="38"/>
    </row>
    <row r="225" spans="1:18" s="116" customFormat="1" ht="15.4" x14ac:dyDescent="0.45">
      <c r="A225" s="25" t="s">
        <v>497</v>
      </c>
      <c r="B225" s="26" t="str">
        <f>'дод 7'!A83</f>
        <v>2010</v>
      </c>
      <c r="C225" s="26" t="str">
        <f>'дод 7'!B83</f>
        <v>0731</v>
      </c>
      <c r="D225" s="30" t="str">
        <f>'дод 7'!C83</f>
        <v>Багатопрофільна стаціонарна медична допомога населенню</v>
      </c>
      <c r="E225" s="28">
        <f t="shared" si="167"/>
        <v>0</v>
      </c>
      <c r="F225" s="28"/>
      <c r="G225" s="28"/>
      <c r="H225" s="28"/>
      <c r="I225" s="28"/>
      <c r="J225" s="28">
        <f>L225+O225</f>
        <v>3234832</v>
      </c>
      <c r="K225" s="28">
        <f>299000+1500000+70000+1365832</f>
        <v>3234832</v>
      </c>
      <c r="L225" s="28"/>
      <c r="M225" s="28"/>
      <c r="N225" s="28"/>
      <c r="O225" s="28">
        <f>299000+1500000+70000+1365832</f>
        <v>3234832</v>
      </c>
      <c r="P225" s="28">
        <f t="shared" si="168"/>
        <v>3234832</v>
      </c>
      <c r="Q225" s="156"/>
      <c r="R225" s="29"/>
    </row>
    <row r="226" spans="1:18" s="29" customFormat="1" ht="24" customHeight="1" x14ac:dyDescent="0.45">
      <c r="A226" s="25" t="s">
        <v>456</v>
      </c>
      <c r="B226" s="26">
        <f>'дод 7'!A89</f>
        <v>2170</v>
      </c>
      <c r="C226" s="26" t="str">
        <f>'дод 7'!B89</f>
        <v>0763</v>
      </c>
      <c r="D226" s="30" t="str">
        <f>'дод 7'!C89</f>
        <v>Будівництво1 закладів охорони здоров'я</v>
      </c>
      <c r="E226" s="28">
        <f t="shared" ref="E226:E227" si="171">F226+I226</f>
        <v>0</v>
      </c>
      <c r="F226" s="28"/>
      <c r="G226" s="28"/>
      <c r="H226" s="28"/>
      <c r="I226" s="28"/>
      <c r="J226" s="28">
        <f t="shared" ref="J226:J227" si="172">L226+O226</f>
        <v>900000</v>
      </c>
      <c r="K226" s="28">
        <f>900000+1500000-1500000</f>
        <v>900000</v>
      </c>
      <c r="L226" s="28"/>
      <c r="M226" s="28"/>
      <c r="N226" s="28"/>
      <c r="O226" s="28">
        <f>900000+1500000-1500000</f>
        <v>900000</v>
      </c>
      <c r="P226" s="28">
        <f t="shared" ref="P226:P227" si="173">E226+J226</f>
        <v>900000</v>
      </c>
      <c r="Q226" s="156"/>
    </row>
    <row r="227" spans="1:18" s="29" customFormat="1" ht="24" customHeight="1" x14ac:dyDescent="0.45">
      <c r="A227" s="25" t="s">
        <v>501</v>
      </c>
      <c r="B227" s="26" t="str">
        <f>'дод 7'!A149</f>
        <v>6030</v>
      </c>
      <c r="C227" s="26" t="str">
        <f>'дод 7'!B149</f>
        <v>0620</v>
      </c>
      <c r="D227" s="30" t="str">
        <f>'дод 7'!C149</f>
        <v>Організація благоустрою населених пунктів</v>
      </c>
      <c r="E227" s="28">
        <f t="shared" si="171"/>
        <v>0</v>
      </c>
      <c r="F227" s="28"/>
      <c r="G227" s="28"/>
      <c r="H227" s="28"/>
      <c r="I227" s="28"/>
      <c r="J227" s="28">
        <f t="shared" si="172"/>
        <v>80000</v>
      </c>
      <c r="K227" s="28">
        <v>80000</v>
      </c>
      <c r="L227" s="28"/>
      <c r="M227" s="28"/>
      <c r="N227" s="28"/>
      <c r="O227" s="28">
        <v>80000</v>
      </c>
      <c r="P227" s="28">
        <f t="shared" si="173"/>
        <v>80000</v>
      </c>
      <c r="Q227" s="156"/>
    </row>
    <row r="228" spans="1:18" s="123" customFormat="1" ht="65.25" customHeight="1" x14ac:dyDescent="0.45">
      <c r="A228" s="25" t="s">
        <v>170</v>
      </c>
      <c r="B228" s="26">
        <f>'дод 7'!A150</f>
        <v>6084</v>
      </c>
      <c r="C228" s="26" t="str">
        <f>'дод 7'!B150</f>
        <v>0610</v>
      </c>
      <c r="D228" s="30" t="str">
        <f>'дод 7'!C150</f>
        <v>Витрати, пов'язані з наданням та обслуговуванням пільгових довгострокових кредитів, наданих громадянам на будівництво/реконструкцію/придбання житла</v>
      </c>
      <c r="E228" s="28">
        <f t="shared" si="167"/>
        <v>0</v>
      </c>
      <c r="F228" s="28"/>
      <c r="G228" s="28"/>
      <c r="H228" s="28"/>
      <c r="I228" s="28"/>
      <c r="J228" s="28">
        <f t="shared" ref="J228:J236" si="174">L228+O228</f>
        <v>354773.55</v>
      </c>
      <c r="K228" s="28"/>
      <c r="L228" s="28"/>
      <c r="M228" s="28"/>
      <c r="N228" s="28"/>
      <c r="O228" s="28">
        <f>342000+12773.55</f>
        <v>354773.55</v>
      </c>
      <c r="P228" s="28">
        <f t="shared" si="168"/>
        <v>354773.55</v>
      </c>
      <c r="Q228" s="156"/>
      <c r="R228" s="29"/>
    </row>
    <row r="229" spans="1:18" s="29" customFormat="1" ht="15.4" x14ac:dyDescent="0.45">
      <c r="A229" s="25" t="s">
        <v>457</v>
      </c>
      <c r="B229" s="26">
        <f>'дод 7'!A152</f>
        <v>6091</v>
      </c>
      <c r="C229" s="26" t="str">
        <f>'дод 7'!B152</f>
        <v>0640</v>
      </c>
      <c r="D229" s="30" t="str">
        <f>'дод 7'!C152</f>
        <v>Будівництво1 об'єктів житлово-комунального господарства</v>
      </c>
      <c r="E229" s="28">
        <f t="shared" ref="E229:E233" si="175">F229+I229</f>
        <v>0</v>
      </c>
      <c r="F229" s="28"/>
      <c r="G229" s="28"/>
      <c r="H229" s="28"/>
      <c r="I229" s="28"/>
      <c r="J229" s="28">
        <f t="shared" ref="J229:J233" si="176">L229+O229</f>
        <v>2505621</v>
      </c>
      <c r="K229" s="28">
        <f>2500000+5621</f>
        <v>2505621</v>
      </c>
      <c r="L229" s="28"/>
      <c r="M229" s="28"/>
      <c r="N229" s="28"/>
      <c r="O229" s="28">
        <f>2500000+5621</f>
        <v>2505621</v>
      </c>
      <c r="P229" s="28">
        <f t="shared" ref="P229:P233" si="177">E229+J229</f>
        <v>2505621</v>
      </c>
      <c r="Q229" s="156"/>
    </row>
    <row r="230" spans="1:18" s="123" customFormat="1" ht="63.4" customHeight="1" x14ac:dyDescent="0.45">
      <c r="A230" s="25" t="s">
        <v>532</v>
      </c>
      <c r="B230" s="26">
        <f>'дод 7'!A153</f>
        <v>6092</v>
      </c>
      <c r="C230" s="26" t="str">
        <f>'дод 7'!B153</f>
        <v>0610</v>
      </c>
      <c r="D230" s="30" t="str">
        <f>'дод 7'!C153</f>
        <v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бюджетів, у т.ч. за рахунок:</v>
      </c>
      <c r="E230" s="28">
        <f t="shared" si="175"/>
        <v>0</v>
      </c>
      <c r="F230" s="28"/>
      <c r="G230" s="28"/>
      <c r="H230" s="28"/>
      <c r="I230" s="28"/>
      <c r="J230" s="28">
        <f t="shared" si="176"/>
        <v>10500000</v>
      </c>
      <c r="K230" s="28">
        <f>6000000+4500000</f>
        <v>10500000</v>
      </c>
      <c r="L230" s="28"/>
      <c r="M230" s="28"/>
      <c r="N230" s="28"/>
      <c r="O230" s="28">
        <f>6000000+4500000</f>
        <v>10500000</v>
      </c>
      <c r="P230" s="28">
        <f t="shared" si="177"/>
        <v>10500000</v>
      </c>
      <c r="Q230" s="156"/>
      <c r="R230" s="29"/>
    </row>
    <row r="231" spans="1:18" s="122" customFormat="1" ht="88.15" customHeight="1" x14ac:dyDescent="0.45">
      <c r="A231" s="34"/>
      <c r="B231" s="35"/>
      <c r="C231" s="35"/>
      <c r="D231" s="36" t="s">
        <v>397</v>
      </c>
      <c r="E231" s="37">
        <f t="shared" si="175"/>
        <v>0</v>
      </c>
      <c r="F231" s="37"/>
      <c r="G231" s="37"/>
      <c r="H231" s="37"/>
      <c r="I231" s="37"/>
      <c r="J231" s="37">
        <f t="shared" si="176"/>
        <v>10500000</v>
      </c>
      <c r="K231" s="37">
        <f>6000000+4500000</f>
        <v>10500000</v>
      </c>
      <c r="L231" s="37"/>
      <c r="M231" s="37"/>
      <c r="N231" s="37"/>
      <c r="O231" s="37">
        <f>6000000+4500000</f>
        <v>10500000</v>
      </c>
      <c r="P231" s="37">
        <f t="shared" si="177"/>
        <v>10500000</v>
      </c>
      <c r="Q231" s="156"/>
      <c r="R231" s="38"/>
    </row>
    <row r="232" spans="1:18" s="29" customFormat="1" ht="15.4" x14ac:dyDescent="0.45">
      <c r="A232" s="25" t="s">
        <v>458</v>
      </c>
      <c r="B232" s="26" t="str">
        <f>'дод 7'!A169</f>
        <v>7330</v>
      </c>
      <c r="C232" s="26" t="str">
        <f>'дод 7'!B169</f>
        <v>0443</v>
      </c>
      <c r="D232" s="30" t="s">
        <v>463</v>
      </c>
      <c r="E232" s="28">
        <f t="shared" si="175"/>
        <v>0</v>
      </c>
      <c r="F232" s="28"/>
      <c r="G232" s="28"/>
      <c r="H232" s="28"/>
      <c r="I232" s="28"/>
      <c r="J232" s="28">
        <f t="shared" si="176"/>
        <v>1180000</v>
      </c>
      <c r="K232" s="28">
        <f>1040000+140000</f>
        <v>1180000</v>
      </c>
      <c r="L232" s="28"/>
      <c r="M232" s="28"/>
      <c r="N232" s="28"/>
      <c r="O232" s="28">
        <f>1040000+140000</f>
        <v>1180000</v>
      </c>
      <c r="P232" s="28">
        <f t="shared" si="177"/>
        <v>1180000</v>
      </c>
      <c r="Q232" s="156"/>
    </row>
    <row r="233" spans="1:18" s="123" customFormat="1" ht="37.5" customHeight="1" x14ac:dyDescent="0.45">
      <c r="A233" s="25" t="s">
        <v>513</v>
      </c>
      <c r="B233" s="26">
        <f>'дод 7'!A170</f>
        <v>7370</v>
      </c>
      <c r="C233" s="26" t="str">
        <f>'дод 7'!B170</f>
        <v>0490</v>
      </c>
      <c r="D233" s="30" t="str">
        <f>'дод 7'!C170</f>
        <v>Реалізація інших заходів щодо соціально-економічного розвитку територій</v>
      </c>
      <c r="E233" s="28">
        <f t="shared" si="175"/>
        <v>0</v>
      </c>
      <c r="F233" s="28"/>
      <c r="G233" s="28"/>
      <c r="H233" s="28"/>
      <c r="I233" s="28"/>
      <c r="J233" s="28">
        <f t="shared" si="176"/>
        <v>1500000</v>
      </c>
      <c r="K233" s="28">
        <v>1500000</v>
      </c>
      <c r="L233" s="28"/>
      <c r="M233" s="28"/>
      <c r="N233" s="28"/>
      <c r="O233" s="28">
        <v>1500000</v>
      </c>
      <c r="P233" s="28">
        <f t="shared" si="177"/>
        <v>1500000</v>
      </c>
      <c r="Q233" s="156"/>
      <c r="R233" s="29"/>
    </row>
    <row r="234" spans="1:18" s="29" customFormat="1" ht="15.4" x14ac:dyDescent="0.45">
      <c r="A234" s="25" t="s">
        <v>120</v>
      </c>
      <c r="B234" s="26" t="str">
        <f>'дод 7'!A185</f>
        <v>7640</v>
      </c>
      <c r="C234" s="26" t="str">
        <f>'дод 7'!B185</f>
        <v>0470</v>
      </c>
      <c r="D234" s="27" t="str">
        <f>'дод 7'!C185</f>
        <v>Заходи з енергозбереження, у т. ч. за рахунок:</v>
      </c>
      <c r="E234" s="28">
        <f t="shared" si="167"/>
        <v>515734</v>
      </c>
      <c r="F234" s="28">
        <v>515734</v>
      </c>
      <c r="G234" s="28"/>
      <c r="H234" s="28"/>
      <c r="I234" s="28"/>
      <c r="J234" s="28">
        <f t="shared" si="174"/>
        <v>293912997.38999999</v>
      </c>
      <c r="K234" s="28">
        <f>251099640+42813357.39</f>
        <v>293912997.38999999</v>
      </c>
      <c r="L234" s="28"/>
      <c r="M234" s="28"/>
      <c r="N234" s="28"/>
      <c r="O234" s="28">
        <f>251099640+42813357.39</f>
        <v>293912997.38999999</v>
      </c>
      <c r="P234" s="28">
        <f t="shared" si="168"/>
        <v>294428731.38999999</v>
      </c>
      <c r="Q234" s="156"/>
    </row>
    <row r="235" spans="1:18" s="38" customFormat="1" ht="15.4" x14ac:dyDescent="0.45">
      <c r="A235" s="34"/>
      <c r="B235" s="35"/>
      <c r="C235" s="35"/>
      <c r="D235" s="39" t="s">
        <v>288</v>
      </c>
      <c r="E235" s="37">
        <f t="shared" si="167"/>
        <v>0</v>
      </c>
      <c r="F235" s="37"/>
      <c r="G235" s="37"/>
      <c r="H235" s="37"/>
      <c r="I235" s="37"/>
      <c r="J235" s="37">
        <f t="shared" si="174"/>
        <v>209249640</v>
      </c>
      <c r="K235" s="37">
        <v>209249640</v>
      </c>
      <c r="L235" s="37"/>
      <c r="M235" s="37"/>
      <c r="N235" s="37"/>
      <c r="O235" s="37">
        <v>209249640</v>
      </c>
      <c r="P235" s="37">
        <f t="shared" si="168"/>
        <v>209249640</v>
      </c>
      <c r="Q235" s="156"/>
    </row>
    <row r="236" spans="1:18" s="38" customFormat="1" ht="78" customHeight="1" x14ac:dyDescent="0.45">
      <c r="A236" s="34"/>
      <c r="B236" s="35"/>
      <c r="C236" s="35"/>
      <c r="D236" s="39" t="str">
        <f>'дод 7'!C187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E236" s="37"/>
      <c r="F236" s="37"/>
      <c r="G236" s="37"/>
      <c r="H236" s="37"/>
      <c r="I236" s="37"/>
      <c r="J236" s="37">
        <f t="shared" si="174"/>
        <v>42813357.390000001</v>
      </c>
      <c r="K236" s="37">
        <v>42813357.390000001</v>
      </c>
      <c r="L236" s="37"/>
      <c r="M236" s="37"/>
      <c r="N236" s="37"/>
      <c r="O236" s="37">
        <v>42813357.390000001</v>
      </c>
      <c r="P236" s="37">
        <f t="shared" si="168"/>
        <v>42813357.390000001</v>
      </c>
      <c r="Q236" s="156"/>
    </row>
    <row r="237" spans="1:18" s="19" customFormat="1" ht="30" x14ac:dyDescent="0.4">
      <c r="A237" s="16" t="s">
        <v>173</v>
      </c>
      <c r="B237" s="31"/>
      <c r="C237" s="31"/>
      <c r="D237" s="17" t="s">
        <v>35</v>
      </c>
      <c r="E237" s="18">
        <f>E238</f>
        <v>6723100</v>
      </c>
      <c r="F237" s="18">
        <f t="shared" ref="F237:P237" si="178">F238</f>
        <v>6723100</v>
      </c>
      <c r="G237" s="18">
        <f t="shared" si="178"/>
        <v>5268800</v>
      </c>
      <c r="H237" s="18">
        <f t="shared" si="178"/>
        <v>113900</v>
      </c>
      <c r="I237" s="18">
        <f t="shared" si="178"/>
        <v>0</v>
      </c>
      <c r="J237" s="18">
        <f t="shared" si="178"/>
        <v>0</v>
      </c>
      <c r="K237" s="18">
        <f t="shared" si="178"/>
        <v>0</v>
      </c>
      <c r="L237" s="18">
        <f t="shared" si="178"/>
        <v>0</v>
      </c>
      <c r="M237" s="18">
        <f t="shared" si="178"/>
        <v>0</v>
      </c>
      <c r="N237" s="18">
        <f t="shared" si="178"/>
        <v>0</v>
      </c>
      <c r="O237" s="18">
        <f t="shared" si="178"/>
        <v>0</v>
      </c>
      <c r="P237" s="18">
        <f t="shared" si="178"/>
        <v>6723100</v>
      </c>
      <c r="Q237" s="156"/>
    </row>
    <row r="238" spans="1:18" s="24" customFormat="1" ht="30" x14ac:dyDescent="0.4">
      <c r="A238" s="20" t="s">
        <v>171</v>
      </c>
      <c r="B238" s="32"/>
      <c r="C238" s="32"/>
      <c r="D238" s="22" t="s">
        <v>35</v>
      </c>
      <c r="E238" s="23">
        <f>E239</f>
        <v>6723100</v>
      </c>
      <c r="F238" s="23">
        <f t="shared" ref="F238:J238" si="179">F239</f>
        <v>6723100</v>
      </c>
      <c r="G238" s="23">
        <f t="shared" si="179"/>
        <v>5268800</v>
      </c>
      <c r="H238" s="23">
        <f t="shared" si="179"/>
        <v>113900</v>
      </c>
      <c r="I238" s="23">
        <f t="shared" si="179"/>
        <v>0</v>
      </c>
      <c r="J238" s="23">
        <f t="shared" si="179"/>
        <v>0</v>
      </c>
      <c r="K238" s="23">
        <f t="shared" ref="K238" si="180">K239</f>
        <v>0</v>
      </c>
      <c r="L238" s="23">
        <f t="shared" ref="L238" si="181">L239</f>
        <v>0</v>
      </c>
      <c r="M238" s="23">
        <f t="shared" ref="M238" si="182">M239</f>
        <v>0</v>
      </c>
      <c r="N238" s="23">
        <f t="shared" ref="N238" si="183">N239</f>
        <v>0</v>
      </c>
      <c r="O238" s="23">
        <f t="shared" ref="O238:P238" si="184">O239</f>
        <v>0</v>
      </c>
      <c r="P238" s="23">
        <f t="shared" si="184"/>
        <v>6723100</v>
      </c>
      <c r="Q238" s="156"/>
    </row>
    <row r="239" spans="1:18" s="29" customFormat="1" ht="49.5" customHeight="1" x14ac:dyDescent="0.45">
      <c r="A239" s="25" t="s">
        <v>172</v>
      </c>
      <c r="B239" s="26" t="str">
        <f>'дод 7'!A17</f>
        <v>0160</v>
      </c>
      <c r="C239" s="26" t="str">
        <f>'дод 7'!B17</f>
        <v>0111</v>
      </c>
      <c r="D239" s="27" t="str">
        <f>'дод 7'!C17</f>
        <v>Керівництво і управління у відповідній сфері у містах (місті Києві), селищах, селах, територіальних громадах</v>
      </c>
      <c r="E239" s="28">
        <f>F239+I239</f>
        <v>6723100</v>
      </c>
      <c r="F239" s="28">
        <f>6573400+149700</f>
        <v>6723100</v>
      </c>
      <c r="G239" s="28">
        <f>5146100+122700</f>
        <v>5268800</v>
      </c>
      <c r="H239" s="28">
        <v>113900</v>
      </c>
      <c r="I239" s="28"/>
      <c r="J239" s="28">
        <f>L239+O239</f>
        <v>0</v>
      </c>
      <c r="K239" s="28"/>
      <c r="L239" s="28"/>
      <c r="M239" s="28"/>
      <c r="N239" s="28"/>
      <c r="O239" s="28"/>
      <c r="P239" s="28">
        <f>E239+J239</f>
        <v>6723100</v>
      </c>
      <c r="Q239" s="156"/>
    </row>
    <row r="240" spans="1:18" s="19" customFormat="1" ht="15" x14ac:dyDescent="0.4">
      <c r="A240" s="16" t="s">
        <v>350</v>
      </c>
      <c r="B240" s="31"/>
      <c r="C240" s="31"/>
      <c r="D240" s="17" t="s">
        <v>337</v>
      </c>
      <c r="E240" s="18">
        <f>E241</f>
        <v>19501400</v>
      </c>
      <c r="F240" s="18">
        <f t="shared" ref="F240:P240" si="185">F241</f>
        <v>18901400</v>
      </c>
      <c r="G240" s="18">
        <f t="shared" si="185"/>
        <v>15010700</v>
      </c>
      <c r="H240" s="18">
        <f t="shared" si="185"/>
        <v>236900</v>
      </c>
      <c r="I240" s="18">
        <f t="shared" si="185"/>
        <v>600000</v>
      </c>
      <c r="J240" s="18">
        <f t="shared" si="185"/>
        <v>0</v>
      </c>
      <c r="K240" s="18">
        <f t="shared" si="185"/>
        <v>0</v>
      </c>
      <c r="L240" s="18">
        <f t="shared" si="185"/>
        <v>0</v>
      </c>
      <c r="M240" s="18">
        <f t="shared" si="185"/>
        <v>0</v>
      </c>
      <c r="N240" s="18">
        <f t="shared" si="185"/>
        <v>0</v>
      </c>
      <c r="O240" s="18">
        <f t="shared" si="185"/>
        <v>0</v>
      </c>
      <c r="P240" s="18">
        <f t="shared" si="185"/>
        <v>19501400</v>
      </c>
      <c r="Q240" s="156"/>
    </row>
    <row r="241" spans="1:18" s="24" customFormat="1" ht="15" x14ac:dyDescent="0.4">
      <c r="A241" s="20" t="s">
        <v>352</v>
      </c>
      <c r="B241" s="32"/>
      <c r="C241" s="32"/>
      <c r="D241" s="22" t="s">
        <v>337</v>
      </c>
      <c r="E241" s="23">
        <f>E242+E243</f>
        <v>19501400</v>
      </c>
      <c r="F241" s="23">
        <f t="shared" ref="F241:P241" si="186">F242+F243</f>
        <v>18901400</v>
      </c>
      <c r="G241" s="23">
        <f t="shared" si="186"/>
        <v>15010700</v>
      </c>
      <c r="H241" s="23">
        <f t="shared" si="186"/>
        <v>236900</v>
      </c>
      <c r="I241" s="23">
        <f t="shared" si="186"/>
        <v>600000</v>
      </c>
      <c r="J241" s="23">
        <f t="shared" si="186"/>
        <v>0</v>
      </c>
      <c r="K241" s="23">
        <f t="shared" si="186"/>
        <v>0</v>
      </c>
      <c r="L241" s="23">
        <f t="shared" si="186"/>
        <v>0</v>
      </c>
      <c r="M241" s="23">
        <f t="shared" si="186"/>
        <v>0</v>
      </c>
      <c r="N241" s="23">
        <f t="shared" si="186"/>
        <v>0</v>
      </c>
      <c r="O241" s="23">
        <f t="shared" si="186"/>
        <v>0</v>
      </c>
      <c r="P241" s="23">
        <f t="shared" si="186"/>
        <v>19501400</v>
      </c>
      <c r="Q241" s="156"/>
    </row>
    <row r="242" spans="1:18" s="29" customFormat="1" ht="45" customHeight="1" x14ac:dyDescent="0.45">
      <c r="A242" s="25" t="s">
        <v>351</v>
      </c>
      <c r="B242" s="26" t="str">
        <f>'дод 7'!A17</f>
        <v>0160</v>
      </c>
      <c r="C242" s="26" t="str">
        <f>'дод 7'!B17</f>
        <v>0111</v>
      </c>
      <c r="D242" s="27" t="str">
        <f>'дод 7'!C17</f>
        <v>Керівництво і управління у відповідній сфері у містах (місті Києві), селищах, селах, територіальних громадах</v>
      </c>
      <c r="E242" s="28">
        <f>F242+I242</f>
        <v>18841400</v>
      </c>
      <c r="F242" s="28">
        <v>18841400</v>
      </c>
      <c r="G242" s="28">
        <v>15010700</v>
      </c>
      <c r="H242" s="28">
        <v>236900</v>
      </c>
      <c r="I242" s="28"/>
      <c r="J242" s="28">
        <f>L242+O242</f>
        <v>0</v>
      </c>
      <c r="K242" s="28">
        <f>8000-8000</f>
        <v>0</v>
      </c>
      <c r="L242" s="28"/>
      <c r="M242" s="28"/>
      <c r="N242" s="28"/>
      <c r="O242" s="28">
        <f>8000-8000</f>
        <v>0</v>
      </c>
      <c r="P242" s="28">
        <f>E242+J242</f>
        <v>18841400</v>
      </c>
      <c r="Q242" s="156"/>
    </row>
    <row r="243" spans="1:18" s="29" customFormat="1" ht="31.5" customHeight="1" x14ac:dyDescent="0.45">
      <c r="A243" s="25" t="s">
        <v>353</v>
      </c>
      <c r="B243" s="26" t="str">
        <f>'дод 7'!A184</f>
        <v>7610</v>
      </c>
      <c r="C243" s="26" t="str">
        <f>'дод 7'!B184</f>
        <v>0411</v>
      </c>
      <c r="D243" s="30" t="str">
        <f>'дод 7'!C184</f>
        <v>Сприяння розвитку малого та середнього підприємництва</v>
      </c>
      <c r="E243" s="28">
        <f>F243+I243</f>
        <v>660000</v>
      </c>
      <c r="F243" s="28">
        <v>60000</v>
      </c>
      <c r="G243" s="28"/>
      <c r="H243" s="28"/>
      <c r="I243" s="28">
        <v>600000</v>
      </c>
      <c r="J243" s="28">
        <f>L243+O243</f>
        <v>0</v>
      </c>
      <c r="K243" s="28">
        <f>8000-8000</f>
        <v>0</v>
      </c>
      <c r="L243" s="28"/>
      <c r="M243" s="28"/>
      <c r="N243" s="28"/>
      <c r="O243" s="28">
        <f>8000-8000</f>
        <v>0</v>
      </c>
      <c r="P243" s="28">
        <f>E243+J243</f>
        <v>660000</v>
      </c>
      <c r="Q243" s="156"/>
    </row>
    <row r="244" spans="1:18" s="19" customFormat="1" ht="33" customHeight="1" x14ac:dyDescent="0.4">
      <c r="A244" s="16" t="s">
        <v>174</v>
      </c>
      <c r="B244" s="31"/>
      <c r="C244" s="31"/>
      <c r="D244" s="17" t="s">
        <v>341</v>
      </c>
      <c r="E244" s="18">
        <f>E245</f>
        <v>16295875</v>
      </c>
      <c r="F244" s="18">
        <f t="shared" ref="F244:O244" si="187">F245</f>
        <v>16295875</v>
      </c>
      <c r="G244" s="18">
        <f t="shared" si="187"/>
        <v>12289400</v>
      </c>
      <c r="H244" s="18">
        <f t="shared" si="187"/>
        <v>226900</v>
      </c>
      <c r="I244" s="18">
        <f t="shared" si="187"/>
        <v>0</v>
      </c>
      <c r="J244" s="18">
        <f t="shared" si="187"/>
        <v>300000</v>
      </c>
      <c r="K244" s="18">
        <f t="shared" si="187"/>
        <v>300000</v>
      </c>
      <c r="L244" s="18">
        <f t="shared" si="187"/>
        <v>0</v>
      </c>
      <c r="M244" s="18">
        <f t="shared" si="187"/>
        <v>0</v>
      </c>
      <c r="N244" s="18">
        <f t="shared" si="187"/>
        <v>0</v>
      </c>
      <c r="O244" s="18">
        <f t="shared" si="187"/>
        <v>300000</v>
      </c>
      <c r="P244" s="18">
        <f>P245</f>
        <v>16595875</v>
      </c>
      <c r="Q244" s="156"/>
    </row>
    <row r="245" spans="1:18" s="24" customFormat="1" ht="32.25" customHeight="1" x14ac:dyDescent="0.4">
      <c r="A245" s="20" t="s">
        <v>175</v>
      </c>
      <c r="B245" s="32"/>
      <c r="C245" s="32"/>
      <c r="D245" s="22" t="s">
        <v>341</v>
      </c>
      <c r="E245" s="23">
        <f>E246+E247</f>
        <v>16295875</v>
      </c>
      <c r="F245" s="23">
        <f t="shared" ref="F245:P245" si="188">F246+F247</f>
        <v>16295875</v>
      </c>
      <c r="G245" s="23">
        <f t="shared" si="188"/>
        <v>12289400</v>
      </c>
      <c r="H245" s="23">
        <f t="shared" si="188"/>
        <v>226900</v>
      </c>
      <c r="I245" s="23">
        <f t="shared" si="188"/>
        <v>0</v>
      </c>
      <c r="J245" s="23">
        <f t="shared" si="188"/>
        <v>300000</v>
      </c>
      <c r="K245" s="23">
        <f t="shared" si="188"/>
        <v>300000</v>
      </c>
      <c r="L245" s="23">
        <f t="shared" si="188"/>
        <v>0</v>
      </c>
      <c r="M245" s="23">
        <f t="shared" si="188"/>
        <v>0</v>
      </c>
      <c r="N245" s="23">
        <f t="shared" si="188"/>
        <v>0</v>
      </c>
      <c r="O245" s="23">
        <f t="shared" si="188"/>
        <v>300000</v>
      </c>
      <c r="P245" s="23">
        <f t="shared" si="188"/>
        <v>16595875</v>
      </c>
      <c r="Q245" s="156"/>
    </row>
    <row r="246" spans="1:18" s="123" customFormat="1" ht="50.25" customHeight="1" x14ac:dyDescent="0.45">
      <c r="A246" s="25" t="s">
        <v>176</v>
      </c>
      <c r="B246" s="26" t="str">
        <f>'дод 7'!A17</f>
        <v>0160</v>
      </c>
      <c r="C246" s="26" t="str">
        <f>'дод 7'!B17</f>
        <v>0111</v>
      </c>
      <c r="D246" s="27" t="str">
        <f>'дод 7'!C17</f>
        <v>Керівництво і управління у відповідній сфері у містах (місті Києві), селищах, селах, територіальних громадах</v>
      </c>
      <c r="E246" s="28">
        <f t="shared" ref="E246:E247" si="189">F246+I246</f>
        <v>15695600</v>
      </c>
      <c r="F246" s="28">
        <f>15692100+3500</f>
        <v>15695600</v>
      </c>
      <c r="G246" s="28">
        <v>12289400</v>
      </c>
      <c r="H246" s="28">
        <v>226900</v>
      </c>
      <c r="I246" s="28"/>
      <c r="J246" s="28">
        <f>L246+O246</f>
        <v>300000</v>
      </c>
      <c r="K246" s="28">
        <v>300000</v>
      </c>
      <c r="L246" s="28"/>
      <c r="M246" s="28"/>
      <c r="N246" s="28"/>
      <c r="O246" s="28">
        <v>300000</v>
      </c>
      <c r="P246" s="28">
        <f t="shared" ref="P246:P247" si="190">E246+J246</f>
        <v>15995600</v>
      </c>
      <c r="Q246" s="156"/>
      <c r="R246" s="29"/>
    </row>
    <row r="247" spans="1:18" s="123" customFormat="1" ht="22.5" customHeight="1" x14ac:dyDescent="0.45">
      <c r="A247" s="25" t="s">
        <v>215</v>
      </c>
      <c r="B247" s="26" t="str">
        <f>'дод 7'!A193</f>
        <v>7693</v>
      </c>
      <c r="C247" s="26" t="str">
        <f>'дод 7'!B193</f>
        <v>0490</v>
      </c>
      <c r="D247" s="27" t="str">
        <f>'дод 7'!C193</f>
        <v>Інші заходи, пов'язані з економічною діяльністю</v>
      </c>
      <c r="E247" s="28">
        <f t="shared" si="189"/>
        <v>600275</v>
      </c>
      <c r="F247" s="28">
        <f>485000+115275</f>
        <v>600275</v>
      </c>
      <c r="G247" s="28"/>
      <c r="H247" s="28"/>
      <c r="I247" s="28"/>
      <c r="J247" s="28">
        <f t="shared" ref="J247" si="191">L247+O247</f>
        <v>0</v>
      </c>
      <c r="K247" s="28"/>
      <c r="L247" s="28"/>
      <c r="M247" s="28"/>
      <c r="N247" s="28"/>
      <c r="O247" s="28"/>
      <c r="P247" s="28">
        <f t="shared" si="190"/>
        <v>600275</v>
      </c>
      <c r="Q247" s="156"/>
      <c r="R247" s="29"/>
    </row>
    <row r="248" spans="1:18" s="19" customFormat="1" ht="30" x14ac:dyDescent="0.4">
      <c r="A248" s="16" t="s">
        <v>338</v>
      </c>
      <c r="B248" s="31"/>
      <c r="C248" s="31"/>
      <c r="D248" s="17" t="s">
        <v>33</v>
      </c>
      <c r="E248" s="18">
        <f>E249</f>
        <v>31526500</v>
      </c>
      <c r="F248" s="18">
        <f t="shared" ref="F248:P248" si="192">F249</f>
        <v>31526500</v>
      </c>
      <c r="G248" s="18">
        <f t="shared" si="192"/>
        <v>22678000</v>
      </c>
      <c r="H248" s="18">
        <f t="shared" si="192"/>
        <v>839200</v>
      </c>
      <c r="I248" s="18">
        <f t="shared" si="192"/>
        <v>0</v>
      </c>
      <c r="J248" s="18">
        <f t="shared" si="192"/>
        <v>1511287</v>
      </c>
      <c r="K248" s="18">
        <f t="shared" si="192"/>
        <v>180000</v>
      </c>
      <c r="L248" s="18">
        <f t="shared" si="192"/>
        <v>1043587</v>
      </c>
      <c r="M248" s="18">
        <f t="shared" si="192"/>
        <v>0</v>
      </c>
      <c r="N248" s="18">
        <f t="shared" si="192"/>
        <v>0</v>
      </c>
      <c r="O248" s="18">
        <f t="shared" si="192"/>
        <v>467700</v>
      </c>
      <c r="P248" s="18">
        <f t="shared" si="192"/>
        <v>33037787</v>
      </c>
      <c r="Q248" s="156"/>
    </row>
    <row r="249" spans="1:18" s="24" customFormat="1" ht="30" x14ac:dyDescent="0.4">
      <c r="A249" s="20" t="s">
        <v>339</v>
      </c>
      <c r="B249" s="32"/>
      <c r="C249" s="32"/>
      <c r="D249" s="22" t="s">
        <v>510</v>
      </c>
      <c r="E249" s="23">
        <f t="shared" ref="E249:P249" si="193">E250+E251+E252+E253+E254+E256+E255</f>
        <v>31526500</v>
      </c>
      <c r="F249" s="23">
        <f t="shared" si="193"/>
        <v>31526500</v>
      </c>
      <c r="G249" s="23">
        <f t="shared" si="193"/>
        <v>22678000</v>
      </c>
      <c r="H249" s="23">
        <f t="shared" si="193"/>
        <v>839200</v>
      </c>
      <c r="I249" s="23">
        <f t="shared" si="193"/>
        <v>0</v>
      </c>
      <c r="J249" s="23">
        <f t="shared" si="193"/>
        <v>1511287</v>
      </c>
      <c r="K249" s="23">
        <f t="shared" si="193"/>
        <v>180000</v>
      </c>
      <c r="L249" s="23">
        <f t="shared" si="193"/>
        <v>1043587</v>
      </c>
      <c r="M249" s="23">
        <f t="shared" si="193"/>
        <v>0</v>
      </c>
      <c r="N249" s="23">
        <f t="shared" si="193"/>
        <v>0</v>
      </c>
      <c r="O249" s="23">
        <f t="shared" si="193"/>
        <v>467700</v>
      </c>
      <c r="P249" s="23">
        <f t="shared" si="193"/>
        <v>33037787</v>
      </c>
      <c r="Q249" s="156"/>
    </row>
    <row r="250" spans="1:18" s="29" customFormat="1" ht="30.75" x14ac:dyDescent="0.45">
      <c r="A250" s="25" t="s">
        <v>340</v>
      </c>
      <c r="B250" s="26" t="str">
        <f>'дод 7'!A17</f>
        <v>0160</v>
      </c>
      <c r="C250" s="26" t="str">
        <f>'дод 7'!B17</f>
        <v>0111</v>
      </c>
      <c r="D250" s="27" t="str">
        <f>'дод 7'!C17</f>
        <v>Керівництво і управління у відповідній сфері у містах (місті Києві), селищах, селах, територіальних громадах</v>
      </c>
      <c r="E250" s="28">
        <f>F250+I250</f>
        <v>29480500</v>
      </c>
      <c r="F250" s="28">
        <f>29873500-393000</f>
        <v>29480500</v>
      </c>
      <c r="G250" s="28">
        <f>23000100-322100</f>
        <v>22678000</v>
      </c>
      <c r="H250" s="28">
        <v>839200</v>
      </c>
      <c r="I250" s="28"/>
      <c r="J250" s="28">
        <f>L250+O250</f>
        <v>0</v>
      </c>
      <c r="K250" s="28"/>
      <c r="L250" s="28"/>
      <c r="M250" s="28"/>
      <c r="N250" s="28"/>
      <c r="O250" s="28"/>
      <c r="P250" s="28">
        <f>E250+J250</f>
        <v>29480500</v>
      </c>
      <c r="Q250" s="156"/>
    </row>
    <row r="251" spans="1:18" s="29" customFormat="1" ht="15.4" x14ac:dyDescent="0.45">
      <c r="A251" s="25" t="s">
        <v>343</v>
      </c>
      <c r="B251" s="26" t="str">
        <f>'дод 7'!A166</f>
        <v>7130</v>
      </c>
      <c r="C251" s="26" t="str">
        <f>'дод 7'!B166</f>
        <v>0421</v>
      </c>
      <c r="D251" s="30" t="str">
        <f>'дод 7'!C166</f>
        <v>Здійснення заходів із землеустрою</v>
      </c>
      <c r="E251" s="28">
        <f t="shared" ref="E251:E256" si="194">F251+I251</f>
        <v>1400000</v>
      </c>
      <c r="F251" s="28">
        <v>1400000</v>
      </c>
      <c r="G251" s="28"/>
      <c r="H251" s="28"/>
      <c r="I251" s="28"/>
      <c r="J251" s="28">
        <f t="shared" ref="J251:J256" si="195">L251+O251</f>
        <v>0</v>
      </c>
      <c r="K251" s="28"/>
      <c r="L251" s="28"/>
      <c r="M251" s="28"/>
      <c r="N251" s="28"/>
      <c r="O251" s="28"/>
      <c r="P251" s="28">
        <f t="shared" ref="P251:P256" si="196">E251+J251</f>
        <v>1400000</v>
      </c>
      <c r="Q251" s="157">
        <v>12</v>
      </c>
    </row>
    <row r="252" spans="1:18" s="29" customFormat="1" ht="30.75" x14ac:dyDescent="0.45">
      <c r="A252" s="25" t="s">
        <v>342</v>
      </c>
      <c r="B252" s="26">
        <f>'дод 7'!A170</f>
        <v>7370</v>
      </c>
      <c r="C252" s="26" t="str">
        <f>'дод 7'!B170</f>
        <v>0490</v>
      </c>
      <c r="D252" s="30" t="str">
        <f>'дод 7'!C170</f>
        <v>Реалізація інших заходів щодо соціально-економічного розвитку територій</v>
      </c>
      <c r="E252" s="28">
        <f t="shared" si="194"/>
        <v>46000</v>
      </c>
      <c r="F252" s="28">
        <v>46000</v>
      </c>
      <c r="G252" s="28"/>
      <c r="H252" s="28"/>
      <c r="I252" s="28"/>
      <c r="J252" s="28">
        <f t="shared" si="195"/>
        <v>100000</v>
      </c>
      <c r="K252" s="28">
        <v>100000</v>
      </c>
      <c r="L252" s="28"/>
      <c r="M252" s="28"/>
      <c r="N252" s="28"/>
      <c r="O252" s="28">
        <v>100000</v>
      </c>
      <c r="P252" s="28">
        <f t="shared" si="196"/>
        <v>146000</v>
      </c>
      <c r="Q252" s="157"/>
    </row>
    <row r="253" spans="1:18" s="29" customFormat="1" ht="30.75" x14ac:dyDescent="0.45">
      <c r="A253" s="25" t="s">
        <v>344</v>
      </c>
      <c r="B253" s="26" t="str">
        <f>'дод 7'!A188</f>
        <v>7650</v>
      </c>
      <c r="C253" s="26" t="str">
        <f>'дод 7'!B188</f>
        <v>0490</v>
      </c>
      <c r="D253" s="30" t="str">
        <f>'дод 7'!C188</f>
        <v>Проведення експертної грошової оцінки земельної ділянки чи права на неї</v>
      </c>
      <c r="E253" s="28">
        <f t="shared" si="194"/>
        <v>0</v>
      </c>
      <c r="F253" s="28"/>
      <c r="G253" s="28"/>
      <c r="H253" s="28"/>
      <c r="I253" s="28"/>
      <c r="J253" s="28">
        <f t="shared" si="195"/>
        <v>30000</v>
      </c>
      <c r="K253" s="28">
        <v>30000</v>
      </c>
      <c r="L253" s="28"/>
      <c r="M253" s="28"/>
      <c r="N253" s="28"/>
      <c r="O253" s="28">
        <v>30000</v>
      </c>
      <c r="P253" s="28">
        <f t="shared" si="196"/>
        <v>30000</v>
      </c>
      <c r="Q253" s="157"/>
    </row>
    <row r="254" spans="1:18" s="29" customFormat="1" ht="55.9" customHeight="1" x14ac:dyDescent="0.45">
      <c r="A254" s="25" t="s">
        <v>345</v>
      </c>
      <c r="B254" s="26" t="str">
        <f>'дод 7'!A189</f>
        <v>7660</v>
      </c>
      <c r="C254" s="26" t="str">
        <f>'дод 7'!B189</f>
        <v>0490</v>
      </c>
      <c r="D254" s="30" t="str">
        <f>'дод 7'!C189</f>
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</c>
      <c r="E254" s="28">
        <f t="shared" si="194"/>
        <v>0</v>
      </c>
      <c r="F254" s="28"/>
      <c r="G254" s="28"/>
      <c r="H254" s="28"/>
      <c r="I254" s="28"/>
      <c r="J254" s="28">
        <f t="shared" si="195"/>
        <v>50000</v>
      </c>
      <c r="K254" s="28">
        <v>50000</v>
      </c>
      <c r="L254" s="28"/>
      <c r="M254" s="28"/>
      <c r="N254" s="28"/>
      <c r="O254" s="28">
        <v>50000</v>
      </c>
      <c r="P254" s="28">
        <f t="shared" si="196"/>
        <v>50000</v>
      </c>
      <c r="Q254" s="157"/>
    </row>
    <row r="255" spans="1:18" s="123" customFormat="1" ht="108" customHeight="1" x14ac:dyDescent="0.45">
      <c r="A255" s="25" t="s">
        <v>396</v>
      </c>
      <c r="B255" s="26" t="str">
        <f>'дод 7'!A192</f>
        <v>7691</v>
      </c>
      <c r="C255" s="26" t="str">
        <f>'дод 7'!B192</f>
        <v>0490</v>
      </c>
      <c r="D255" s="30" t="str">
        <f>'дод 7'!C192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255" s="28">
        <f t="shared" ref="E255" si="197">F255+I255</f>
        <v>0</v>
      </c>
      <c r="F255" s="28"/>
      <c r="G255" s="28"/>
      <c r="H255" s="28"/>
      <c r="I255" s="28"/>
      <c r="J255" s="28">
        <f t="shared" ref="J255" si="198">L255+O255</f>
        <v>1331287</v>
      </c>
      <c r="K255" s="28"/>
      <c r="L255" s="28">
        <f>971000+72587</f>
        <v>1043587</v>
      </c>
      <c r="M255" s="28"/>
      <c r="N255" s="28"/>
      <c r="O255" s="28">
        <f>129000+158700</f>
        <v>287700</v>
      </c>
      <c r="P255" s="28">
        <f t="shared" ref="P255" si="199">E255+J255</f>
        <v>1331287</v>
      </c>
      <c r="Q255" s="157"/>
      <c r="R255" s="29"/>
    </row>
    <row r="256" spans="1:18" s="29" customFormat="1" ht="27.75" customHeight="1" x14ac:dyDescent="0.45">
      <c r="A256" s="25" t="s">
        <v>346</v>
      </c>
      <c r="B256" s="26" t="str">
        <f>'дод 7'!A193</f>
        <v>7693</v>
      </c>
      <c r="C256" s="26" t="str">
        <f>'дод 7'!B193</f>
        <v>0490</v>
      </c>
      <c r="D256" s="30" t="str">
        <f>'дод 7'!C193</f>
        <v>Інші заходи, пов'язані з економічною діяльністю</v>
      </c>
      <c r="E256" s="28">
        <f t="shared" si="194"/>
        <v>600000</v>
      </c>
      <c r="F256" s="28">
        <v>600000</v>
      </c>
      <c r="G256" s="28"/>
      <c r="H256" s="28"/>
      <c r="I256" s="28"/>
      <c r="J256" s="28">
        <f t="shared" si="195"/>
        <v>0</v>
      </c>
      <c r="K256" s="28"/>
      <c r="L256" s="28"/>
      <c r="M256" s="28"/>
      <c r="N256" s="28"/>
      <c r="O256" s="28"/>
      <c r="P256" s="28">
        <f t="shared" si="196"/>
        <v>600000</v>
      </c>
      <c r="Q256" s="157"/>
    </row>
    <row r="257" spans="1:18" s="19" customFormat="1" ht="30" x14ac:dyDescent="0.4">
      <c r="A257" s="16" t="s">
        <v>177</v>
      </c>
      <c r="B257" s="31"/>
      <c r="C257" s="31"/>
      <c r="D257" s="17" t="s">
        <v>34</v>
      </c>
      <c r="E257" s="18">
        <f>E258</f>
        <v>410746491</v>
      </c>
      <c r="F257" s="18">
        <f t="shared" ref="F257:J257" si="200">F258</f>
        <v>37973159</v>
      </c>
      <c r="G257" s="18">
        <f t="shared" si="200"/>
        <v>23445000</v>
      </c>
      <c r="H257" s="18">
        <f t="shared" si="200"/>
        <v>593000</v>
      </c>
      <c r="I257" s="18">
        <f t="shared" si="200"/>
        <v>0</v>
      </c>
      <c r="J257" s="18">
        <f t="shared" si="200"/>
        <v>357000</v>
      </c>
      <c r="K257" s="18">
        <f t="shared" ref="K257" si="201">K258</f>
        <v>0</v>
      </c>
      <c r="L257" s="18">
        <f t="shared" ref="L257" si="202">L258</f>
        <v>357000</v>
      </c>
      <c r="M257" s="18">
        <f t="shared" ref="M257" si="203">M258</f>
        <v>0</v>
      </c>
      <c r="N257" s="18">
        <f t="shared" ref="N257" si="204">N258</f>
        <v>0</v>
      </c>
      <c r="O257" s="18">
        <f t="shared" ref="O257:P257" si="205">O258</f>
        <v>0</v>
      </c>
      <c r="P257" s="18">
        <f t="shared" si="205"/>
        <v>411103491</v>
      </c>
      <c r="Q257" s="157"/>
    </row>
    <row r="258" spans="1:18" s="24" customFormat="1" ht="30" x14ac:dyDescent="0.4">
      <c r="A258" s="20" t="s">
        <v>178</v>
      </c>
      <c r="B258" s="32"/>
      <c r="C258" s="32"/>
      <c r="D258" s="22" t="s">
        <v>34</v>
      </c>
      <c r="E258" s="23">
        <f>E259+E260+E261+E262+E263+E264+E265</f>
        <v>410746491</v>
      </c>
      <c r="F258" s="23">
        <f t="shared" ref="F258:P258" si="206">F259+F260+F261+F262+F263+F264+F265</f>
        <v>37973159</v>
      </c>
      <c r="G258" s="23">
        <f t="shared" si="206"/>
        <v>23445000</v>
      </c>
      <c r="H258" s="23">
        <f t="shared" si="206"/>
        <v>593000</v>
      </c>
      <c r="I258" s="23">
        <f t="shared" si="206"/>
        <v>0</v>
      </c>
      <c r="J258" s="23">
        <f t="shared" si="206"/>
        <v>357000</v>
      </c>
      <c r="K258" s="23">
        <f t="shared" si="206"/>
        <v>0</v>
      </c>
      <c r="L258" s="23">
        <f t="shared" si="206"/>
        <v>357000</v>
      </c>
      <c r="M258" s="23">
        <f t="shared" si="206"/>
        <v>0</v>
      </c>
      <c r="N258" s="23">
        <f t="shared" si="206"/>
        <v>0</v>
      </c>
      <c r="O258" s="23">
        <f t="shared" si="206"/>
        <v>0</v>
      </c>
      <c r="P258" s="23">
        <f t="shared" si="206"/>
        <v>411103491</v>
      </c>
      <c r="Q258" s="157"/>
    </row>
    <row r="259" spans="1:18" s="29" customFormat="1" ht="47.65" customHeight="1" x14ac:dyDescent="0.45">
      <c r="A259" s="25" t="s">
        <v>179</v>
      </c>
      <c r="B259" s="26" t="str">
        <f>'дод 7'!A17</f>
        <v>0160</v>
      </c>
      <c r="C259" s="26" t="str">
        <f>'дод 7'!B17</f>
        <v>0111</v>
      </c>
      <c r="D259" s="27" t="str">
        <f>'дод 7'!C17</f>
        <v>Керівництво і управління у відповідній сфері у містах (місті Києві), селищах, селах, територіальних громадах</v>
      </c>
      <c r="E259" s="28">
        <f t="shared" ref="E259:E264" si="207">F259+I259</f>
        <v>30195900</v>
      </c>
      <c r="F259" s="28">
        <f>30552200-439900+83600</f>
        <v>30195900</v>
      </c>
      <c r="G259" s="28">
        <f>23737000-360500+68500</f>
        <v>23445000</v>
      </c>
      <c r="H259" s="28">
        <v>593000</v>
      </c>
      <c r="I259" s="28"/>
      <c r="J259" s="28">
        <f>L259+O259</f>
        <v>0</v>
      </c>
      <c r="K259" s="28"/>
      <c r="L259" s="28"/>
      <c r="M259" s="28"/>
      <c r="N259" s="28"/>
      <c r="O259" s="28"/>
      <c r="P259" s="28">
        <f t="shared" ref="P259:P265" si="208">E259+J259</f>
        <v>30195900</v>
      </c>
      <c r="Q259" s="157"/>
    </row>
    <row r="260" spans="1:18" s="29" customFormat="1" ht="15.4" x14ac:dyDescent="0.45">
      <c r="A260" s="25" t="s">
        <v>212</v>
      </c>
      <c r="B260" s="26" t="str">
        <f>'дод 7'!A185</f>
        <v>7640</v>
      </c>
      <c r="C260" s="26" t="str">
        <f>'дод 7'!B185</f>
        <v>0470</v>
      </c>
      <c r="D260" s="27" t="s">
        <v>291</v>
      </c>
      <c r="E260" s="28">
        <f t="shared" si="207"/>
        <v>755000</v>
      </c>
      <c r="F260" s="28">
        <v>755000</v>
      </c>
      <c r="G260" s="28"/>
      <c r="H260" s="28"/>
      <c r="I260" s="28"/>
      <c r="J260" s="28">
        <f t="shared" ref="J260:J265" si="209">L260+O260</f>
        <v>0</v>
      </c>
      <c r="K260" s="28"/>
      <c r="L260" s="28"/>
      <c r="M260" s="28"/>
      <c r="N260" s="28"/>
      <c r="O260" s="28"/>
      <c r="P260" s="28">
        <f t="shared" si="208"/>
        <v>755000</v>
      </c>
      <c r="Q260" s="157"/>
    </row>
    <row r="261" spans="1:18" s="29" customFormat="1" ht="15.4" x14ac:dyDescent="0.45">
      <c r="A261" s="25" t="s">
        <v>255</v>
      </c>
      <c r="B261" s="26" t="str">
        <f>'дод 7'!A193</f>
        <v>7693</v>
      </c>
      <c r="C261" s="26" t="str">
        <f>'дод 7'!B193</f>
        <v>0490</v>
      </c>
      <c r="D261" s="27" t="str">
        <f>'дод 7'!C193</f>
        <v>Інші заходи, пов'язані з економічною діяльністю</v>
      </c>
      <c r="E261" s="28">
        <f>F261+I261</f>
        <v>154630</v>
      </c>
      <c r="F261" s="28">
        <v>154630</v>
      </c>
      <c r="G261" s="28"/>
      <c r="H261" s="28"/>
      <c r="I261" s="28"/>
      <c r="J261" s="28">
        <f t="shared" si="209"/>
        <v>0</v>
      </c>
      <c r="K261" s="28"/>
      <c r="L261" s="28"/>
      <c r="M261" s="28"/>
      <c r="N261" s="28"/>
      <c r="O261" s="28"/>
      <c r="P261" s="28">
        <f t="shared" si="208"/>
        <v>154630</v>
      </c>
      <c r="Q261" s="157"/>
    </row>
    <row r="262" spans="1:18" s="29" customFormat="1" ht="31.5" customHeight="1" x14ac:dyDescent="0.45">
      <c r="A262" s="25">
        <v>3718330</v>
      </c>
      <c r="B262" s="26">
        <f>'дод 7'!A205</f>
        <v>8330</v>
      </c>
      <c r="C262" s="26" t="str">
        <f>'дод 7'!B205</f>
        <v>0540</v>
      </c>
      <c r="D262" s="27" t="str">
        <f>'дод 7'!C205</f>
        <v xml:space="preserve">Інша діяльність у сфері екології та охорони природних ресурсів </v>
      </c>
      <c r="E262" s="28">
        <f t="shared" si="207"/>
        <v>75000</v>
      </c>
      <c r="F262" s="28">
        <v>75000</v>
      </c>
      <c r="G262" s="28"/>
      <c r="H262" s="28"/>
      <c r="I262" s="28"/>
      <c r="J262" s="28">
        <f t="shared" si="209"/>
        <v>0</v>
      </c>
      <c r="K262" s="28"/>
      <c r="L262" s="28"/>
      <c r="M262" s="28"/>
      <c r="N262" s="28"/>
      <c r="O262" s="28"/>
      <c r="P262" s="28">
        <f t="shared" si="208"/>
        <v>75000</v>
      </c>
      <c r="Q262" s="157"/>
    </row>
    <row r="263" spans="1:18" s="29" customFormat="1" ht="39.75" customHeight="1" x14ac:dyDescent="0.45">
      <c r="A263" s="25" t="s">
        <v>180</v>
      </c>
      <c r="B263" s="26" t="str">
        <f>'дод 7'!A206</f>
        <v>8340</v>
      </c>
      <c r="C263" s="25" t="str">
        <f>'дод 7'!B206</f>
        <v>0540</v>
      </c>
      <c r="D263" s="27" t="str">
        <f>'дод 7'!C206</f>
        <v>Природоохоронні заходи за рахунок цільових фондів</v>
      </c>
      <c r="E263" s="28">
        <f t="shared" si="207"/>
        <v>0</v>
      </c>
      <c r="F263" s="28"/>
      <c r="G263" s="28"/>
      <c r="H263" s="28"/>
      <c r="I263" s="28"/>
      <c r="J263" s="28">
        <f t="shared" si="209"/>
        <v>357000</v>
      </c>
      <c r="K263" s="28"/>
      <c r="L263" s="28">
        <f>190000+20000+50000+97000</f>
        <v>357000</v>
      </c>
      <c r="M263" s="28"/>
      <c r="N263" s="28"/>
      <c r="O263" s="28"/>
      <c r="P263" s="28">
        <f t="shared" si="208"/>
        <v>357000</v>
      </c>
      <c r="Q263" s="157"/>
    </row>
    <row r="264" spans="1:18" s="29" customFormat="1" ht="15.4" x14ac:dyDescent="0.45">
      <c r="A264" s="25" t="s">
        <v>181</v>
      </c>
      <c r="B264" s="26" t="str">
        <f>'дод 7'!A207</f>
        <v>8600</v>
      </c>
      <c r="C264" s="26" t="str">
        <f>'дод 7'!B207</f>
        <v>0170</v>
      </c>
      <c r="D264" s="27" t="str">
        <f>'дод 7'!C207</f>
        <v>Обслуговування місцевого боргу</v>
      </c>
      <c r="E264" s="28">
        <f t="shared" si="207"/>
        <v>6792629</v>
      </c>
      <c r="F264" s="28">
        <v>6792629</v>
      </c>
      <c r="G264" s="28"/>
      <c r="H264" s="28"/>
      <c r="I264" s="28"/>
      <c r="J264" s="28">
        <f t="shared" si="209"/>
        <v>0</v>
      </c>
      <c r="K264" s="28"/>
      <c r="L264" s="28"/>
      <c r="M264" s="28"/>
      <c r="N264" s="28"/>
      <c r="O264" s="28"/>
      <c r="P264" s="28">
        <f t="shared" si="208"/>
        <v>6792629</v>
      </c>
      <c r="Q264" s="157"/>
    </row>
    <row r="265" spans="1:18" s="116" customFormat="1" ht="15.4" x14ac:dyDescent="0.45">
      <c r="A265" s="25" t="s">
        <v>318</v>
      </c>
      <c r="B265" s="26">
        <f>'дод 7'!A209</f>
        <v>8710</v>
      </c>
      <c r="C265" s="26" t="str">
        <f>'дод 7'!B209</f>
        <v>0133</v>
      </c>
      <c r="D265" s="30" t="str">
        <f>'дод 7'!C209</f>
        <v>Резервний фонд місцевого бюджету</v>
      </c>
      <c r="E265" s="28">
        <f>456176551+2000000+11496964-149700-1000000-100000-21599237+380000-750000+514900-2280181-10748623-1173416+1000000-3000000-2500000-584359-36288-1472048-1700000-841000-31849456+5000000-1300000-27760954+5050179</f>
        <v>372773332</v>
      </c>
      <c r="F265" s="28"/>
      <c r="G265" s="28"/>
      <c r="H265" s="28"/>
      <c r="I265" s="28"/>
      <c r="J265" s="28">
        <f t="shared" si="209"/>
        <v>0</v>
      </c>
      <c r="K265" s="28"/>
      <c r="L265" s="28"/>
      <c r="M265" s="28"/>
      <c r="N265" s="28"/>
      <c r="O265" s="28"/>
      <c r="P265" s="28">
        <f t="shared" si="208"/>
        <v>372773332</v>
      </c>
      <c r="Q265" s="157"/>
      <c r="R265" s="29"/>
    </row>
    <row r="266" spans="1:18" s="29" customFormat="1" ht="30" x14ac:dyDescent="0.4">
      <c r="A266" s="16" t="s">
        <v>357</v>
      </c>
      <c r="B266" s="26"/>
      <c r="C266" s="26"/>
      <c r="D266" s="17" t="s">
        <v>363</v>
      </c>
      <c r="E266" s="18">
        <f>E267</f>
        <v>21637188</v>
      </c>
      <c r="F266" s="18">
        <f t="shared" ref="F266:O266" si="210">F267</f>
        <v>21637188</v>
      </c>
      <c r="G266" s="18">
        <f t="shared" si="210"/>
        <v>16869800</v>
      </c>
      <c r="H266" s="18">
        <f t="shared" si="210"/>
        <v>187600</v>
      </c>
      <c r="I266" s="18">
        <f t="shared" si="210"/>
        <v>0</v>
      </c>
      <c r="J266" s="18">
        <f t="shared" si="210"/>
        <v>412600</v>
      </c>
      <c r="K266" s="18">
        <f t="shared" si="210"/>
        <v>412600</v>
      </c>
      <c r="L266" s="18">
        <f t="shared" si="210"/>
        <v>0</v>
      </c>
      <c r="M266" s="18">
        <f t="shared" si="210"/>
        <v>0</v>
      </c>
      <c r="N266" s="18">
        <f t="shared" si="210"/>
        <v>0</v>
      </c>
      <c r="O266" s="18">
        <f t="shared" si="210"/>
        <v>412600</v>
      </c>
      <c r="P266" s="18">
        <f t="shared" ref="P266:P268" si="211">E266+J266</f>
        <v>22049788</v>
      </c>
      <c r="Q266" s="157"/>
    </row>
    <row r="267" spans="1:18" s="29" customFormat="1" ht="30" x14ac:dyDescent="0.4">
      <c r="A267" s="20" t="s">
        <v>357</v>
      </c>
      <c r="B267" s="26"/>
      <c r="C267" s="26"/>
      <c r="D267" s="22" t="s">
        <v>363</v>
      </c>
      <c r="E267" s="23">
        <f t="shared" ref="E267:O267" si="212">E268</f>
        <v>21637188</v>
      </c>
      <c r="F267" s="23">
        <f t="shared" si="212"/>
        <v>21637188</v>
      </c>
      <c r="G267" s="23">
        <f t="shared" si="212"/>
        <v>16869800</v>
      </c>
      <c r="H267" s="23">
        <f t="shared" si="212"/>
        <v>187600</v>
      </c>
      <c r="I267" s="23">
        <f t="shared" si="212"/>
        <v>0</v>
      </c>
      <c r="J267" s="23">
        <f t="shared" si="212"/>
        <v>412600</v>
      </c>
      <c r="K267" s="23">
        <f t="shared" si="212"/>
        <v>412600</v>
      </c>
      <c r="L267" s="23">
        <f t="shared" si="212"/>
        <v>0</v>
      </c>
      <c r="M267" s="23">
        <f t="shared" si="212"/>
        <v>0</v>
      </c>
      <c r="N267" s="23">
        <f t="shared" si="212"/>
        <v>0</v>
      </c>
      <c r="O267" s="23">
        <f t="shared" si="212"/>
        <v>412600</v>
      </c>
      <c r="P267" s="23">
        <f t="shared" si="211"/>
        <v>22049788</v>
      </c>
      <c r="Q267" s="157"/>
    </row>
    <row r="268" spans="1:18" s="123" customFormat="1" ht="30.75" x14ac:dyDescent="0.45">
      <c r="A268" s="25" t="s">
        <v>358</v>
      </c>
      <c r="B268" s="26" t="str">
        <f>'дод 7'!A17</f>
        <v>0160</v>
      </c>
      <c r="C268" s="26" t="str">
        <f>'дод 7'!B17</f>
        <v>0111</v>
      </c>
      <c r="D268" s="30" t="str">
        <f>'дод 7'!C17</f>
        <v>Керівництво і управління у відповідній сфері у містах (місті Києві), селищах, селах, територіальних громадах</v>
      </c>
      <c r="E268" s="28">
        <f t="shared" ref="E268" si="213">F268+I268</f>
        <v>21637188</v>
      </c>
      <c r="F268" s="28">
        <f>21483700+98000+19200+36288</f>
        <v>21637188</v>
      </c>
      <c r="G268" s="28">
        <v>16869800</v>
      </c>
      <c r="H268" s="28">
        <f>167500+20100</f>
        <v>187600</v>
      </c>
      <c r="I268" s="28"/>
      <c r="J268" s="28">
        <f t="shared" ref="J268" si="214">L268+O268</f>
        <v>412600</v>
      </c>
      <c r="K268" s="28">
        <f>333000-19200+98800</f>
        <v>412600</v>
      </c>
      <c r="L268" s="28"/>
      <c r="M268" s="28"/>
      <c r="N268" s="28"/>
      <c r="O268" s="28">
        <f>333000-19200+98800</f>
        <v>412600</v>
      </c>
      <c r="P268" s="28">
        <f t="shared" si="211"/>
        <v>22049788</v>
      </c>
      <c r="Q268" s="157"/>
      <c r="R268" s="29"/>
    </row>
    <row r="269" spans="1:18" s="19" customFormat="1" ht="22.5" customHeight="1" x14ac:dyDescent="0.4">
      <c r="A269" s="16"/>
      <c r="B269" s="31"/>
      <c r="C269" s="138"/>
      <c r="D269" s="17" t="s">
        <v>498</v>
      </c>
      <c r="E269" s="18">
        <f t="shared" ref="E269:P269" si="215">E15+E43+E105+E120+E154+E160+E170+E209+E237+E257+E248+E244+E240+E266</f>
        <v>3327806814.0900002</v>
      </c>
      <c r="F269" s="18">
        <f t="shared" si="215"/>
        <v>2793025073.0900002</v>
      </c>
      <c r="G269" s="18">
        <f t="shared" si="215"/>
        <v>1310716915</v>
      </c>
      <c r="H269" s="18">
        <f t="shared" si="215"/>
        <v>234420358</v>
      </c>
      <c r="I269" s="18">
        <f t="shared" si="215"/>
        <v>162008409</v>
      </c>
      <c r="J269" s="18">
        <f t="shared" si="215"/>
        <v>1067262014.3900001</v>
      </c>
      <c r="K269" s="18">
        <f t="shared" si="215"/>
        <v>859254207.33999991</v>
      </c>
      <c r="L269" s="18">
        <f t="shared" si="215"/>
        <v>95400787</v>
      </c>
      <c r="M269" s="18">
        <f t="shared" si="215"/>
        <v>13318380</v>
      </c>
      <c r="N269" s="18">
        <f t="shared" si="215"/>
        <v>7188778</v>
      </c>
      <c r="O269" s="18">
        <f t="shared" si="215"/>
        <v>971861227.3900001</v>
      </c>
      <c r="P269" s="18">
        <f t="shared" si="215"/>
        <v>4395068828.4799995</v>
      </c>
      <c r="Q269" s="157"/>
    </row>
    <row r="270" spans="1:18" s="24" customFormat="1" ht="20.25" customHeight="1" x14ac:dyDescent="0.4">
      <c r="A270" s="20"/>
      <c r="B270" s="32"/>
      <c r="C270" s="21"/>
      <c r="D270" s="22" t="s">
        <v>393</v>
      </c>
      <c r="E270" s="23">
        <f t="shared" ref="E270:P270" si="216">E123+E45+E46+E47+E48+E49+E51+E53+E124+E211+E52+E172+E50+E173+E212</f>
        <v>442162423.82999998</v>
      </c>
      <c r="F270" s="23">
        <f t="shared" si="216"/>
        <v>442162423.82999998</v>
      </c>
      <c r="G270" s="23">
        <f t="shared" si="216"/>
        <v>297223700</v>
      </c>
      <c r="H270" s="23">
        <f t="shared" si="216"/>
        <v>0</v>
      </c>
      <c r="I270" s="23">
        <f t="shared" si="216"/>
        <v>0</v>
      </c>
      <c r="J270" s="23">
        <f t="shared" si="216"/>
        <v>435637928.67000002</v>
      </c>
      <c r="K270" s="23">
        <f t="shared" si="216"/>
        <v>302461828.67000002</v>
      </c>
      <c r="L270" s="23">
        <f t="shared" si="216"/>
        <v>28319400</v>
      </c>
      <c r="M270" s="23">
        <f t="shared" si="216"/>
        <v>0</v>
      </c>
      <c r="N270" s="23">
        <f t="shared" si="216"/>
        <v>0</v>
      </c>
      <c r="O270" s="23">
        <f t="shared" si="216"/>
        <v>407318528.67000002</v>
      </c>
      <c r="P270" s="23">
        <f t="shared" si="216"/>
        <v>877800352.5</v>
      </c>
      <c r="Q270" s="157"/>
    </row>
    <row r="271" spans="1:18" s="24" customFormat="1" ht="88.15" customHeight="1" x14ac:dyDescent="0.4">
      <c r="A271" s="20"/>
      <c r="B271" s="32"/>
      <c r="C271" s="21"/>
      <c r="D271" s="22" t="s">
        <v>397</v>
      </c>
      <c r="E271" s="23">
        <f>E123+E173+E212</f>
        <v>71616360</v>
      </c>
      <c r="F271" s="23">
        <f t="shared" ref="F271:P271" si="217">F123+F173+F212</f>
        <v>71616360</v>
      </c>
      <c r="G271" s="23">
        <f t="shared" si="217"/>
        <v>0</v>
      </c>
      <c r="H271" s="23">
        <f t="shared" si="217"/>
        <v>0</v>
      </c>
      <c r="I271" s="23">
        <f t="shared" si="217"/>
        <v>0</v>
      </c>
      <c r="J271" s="23">
        <f t="shared" si="217"/>
        <v>32950000</v>
      </c>
      <c r="K271" s="23">
        <f t="shared" si="217"/>
        <v>32950000</v>
      </c>
      <c r="L271" s="23">
        <f t="shared" si="217"/>
        <v>0</v>
      </c>
      <c r="M271" s="23">
        <f t="shared" si="217"/>
        <v>0</v>
      </c>
      <c r="N271" s="23">
        <f t="shared" si="217"/>
        <v>0</v>
      </c>
      <c r="O271" s="23">
        <f t="shared" si="217"/>
        <v>32950000</v>
      </c>
      <c r="P271" s="23">
        <f t="shared" si="217"/>
        <v>104566360</v>
      </c>
      <c r="Q271" s="157"/>
    </row>
    <row r="272" spans="1:18" s="24" customFormat="1" ht="45.75" customHeight="1" x14ac:dyDescent="0.4">
      <c r="A272" s="20"/>
      <c r="B272" s="32"/>
      <c r="C272" s="21"/>
      <c r="D272" s="22" t="s">
        <v>365</v>
      </c>
      <c r="E272" s="23">
        <f t="shared" ref="E272:P272" si="218">E54+E174+E125+E107</f>
        <v>4546865.55</v>
      </c>
      <c r="F272" s="23">
        <f t="shared" si="218"/>
        <v>4546865.55</v>
      </c>
      <c r="G272" s="23">
        <f t="shared" si="218"/>
        <v>1620939</v>
      </c>
      <c r="H272" s="23">
        <f t="shared" si="218"/>
        <v>0</v>
      </c>
      <c r="I272" s="23">
        <f t="shared" si="218"/>
        <v>0</v>
      </c>
      <c r="J272" s="23">
        <f t="shared" si="218"/>
        <v>6564069.9000000004</v>
      </c>
      <c r="K272" s="23">
        <f t="shared" si="218"/>
        <v>0</v>
      </c>
      <c r="L272" s="23">
        <f t="shared" si="218"/>
        <v>0</v>
      </c>
      <c r="M272" s="23">
        <f t="shared" si="218"/>
        <v>0</v>
      </c>
      <c r="N272" s="23">
        <f t="shared" si="218"/>
        <v>0</v>
      </c>
      <c r="O272" s="23">
        <f t="shared" si="218"/>
        <v>6564069.9000000004</v>
      </c>
      <c r="P272" s="23">
        <f t="shared" si="218"/>
        <v>11110935.449999999</v>
      </c>
      <c r="Q272" s="157"/>
    </row>
    <row r="273" spans="1:17" s="24" customFormat="1" ht="15" x14ac:dyDescent="0.4">
      <c r="A273" s="20"/>
      <c r="B273" s="32"/>
      <c r="C273" s="21"/>
      <c r="D273" s="22" t="s">
        <v>366</v>
      </c>
      <c r="E273" s="23">
        <f t="shared" ref="E273:P273" si="219">E122+E55+E17+E175+E176</f>
        <v>1966451</v>
      </c>
      <c r="F273" s="23">
        <f t="shared" si="219"/>
        <v>1966451</v>
      </c>
      <c r="G273" s="23">
        <f t="shared" si="219"/>
        <v>446276</v>
      </c>
      <c r="H273" s="23">
        <f t="shared" si="219"/>
        <v>0</v>
      </c>
      <c r="I273" s="23">
        <f t="shared" si="219"/>
        <v>0</v>
      </c>
      <c r="J273" s="23">
        <f t="shared" si="219"/>
        <v>8948855</v>
      </c>
      <c r="K273" s="23">
        <f t="shared" si="219"/>
        <v>8948855</v>
      </c>
      <c r="L273" s="23">
        <f t="shared" si="219"/>
        <v>0</v>
      </c>
      <c r="M273" s="23">
        <f t="shared" si="219"/>
        <v>0</v>
      </c>
      <c r="N273" s="23">
        <f t="shared" si="219"/>
        <v>0</v>
      </c>
      <c r="O273" s="23">
        <f t="shared" si="219"/>
        <v>8948855</v>
      </c>
      <c r="P273" s="23">
        <f t="shared" si="219"/>
        <v>10915306</v>
      </c>
      <c r="Q273" s="157"/>
    </row>
    <row r="274" spans="1:17" s="24" customFormat="1" ht="20.25" customHeight="1" x14ac:dyDescent="0.4">
      <c r="A274" s="20"/>
      <c r="B274" s="32"/>
      <c r="C274" s="32"/>
      <c r="D274" s="22" t="s">
        <v>288</v>
      </c>
      <c r="E274" s="23">
        <f>E213+E214</f>
        <v>0</v>
      </c>
      <c r="F274" s="23">
        <f t="shared" ref="F274:P274" si="220">F213+F214</f>
        <v>0</v>
      </c>
      <c r="G274" s="23">
        <f t="shared" si="220"/>
        <v>0</v>
      </c>
      <c r="H274" s="23">
        <f t="shared" si="220"/>
        <v>0</v>
      </c>
      <c r="I274" s="23">
        <f t="shared" si="220"/>
        <v>0</v>
      </c>
      <c r="J274" s="23">
        <f t="shared" si="220"/>
        <v>252062997.38999999</v>
      </c>
      <c r="K274" s="23">
        <f t="shared" si="220"/>
        <v>252062997.38999999</v>
      </c>
      <c r="L274" s="23">
        <f t="shared" si="220"/>
        <v>0</v>
      </c>
      <c r="M274" s="23">
        <f t="shared" si="220"/>
        <v>0</v>
      </c>
      <c r="N274" s="23">
        <f t="shared" si="220"/>
        <v>0</v>
      </c>
      <c r="O274" s="23">
        <f t="shared" si="220"/>
        <v>252062997.38999999</v>
      </c>
      <c r="P274" s="23">
        <f t="shared" si="220"/>
        <v>252062997.38999999</v>
      </c>
      <c r="Q274" s="157"/>
    </row>
    <row r="275" spans="1:17" s="24" customFormat="1" ht="15" x14ac:dyDescent="0.4">
      <c r="A275" s="43"/>
      <c r="B275" s="44"/>
      <c r="C275" s="44"/>
      <c r="D275" s="45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157"/>
    </row>
    <row r="276" spans="1:17" s="24" customFormat="1" ht="20.25" hidden="1" customHeight="1" x14ac:dyDescent="0.4">
      <c r="A276" s="43"/>
      <c r="B276" s="44"/>
      <c r="C276" s="44"/>
      <c r="D276" s="45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157"/>
    </row>
    <row r="277" spans="1:17" s="24" customFormat="1" ht="15" x14ac:dyDescent="0.4">
      <c r="A277" s="43"/>
      <c r="B277" s="44"/>
      <c r="C277" s="44"/>
      <c r="D277" s="45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157"/>
    </row>
    <row r="278" spans="1:17" s="101" customFormat="1" ht="70.5" customHeight="1" x14ac:dyDescent="0.8">
      <c r="A278" s="148" t="s">
        <v>507</v>
      </c>
      <c r="B278" s="148"/>
      <c r="C278" s="148"/>
      <c r="D278" s="148"/>
      <c r="E278" s="148"/>
      <c r="F278" s="114"/>
      <c r="G278" s="115"/>
      <c r="H278" s="115"/>
      <c r="I278" s="115"/>
      <c r="J278" s="115"/>
      <c r="K278" s="115"/>
      <c r="L278" s="146" t="s">
        <v>508</v>
      </c>
      <c r="M278" s="146"/>
      <c r="N278" s="146"/>
      <c r="O278" s="146"/>
      <c r="P278" s="146"/>
      <c r="Q278" s="157"/>
    </row>
    <row r="279" spans="1:17" s="47" customFormat="1" ht="16.5" customHeight="1" x14ac:dyDescent="0.9">
      <c r="A279" s="148"/>
      <c r="B279" s="148"/>
      <c r="C279" s="148"/>
      <c r="D279" s="148"/>
      <c r="E279" s="148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36"/>
    </row>
    <row r="280" spans="1:17" s="51" customFormat="1" ht="23.65" hidden="1" customHeight="1" x14ac:dyDescent="0.7">
      <c r="A280" s="48"/>
      <c r="B280" s="49"/>
      <c r="C280" s="49"/>
      <c r="D280" s="17" t="s">
        <v>284</v>
      </c>
      <c r="E280" s="50">
        <f>E269-'дод 7'!D214</f>
        <v>0</v>
      </c>
      <c r="F280" s="50"/>
      <c r="G280" s="50"/>
      <c r="H280" s="50"/>
      <c r="I280" s="50">
        <f>I269-'дод 7'!H214</f>
        <v>0</v>
      </c>
      <c r="J280" s="50">
        <f>J269-'дод 7'!I214</f>
        <v>0</v>
      </c>
      <c r="K280" s="50">
        <f>K269-'дод 7'!J214</f>
        <v>0</v>
      </c>
      <c r="L280" s="50">
        <f>L269-'дод 7'!K214</f>
        <v>0</v>
      </c>
      <c r="M280" s="50">
        <f>M269-'дод 7'!L214</f>
        <v>0</v>
      </c>
      <c r="N280" s="50">
        <f>N269-'дод 7'!M214</f>
        <v>0</v>
      </c>
      <c r="O280" s="50">
        <f>O269-'дод 7'!N214</f>
        <v>0</v>
      </c>
      <c r="P280" s="50">
        <f>P269-'дод 7'!O214</f>
        <v>0</v>
      </c>
      <c r="Q280" s="136"/>
    </row>
    <row r="281" spans="1:17" ht="15.75" hidden="1" customHeight="1" x14ac:dyDescent="0.4">
      <c r="D281" s="22" t="s">
        <v>364</v>
      </c>
      <c r="E281" s="52">
        <f>E270-'дод 7'!D215</f>
        <v>0</v>
      </c>
      <c r="F281" s="52"/>
      <c r="G281" s="52"/>
      <c r="H281" s="52"/>
      <c r="I281" s="52">
        <f>I270-'дод 7'!H215</f>
        <v>0</v>
      </c>
      <c r="J281" s="52">
        <f>J270-'дод 7'!I215</f>
        <v>0</v>
      </c>
      <c r="K281" s="52">
        <f>K270-'дод 7'!J215</f>
        <v>0</v>
      </c>
      <c r="L281" s="52">
        <f>L270-'дод 7'!K215</f>
        <v>0</v>
      </c>
      <c r="M281" s="52">
        <f>M270-'дод 7'!L215</f>
        <v>0</v>
      </c>
      <c r="N281" s="52">
        <f>N270-'дод 7'!M215</f>
        <v>0</v>
      </c>
      <c r="O281" s="52">
        <f>O270-'дод 7'!N215</f>
        <v>0</v>
      </c>
      <c r="P281" s="52">
        <f>P270-'дод 7'!O215</f>
        <v>0</v>
      </c>
      <c r="Q281" s="136"/>
    </row>
    <row r="282" spans="1:17" ht="47.25" hidden="1" customHeight="1" x14ac:dyDescent="0.4">
      <c r="D282" s="22" t="s">
        <v>365</v>
      </c>
      <c r="E282" s="52" t="e">
        <f>#REF!-'дод 7'!#REF!</f>
        <v>#REF!</v>
      </c>
      <c r="F282" s="52"/>
      <c r="G282" s="52"/>
      <c r="H282" s="52"/>
      <c r="I282" s="52" t="e">
        <f>#REF!-'дод 7'!#REF!</f>
        <v>#REF!</v>
      </c>
      <c r="J282" s="52" t="e">
        <f>#REF!-'дод 7'!#REF!</f>
        <v>#REF!</v>
      </c>
      <c r="K282" s="52" t="e">
        <f>#REF!-'дод 7'!#REF!</f>
        <v>#REF!</v>
      </c>
      <c r="L282" s="52" t="e">
        <f>#REF!-'дод 7'!#REF!</f>
        <v>#REF!</v>
      </c>
      <c r="M282" s="52" t="e">
        <f>#REF!-'дод 7'!#REF!</f>
        <v>#REF!</v>
      </c>
      <c r="N282" s="52" t="e">
        <f>#REF!-'дод 7'!#REF!</f>
        <v>#REF!</v>
      </c>
      <c r="O282" s="52" t="e">
        <f>#REF!-'дод 7'!#REF!</f>
        <v>#REF!</v>
      </c>
      <c r="P282" s="52" t="e">
        <f>#REF!-'дод 7'!#REF!</f>
        <v>#REF!</v>
      </c>
      <c r="Q282" s="136"/>
    </row>
    <row r="283" spans="1:17" ht="15.75" hidden="1" customHeight="1" x14ac:dyDescent="0.4">
      <c r="D283" s="22" t="s">
        <v>366</v>
      </c>
      <c r="E283" s="52" t="e">
        <f>#REF!-'дод 7'!#REF!</f>
        <v>#REF!</v>
      </c>
      <c r="F283" s="52"/>
      <c r="G283" s="52"/>
      <c r="H283" s="52"/>
      <c r="I283" s="52" t="e">
        <f>#REF!-'дод 7'!#REF!</f>
        <v>#REF!</v>
      </c>
      <c r="J283" s="52" t="e">
        <f>#REF!-'дод 7'!#REF!</f>
        <v>#REF!</v>
      </c>
      <c r="K283" s="52" t="e">
        <f>#REF!-'дод 7'!#REF!</f>
        <v>#REF!</v>
      </c>
      <c r="L283" s="52" t="e">
        <f>#REF!-'дод 7'!#REF!</f>
        <v>#REF!</v>
      </c>
      <c r="M283" s="52" t="e">
        <f>#REF!-'дод 7'!#REF!</f>
        <v>#REF!</v>
      </c>
      <c r="N283" s="52" t="e">
        <f>#REF!-'дод 7'!#REF!</f>
        <v>#REF!</v>
      </c>
      <c r="O283" s="52" t="e">
        <f>#REF!-'дод 7'!#REF!</f>
        <v>#REF!</v>
      </c>
      <c r="P283" s="52" t="e">
        <f>#REF!-'дод 7'!#REF!</f>
        <v>#REF!</v>
      </c>
      <c r="Q283" s="136"/>
    </row>
    <row r="284" spans="1:17" ht="15.75" hidden="1" customHeight="1" x14ac:dyDescent="0.4">
      <c r="D284" s="22" t="s">
        <v>288</v>
      </c>
      <c r="E284" s="52">
        <f>E274-'дод 7'!D219</f>
        <v>0</v>
      </c>
      <c r="F284" s="52"/>
      <c r="G284" s="52"/>
      <c r="H284" s="52"/>
      <c r="I284" s="52">
        <f>I274-'дод 7'!H219</f>
        <v>0</v>
      </c>
      <c r="J284" s="52">
        <f>J274-'дод 7'!I219</f>
        <v>0</v>
      </c>
      <c r="K284" s="52">
        <f>K274-'дод 7'!J219</f>
        <v>0</v>
      </c>
      <c r="L284" s="52">
        <f>L274-'дод 7'!K219</f>
        <v>0</v>
      </c>
      <c r="M284" s="52">
        <f>M274-'дод 7'!L219</f>
        <v>0</v>
      </c>
      <c r="N284" s="52">
        <f>N274-'дод 7'!M219</f>
        <v>0</v>
      </c>
      <c r="O284" s="52">
        <f>O274-'дод 7'!N219</f>
        <v>0</v>
      </c>
      <c r="P284" s="52">
        <f>P274-'дод 7'!O219</f>
        <v>0</v>
      </c>
      <c r="Q284" s="136"/>
    </row>
    <row r="285" spans="1:17" ht="15" hidden="1" customHeight="1" x14ac:dyDescent="0.4">
      <c r="P285" s="4"/>
      <c r="Q285" s="136"/>
    </row>
    <row r="286" spans="1:17" ht="15" hidden="1" customHeight="1" x14ac:dyDescent="0.4">
      <c r="P286" s="4"/>
      <c r="Q286" s="136"/>
    </row>
    <row r="287" spans="1:17" ht="15" hidden="1" customHeight="1" x14ac:dyDescent="0.4">
      <c r="P287" s="4"/>
      <c r="Q287" s="136"/>
    </row>
    <row r="288" spans="1:17" ht="15" hidden="1" customHeight="1" x14ac:dyDescent="0.4">
      <c r="P288" s="4"/>
      <c r="Q288" s="136"/>
    </row>
    <row r="289" spans="4:17" ht="15" hidden="1" customHeight="1" x14ac:dyDescent="0.4">
      <c r="P289" s="4"/>
      <c r="Q289" s="136"/>
    </row>
    <row r="290" spans="4:17" x14ac:dyDescent="0.4">
      <c r="P290" s="4"/>
      <c r="Q290" s="136"/>
    </row>
    <row r="291" spans="4:17" x14ac:dyDescent="0.4">
      <c r="P291" s="4"/>
      <c r="Q291" s="136"/>
    </row>
    <row r="292" spans="4:17" ht="15" x14ac:dyDescent="0.4">
      <c r="D292" s="17" t="s">
        <v>496</v>
      </c>
      <c r="E292" s="18">
        <f>E269-'дод 7'!D214</f>
        <v>0</v>
      </c>
      <c r="F292" s="18">
        <f>F269-'дод 7'!E214</f>
        <v>0</v>
      </c>
      <c r="G292" s="18">
        <f>G269-'дод 7'!F214</f>
        <v>0</v>
      </c>
      <c r="H292" s="18">
        <f>H269-'дод 7'!G214</f>
        <v>0</v>
      </c>
      <c r="I292" s="18">
        <f>I269-'дод 7'!H214</f>
        <v>0</v>
      </c>
      <c r="J292" s="18">
        <f>J269-'дод 7'!I214</f>
        <v>0</v>
      </c>
      <c r="K292" s="18">
        <f>K269-'дод 7'!J214</f>
        <v>0</v>
      </c>
      <c r="L292" s="18">
        <f>L269-'дод 7'!K214</f>
        <v>0</v>
      </c>
      <c r="M292" s="18">
        <f>M269-'дод 7'!L214</f>
        <v>0</v>
      </c>
      <c r="N292" s="18">
        <f>N269-'дод 7'!M214</f>
        <v>0</v>
      </c>
      <c r="O292" s="18">
        <f>O269-'дод 7'!N214</f>
        <v>0</v>
      </c>
      <c r="P292" s="18">
        <f>P269-'дод 7'!O214</f>
        <v>0</v>
      </c>
    </row>
    <row r="293" spans="4:17" ht="15" x14ac:dyDescent="0.4">
      <c r="D293" s="22" t="s">
        <v>393</v>
      </c>
      <c r="E293" s="18">
        <f>E270-'дод 7'!D215</f>
        <v>0</v>
      </c>
      <c r="F293" s="18">
        <f>F270-'дод 7'!E215</f>
        <v>0</v>
      </c>
      <c r="G293" s="18">
        <f>G270-'дод 7'!F215</f>
        <v>0</v>
      </c>
      <c r="H293" s="18">
        <f>H270-'дод 7'!G215</f>
        <v>0</v>
      </c>
      <c r="I293" s="18">
        <f>I270-'дод 7'!H215</f>
        <v>0</v>
      </c>
      <c r="J293" s="18">
        <f>J270-'дод 7'!I215</f>
        <v>0</v>
      </c>
      <c r="K293" s="18">
        <f>K270-'дод 7'!J215</f>
        <v>0</v>
      </c>
      <c r="L293" s="18">
        <f>L270-'дод 7'!K215</f>
        <v>0</v>
      </c>
      <c r="M293" s="18">
        <f>M270-'дод 7'!L215</f>
        <v>0</v>
      </c>
      <c r="N293" s="18">
        <f>N270-'дод 7'!M215</f>
        <v>0</v>
      </c>
      <c r="O293" s="18">
        <f>O270-'дод 7'!N215</f>
        <v>0</v>
      </c>
      <c r="P293" s="18">
        <f>P270-'дод 7'!O215</f>
        <v>0</v>
      </c>
    </row>
    <row r="294" spans="4:17" ht="110.25" customHeight="1" x14ac:dyDescent="0.4">
      <c r="D294" s="22" t="s">
        <v>397</v>
      </c>
      <c r="E294" s="18">
        <f>E271-'дод 7'!D216</f>
        <v>0</v>
      </c>
      <c r="F294" s="18">
        <f>F271-'дод 7'!E216</f>
        <v>0</v>
      </c>
      <c r="G294" s="18">
        <f>G271-'дод 7'!F216</f>
        <v>0</v>
      </c>
      <c r="H294" s="18">
        <f>H271-'дод 7'!G216</f>
        <v>0</v>
      </c>
      <c r="I294" s="18">
        <f>I271-'дод 7'!H216</f>
        <v>0</v>
      </c>
      <c r="J294" s="18">
        <f>J271-'дод 7'!I216</f>
        <v>0</v>
      </c>
      <c r="K294" s="18">
        <f>K271-'дод 7'!J216</f>
        <v>0</v>
      </c>
      <c r="L294" s="18">
        <f>L271-'дод 7'!K216</f>
        <v>0</v>
      </c>
      <c r="M294" s="18">
        <f>M271-'дод 7'!L216</f>
        <v>0</v>
      </c>
      <c r="N294" s="18">
        <f>N271-'дод 7'!M216</f>
        <v>0</v>
      </c>
      <c r="O294" s="18">
        <f>O271-'дод 7'!N216</f>
        <v>0</v>
      </c>
      <c r="P294" s="18">
        <f>P271-'дод 7'!O216</f>
        <v>0</v>
      </c>
    </row>
    <row r="295" spans="4:17" ht="45" x14ac:dyDescent="0.4">
      <c r="D295" s="22" t="s">
        <v>365</v>
      </c>
      <c r="E295" s="18">
        <f>E272-'дод 7'!D217</f>
        <v>0</v>
      </c>
      <c r="F295" s="18">
        <f>F272-'дод 7'!E217</f>
        <v>0</v>
      </c>
      <c r="G295" s="18">
        <f>G272-'дод 7'!F217</f>
        <v>0</v>
      </c>
      <c r="H295" s="18">
        <f>H272-'дод 7'!G217</f>
        <v>0</v>
      </c>
      <c r="I295" s="18">
        <f>I272-'дод 7'!H217</f>
        <v>0</v>
      </c>
      <c r="J295" s="18">
        <f>J272-'дод 7'!I217</f>
        <v>0</v>
      </c>
      <c r="K295" s="18">
        <f>K272-'дод 7'!J217</f>
        <v>0</v>
      </c>
      <c r="L295" s="18">
        <f>L272-'дод 7'!K217</f>
        <v>0</v>
      </c>
      <c r="M295" s="18">
        <f>M272-'дод 7'!L217</f>
        <v>0</v>
      </c>
      <c r="N295" s="18">
        <f>N272-'дод 7'!M217</f>
        <v>0</v>
      </c>
      <c r="O295" s="18">
        <f>O272-'дод 7'!N217</f>
        <v>0</v>
      </c>
      <c r="P295" s="18">
        <f>P272-'дод 7'!O217</f>
        <v>0</v>
      </c>
    </row>
    <row r="296" spans="4:17" ht="15" x14ac:dyDescent="0.4">
      <c r="D296" s="22" t="s">
        <v>366</v>
      </c>
      <c r="E296" s="18">
        <f>E273-'дод 7'!D218</f>
        <v>0</v>
      </c>
      <c r="F296" s="18">
        <f>F273-'дод 7'!E218</f>
        <v>0</v>
      </c>
      <c r="G296" s="18">
        <f>G273-'дод 7'!F218</f>
        <v>0</v>
      </c>
      <c r="H296" s="18">
        <f>H273-'дод 7'!G218</f>
        <v>0</v>
      </c>
      <c r="I296" s="18">
        <f>I273-'дод 7'!H218</f>
        <v>0</v>
      </c>
      <c r="J296" s="18">
        <f>J273-'дод 7'!I218</f>
        <v>0</v>
      </c>
      <c r="K296" s="18">
        <f>K273-'дод 7'!J218</f>
        <v>0</v>
      </c>
      <c r="L296" s="18">
        <f>L273-'дод 7'!K218</f>
        <v>0</v>
      </c>
      <c r="M296" s="18">
        <f>M273-'дод 7'!L218</f>
        <v>0</v>
      </c>
      <c r="N296" s="18">
        <f>N273-'дод 7'!M218</f>
        <v>0</v>
      </c>
      <c r="O296" s="18">
        <f>O273-'дод 7'!N218</f>
        <v>0</v>
      </c>
      <c r="P296" s="18">
        <f>P273-'дод 7'!O218</f>
        <v>0</v>
      </c>
    </row>
    <row r="297" spans="4:17" ht="15" x14ac:dyDescent="0.4">
      <c r="D297" s="22" t="s">
        <v>288</v>
      </c>
      <c r="E297" s="18">
        <f>E274-'дод 7'!D219</f>
        <v>0</v>
      </c>
      <c r="F297" s="18">
        <f>F274-'дод 7'!E219</f>
        <v>0</v>
      </c>
      <c r="G297" s="18">
        <f>G274-'дод 7'!F219</f>
        <v>0</v>
      </c>
      <c r="H297" s="18">
        <f>H274-'дод 7'!G219</f>
        <v>0</v>
      </c>
      <c r="I297" s="18">
        <f>I274-'дод 7'!H219</f>
        <v>0</v>
      </c>
      <c r="J297" s="18">
        <f>J274-'дод 7'!I219</f>
        <v>0</v>
      </c>
      <c r="K297" s="18">
        <f>K274-'дод 7'!J219</f>
        <v>0</v>
      </c>
      <c r="L297" s="18">
        <f>L274-'дод 7'!K219</f>
        <v>0</v>
      </c>
      <c r="M297" s="18">
        <f>M274-'дод 7'!L219</f>
        <v>0</v>
      </c>
      <c r="N297" s="18">
        <f>N274-'дод 7'!M219</f>
        <v>0</v>
      </c>
      <c r="O297" s="18">
        <f>O274-'дод 7'!N219</f>
        <v>0</v>
      </c>
      <c r="P297" s="18">
        <f>P274-'дод 7'!O219</f>
        <v>0</v>
      </c>
    </row>
    <row r="298" spans="4:17" x14ac:dyDescent="0.4">
      <c r="P298" s="4"/>
    </row>
    <row r="299" spans="4:17" x14ac:dyDescent="0.4">
      <c r="P299" s="4"/>
    </row>
    <row r="300" spans="4:17" x14ac:dyDescent="0.4">
      <c r="P300" s="4"/>
    </row>
    <row r="301" spans="4:17" x14ac:dyDescent="0.4">
      <c r="P301" s="4"/>
    </row>
    <row r="302" spans="4:17" x14ac:dyDescent="0.4">
      <c r="P302" s="4"/>
    </row>
    <row r="303" spans="4:17" x14ac:dyDescent="0.4">
      <c r="P303" s="4"/>
    </row>
    <row r="304" spans="4:17" x14ac:dyDescent="0.4">
      <c r="P304" s="4"/>
    </row>
    <row r="305" spans="16:16" x14ac:dyDescent="0.4">
      <c r="P305" s="4"/>
    </row>
    <row r="306" spans="16:16" x14ac:dyDescent="0.4">
      <c r="P306" s="4"/>
    </row>
    <row r="307" spans="16:16" x14ac:dyDescent="0.4">
      <c r="P307" s="4"/>
    </row>
    <row r="308" spans="16:16" x14ac:dyDescent="0.4">
      <c r="P308" s="4"/>
    </row>
    <row r="309" spans="16:16" x14ac:dyDescent="0.4">
      <c r="P309" s="4"/>
    </row>
    <row r="310" spans="16:16" x14ac:dyDescent="0.4">
      <c r="P310" s="4"/>
    </row>
    <row r="311" spans="16:16" x14ac:dyDescent="0.4">
      <c r="P311" s="4"/>
    </row>
    <row r="312" spans="16:16" x14ac:dyDescent="0.4">
      <c r="P312" s="4"/>
    </row>
    <row r="313" spans="16:16" x14ac:dyDescent="0.4">
      <c r="P313" s="4"/>
    </row>
    <row r="314" spans="16:16" x14ac:dyDescent="0.4">
      <c r="P314" s="4"/>
    </row>
    <row r="315" spans="16:16" x14ac:dyDescent="0.4">
      <c r="P315" s="4"/>
    </row>
    <row r="316" spans="16:16" x14ac:dyDescent="0.4">
      <c r="P316" s="4"/>
    </row>
    <row r="317" spans="16:16" x14ac:dyDescent="0.4">
      <c r="P317" s="4"/>
    </row>
    <row r="318" spans="16:16" x14ac:dyDescent="0.4">
      <c r="P318" s="4"/>
    </row>
    <row r="319" spans="16:16" x14ac:dyDescent="0.4">
      <c r="P319" s="4"/>
    </row>
    <row r="320" spans="16:16" x14ac:dyDescent="0.4">
      <c r="P320" s="4"/>
    </row>
    <row r="321" spans="16:16" x14ac:dyDescent="0.4">
      <c r="P321" s="4"/>
    </row>
    <row r="322" spans="16:16" x14ac:dyDescent="0.4">
      <c r="P322" s="4"/>
    </row>
    <row r="323" spans="16:16" x14ac:dyDescent="0.4">
      <c r="P323" s="4"/>
    </row>
    <row r="324" spans="16:16" x14ac:dyDescent="0.4">
      <c r="P324" s="4"/>
    </row>
    <row r="325" spans="16:16" x14ac:dyDescent="0.4">
      <c r="P325" s="4"/>
    </row>
    <row r="326" spans="16:16" x14ac:dyDescent="0.4">
      <c r="P326" s="4"/>
    </row>
    <row r="327" spans="16:16" x14ac:dyDescent="0.4">
      <c r="P327" s="4"/>
    </row>
    <row r="328" spans="16:16" x14ac:dyDescent="0.4">
      <c r="P328" s="4"/>
    </row>
    <row r="329" spans="16:16" x14ac:dyDescent="0.4">
      <c r="P329" s="4"/>
    </row>
    <row r="330" spans="16:16" x14ac:dyDescent="0.4">
      <c r="P330" s="4"/>
    </row>
    <row r="331" spans="16:16" x14ac:dyDescent="0.4">
      <c r="P331" s="4"/>
    </row>
    <row r="332" spans="16:16" x14ac:dyDescent="0.4">
      <c r="P332" s="4"/>
    </row>
    <row r="333" spans="16:16" x14ac:dyDescent="0.4">
      <c r="P333" s="4"/>
    </row>
    <row r="334" spans="16:16" x14ac:dyDescent="0.4">
      <c r="P334" s="4"/>
    </row>
    <row r="335" spans="16:16" x14ac:dyDescent="0.4">
      <c r="P335" s="4"/>
    </row>
    <row r="336" spans="16:16" x14ac:dyDescent="0.4">
      <c r="P336" s="4"/>
    </row>
    <row r="337" spans="16:16" x14ac:dyDescent="0.4">
      <c r="P337" s="4"/>
    </row>
    <row r="338" spans="16:16" x14ac:dyDescent="0.4">
      <c r="P338" s="4"/>
    </row>
    <row r="339" spans="16:16" x14ac:dyDescent="0.4">
      <c r="P339" s="4"/>
    </row>
    <row r="340" spans="16:16" x14ac:dyDescent="0.4">
      <c r="P340" s="4"/>
    </row>
    <row r="341" spans="16:16" x14ac:dyDescent="0.4">
      <c r="P341" s="4"/>
    </row>
    <row r="342" spans="16:16" x14ac:dyDescent="0.4">
      <c r="P342" s="4"/>
    </row>
    <row r="343" spans="16:16" x14ac:dyDescent="0.4">
      <c r="P343" s="4"/>
    </row>
    <row r="344" spans="16:16" x14ac:dyDescent="0.4">
      <c r="P344" s="4"/>
    </row>
    <row r="345" spans="16:16" x14ac:dyDescent="0.4">
      <c r="P345" s="4"/>
    </row>
    <row r="346" spans="16:16" x14ac:dyDescent="0.4">
      <c r="P346" s="4"/>
    </row>
    <row r="347" spans="16:16" x14ac:dyDescent="0.4">
      <c r="P347" s="4"/>
    </row>
    <row r="348" spans="16:16" x14ac:dyDescent="0.4">
      <c r="P348" s="4"/>
    </row>
    <row r="349" spans="16:16" x14ac:dyDescent="0.4">
      <c r="P349" s="4"/>
    </row>
    <row r="350" spans="16:16" x14ac:dyDescent="0.4">
      <c r="P350" s="4"/>
    </row>
    <row r="351" spans="16:16" x14ac:dyDescent="0.4">
      <c r="P351" s="4"/>
    </row>
    <row r="352" spans="16:16" x14ac:dyDescent="0.4">
      <c r="P352" s="4"/>
    </row>
    <row r="353" spans="16:16" x14ac:dyDescent="0.4">
      <c r="P353" s="4"/>
    </row>
    <row r="354" spans="16:16" x14ac:dyDescent="0.4">
      <c r="P354" s="4"/>
    </row>
    <row r="355" spans="16:16" x14ac:dyDescent="0.4">
      <c r="P355" s="4"/>
    </row>
    <row r="356" spans="16:16" x14ac:dyDescent="0.4">
      <c r="P356" s="4"/>
    </row>
    <row r="357" spans="16:16" x14ac:dyDescent="0.4">
      <c r="P357" s="4"/>
    </row>
    <row r="358" spans="16:16" x14ac:dyDescent="0.4">
      <c r="P358" s="4"/>
    </row>
    <row r="359" spans="16:16" x14ac:dyDescent="0.4">
      <c r="P359" s="4"/>
    </row>
    <row r="360" spans="16:16" x14ac:dyDescent="0.4">
      <c r="P360" s="4"/>
    </row>
    <row r="361" spans="16:16" x14ac:dyDescent="0.4">
      <c r="P361" s="4"/>
    </row>
    <row r="362" spans="16:16" x14ac:dyDescent="0.4">
      <c r="P362" s="4"/>
    </row>
    <row r="363" spans="16:16" x14ac:dyDescent="0.4">
      <c r="P363" s="4"/>
    </row>
    <row r="364" spans="16:16" x14ac:dyDescent="0.4">
      <c r="P364" s="4"/>
    </row>
    <row r="365" spans="16:16" x14ac:dyDescent="0.4">
      <c r="P365" s="4"/>
    </row>
    <row r="366" spans="16:16" x14ac:dyDescent="0.4">
      <c r="P366" s="4"/>
    </row>
    <row r="367" spans="16:16" x14ac:dyDescent="0.4">
      <c r="P367" s="4"/>
    </row>
    <row r="368" spans="16:16" x14ac:dyDescent="0.4">
      <c r="P368" s="4"/>
    </row>
    <row r="369" spans="16:16" x14ac:dyDescent="0.4">
      <c r="P369" s="4"/>
    </row>
    <row r="370" spans="16:16" x14ac:dyDescent="0.4">
      <c r="P370" s="4"/>
    </row>
    <row r="371" spans="16:16" x14ac:dyDescent="0.4">
      <c r="P371" s="4"/>
    </row>
    <row r="372" spans="16:16" x14ac:dyDescent="0.4">
      <c r="P372" s="4"/>
    </row>
    <row r="373" spans="16:16" x14ac:dyDescent="0.4">
      <c r="P373" s="4"/>
    </row>
    <row r="374" spans="16:16" x14ac:dyDescent="0.4">
      <c r="P374" s="4"/>
    </row>
    <row r="375" spans="16:16" x14ac:dyDescent="0.4">
      <c r="P375" s="4"/>
    </row>
    <row r="376" spans="16:16" x14ac:dyDescent="0.4">
      <c r="P376" s="4"/>
    </row>
    <row r="377" spans="16:16" x14ac:dyDescent="0.4">
      <c r="P377" s="4"/>
    </row>
    <row r="378" spans="16:16" x14ac:dyDescent="0.4">
      <c r="P378" s="4"/>
    </row>
    <row r="379" spans="16:16" x14ac:dyDescent="0.4">
      <c r="P379" s="4"/>
    </row>
    <row r="380" spans="16:16" x14ac:dyDescent="0.4">
      <c r="P380" s="4"/>
    </row>
    <row r="381" spans="16:16" x14ac:dyDescent="0.4">
      <c r="P381" s="4"/>
    </row>
    <row r="382" spans="16:16" x14ac:dyDescent="0.4">
      <c r="P382" s="4"/>
    </row>
    <row r="383" spans="16:16" x14ac:dyDescent="0.4">
      <c r="P383" s="4"/>
    </row>
    <row r="384" spans="16:16" x14ac:dyDescent="0.4">
      <c r="P384" s="4"/>
    </row>
    <row r="385" spans="16:16" x14ac:dyDescent="0.4">
      <c r="P385" s="4"/>
    </row>
    <row r="386" spans="16:16" x14ac:dyDescent="0.4">
      <c r="P386" s="4"/>
    </row>
    <row r="387" spans="16:16" x14ac:dyDescent="0.4">
      <c r="P387" s="4"/>
    </row>
    <row r="388" spans="16:16" x14ac:dyDescent="0.4">
      <c r="P388" s="4"/>
    </row>
    <row r="389" spans="16:16" x14ac:dyDescent="0.4">
      <c r="P389" s="4"/>
    </row>
    <row r="390" spans="16:16" x14ac:dyDescent="0.4">
      <c r="P390" s="4"/>
    </row>
    <row r="391" spans="16:16" x14ac:dyDescent="0.4">
      <c r="P391" s="4"/>
    </row>
    <row r="392" spans="16:16" x14ac:dyDescent="0.4">
      <c r="P392" s="4"/>
    </row>
    <row r="393" spans="16:16" x14ac:dyDescent="0.4">
      <c r="P393" s="4"/>
    </row>
    <row r="394" spans="16:16" x14ac:dyDescent="0.4">
      <c r="P394" s="4"/>
    </row>
    <row r="395" spans="16:16" x14ac:dyDescent="0.4">
      <c r="P395" s="4"/>
    </row>
    <row r="396" spans="16:16" x14ac:dyDescent="0.4">
      <c r="P396" s="4"/>
    </row>
    <row r="397" spans="16:16" x14ac:dyDescent="0.4">
      <c r="P397" s="4"/>
    </row>
    <row r="398" spans="16:16" x14ac:dyDescent="0.4">
      <c r="P398" s="4"/>
    </row>
    <row r="399" spans="16:16" x14ac:dyDescent="0.4">
      <c r="P399" s="4"/>
    </row>
    <row r="400" spans="16:16" x14ac:dyDescent="0.4">
      <c r="P400" s="4"/>
    </row>
    <row r="401" spans="16:16" x14ac:dyDescent="0.4">
      <c r="P401" s="4"/>
    </row>
    <row r="402" spans="16:16" x14ac:dyDescent="0.4">
      <c r="P402" s="4"/>
    </row>
    <row r="403" spans="16:16" x14ac:dyDescent="0.4">
      <c r="P403" s="4"/>
    </row>
    <row r="404" spans="16:16" x14ac:dyDescent="0.4">
      <c r="P404" s="4"/>
    </row>
    <row r="405" spans="16:16" x14ac:dyDescent="0.4">
      <c r="P405" s="4"/>
    </row>
    <row r="406" spans="16:16" x14ac:dyDescent="0.4">
      <c r="P406" s="4"/>
    </row>
    <row r="407" spans="16:16" x14ac:dyDescent="0.4">
      <c r="P407" s="4"/>
    </row>
    <row r="408" spans="16:16" x14ac:dyDescent="0.4">
      <c r="P408" s="4"/>
    </row>
    <row r="409" spans="16:16" x14ac:dyDescent="0.4">
      <c r="P409" s="4"/>
    </row>
    <row r="410" spans="16:16" x14ac:dyDescent="0.4">
      <c r="P410" s="4"/>
    </row>
    <row r="411" spans="16:16" x14ac:dyDescent="0.4">
      <c r="P411" s="4"/>
    </row>
    <row r="412" spans="16:16" x14ac:dyDescent="0.4">
      <c r="P412" s="4"/>
    </row>
    <row r="413" spans="16:16" x14ac:dyDescent="0.4">
      <c r="P413" s="4"/>
    </row>
    <row r="414" spans="16:16" x14ac:dyDescent="0.4">
      <c r="P414" s="4"/>
    </row>
    <row r="415" spans="16:16" x14ac:dyDescent="0.4">
      <c r="P415" s="4"/>
    </row>
    <row r="416" spans="16:16" x14ac:dyDescent="0.4">
      <c r="P416" s="4"/>
    </row>
    <row r="417" spans="16:16" x14ac:dyDescent="0.4">
      <c r="P417" s="4"/>
    </row>
    <row r="418" spans="16:16" x14ac:dyDescent="0.4">
      <c r="P418" s="4"/>
    </row>
    <row r="419" spans="16:16" x14ac:dyDescent="0.4">
      <c r="P419" s="4"/>
    </row>
    <row r="420" spans="16:16" x14ac:dyDescent="0.4">
      <c r="P420" s="4"/>
    </row>
    <row r="421" spans="16:16" x14ac:dyDescent="0.4">
      <c r="P421" s="4"/>
    </row>
    <row r="422" spans="16:16" x14ac:dyDescent="0.4">
      <c r="P422" s="4"/>
    </row>
    <row r="423" spans="16:16" x14ac:dyDescent="0.4">
      <c r="P423" s="4"/>
    </row>
    <row r="424" spans="16:16" x14ac:dyDescent="0.4">
      <c r="P424" s="4"/>
    </row>
    <row r="425" spans="16:16" x14ac:dyDescent="0.4">
      <c r="P425" s="4"/>
    </row>
    <row r="426" spans="16:16" x14ac:dyDescent="0.4">
      <c r="P426" s="4"/>
    </row>
    <row r="427" spans="16:16" x14ac:dyDescent="0.4">
      <c r="P427" s="4"/>
    </row>
    <row r="428" spans="16:16" x14ac:dyDescent="0.4">
      <c r="P428" s="4"/>
    </row>
    <row r="429" spans="16:16" x14ac:dyDescent="0.4">
      <c r="P429" s="4"/>
    </row>
    <row r="430" spans="16:16" x14ac:dyDescent="0.4">
      <c r="P430" s="4"/>
    </row>
    <row r="431" spans="16:16" x14ac:dyDescent="0.4">
      <c r="P431" s="4"/>
    </row>
    <row r="432" spans="16:16" x14ac:dyDescent="0.4">
      <c r="P432" s="4"/>
    </row>
    <row r="433" spans="16:16" x14ac:dyDescent="0.4">
      <c r="P433" s="4"/>
    </row>
    <row r="434" spans="16:16" x14ac:dyDescent="0.4">
      <c r="P434" s="4"/>
    </row>
    <row r="435" spans="16:16" x14ac:dyDescent="0.4">
      <c r="P435" s="4"/>
    </row>
    <row r="436" spans="16:16" x14ac:dyDescent="0.4">
      <c r="P436" s="4"/>
    </row>
    <row r="437" spans="16:16" x14ac:dyDescent="0.4">
      <c r="P437" s="4"/>
    </row>
    <row r="438" spans="16:16" x14ac:dyDescent="0.4">
      <c r="P438" s="4"/>
    </row>
    <row r="439" spans="16:16" x14ac:dyDescent="0.4">
      <c r="P439" s="4"/>
    </row>
    <row r="440" spans="16:16" x14ac:dyDescent="0.4">
      <c r="P440" s="4"/>
    </row>
    <row r="441" spans="16:16" x14ac:dyDescent="0.4">
      <c r="P441" s="4"/>
    </row>
    <row r="442" spans="16:16" x14ac:dyDescent="0.4">
      <c r="P442" s="4"/>
    </row>
    <row r="443" spans="16:16" x14ac:dyDescent="0.4">
      <c r="P443" s="4"/>
    </row>
    <row r="444" spans="16:16" x14ac:dyDescent="0.4">
      <c r="P444" s="4"/>
    </row>
    <row r="445" spans="16:16" x14ac:dyDescent="0.4">
      <c r="P445" s="4"/>
    </row>
    <row r="446" spans="16:16" x14ac:dyDescent="0.4">
      <c r="P446" s="4"/>
    </row>
    <row r="447" spans="16:16" x14ac:dyDescent="0.4">
      <c r="P447" s="4"/>
    </row>
    <row r="448" spans="16:16" x14ac:dyDescent="0.4">
      <c r="P448" s="4"/>
    </row>
    <row r="449" spans="16:16" x14ac:dyDescent="0.4">
      <c r="P449" s="4"/>
    </row>
    <row r="450" spans="16:16" x14ac:dyDescent="0.4">
      <c r="P450" s="4"/>
    </row>
    <row r="451" spans="16:16" x14ac:dyDescent="0.4">
      <c r="P451" s="4"/>
    </row>
    <row r="452" spans="16:16" x14ac:dyDescent="0.4">
      <c r="P452" s="4"/>
    </row>
    <row r="453" spans="16:16" x14ac:dyDescent="0.4">
      <c r="P453" s="4"/>
    </row>
    <row r="454" spans="16:16" x14ac:dyDescent="0.4">
      <c r="P454" s="4"/>
    </row>
    <row r="455" spans="16:16" x14ac:dyDescent="0.4">
      <c r="P455" s="4"/>
    </row>
    <row r="456" spans="16:16" x14ac:dyDescent="0.4">
      <c r="P456" s="4"/>
    </row>
    <row r="457" spans="16:16" x14ac:dyDescent="0.4">
      <c r="P457" s="4"/>
    </row>
    <row r="458" spans="16:16" x14ac:dyDescent="0.4">
      <c r="P458" s="4"/>
    </row>
    <row r="459" spans="16:16" x14ac:dyDescent="0.4">
      <c r="P459" s="4"/>
    </row>
    <row r="460" spans="16:16" x14ac:dyDescent="0.4">
      <c r="P460" s="4"/>
    </row>
    <row r="461" spans="16:16" x14ac:dyDescent="0.4">
      <c r="P461" s="4"/>
    </row>
    <row r="462" spans="16:16" x14ac:dyDescent="0.4">
      <c r="P462" s="4"/>
    </row>
    <row r="463" spans="16:16" x14ac:dyDescent="0.4">
      <c r="P463" s="4"/>
    </row>
    <row r="464" spans="16:16" x14ac:dyDescent="0.4">
      <c r="P464" s="4"/>
    </row>
    <row r="465" spans="16:16" x14ac:dyDescent="0.4">
      <c r="P465" s="4"/>
    </row>
    <row r="466" spans="16:16" x14ac:dyDescent="0.4">
      <c r="P466" s="4"/>
    </row>
    <row r="467" spans="16:16" x14ac:dyDescent="0.4">
      <c r="P467" s="4"/>
    </row>
    <row r="468" spans="16:16" x14ac:dyDescent="0.4">
      <c r="P468" s="4"/>
    </row>
    <row r="469" spans="16:16" x14ac:dyDescent="0.4">
      <c r="P469" s="4"/>
    </row>
    <row r="470" spans="16:16" x14ac:dyDescent="0.4">
      <c r="P470" s="4"/>
    </row>
    <row r="471" spans="16:16" x14ac:dyDescent="0.4">
      <c r="P471" s="4"/>
    </row>
    <row r="472" spans="16:16" x14ac:dyDescent="0.4">
      <c r="P472" s="4"/>
    </row>
    <row r="473" spans="16:16" x14ac:dyDescent="0.4">
      <c r="P473" s="4"/>
    </row>
    <row r="474" spans="16:16" x14ac:dyDescent="0.4">
      <c r="P474" s="4"/>
    </row>
    <row r="475" spans="16:16" x14ac:dyDescent="0.4">
      <c r="P475" s="4"/>
    </row>
    <row r="476" spans="16:16" x14ac:dyDescent="0.4">
      <c r="P476" s="4"/>
    </row>
    <row r="477" spans="16:16" x14ac:dyDescent="0.4">
      <c r="P477" s="4"/>
    </row>
    <row r="478" spans="16:16" x14ac:dyDescent="0.4">
      <c r="P478" s="4"/>
    </row>
    <row r="479" spans="16:16" x14ac:dyDescent="0.4">
      <c r="P479" s="4"/>
    </row>
    <row r="480" spans="16:16" x14ac:dyDescent="0.4">
      <c r="P480" s="4"/>
    </row>
    <row r="481" spans="16:16" x14ac:dyDescent="0.4">
      <c r="P481" s="4"/>
    </row>
    <row r="482" spans="16:16" x14ac:dyDescent="0.4">
      <c r="P482" s="4"/>
    </row>
    <row r="483" spans="16:16" x14ac:dyDescent="0.4">
      <c r="P483" s="4"/>
    </row>
    <row r="484" spans="16:16" x14ac:dyDescent="0.4">
      <c r="P484" s="4"/>
    </row>
    <row r="485" spans="16:16" x14ac:dyDescent="0.4">
      <c r="P485" s="4"/>
    </row>
    <row r="486" spans="16:16" x14ac:dyDescent="0.4">
      <c r="P486" s="4"/>
    </row>
    <row r="487" spans="16:16" x14ac:dyDescent="0.4">
      <c r="P487" s="4"/>
    </row>
    <row r="488" spans="16:16" x14ac:dyDescent="0.4">
      <c r="P488" s="4"/>
    </row>
    <row r="489" spans="16:16" x14ac:dyDescent="0.4">
      <c r="P489" s="4"/>
    </row>
    <row r="490" spans="16:16" x14ac:dyDescent="0.4">
      <c r="P490" s="4"/>
    </row>
    <row r="491" spans="16:16" x14ac:dyDescent="0.4">
      <c r="P491" s="4"/>
    </row>
    <row r="492" spans="16:16" x14ac:dyDescent="0.4">
      <c r="P492" s="4"/>
    </row>
    <row r="493" spans="16:16" x14ac:dyDescent="0.4">
      <c r="P493" s="4"/>
    </row>
    <row r="494" spans="16:16" x14ac:dyDescent="0.4">
      <c r="P494" s="4"/>
    </row>
    <row r="495" spans="16:16" x14ac:dyDescent="0.4">
      <c r="P495" s="4"/>
    </row>
    <row r="496" spans="16:16" x14ac:dyDescent="0.4">
      <c r="P496" s="4"/>
    </row>
    <row r="497" spans="16:16" x14ac:dyDescent="0.4">
      <c r="P497" s="4"/>
    </row>
    <row r="498" spans="16:16" x14ac:dyDescent="0.4">
      <c r="P498" s="4"/>
    </row>
    <row r="499" spans="16:16" x14ac:dyDescent="0.4">
      <c r="P499" s="4"/>
    </row>
    <row r="500" spans="16:16" x14ac:dyDescent="0.4">
      <c r="P500" s="4"/>
    </row>
    <row r="501" spans="16:16" x14ac:dyDescent="0.4">
      <c r="P501" s="4"/>
    </row>
    <row r="502" spans="16:16" x14ac:dyDescent="0.4">
      <c r="P502" s="4"/>
    </row>
    <row r="503" spans="16:16" x14ac:dyDescent="0.4">
      <c r="P503" s="4"/>
    </row>
    <row r="504" spans="16:16" x14ac:dyDescent="0.4">
      <c r="P504" s="4"/>
    </row>
    <row r="505" spans="16:16" x14ac:dyDescent="0.4">
      <c r="P505" s="4"/>
    </row>
    <row r="506" spans="16:16" x14ac:dyDescent="0.4">
      <c r="P506" s="4"/>
    </row>
    <row r="507" spans="16:16" x14ac:dyDescent="0.4">
      <c r="P507" s="4"/>
    </row>
    <row r="508" spans="16:16" x14ac:dyDescent="0.4">
      <c r="P508" s="4"/>
    </row>
    <row r="509" spans="16:16" x14ac:dyDescent="0.4">
      <c r="P509" s="4"/>
    </row>
    <row r="510" spans="16:16" x14ac:dyDescent="0.4">
      <c r="P510" s="4"/>
    </row>
    <row r="511" spans="16:16" x14ac:dyDescent="0.4">
      <c r="P511" s="4"/>
    </row>
    <row r="512" spans="16:16" x14ac:dyDescent="0.4">
      <c r="P512" s="4"/>
    </row>
    <row r="513" spans="16:16" x14ac:dyDescent="0.4">
      <c r="P513" s="4"/>
    </row>
    <row r="514" spans="16:16" x14ac:dyDescent="0.4">
      <c r="P514" s="4"/>
    </row>
    <row r="515" spans="16:16" x14ac:dyDescent="0.4">
      <c r="P515" s="4"/>
    </row>
    <row r="516" spans="16:16" x14ac:dyDescent="0.4">
      <c r="P516" s="4"/>
    </row>
    <row r="517" spans="16:16" x14ac:dyDescent="0.4">
      <c r="P517" s="4"/>
    </row>
    <row r="518" spans="16:16" x14ac:dyDescent="0.4">
      <c r="P518" s="4"/>
    </row>
    <row r="519" spans="16:16" x14ac:dyDescent="0.4">
      <c r="P519" s="4"/>
    </row>
    <row r="520" spans="16:16" x14ac:dyDescent="0.4">
      <c r="P520" s="4"/>
    </row>
    <row r="521" spans="16:16" x14ac:dyDescent="0.4">
      <c r="P521" s="4"/>
    </row>
    <row r="522" spans="16:16" x14ac:dyDescent="0.4">
      <c r="P522" s="4"/>
    </row>
    <row r="523" spans="16:16" x14ac:dyDescent="0.4">
      <c r="P523" s="4"/>
    </row>
    <row r="524" spans="16:16" x14ac:dyDescent="0.4">
      <c r="P524" s="4"/>
    </row>
    <row r="525" spans="16:16" x14ac:dyDescent="0.4">
      <c r="P525" s="4"/>
    </row>
    <row r="526" spans="16:16" x14ac:dyDescent="0.4">
      <c r="P526" s="4"/>
    </row>
    <row r="527" spans="16:16" x14ac:dyDescent="0.4">
      <c r="P527" s="4"/>
    </row>
    <row r="528" spans="16:16" x14ac:dyDescent="0.4">
      <c r="P528" s="4"/>
    </row>
    <row r="529" spans="16:16" x14ac:dyDescent="0.4">
      <c r="P529" s="4"/>
    </row>
    <row r="530" spans="16:16" x14ac:dyDescent="0.4">
      <c r="P530" s="4"/>
    </row>
    <row r="531" spans="16:16" x14ac:dyDescent="0.4">
      <c r="P531" s="4"/>
    </row>
    <row r="532" spans="16:16" x14ac:dyDescent="0.4">
      <c r="P532" s="4"/>
    </row>
    <row r="533" spans="16:16" x14ac:dyDescent="0.4">
      <c r="P533" s="4"/>
    </row>
    <row r="534" spans="16:16" x14ac:dyDescent="0.4">
      <c r="P534" s="4"/>
    </row>
    <row r="535" spans="16:16" x14ac:dyDescent="0.4">
      <c r="P535" s="4"/>
    </row>
    <row r="536" spans="16:16" x14ac:dyDescent="0.4">
      <c r="P536" s="4"/>
    </row>
    <row r="537" spans="16:16" x14ac:dyDescent="0.4">
      <c r="P537" s="4"/>
    </row>
    <row r="538" spans="16:16" x14ac:dyDescent="0.4">
      <c r="P538" s="4"/>
    </row>
    <row r="539" spans="16:16" x14ac:dyDescent="0.4">
      <c r="P539" s="4"/>
    </row>
    <row r="540" spans="16:16" x14ac:dyDescent="0.4">
      <c r="P540" s="4"/>
    </row>
    <row r="541" spans="16:16" x14ac:dyDescent="0.4">
      <c r="P541" s="4"/>
    </row>
    <row r="542" spans="16:16" x14ac:dyDescent="0.4">
      <c r="P542" s="4"/>
    </row>
    <row r="543" spans="16:16" x14ac:dyDescent="0.4">
      <c r="P543" s="4"/>
    </row>
    <row r="544" spans="16:16" x14ac:dyDescent="0.4">
      <c r="P544" s="4"/>
    </row>
    <row r="545" spans="16:16" x14ac:dyDescent="0.4">
      <c r="P545" s="4"/>
    </row>
    <row r="546" spans="16:16" x14ac:dyDescent="0.4">
      <c r="P546" s="4"/>
    </row>
    <row r="547" spans="16:16" x14ac:dyDescent="0.4">
      <c r="P547" s="4"/>
    </row>
    <row r="548" spans="16:16" x14ac:dyDescent="0.4">
      <c r="P548" s="4"/>
    </row>
    <row r="549" spans="16:16" x14ac:dyDescent="0.4">
      <c r="P549" s="4"/>
    </row>
    <row r="550" spans="16:16" x14ac:dyDescent="0.4">
      <c r="P550" s="4"/>
    </row>
    <row r="551" spans="16:16" x14ac:dyDescent="0.4">
      <c r="P551" s="4"/>
    </row>
    <row r="552" spans="16:16" x14ac:dyDescent="0.4">
      <c r="P552" s="4"/>
    </row>
    <row r="553" spans="16:16" x14ac:dyDescent="0.4">
      <c r="P553" s="4"/>
    </row>
    <row r="554" spans="16:16" x14ac:dyDescent="0.4">
      <c r="P554" s="4"/>
    </row>
    <row r="555" spans="16:16" x14ac:dyDescent="0.4">
      <c r="P555" s="4"/>
    </row>
    <row r="556" spans="16:16" x14ac:dyDescent="0.4">
      <c r="P556" s="4"/>
    </row>
    <row r="557" spans="16:16" x14ac:dyDescent="0.4">
      <c r="P557" s="4"/>
    </row>
    <row r="558" spans="16:16" x14ac:dyDescent="0.4">
      <c r="P558" s="4"/>
    </row>
    <row r="559" spans="16:16" x14ac:dyDescent="0.4">
      <c r="P559" s="4"/>
    </row>
    <row r="560" spans="16:16" x14ac:dyDescent="0.4">
      <c r="P560" s="4"/>
    </row>
    <row r="561" spans="16:16" x14ac:dyDescent="0.4">
      <c r="P561" s="4"/>
    </row>
    <row r="562" spans="16:16" x14ac:dyDescent="0.4">
      <c r="P562" s="4"/>
    </row>
    <row r="563" spans="16:16" x14ac:dyDescent="0.4">
      <c r="P563" s="4"/>
    </row>
    <row r="564" spans="16:16" x14ac:dyDescent="0.4">
      <c r="P564" s="4"/>
    </row>
    <row r="565" spans="16:16" x14ac:dyDescent="0.4">
      <c r="P565" s="4"/>
    </row>
    <row r="566" spans="16:16" x14ac:dyDescent="0.4">
      <c r="P566" s="4"/>
    </row>
    <row r="567" spans="16:16" x14ac:dyDescent="0.4">
      <c r="P567" s="4"/>
    </row>
    <row r="568" spans="16:16" x14ac:dyDescent="0.4">
      <c r="P568" s="4"/>
    </row>
    <row r="569" spans="16:16" x14ac:dyDescent="0.4">
      <c r="P569" s="4"/>
    </row>
    <row r="570" spans="16:16" x14ac:dyDescent="0.4">
      <c r="P570" s="4"/>
    </row>
    <row r="571" spans="16:16" x14ac:dyDescent="0.4">
      <c r="P571" s="4"/>
    </row>
    <row r="572" spans="16:16" x14ac:dyDescent="0.4">
      <c r="P572" s="4"/>
    </row>
    <row r="573" spans="16:16" x14ac:dyDescent="0.4">
      <c r="P573" s="4"/>
    </row>
    <row r="574" spans="16:16" x14ac:dyDescent="0.4">
      <c r="P574" s="4"/>
    </row>
    <row r="575" spans="16:16" x14ac:dyDescent="0.4">
      <c r="P575" s="4"/>
    </row>
    <row r="576" spans="16:16" x14ac:dyDescent="0.4">
      <c r="P576" s="4"/>
    </row>
    <row r="577" spans="16:16" x14ac:dyDescent="0.4">
      <c r="P577" s="4"/>
    </row>
    <row r="578" spans="16:16" x14ac:dyDescent="0.4">
      <c r="P578" s="4"/>
    </row>
    <row r="579" spans="16:16" x14ac:dyDescent="0.4">
      <c r="P579" s="4"/>
    </row>
    <row r="580" spans="16:16" x14ac:dyDescent="0.4">
      <c r="P580" s="4"/>
    </row>
    <row r="581" spans="16:16" x14ac:dyDescent="0.4">
      <c r="P581" s="4"/>
    </row>
    <row r="582" spans="16:16" x14ac:dyDescent="0.4">
      <c r="P582" s="4"/>
    </row>
    <row r="583" spans="16:16" x14ac:dyDescent="0.4">
      <c r="P583" s="4"/>
    </row>
    <row r="584" spans="16:16" x14ac:dyDescent="0.4">
      <c r="P584" s="4"/>
    </row>
    <row r="585" spans="16:16" x14ac:dyDescent="0.4">
      <c r="P585" s="4"/>
    </row>
    <row r="586" spans="16:16" x14ac:dyDescent="0.4">
      <c r="P586" s="4"/>
    </row>
    <row r="587" spans="16:16" x14ac:dyDescent="0.4">
      <c r="P587" s="4"/>
    </row>
    <row r="588" spans="16:16" x14ac:dyDescent="0.4">
      <c r="P588" s="4"/>
    </row>
    <row r="589" spans="16:16" x14ac:dyDescent="0.4">
      <c r="P589" s="4"/>
    </row>
    <row r="590" spans="16:16" x14ac:dyDescent="0.4">
      <c r="P590" s="4"/>
    </row>
    <row r="591" spans="16:16" x14ac:dyDescent="0.4">
      <c r="P591" s="4"/>
    </row>
    <row r="592" spans="16:16" x14ac:dyDescent="0.4">
      <c r="P592" s="4"/>
    </row>
    <row r="593" spans="16:16" x14ac:dyDescent="0.4">
      <c r="P593" s="4"/>
    </row>
    <row r="594" spans="16:16" x14ac:dyDescent="0.4">
      <c r="P594" s="4"/>
    </row>
    <row r="595" spans="16:16" x14ac:dyDescent="0.4">
      <c r="P595" s="4"/>
    </row>
    <row r="596" spans="16:16" x14ac:dyDescent="0.4">
      <c r="P596" s="4"/>
    </row>
    <row r="597" spans="16:16" x14ac:dyDescent="0.4">
      <c r="P597" s="4"/>
    </row>
    <row r="598" spans="16:16" x14ac:dyDescent="0.4">
      <c r="P598" s="4"/>
    </row>
    <row r="599" spans="16:16" x14ac:dyDescent="0.4">
      <c r="P599" s="4"/>
    </row>
    <row r="600" spans="16:16" x14ac:dyDescent="0.4">
      <c r="P600" s="4"/>
    </row>
    <row r="601" spans="16:16" x14ac:dyDescent="0.4">
      <c r="P601" s="4"/>
    </row>
    <row r="602" spans="16:16" x14ac:dyDescent="0.4">
      <c r="P602" s="4"/>
    </row>
    <row r="603" spans="16:16" x14ac:dyDescent="0.4">
      <c r="P603" s="4"/>
    </row>
    <row r="604" spans="16:16" x14ac:dyDescent="0.4">
      <c r="P604" s="4"/>
    </row>
    <row r="605" spans="16:16" x14ac:dyDescent="0.4">
      <c r="P605" s="4"/>
    </row>
    <row r="606" spans="16:16" x14ac:dyDescent="0.4">
      <c r="P606" s="4"/>
    </row>
    <row r="607" spans="16:16" x14ac:dyDescent="0.4">
      <c r="P607" s="4"/>
    </row>
    <row r="608" spans="16:16" x14ac:dyDescent="0.4">
      <c r="P608" s="4"/>
    </row>
    <row r="609" spans="16:16" x14ac:dyDescent="0.4">
      <c r="P609" s="4"/>
    </row>
    <row r="610" spans="16:16" x14ac:dyDescent="0.4">
      <c r="P610" s="4"/>
    </row>
    <row r="611" spans="16:16" x14ac:dyDescent="0.4">
      <c r="P611" s="4"/>
    </row>
    <row r="612" spans="16:16" x14ac:dyDescent="0.4">
      <c r="P612" s="4"/>
    </row>
    <row r="613" spans="16:16" x14ac:dyDescent="0.4">
      <c r="P613" s="4"/>
    </row>
    <row r="614" spans="16:16" x14ac:dyDescent="0.4">
      <c r="P614" s="4"/>
    </row>
    <row r="615" spans="16:16" x14ac:dyDescent="0.4">
      <c r="P615" s="4"/>
    </row>
    <row r="616" spans="16:16" x14ac:dyDescent="0.4">
      <c r="P616" s="4"/>
    </row>
    <row r="617" spans="16:16" x14ac:dyDescent="0.4">
      <c r="P617" s="4"/>
    </row>
    <row r="618" spans="16:16" x14ac:dyDescent="0.4">
      <c r="P618" s="4"/>
    </row>
    <row r="619" spans="16:16" x14ac:dyDescent="0.4">
      <c r="P619" s="4"/>
    </row>
    <row r="620" spans="16:16" x14ac:dyDescent="0.4">
      <c r="P620" s="4"/>
    </row>
    <row r="621" spans="16:16" x14ac:dyDescent="0.4">
      <c r="P621" s="4"/>
    </row>
    <row r="622" spans="16:16" x14ac:dyDescent="0.4">
      <c r="P622" s="4"/>
    </row>
    <row r="623" spans="16:16" x14ac:dyDescent="0.4">
      <c r="P623" s="4"/>
    </row>
    <row r="624" spans="16:16" x14ac:dyDescent="0.4">
      <c r="P624" s="4"/>
    </row>
    <row r="625" spans="16:16" x14ac:dyDescent="0.4">
      <c r="P625" s="4"/>
    </row>
    <row r="626" spans="16:16" x14ac:dyDescent="0.4">
      <c r="P626" s="4"/>
    </row>
    <row r="627" spans="16:16" x14ac:dyDescent="0.4">
      <c r="P627" s="4"/>
    </row>
    <row r="628" spans="16:16" x14ac:dyDescent="0.4">
      <c r="P628" s="4"/>
    </row>
    <row r="629" spans="16:16" x14ac:dyDescent="0.4">
      <c r="P629" s="4"/>
    </row>
    <row r="630" spans="16:16" x14ac:dyDescent="0.4">
      <c r="P630" s="4"/>
    </row>
    <row r="631" spans="16:16" x14ac:dyDescent="0.4">
      <c r="P631" s="4"/>
    </row>
    <row r="632" spans="16:16" x14ac:dyDescent="0.4">
      <c r="P632" s="4"/>
    </row>
    <row r="633" spans="16:16" x14ac:dyDescent="0.4">
      <c r="P633" s="4"/>
    </row>
    <row r="634" spans="16:16" x14ac:dyDescent="0.4">
      <c r="P634" s="4"/>
    </row>
    <row r="635" spans="16:16" x14ac:dyDescent="0.4">
      <c r="P635" s="4"/>
    </row>
    <row r="636" spans="16:16" x14ac:dyDescent="0.4">
      <c r="P636" s="4"/>
    </row>
    <row r="637" spans="16:16" x14ac:dyDescent="0.4">
      <c r="P637" s="4"/>
    </row>
    <row r="638" spans="16:16" x14ac:dyDescent="0.4">
      <c r="P638" s="4"/>
    </row>
    <row r="639" spans="16:16" x14ac:dyDescent="0.4">
      <c r="P639" s="4"/>
    </row>
    <row r="640" spans="16:16" x14ac:dyDescent="0.4">
      <c r="P640" s="4"/>
    </row>
    <row r="641" spans="16:16" x14ac:dyDescent="0.4">
      <c r="P641" s="4"/>
    </row>
    <row r="642" spans="16:16" x14ac:dyDescent="0.4">
      <c r="P642" s="4"/>
    </row>
    <row r="643" spans="16:16" x14ac:dyDescent="0.4">
      <c r="P643" s="4"/>
    </row>
    <row r="644" spans="16:16" x14ac:dyDescent="0.4">
      <c r="P644" s="4"/>
    </row>
    <row r="645" spans="16:16" x14ac:dyDescent="0.4">
      <c r="P645" s="4"/>
    </row>
    <row r="646" spans="16:16" x14ac:dyDescent="0.4">
      <c r="P646" s="4"/>
    </row>
    <row r="647" spans="16:16" x14ac:dyDescent="0.4">
      <c r="P647" s="4"/>
    </row>
    <row r="648" spans="16:16" x14ac:dyDescent="0.4">
      <c r="P648" s="4"/>
    </row>
    <row r="649" spans="16:16" x14ac:dyDescent="0.4">
      <c r="P649" s="4"/>
    </row>
    <row r="650" spans="16:16" x14ac:dyDescent="0.4">
      <c r="P650" s="4"/>
    </row>
    <row r="651" spans="16:16" x14ac:dyDescent="0.4">
      <c r="P651" s="4"/>
    </row>
    <row r="652" spans="16:16" x14ac:dyDescent="0.4">
      <c r="P652" s="4"/>
    </row>
    <row r="653" spans="16:16" x14ac:dyDescent="0.4">
      <c r="P653" s="4"/>
    </row>
    <row r="654" spans="16:16" x14ac:dyDescent="0.4">
      <c r="P654" s="4"/>
    </row>
    <row r="655" spans="16:16" x14ac:dyDescent="0.4">
      <c r="P655" s="4"/>
    </row>
    <row r="656" spans="16:16" x14ac:dyDescent="0.4">
      <c r="P656" s="4"/>
    </row>
    <row r="657" spans="16:16" x14ac:dyDescent="0.4">
      <c r="P657" s="4"/>
    </row>
    <row r="658" spans="16:16" x14ac:dyDescent="0.4">
      <c r="P658" s="4"/>
    </row>
    <row r="659" spans="16:16" x14ac:dyDescent="0.4">
      <c r="P659" s="4"/>
    </row>
    <row r="660" spans="16:16" x14ac:dyDescent="0.4">
      <c r="P660" s="4"/>
    </row>
    <row r="661" spans="16:16" x14ac:dyDescent="0.4">
      <c r="P661" s="4"/>
    </row>
    <row r="662" spans="16:16" x14ac:dyDescent="0.4">
      <c r="P662" s="4"/>
    </row>
    <row r="663" spans="16:16" x14ac:dyDescent="0.4">
      <c r="P663" s="4"/>
    </row>
    <row r="664" spans="16:16" x14ac:dyDescent="0.4">
      <c r="P664" s="4"/>
    </row>
    <row r="665" spans="16:16" x14ac:dyDescent="0.4">
      <c r="P665" s="4"/>
    </row>
    <row r="666" spans="16:16" x14ac:dyDescent="0.4">
      <c r="P666" s="4"/>
    </row>
    <row r="667" spans="16:16" x14ac:dyDescent="0.4">
      <c r="P667" s="4"/>
    </row>
    <row r="668" spans="16:16" x14ac:dyDescent="0.4">
      <c r="P668" s="4"/>
    </row>
    <row r="669" spans="16:16" x14ac:dyDescent="0.4">
      <c r="P669" s="4"/>
    </row>
    <row r="670" spans="16:16" x14ac:dyDescent="0.4">
      <c r="P670" s="4"/>
    </row>
    <row r="671" spans="16:16" x14ac:dyDescent="0.4">
      <c r="P671" s="4"/>
    </row>
    <row r="672" spans="16:16" x14ac:dyDescent="0.4">
      <c r="P672" s="4"/>
    </row>
    <row r="673" spans="16:16" x14ac:dyDescent="0.4">
      <c r="P673" s="4"/>
    </row>
    <row r="674" spans="16:16" x14ac:dyDescent="0.4">
      <c r="P674" s="4"/>
    </row>
    <row r="675" spans="16:16" x14ac:dyDescent="0.4">
      <c r="P675" s="4"/>
    </row>
    <row r="676" spans="16:16" x14ac:dyDescent="0.4">
      <c r="P676" s="4"/>
    </row>
    <row r="677" spans="16:16" x14ac:dyDescent="0.4">
      <c r="P677" s="4"/>
    </row>
    <row r="678" spans="16:16" x14ac:dyDescent="0.4">
      <c r="P678" s="4"/>
    </row>
    <row r="679" spans="16:16" x14ac:dyDescent="0.4">
      <c r="P679" s="4"/>
    </row>
    <row r="680" spans="16:16" x14ac:dyDescent="0.4">
      <c r="P680" s="4"/>
    </row>
    <row r="681" spans="16:16" x14ac:dyDescent="0.4">
      <c r="P681" s="4"/>
    </row>
    <row r="682" spans="16:16" x14ac:dyDescent="0.4">
      <c r="P682" s="4"/>
    </row>
    <row r="683" spans="16:16" x14ac:dyDescent="0.4">
      <c r="P683" s="4"/>
    </row>
    <row r="684" spans="16:16" x14ac:dyDescent="0.4">
      <c r="P684" s="4"/>
    </row>
    <row r="685" spans="16:16" x14ac:dyDescent="0.4">
      <c r="P685" s="4"/>
    </row>
    <row r="686" spans="16:16" x14ac:dyDescent="0.4">
      <c r="P686" s="4"/>
    </row>
    <row r="687" spans="16:16" x14ac:dyDescent="0.4">
      <c r="P687" s="4"/>
    </row>
    <row r="688" spans="16:16" x14ac:dyDescent="0.4">
      <c r="P688" s="4"/>
    </row>
    <row r="689" spans="16:16" x14ac:dyDescent="0.4">
      <c r="P689" s="4"/>
    </row>
    <row r="690" spans="16:16" x14ac:dyDescent="0.4">
      <c r="P690" s="4"/>
    </row>
    <row r="691" spans="16:16" x14ac:dyDescent="0.4">
      <c r="P691" s="4"/>
    </row>
    <row r="692" spans="16:16" x14ac:dyDescent="0.4">
      <c r="P692" s="4"/>
    </row>
    <row r="693" spans="16:16" x14ac:dyDescent="0.4">
      <c r="P693" s="4"/>
    </row>
    <row r="694" spans="16:16" x14ac:dyDescent="0.4">
      <c r="P694" s="4"/>
    </row>
    <row r="695" spans="16:16" x14ac:dyDescent="0.4">
      <c r="P695" s="4"/>
    </row>
    <row r="696" spans="16:16" x14ac:dyDescent="0.4">
      <c r="P696" s="4"/>
    </row>
    <row r="697" spans="16:16" x14ac:dyDescent="0.4">
      <c r="P697" s="4"/>
    </row>
    <row r="698" spans="16:16" x14ac:dyDescent="0.4">
      <c r="P698" s="4"/>
    </row>
    <row r="699" spans="16:16" x14ac:dyDescent="0.4">
      <c r="P699" s="4"/>
    </row>
    <row r="700" spans="16:16" x14ac:dyDescent="0.4">
      <c r="P700" s="4"/>
    </row>
    <row r="701" spans="16:16" x14ac:dyDescent="0.4">
      <c r="P701" s="4"/>
    </row>
    <row r="702" spans="16:16" x14ac:dyDescent="0.4">
      <c r="P702" s="4"/>
    </row>
    <row r="703" spans="16:16" x14ac:dyDescent="0.4">
      <c r="P703" s="4"/>
    </row>
    <row r="704" spans="16:16" x14ac:dyDescent="0.4">
      <c r="P704" s="4"/>
    </row>
    <row r="705" spans="16:16" x14ac:dyDescent="0.4">
      <c r="P705" s="4"/>
    </row>
    <row r="706" spans="16:16" x14ac:dyDescent="0.4">
      <c r="P706" s="4"/>
    </row>
    <row r="707" spans="16:16" x14ac:dyDescent="0.4">
      <c r="P707" s="4"/>
    </row>
    <row r="708" spans="16:16" x14ac:dyDescent="0.4">
      <c r="P708" s="4"/>
    </row>
    <row r="709" spans="16:16" x14ac:dyDescent="0.4">
      <c r="P709" s="4"/>
    </row>
    <row r="710" spans="16:16" x14ac:dyDescent="0.4">
      <c r="P710" s="4"/>
    </row>
    <row r="711" spans="16:16" x14ac:dyDescent="0.4">
      <c r="P711" s="4"/>
    </row>
    <row r="712" spans="16:16" x14ac:dyDescent="0.4">
      <c r="P712" s="4"/>
    </row>
    <row r="713" spans="16:16" x14ac:dyDescent="0.4">
      <c r="P713" s="4"/>
    </row>
    <row r="714" spans="16:16" x14ac:dyDescent="0.4">
      <c r="P714" s="4"/>
    </row>
    <row r="715" spans="16:16" x14ac:dyDescent="0.4">
      <c r="P715" s="4"/>
    </row>
    <row r="716" spans="16:16" x14ac:dyDescent="0.4">
      <c r="P716" s="4"/>
    </row>
    <row r="717" spans="16:16" x14ac:dyDescent="0.4">
      <c r="P717" s="4"/>
    </row>
    <row r="718" spans="16:16" x14ac:dyDescent="0.4">
      <c r="P718" s="4"/>
    </row>
    <row r="719" spans="16:16" x14ac:dyDescent="0.4">
      <c r="P719" s="4"/>
    </row>
    <row r="720" spans="16:16" x14ac:dyDescent="0.4">
      <c r="P720" s="4"/>
    </row>
    <row r="721" spans="16:16" x14ac:dyDescent="0.4">
      <c r="P721" s="4"/>
    </row>
    <row r="722" spans="16:16" x14ac:dyDescent="0.4">
      <c r="P722" s="4"/>
    </row>
    <row r="723" spans="16:16" x14ac:dyDescent="0.4">
      <c r="P723" s="4"/>
    </row>
    <row r="724" spans="16:16" x14ac:dyDescent="0.4">
      <c r="P724" s="4"/>
    </row>
    <row r="725" spans="16:16" x14ac:dyDescent="0.4">
      <c r="P725" s="4"/>
    </row>
    <row r="726" spans="16:16" x14ac:dyDescent="0.4">
      <c r="P726" s="4"/>
    </row>
    <row r="727" spans="16:16" x14ac:dyDescent="0.4">
      <c r="P727" s="4"/>
    </row>
    <row r="728" spans="16:16" x14ac:dyDescent="0.4">
      <c r="P728" s="4"/>
    </row>
    <row r="729" spans="16:16" x14ac:dyDescent="0.4">
      <c r="P729" s="4"/>
    </row>
    <row r="730" spans="16:16" x14ac:dyDescent="0.4">
      <c r="P730" s="4"/>
    </row>
    <row r="731" spans="16:16" x14ac:dyDescent="0.4">
      <c r="P731" s="4"/>
    </row>
    <row r="732" spans="16:16" x14ac:dyDescent="0.4">
      <c r="P732" s="4"/>
    </row>
    <row r="733" spans="16:16" x14ac:dyDescent="0.4">
      <c r="P733" s="4"/>
    </row>
    <row r="734" spans="16:16" x14ac:dyDescent="0.4">
      <c r="P734" s="4"/>
    </row>
    <row r="735" spans="16:16" x14ac:dyDescent="0.4">
      <c r="P735" s="4"/>
    </row>
    <row r="736" spans="16:16" x14ac:dyDescent="0.4">
      <c r="P736" s="4"/>
    </row>
    <row r="737" spans="16:16" x14ac:dyDescent="0.4">
      <c r="P737" s="4"/>
    </row>
    <row r="738" spans="16:16" x14ac:dyDescent="0.4">
      <c r="P738" s="4"/>
    </row>
    <row r="739" spans="16:16" x14ac:dyDescent="0.4">
      <c r="P739" s="4"/>
    </row>
    <row r="740" spans="16:16" x14ac:dyDescent="0.4">
      <c r="P740" s="4"/>
    </row>
    <row r="741" spans="16:16" x14ac:dyDescent="0.4">
      <c r="P741" s="4"/>
    </row>
    <row r="742" spans="16:16" x14ac:dyDescent="0.4">
      <c r="P742" s="4"/>
    </row>
    <row r="743" spans="16:16" x14ac:dyDescent="0.4">
      <c r="P743" s="4"/>
    </row>
    <row r="744" spans="16:16" x14ac:dyDescent="0.4">
      <c r="P744" s="4"/>
    </row>
    <row r="745" spans="16:16" x14ac:dyDescent="0.4">
      <c r="P745" s="4"/>
    </row>
    <row r="746" spans="16:16" x14ac:dyDescent="0.4">
      <c r="P746" s="4"/>
    </row>
    <row r="747" spans="16:16" x14ac:dyDescent="0.4">
      <c r="P747" s="4"/>
    </row>
    <row r="748" spans="16:16" x14ac:dyDescent="0.4">
      <c r="P748" s="4"/>
    </row>
    <row r="749" spans="16:16" x14ac:dyDescent="0.4">
      <c r="P749" s="4"/>
    </row>
    <row r="750" spans="16:16" x14ac:dyDescent="0.4">
      <c r="P750" s="4"/>
    </row>
    <row r="751" spans="16:16" x14ac:dyDescent="0.4">
      <c r="P751" s="4"/>
    </row>
    <row r="752" spans="16:16" x14ac:dyDescent="0.4">
      <c r="P752" s="4"/>
    </row>
    <row r="753" spans="16:16" x14ac:dyDescent="0.4">
      <c r="P753" s="4"/>
    </row>
    <row r="754" spans="16:16" x14ac:dyDescent="0.4">
      <c r="P754" s="4"/>
    </row>
    <row r="755" spans="16:16" x14ac:dyDescent="0.4">
      <c r="P755" s="4"/>
    </row>
    <row r="756" spans="16:16" x14ac:dyDescent="0.4">
      <c r="P756" s="4"/>
    </row>
    <row r="757" spans="16:16" x14ac:dyDescent="0.4">
      <c r="P757" s="4"/>
    </row>
    <row r="758" spans="16:16" x14ac:dyDescent="0.4">
      <c r="P758" s="4"/>
    </row>
    <row r="759" spans="16:16" x14ac:dyDescent="0.4">
      <c r="P759" s="4"/>
    </row>
    <row r="760" spans="16:16" x14ac:dyDescent="0.4">
      <c r="P760" s="4"/>
    </row>
    <row r="761" spans="16:16" x14ac:dyDescent="0.4">
      <c r="P761" s="4"/>
    </row>
    <row r="762" spans="16:16" x14ac:dyDescent="0.4">
      <c r="P762" s="4"/>
    </row>
    <row r="763" spans="16:16" x14ac:dyDescent="0.4">
      <c r="P763" s="4"/>
    </row>
    <row r="764" spans="16:16" x14ac:dyDescent="0.4">
      <c r="P764" s="4"/>
    </row>
    <row r="765" spans="16:16" x14ac:dyDescent="0.4">
      <c r="P765" s="4"/>
    </row>
    <row r="766" spans="16:16" x14ac:dyDescent="0.4">
      <c r="P766" s="4"/>
    </row>
    <row r="767" spans="16:16" x14ac:dyDescent="0.4">
      <c r="P767" s="4"/>
    </row>
    <row r="768" spans="16:16" x14ac:dyDescent="0.4">
      <c r="P768" s="4"/>
    </row>
    <row r="769" spans="16:16" x14ac:dyDescent="0.4">
      <c r="P769" s="4"/>
    </row>
    <row r="770" spans="16:16" x14ac:dyDescent="0.4">
      <c r="P770" s="4"/>
    </row>
    <row r="771" spans="16:16" x14ac:dyDescent="0.4">
      <c r="P771" s="4"/>
    </row>
    <row r="772" spans="16:16" x14ac:dyDescent="0.4">
      <c r="P772" s="4"/>
    </row>
    <row r="773" spans="16:16" x14ac:dyDescent="0.4">
      <c r="P773" s="4"/>
    </row>
    <row r="774" spans="16:16" x14ac:dyDescent="0.4">
      <c r="P774" s="4"/>
    </row>
    <row r="775" spans="16:16" x14ac:dyDescent="0.4">
      <c r="P775" s="4"/>
    </row>
    <row r="776" spans="16:16" x14ac:dyDescent="0.4">
      <c r="P776" s="4"/>
    </row>
    <row r="777" spans="16:16" x14ac:dyDescent="0.4">
      <c r="P777" s="4"/>
    </row>
    <row r="778" spans="16:16" x14ac:dyDescent="0.4">
      <c r="P778" s="4"/>
    </row>
    <row r="779" spans="16:16" x14ac:dyDescent="0.4">
      <c r="P779" s="4"/>
    </row>
    <row r="780" spans="16:16" x14ac:dyDescent="0.4">
      <c r="P780" s="4"/>
    </row>
    <row r="781" spans="16:16" x14ac:dyDescent="0.4">
      <c r="P781" s="4"/>
    </row>
    <row r="782" spans="16:16" x14ac:dyDescent="0.4">
      <c r="P782" s="4"/>
    </row>
    <row r="783" spans="16:16" x14ac:dyDescent="0.4">
      <c r="P783" s="4"/>
    </row>
    <row r="784" spans="16:16" x14ac:dyDescent="0.4">
      <c r="P784" s="4"/>
    </row>
    <row r="785" spans="16:16" x14ac:dyDescent="0.4">
      <c r="P785" s="4"/>
    </row>
    <row r="786" spans="16:16" x14ac:dyDescent="0.4">
      <c r="P786" s="4"/>
    </row>
    <row r="787" spans="16:16" x14ac:dyDescent="0.4">
      <c r="P787" s="4"/>
    </row>
    <row r="788" spans="16:16" x14ac:dyDescent="0.4">
      <c r="P788" s="4"/>
    </row>
    <row r="789" spans="16:16" x14ac:dyDescent="0.4">
      <c r="P789" s="4"/>
    </row>
    <row r="790" spans="16:16" x14ac:dyDescent="0.4">
      <c r="P790" s="4"/>
    </row>
    <row r="791" spans="16:16" x14ac:dyDescent="0.4">
      <c r="P791" s="4"/>
    </row>
    <row r="792" spans="16:16" x14ac:dyDescent="0.4">
      <c r="P792" s="4"/>
    </row>
    <row r="793" spans="16:16" x14ac:dyDescent="0.4">
      <c r="P793" s="4"/>
    </row>
    <row r="794" spans="16:16" x14ac:dyDescent="0.4">
      <c r="P794" s="4"/>
    </row>
    <row r="795" spans="16:16" x14ac:dyDescent="0.4">
      <c r="P795" s="4"/>
    </row>
    <row r="796" spans="16:16" x14ac:dyDescent="0.4">
      <c r="P796" s="4"/>
    </row>
    <row r="797" spans="16:16" x14ac:dyDescent="0.4">
      <c r="P797" s="4"/>
    </row>
    <row r="798" spans="16:16" x14ac:dyDescent="0.4">
      <c r="P798" s="4"/>
    </row>
    <row r="799" spans="16:16" x14ac:dyDescent="0.4">
      <c r="P799" s="4"/>
    </row>
    <row r="800" spans="16:16" x14ac:dyDescent="0.4">
      <c r="P800" s="4"/>
    </row>
    <row r="801" spans="16:16" x14ac:dyDescent="0.4">
      <c r="P801" s="4"/>
    </row>
    <row r="802" spans="16:16" x14ac:dyDescent="0.4">
      <c r="P802" s="4"/>
    </row>
    <row r="803" spans="16:16" x14ac:dyDescent="0.4">
      <c r="P803" s="4"/>
    </row>
    <row r="804" spans="16:16" x14ac:dyDescent="0.4">
      <c r="P804" s="4"/>
    </row>
    <row r="805" spans="16:16" x14ac:dyDescent="0.4">
      <c r="P805" s="4"/>
    </row>
    <row r="806" spans="16:16" x14ac:dyDescent="0.4">
      <c r="P806" s="4"/>
    </row>
    <row r="807" spans="16:16" x14ac:dyDescent="0.4">
      <c r="P807" s="4"/>
    </row>
    <row r="808" spans="16:16" x14ac:dyDescent="0.4">
      <c r="P808" s="4"/>
    </row>
    <row r="809" spans="16:16" x14ac:dyDescent="0.4">
      <c r="P809" s="4"/>
    </row>
    <row r="810" spans="16:16" x14ac:dyDescent="0.4">
      <c r="P810" s="4"/>
    </row>
    <row r="811" spans="16:16" x14ac:dyDescent="0.4">
      <c r="P811" s="4"/>
    </row>
    <row r="812" spans="16:16" x14ac:dyDescent="0.4">
      <c r="P812" s="4"/>
    </row>
    <row r="813" spans="16:16" x14ac:dyDescent="0.4">
      <c r="P813" s="4"/>
    </row>
    <row r="814" spans="16:16" x14ac:dyDescent="0.4">
      <c r="P814" s="4"/>
    </row>
    <row r="815" spans="16:16" x14ac:dyDescent="0.4">
      <c r="P815" s="4"/>
    </row>
    <row r="816" spans="16:16" x14ac:dyDescent="0.4">
      <c r="P816" s="4"/>
    </row>
    <row r="817" spans="16:16" x14ac:dyDescent="0.4">
      <c r="P817" s="4"/>
    </row>
    <row r="818" spans="16:16" x14ac:dyDescent="0.4">
      <c r="P818" s="4"/>
    </row>
    <row r="819" spans="16:16" x14ac:dyDescent="0.4">
      <c r="P819" s="4"/>
    </row>
    <row r="820" spans="16:16" x14ac:dyDescent="0.4">
      <c r="P820" s="4"/>
    </row>
    <row r="821" spans="16:16" x14ac:dyDescent="0.4">
      <c r="P821" s="4"/>
    </row>
    <row r="822" spans="16:16" x14ac:dyDescent="0.4">
      <c r="P822" s="4"/>
    </row>
    <row r="823" spans="16:16" x14ac:dyDescent="0.4">
      <c r="P823" s="4"/>
    </row>
    <row r="824" spans="16:16" x14ac:dyDescent="0.4">
      <c r="P824" s="4"/>
    </row>
    <row r="825" spans="16:16" x14ac:dyDescent="0.4">
      <c r="P825" s="4"/>
    </row>
    <row r="826" spans="16:16" x14ac:dyDescent="0.4">
      <c r="P826" s="4"/>
    </row>
    <row r="827" spans="16:16" x14ac:dyDescent="0.4">
      <c r="P827" s="4"/>
    </row>
    <row r="828" spans="16:16" x14ac:dyDescent="0.4">
      <c r="P828" s="4"/>
    </row>
    <row r="829" spans="16:16" x14ac:dyDescent="0.4">
      <c r="P829" s="4"/>
    </row>
    <row r="830" spans="16:16" x14ac:dyDescent="0.4">
      <c r="P830" s="4"/>
    </row>
    <row r="831" spans="16:16" x14ac:dyDescent="0.4">
      <c r="P831" s="4"/>
    </row>
    <row r="832" spans="16:16" x14ac:dyDescent="0.4">
      <c r="P832" s="4"/>
    </row>
    <row r="833" spans="16:16" x14ac:dyDescent="0.4">
      <c r="P833" s="4"/>
    </row>
    <row r="834" spans="16:16" x14ac:dyDescent="0.4">
      <c r="P834" s="4"/>
    </row>
    <row r="835" spans="16:16" x14ac:dyDescent="0.4">
      <c r="P835" s="4"/>
    </row>
    <row r="836" spans="16:16" x14ac:dyDescent="0.4">
      <c r="P836" s="4"/>
    </row>
    <row r="837" spans="16:16" x14ac:dyDescent="0.4">
      <c r="P837" s="4"/>
    </row>
    <row r="838" spans="16:16" x14ac:dyDescent="0.4">
      <c r="P838" s="4"/>
    </row>
    <row r="839" spans="16:16" x14ac:dyDescent="0.4">
      <c r="P839" s="4"/>
    </row>
    <row r="840" spans="16:16" x14ac:dyDescent="0.4">
      <c r="P840" s="4"/>
    </row>
    <row r="841" spans="16:16" x14ac:dyDescent="0.4">
      <c r="P841" s="4"/>
    </row>
    <row r="842" spans="16:16" x14ac:dyDescent="0.4">
      <c r="P842" s="4"/>
    </row>
    <row r="843" spans="16:16" x14ac:dyDescent="0.4">
      <c r="P843" s="4"/>
    </row>
    <row r="844" spans="16:16" x14ac:dyDescent="0.4">
      <c r="P844" s="4"/>
    </row>
    <row r="845" spans="16:16" x14ac:dyDescent="0.4">
      <c r="P845" s="4"/>
    </row>
    <row r="846" spans="16:16" x14ac:dyDescent="0.4">
      <c r="P846" s="4"/>
    </row>
    <row r="847" spans="16:16" x14ac:dyDescent="0.4">
      <c r="P847" s="4"/>
    </row>
    <row r="848" spans="16:16" x14ac:dyDescent="0.4">
      <c r="P848" s="4"/>
    </row>
    <row r="849" spans="16:16" x14ac:dyDescent="0.4">
      <c r="P849" s="4"/>
    </row>
    <row r="850" spans="16:16" x14ac:dyDescent="0.4">
      <c r="P850" s="4"/>
    </row>
    <row r="851" spans="16:16" x14ac:dyDescent="0.4">
      <c r="P851" s="4"/>
    </row>
    <row r="852" spans="16:16" x14ac:dyDescent="0.4">
      <c r="P852" s="4"/>
    </row>
    <row r="853" spans="16:16" x14ac:dyDescent="0.4">
      <c r="P853" s="4"/>
    </row>
    <row r="854" spans="16:16" x14ac:dyDescent="0.4">
      <c r="P854" s="4"/>
    </row>
    <row r="855" spans="16:16" x14ac:dyDescent="0.4">
      <c r="P855" s="4"/>
    </row>
    <row r="856" spans="16:16" x14ac:dyDescent="0.4">
      <c r="P856" s="4"/>
    </row>
    <row r="857" spans="16:16" x14ac:dyDescent="0.4">
      <c r="P857" s="4"/>
    </row>
    <row r="858" spans="16:16" x14ac:dyDescent="0.4">
      <c r="P858" s="4"/>
    </row>
    <row r="859" spans="16:16" x14ac:dyDescent="0.4">
      <c r="P859" s="4"/>
    </row>
    <row r="860" spans="16:16" x14ac:dyDescent="0.4">
      <c r="P860" s="4"/>
    </row>
    <row r="861" spans="16:16" x14ac:dyDescent="0.4">
      <c r="P861" s="4"/>
    </row>
    <row r="862" spans="16:16" x14ac:dyDescent="0.4">
      <c r="P862" s="4"/>
    </row>
    <row r="863" spans="16:16" x14ac:dyDescent="0.4">
      <c r="P863" s="4"/>
    </row>
    <row r="864" spans="16:16" x14ac:dyDescent="0.4">
      <c r="P864" s="4"/>
    </row>
    <row r="865" spans="16:16" x14ac:dyDescent="0.4">
      <c r="P865" s="4"/>
    </row>
    <row r="866" spans="16:16" x14ac:dyDescent="0.4">
      <c r="P866" s="4"/>
    </row>
    <row r="867" spans="16:16" x14ac:dyDescent="0.4">
      <c r="P867" s="4"/>
    </row>
    <row r="868" spans="16:16" x14ac:dyDescent="0.4">
      <c r="P868" s="4"/>
    </row>
    <row r="869" spans="16:16" x14ac:dyDescent="0.4">
      <c r="P869" s="4"/>
    </row>
    <row r="870" spans="16:16" x14ac:dyDescent="0.4">
      <c r="P870" s="4"/>
    </row>
    <row r="871" spans="16:16" x14ac:dyDescent="0.4">
      <c r="P871" s="4"/>
    </row>
    <row r="872" spans="16:16" x14ac:dyDescent="0.4">
      <c r="P872" s="4"/>
    </row>
    <row r="873" spans="16:16" x14ac:dyDescent="0.4">
      <c r="P873" s="4"/>
    </row>
    <row r="874" spans="16:16" x14ac:dyDescent="0.4">
      <c r="P874" s="4"/>
    </row>
    <row r="875" spans="16:16" x14ac:dyDescent="0.4">
      <c r="P875" s="4"/>
    </row>
    <row r="876" spans="16:16" x14ac:dyDescent="0.4">
      <c r="P876" s="4"/>
    </row>
    <row r="877" spans="16:16" x14ac:dyDescent="0.4">
      <c r="P877" s="4"/>
    </row>
    <row r="878" spans="16:16" x14ac:dyDescent="0.4">
      <c r="P878" s="4"/>
    </row>
    <row r="879" spans="16:16" x14ac:dyDescent="0.4">
      <c r="P879" s="4"/>
    </row>
    <row r="880" spans="16:16" x14ac:dyDescent="0.4">
      <c r="P880" s="4"/>
    </row>
    <row r="881" spans="16:16" x14ac:dyDescent="0.4">
      <c r="P881" s="4"/>
    </row>
    <row r="882" spans="16:16" x14ac:dyDescent="0.4">
      <c r="P882" s="4"/>
    </row>
    <row r="883" spans="16:16" x14ac:dyDescent="0.4">
      <c r="P883" s="4"/>
    </row>
    <row r="884" spans="16:16" x14ac:dyDescent="0.4">
      <c r="P884" s="4"/>
    </row>
    <row r="885" spans="16:16" x14ac:dyDescent="0.4">
      <c r="P885" s="4"/>
    </row>
    <row r="886" spans="16:16" x14ac:dyDescent="0.4">
      <c r="P886" s="4"/>
    </row>
    <row r="887" spans="16:16" x14ac:dyDescent="0.4">
      <c r="P887" s="4"/>
    </row>
    <row r="888" spans="16:16" x14ac:dyDescent="0.4">
      <c r="P888" s="4"/>
    </row>
    <row r="889" spans="16:16" x14ac:dyDescent="0.4">
      <c r="P889" s="4"/>
    </row>
    <row r="890" spans="16:16" x14ac:dyDescent="0.4">
      <c r="P890" s="4"/>
    </row>
    <row r="891" spans="16:16" x14ac:dyDescent="0.4">
      <c r="P891" s="4"/>
    </row>
    <row r="892" spans="16:16" x14ac:dyDescent="0.4">
      <c r="P892" s="4"/>
    </row>
    <row r="893" spans="16:16" x14ac:dyDescent="0.4">
      <c r="P893" s="4"/>
    </row>
    <row r="894" spans="16:16" x14ac:dyDescent="0.4">
      <c r="P894" s="4"/>
    </row>
    <row r="895" spans="16:16" x14ac:dyDescent="0.4">
      <c r="P895" s="4"/>
    </row>
    <row r="896" spans="16:16" x14ac:dyDescent="0.4">
      <c r="P896" s="4"/>
    </row>
    <row r="897" spans="16:16" x14ac:dyDescent="0.4">
      <c r="P897" s="4"/>
    </row>
    <row r="898" spans="16:16" x14ac:dyDescent="0.4">
      <c r="P898" s="4"/>
    </row>
    <row r="899" spans="16:16" x14ac:dyDescent="0.4">
      <c r="P899" s="4"/>
    </row>
    <row r="900" spans="16:16" x14ac:dyDescent="0.4">
      <c r="P900" s="4"/>
    </row>
    <row r="901" spans="16:16" x14ac:dyDescent="0.4">
      <c r="P901" s="4"/>
    </row>
    <row r="902" spans="16:16" x14ac:dyDescent="0.4">
      <c r="P902" s="4"/>
    </row>
    <row r="903" spans="16:16" x14ac:dyDescent="0.4">
      <c r="P903" s="4"/>
    </row>
    <row r="904" spans="16:16" x14ac:dyDescent="0.4">
      <c r="P904" s="4"/>
    </row>
    <row r="905" spans="16:16" x14ac:dyDescent="0.4">
      <c r="P905" s="4"/>
    </row>
    <row r="906" spans="16:16" x14ac:dyDescent="0.4">
      <c r="P906" s="4"/>
    </row>
    <row r="907" spans="16:16" x14ac:dyDescent="0.4">
      <c r="P907" s="4"/>
    </row>
    <row r="908" spans="16:16" x14ac:dyDescent="0.4">
      <c r="P908" s="4"/>
    </row>
    <row r="909" spans="16:16" x14ac:dyDescent="0.4">
      <c r="P909" s="4"/>
    </row>
    <row r="910" spans="16:16" x14ac:dyDescent="0.4">
      <c r="P910" s="4"/>
    </row>
    <row r="911" spans="16:16" x14ac:dyDescent="0.4">
      <c r="P911" s="4"/>
    </row>
    <row r="912" spans="16:16" x14ac:dyDescent="0.4">
      <c r="P912" s="4"/>
    </row>
    <row r="913" spans="16:16" x14ac:dyDescent="0.4">
      <c r="P913" s="4"/>
    </row>
    <row r="914" spans="16:16" x14ac:dyDescent="0.4">
      <c r="P914" s="4"/>
    </row>
    <row r="915" spans="16:16" x14ac:dyDescent="0.4">
      <c r="P915" s="4"/>
    </row>
    <row r="916" spans="16:16" x14ac:dyDescent="0.4">
      <c r="P916" s="4"/>
    </row>
    <row r="917" spans="16:16" x14ac:dyDescent="0.4">
      <c r="P917" s="4"/>
    </row>
    <row r="918" spans="16:16" x14ac:dyDescent="0.4">
      <c r="P918" s="4"/>
    </row>
    <row r="919" spans="16:16" x14ac:dyDescent="0.4">
      <c r="P919" s="4"/>
    </row>
    <row r="920" spans="16:16" x14ac:dyDescent="0.4">
      <c r="P920" s="4"/>
    </row>
    <row r="921" spans="16:16" x14ac:dyDescent="0.4">
      <c r="P921" s="4"/>
    </row>
    <row r="922" spans="16:16" x14ac:dyDescent="0.4">
      <c r="P922" s="4"/>
    </row>
    <row r="923" spans="16:16" x14ac:dyDescent="0.4">
      <c r="P923" s="4"/>
    </row>
    <row r="924" spans="16:16" x14ac:dyDescent="0.4">
      <c r="P924" s="4"/>
    </row>
    <row r="925" spans="16:16" x14ac:dyDescent="0.4">
      <c r="P925" s="4"/>
    </row>
    <row r="926" spans="16:16" x14ac:dyDescent="0.4">
      <c r="P926" s="4"/>
    </row>
    <row r="927" spans="16:16" x14ac:dyDescent="0.4">
      <c r="P927" s="4"/>
    </row>
    <row r="928" spans="16:16" x14ac:dyDescent="0.4">
      <c r="P928" s="4"/>
    </row>
    <row r="929" spans="16:16" x14ac:dyDescent="0.4">
      <c r="P929" s="4"/>
    </row>
    <row r="930" spans="16:16" x14ac:dyDescent="0.4">
      <c r="P930" s="4"/>
    </row>
    <row r="931" spans="16:16" x14ac:dyDescent="0.4">
      <c r="P931" s="4"/>
    </row>
    <row r="932" spans="16:16" x14ac:dyDescent="0.4">
      <c r="P932" s="4"/>
    </row>
    <row r="933" spans="16:16" x14ac:dyDescent="0.4">
      <c r="P933" s="4"/>
    </row>
    <row r="934" spans="16:16" x14ac:dyDescent="0.4">
      <c r="P934" s="4"/>
    </row>
    <row r="935" spans="16:16" x14ac:dyDescent="0.4">
      <c r="P935" s="4"/>
    </row>
    <row r="936" spans="16:16" x14ac:dyDescent="0.4">
      <c r="P936" s="4"/>
    </row>
    <row r="937" spans="16:16" x14ac:dyDescent="0.4">
      <c r="P937" s="4"/>
    </row>
    <row r="938" spans="16:16" x14ac:dyDescent="0.4">
      <c r="P938" s="4"/>
    </row>
    <row r="939" spans="16:16" x14ac:dyDescent="0.4">
      <c r="P939" s="4"/>
    </row>
    <row r="940" spans="16:16" x14ac:dyDescent="0.4">
      <c r="P940" s="4"/>
    </row>
    <row r="941" spans="16:16" x14ac:dyDescent="0.4">
      <c r="P941" s="4"/>
    </row>
    <row r="942" spans="16:16" x14ac:dyDescent="0.4">
      <c r="P942" s="4"/>
    </row>
    <row r="943" spans="16:16" x14ac:dyDescent="0.4">
      <c r="P943" s="4"/>
    </row>
    <row r="944" spans="16:16" x14ac:dyDescent="0.4">
      <c r="P944" s="4"/>
    </row>
    <row r="945" spans="16:16" x14ac:dyDescent="0.4">
      <c r="P945" s="4"/>
    </row>
    <row r="946" spans="16:16" x14ac:dyDescent="0.4">
      <c r="P946" s="4"/>
    </row>
    <row r="947" spans="16:16" x14ac:dyDescent="0.4">
      <c r="P947" s="4"/>
    </row>
    <row r="948" spans="16:16" x14ac:dyDescent="0.4">
      <c r="P948" s="4"/>
    </row>
    <row r="949" spans="16:16" x14ac:dyDescent="0.4">
      <c r="P949" s="4"/>
    </row>
    <row r="950" spans="16:16" x14ac:dyDescent="0.4">
      <c r="P950" s="4"/>
    </row>
    <row r="951" spans="16:16" x14ac:dyDescent="0.4">
      <c r="P951" s="4"/>
    </row>
    <row r="952" spans="16:16" x14ac:dyDescent="0.4">
      <c r="P952" s="4"/>
    </row>
    <row r="953" spans="16:16" x14ac:dyDescent="0.4">
      <c r="P953" s="4"/>
    </row>
    <row r="954" spans="16:16" x14ac:dyDescent="0.4">
      <c r="P954" s="4"/>
    </row>
    <row r="955" spans="16:16" x14ac:dyDescent="0.4">
      <c r="P955" s="4"/>
    </row>
    <row r="956" spans="16:16" x14ac:dyDescent="0.4">
      <c r="P956" s="4"/>
    </row>
    <row r="957" spans="16:16" x14ac:dyDescent="0.4">
      <c r="P957" s="4"/>
    </row>
    <row r="958" spans="16:16" x14ac:dyDescent="0.4">
      <c r="P958" s="4"/>
    </row>
    <row r="959" spans="16:16" x14ac:dyDescent="0.4">
      <c r="P959" s="4"/>
    </row>
    <row r="960" spans="16:16" x14ac:dyDescent="0.4">
      <c r="P960" s="4"/>
    </row>
    <row r="961" spans="16:16" x14ac:dyDescent="0.4">
      <c r="P961" s="4"/>
    </row>
    <row r="962" spans="16:16" x14ac:dyDescent="0.4">
      <c r="P962" s="4"/>
    </row>
    <row r="963" spans="16:16" x14ac:dyDescent="0.4">
      <c r="P963" s="4"/>
    </row>
    <row r="964" spans="16:16" x14ac:dyDescent="0.4">
      <c r="P964" s="4"/>
    </row>
    <row r="965" spans="16:16" x14ac:dyDescent="0.4">
      <c r="P965" s="4"/>
    </row>
    <row r="966" spans="16:16" x14ac:dyDescent="0.4">
      <c r="P966" s="4"/>
    </row>
    <row r="967" spans="16:16" x14ac:dyDescent="0.4">
      <c r="P967" s="4"/>
    </row>
    <row r="968" spans="16:16" x14ac:dyDescent="0.4">
      <c r="P968" s="4"/>
    </row>
    <row r="969" spans="16:16" x14ac:dyDescent="0.4">
      <c r="P969" s="4"/>
    </row>
    <row r="970" spans="16:16" x14ac:dyDescent="0.4">
      <c r="P970" s="4"/>
    </row>
    <row r="971" spans="16:16" x14ac:dyDescent="0.4">
      <c r="P971" s="4"/>
    </row>
    <row r="972" spans="16:16" x14ac:dyDescent="0.4">
      <c r="P972" s="4"/>
    </row>
    <row r="973" spans="16:16" x14ac:dyDescent="0.4">
      <c r="P973" s="4"/>
    </row>
    <row r="974" spans="16:16" x14ac:dyDescent="0.4">
      <c r="P974" s="4"/>
    </row>
    <row r="975" spans="16:16" x14ac:dyDescent="0.4">
      <c r="P975" s="4"/>
    </row>
    <row r="976" spans="16:16" x14ac:dyDescent="0.4">
      <c r="P976" s="4"/>
    </row>
    <row r="977" spans="16:16" x14ac:dyDescent="0.4">
      <c r="P977" s="4"/>
    </row>
    <row r="978" spans="16:16" x14ac:dyDescent="0.4">
      <c r="P978" s="4"/>
    </row>
    <row r="979" spans="16:16" x14ac:dyDescent="0.4">
      <c r="P979" s="4"/>
    </row>
    <row r="980" spans="16:16" x14ac:dyDescent="0.4">
      <c r="P980" s="4"/>
    </row>
    <row r="981" spans="16:16" x14ac:dyDescent="0.4">
      <c r="P981" s="4"/>
    </row>
    <row r="982" spans="16:16" x14ac:dyDescent="0.4">
      <c r="P982" s="4"/>
    </row>
    <row r="983" spans="16:16" x14ac:dyDescent="0.4">
      <c r="P983" s="4"/>
    </row>
    <row r="984" spans="16:16" x14ac:dyDescent="0.4">
      <c r="P984" s="4"/>
    </row>
    <row r="985" spans="16:16" x14ac:dyDescent="0.4">
      <c r="P985" s="4"/>
    </row>
    <row r="986" spans="16:16" x14ac:dyDescent="0.4">
      <c r="P986" s="4"/>
    </row>
    <row r="987" spans="16:16" x14ac:dyDescent="0.4">
      <c r="P987" s="4"/>
    </row>
    <row r="988" spans="16:16" x14ac:dyDescent="0.4">
      <c r="P988" s="4"/>
    </row>
    <row r="989" spans="16:16" x14ac:dyDescent="0.4">
      <c r="P989" s="4"/>
    </row>
    <row r="990" spans="16:16" x14ac:dyDescent="0.4">
      <c r="P990" s="4"/>
    </row>
    <row r="991" spans="16:16" x14ac:dyDescent="0.4">
      <c r="P991" s="4"/>
    </row>
    <row r="992" spans="16:16" x14ac:dyDescent="0.4">
      <c r="P992" s="4"/>
    </row>
    <row r="993" spans="16:16" x14ac:dyDescent="0.4">
      <c r="P993" s="4"/>
    </row>
    <row r="994" spans="16:16" x14ac:dyDescent="0.4">
      <c r="P994" s="4"/>
    </row>
    <row r="995" spans="16:16" x14ac:dyDescent="0.4">
      <c r="P995" s="4"/>
    </row>
    <row r="996" spans="16:16" x14ac:dyDescent="0.4">
      <c r="P996" s="4"/>
    </row>
    <row r="997" spans="16:16" x14ac:dyDescent="0.4">
      <c r="P997" s="4"/>
    </row>
    <row r="998" spans="16:16" x14ac:dyDescent="0.4">
      <c r="P998" s="4"/>
    </row>
    <row r="999" spans="16:16" x14ac:dyDescent="0.4">
      <c r="P999" s="4"/>
    </row>
    <row r="1000" spans="16:16" x14ac:dyDescent="0.4">
      <c r="P1000" s="4"/>
    </row>
    <row r="1001" spans="16:16" x14ac:dyDescent="0.4">
      <c r="P1001" s="4"/>
    </row>
    <row r="1002" spans="16:16" x14ac:dyDescent="0.4">
      <c r="P1002" s="4"/>
    </row>
    <row r="1003" spans="16:16" x14ac:dyDescent="0.4">
      <c r="P1003" s="4"/>
    </row>
    <row r="1004" spans="16:16" x14ac:dyDescent="0.4">
      <c r="P1004" s="4"/>
    </row>
    <row r="1005" spans="16:16" x14ac:dyDescent="0.4">
      <c r="P1005" s="4"/>
    </row>
    <row r="1006" spans="16:16" x14ac:dyDescent="0.4">
      <c r="P1006" s="4"/>
    </row>
    <row r="1007" spans="16:16" x14ac:dyDescent="0.4">
      <c r="P1007" s="4"/>
    </row>
    <row r="1008" spans="16:16" x14ac:dyDescent="0.4">
      <c r="P1008" s="4"/>
    </row>
    <row r="1009" spans="16:16" x14ac:dyDescent="0.4">
      <c r="P1009" s="4"/>
    </row>
    <row r="1010" spans="16:16" x14ac:dyDescent="0.4">
      <c r="P1010" s="4"/>
    </row>
    <row r="1011" spans="16:16" x14ac:dyDescent="0.4">
      <c r="P1011" s="4"/>
    </row>
    <row r="1012" spans="16:16" x14ac:dyDescent="0.4">
      <c r="P1012" s="4"/>
    </row>
    <row r="1013" spans="16:16" x14ac:dyDescent="0.4">
      <c r="P1013" s="4"/>
    </row>
    <row r="1014" spans="16:16" x14ac:dyDescent="0.4">
      <c r="P1014" s="4"/>
    </row>
    <row r="1015" spans="16:16" x14ac:dyDescent="0.4">
      <c r="P1015" s="4"/>
    </row>
    <row r="1016" spans="16:16" x14ac:dyDescent="0.4">
      <c r="P1016" s="4"/>
    </row>
    <row r="1017" spans="16:16" x14ac:dyDescent="0.4">
      <c r="P1017" s="4"/>
    </row>
    <row r="1018" spans="16:16" x14ac:dyDescent="0.4">
      <c r="P1018" s="4"/>
    </row>
    <row r="1019" spans="16:16" x14ac:dyDescent="0.4">
      <c r="P1019" s="4"/>
    </row>
    <row r="1020" spans="16:16" x14ac:dyDescent="0.4">
      <c r="P1020" s="4"/>
    </row>
    <row r="1021" spans="16:16" x14ac:dyDescent="0.4">
      <c r="P1021" s="4"/>
    </row>
    <row r="1022" spans="16:16" x14ac:dyDescent="0.4">
      <c r="P1022" s="4"/>
    </row>
    <row r="1023" spans="16:16" x14ac:dyDescent="0.4">
      <c r="P1023" s="4"/>
    </row>
    <row r="1024" spans="16:16" x14ac:dyDescent="0.4">
      <c r="P1024" s="4"/>
    </row>
    <row r="1025" spans="16:16" x14ac:dyDescent="0.4">
      <c r="P1025" s="4"/>
    </row>
    <row r="1026" spans="16:16" x14ac:dyDescent="0.4">
      <c r="P1026" s="4"/>
    </row>
    <row r="1027" spans="16:16" x14ac:dyDescent="0.4">
      <c r="P1027" s="4"/>
    </row>
    <row r="1028" spans="16:16" x14ac:dyDescent="0.4">
      <c r="P1028" s="4"/>
    </row>
    <row r="1029" spans="16:16" x14ac:dyDescent="0.4">
      <c r="P1029" s="4"/>
    </row>
    <row r="1030" spans="16:16" x14ac:dyDescent="0.4">
      <c r="P1030" s="4"/>
    </row>
    <row r="1031" spans="16:16" x14ac:dyDescent="0.4">
      <c r="P1031" s="4"/>
    </row>
    <row r="1032" spans="16:16" x14ac:dyDescent="0.4">
      <c r="P1032" s="4"/>
    </row>
    <row r="1033" spans="16:16" x14ac:dyDescent="0.4">
      <c r="P1033" s="4"/>
    </row>
    <row r="1034" spans="16:16" x14ac:dyDescent="0.4">
      <c r="P1034" s="4"/>
    </row>
    <row r="1035" spans="16:16" x14ac:dyDescent="0.4">
      <c r="P1035" s="4"/>
    </row>
    <row r="1036" spans="16:16" x14ac:dyDescent="0.4">
      <c r="P1036" s="4"/>
    </row>
    <row r="1037" spans="16:16" x14ac:dyDescent="0.4">
      <c r="P1037" s="4"/>
    </row>
    <row r="1038" spans="16:16" x14ac:dyDescent="0.4">
      <c r="P1038" s="4"/>
    </row>
    <row r="1039" spans="16:16" x14ac:dyDescent="0.4">
      <c r="P1039" s="4"/>
    </row>
    <row r="1040" spans="16:16" x14ac:dyDescent="0.4">
      <c r="P1040" s="4"/>
    </row>
    <row r="1041" spans="16:16" x14ac:dyDescent="0.4">
      <c r="P1041" s="4"/>
    </row>
    <row r="1042" spans="16:16" x14ac:dyDescent="0.4">
      <c r="P1042" s="4"/>
    </row>
    <row r="1043" spans="16:16" x14ac:dyDescent="0.4">
      <c r="P1043" s="4"/>
    </row>
    <row r="1044" spans="16:16" x14ac:dyDescent="0.4">
      <c r="P1044" s="4"/>
    </row>
    <row r="1045" spans="16:16" x14ac:dyDescent="0.4">
      <c r="P1045" s="4"/>
    </row>
    <row r="1046" spans="16:16" x14ac:dyDescent="0.4">
      <c r="P1046" s="4"/>
    </row>
    <row r="1047" spans="16:16" x14ac:dyDescent="0.4">
      <c r="P1047" s="4"/>
    </row>
    <row r="1048" spans="16:16" x14ac:dyDescent="0.4">
      <c r="P1048" s="4"/>
    </row>
    <row r="1049" spans="16:16" x14ac:dyDescent="0.4">
      <c r="P1049" s="4"/>
    </row>
    <row r="1050" spans="16:16" x14ac:dyDescent="0.4">
      <c r="P1050" s="4"/>
    </row>
    <row r="1051" spans="16:16" x14ac:dyDescent="0.4">
      <c r="P1051" s="4"/>
    </row>
    <row r="1052" spans="16:16" x14ac:dyDescent="0.4">
      <c r="P1052" s="4"/>
    </row>
    <row r="1053" spans="16:16" x14ac:dyDescent="0.4">
      <c r="P1053" s="4"/>
    </row>
    <row r="1054" spans="16:16" x14ac:dyDescent="0.4">
      <c r="P1054" s="4"/>
    </row>
    <row r="1055" spans="16:16" x14ac:dyDescent="0.4">
      <c r="P1055" s="4"/>
    </row>
    <row r="1056" spans="16:16" x14ac:dyDescent="0.4">
      <c r="P1056" s="4"/>
    </row>
    <row r="1057" spans="16:16" x14ac:dyDescent="0.4">
      <c r="P1057" s="4"/>
    </row>
    <row r="1058" spans="16:16" x14ac:dyDescent="0.4">
      <c r="P1058" s="4"/>
    </row>
    <row r="1059" spans="16:16" x14ac:dyDescent="0.4">
      <c r="P1059" s="4"/>
    </row>
    <row r="1060" spans="16:16" x14ac:dyDescent="0.4">
      <c r="P1060" s="4"/>
    </row>
    <row r="1061" spans="16:16" x14ac:dyDescent="0.4">
      <c r="P1061" s="4"/>
    </row>
    <row r="1062" spans="16:16" x14ac:dyDescent="0.4">
      <c r="P1062" s="4"/>
    </row>
    <row r="1063" spans="16:16" x14ac:dyDescent="0.4">
      <c r="P1063" s="4"/>
    </row>
    <row r="1064" spans="16:16" x14ac:dyDescent="0.4">
      <c r="P1064" s="4"/>
    </row>
    <row r="1065" spans="16:16" x14ac:dyDescent="0.4">
      <c r="P1065" s="4"/>
    </row>
    <row r="1066" spans="16:16" x14ac:dyDescent="0.4">
      <c r="P1066" s="4"/>
    </row>
    <row r="1067" spans="16:16" x14ac:dyDescent="0.4">
      <c r="P1067" s="4"/>
    </row>
    <row r="1068" spans="16:16" x14ac:dyDescent="0.4">
      <c r="P1068" s="4"/>
    </row>
    <row r="1069" spans="16:16" x14ac:dyDescent="0.4">
      <c r="P1069" s="4"/>
    </row>
    <row r="1070" spans="16:16" x14ac:dyDescent="0.4">
      <c r="P1070" s="4"/>
    </row>
    <row r="1071" spans="16:16" x14ac:dyDescent="0.4">
      <c r="P1071" s="4"/>
    </row>
    <row r="1072" spans="16:16" x14ac:dyDescent="0.4">
      <c r="P1072" s="4"/>
    </row>
    <row r="1073" spans="16:16" x14ac:dyDescent="0.4">
      <c r="P1073" s="4"/>
    </row>
    <row r="1074" spans="16:16" x14ac:dyDescent="0.4">
      <c r="P1074" s="4"/>
    </row>
    <row r="1075" spans="16:16" x14ac:dyDescent="0.4">
      <c r="P1075" s="4"/>
    </row>
    <row r="1076" spans="16:16" x14ac:dyDescent="0.4">
      <c r="P1076" s="4"/>
    </row>
    <row r="1077" spans="16:16" x14ac:dyDescent="0.4">
      <c r="P1077" s="4"/>
    </row>
    <row r="1078" spans="16:16" x14ac:dyDescent="0.4">
      <c r="P1078" s="4"/>
    </row>
    <row r="1079" spans="16:16" x14ac:dyDescent="0.4">
      <c r="P1079" s="4"/>
    </row>
    <row r="1080" spans="16:16" x14ac:dyDescent="0.4">
      <c r="P1080" s="4"/>
    </row>
    <row r="1081" spans="16:16" x14ac:dyDescent="0.4">
      <c r="P1081" s="4"/>
    </row>
    <row r="1082" spans="16:16" x14ac:dyDescent="0.4">
      <c r="P1082" s="4"/>
    </row>
    <row r="1083" spans="16:16" x14ac:dyDescent="0.4">
      <c r="P1083" s="4"/>
    </row>
    <row r="1084" spans="16:16" x14ac:dyDescent="0.4">
      <c r="P1084" s="4"/>
    </row>
    <row r="1085" spans="16:16" x14ac:dyDescent="0.4">
      <c r="P1085" s="4"/>
    </row>
    <row r="1086" spans="16:16" x14ac:dyDescent="0.4">
      <c r="P1086" s="4"/>
    </row>
    <row r="1087" spans="16:16" x14ac:dyDescent="0.4">
      <c r="P1087" s="4"/>
    </row>
    <row r="1088" spans="16:16" x14ac:dyDescent="0.4">
      <c r="P1088" s="4"/>
    </row>
    <row r="1089" spans="16:16" x14ac:dyDescent="0.4">
      <c r="P1089" s="4"/>
    </row>
    <row r="1090" spans="16:16" x14ac:dyDescent="0.4">
      <c r="P1090" s="4"/>
    </row>
    <row r="1091" spans="16:16" x14ac:dyDescent="0.4">
      <c r="P1091" s="4"/>
    </row>
    <row r="1092" spans="16:16" x14ac:dyDescent="0.4">
      <c r="P1092" s="4"/>
    </row>
    <row r="1093" spans="16:16" x14ac:dyDescent="0.4">
      <c r="P1093" s="4"/>
    </row>
    <row r="1094" spans="16:16" x14ac:dyDescent="0.4">
      <c r="P1094" s="4"/>
    </row>
    <row r="1095" spans="16:16" x14ac:dyDescent="0.4">
      <c r="P1095" s="4"/>
    </row>
    <row r="1096" spans="16:16" x14ac:dyDescent="0.4">
      <c r="P1096" s="4"/>
    </row>
    <row r="1097" spans="16:16" x14ac:dyDescent="0.4">
      <c r="P1097" s="4"/>
    </row>
    <row r="1098" spans="16:16" x14ac:dyDescent="0.4">
      <c r="P1098" s="4"/>
    </row>
    <row r="1099" spans="16:16" x14ac:dyDescent="0.4">
      <c r="P1099" s="4"/>
    </row>
    <row r="1100" spans="16:16" x14ac:dyDescent="0.4">
      <c r="P1100" s="4"/>
    </row>
    <row r="1101" spans="16:16" x14ac:dyDescent="0.4">
      <c r="P1101" s="4"/>
    </row>
    <row r="1102" spans="16:16" x14ac:dyDescent="0.4">
      <c r="P1102" s="4"/>
    </row>
    <row r="1103" spans="16:16" x14ac:dyDescent="0.4">
      <c r="P1103" s="4"/>
    </row>
    <row r="1104" spans="16:16" x14ac:dyDescent="0.4">
      <c r="P1104" s="4"/>
    </row>
    <row r="1105" spans="16:16" x14ac:dyDescent="0.4">
      <c r="P1105" s="4"/>
    </row>
    <row r="1106" spans="16:16" x14ac:dyDescent="0.4">
      <c r="P1106" s="4"/>
    </row>
    <row r="1107" spans="16:16" x14ac:dyDescent="0.4">
      <c r="P1107" s="4"/>
    </row>
    <row r="1108" spans="16:16" x14ac:dyDescent="0.4">
      <c r="P1108" s="4"/>
    </row>
    <row r="1109" spans="16:16" x14ac:dyDescent="0.4">
      <c r="P1109" s="4"/>
    </row>
    <row r="1110" spans="16:16" x14ac:dyDescent="0.4">
      <c r="P1110" s="4"/>
    </row>
    <row r="1111" spans="16:16" x14ac:dyDescent="0.4">
      <c r="P1111" s="4"/>
    </row>
    <row r="1112" spans="16:16" x14ac:dyDescent="0.4">
      <c r="P1112" s="4"/>
    </row>
    <row r="1113" spans="16:16" x14ac:dyDescent="0.4">
      <c r="P1113" s="4"/>
    </row>
    <row r="1114" spans="16:16" x14ac:dyDescent="0.4">
      <c r="P1114" s="4"/>
    </row>
    <row r="1115" spans="16:16" x14ac:dyDescent="0.4">
      <c r="P1115" s="4"/>
    </row>
    <row r="1116" spans="16:16" x14ac:dyDescent="0.4">
      <c r="P1116" s="4"/>
    </row>
    <row r="1117" spans="16:16" x14ac:dyDescent="0.4">
      <c r="P1117" s="4"/>
    </row>
    <row r="1118" spans="16:16" x14ac:dyDescent="0.4">
      <c r="P1118" s="4"/>
    </row>
    <row r="1119" spans="16:16" x14ac:dyDescent="0.4">
      <c r="P1119" s="4"/>
    </row>
    <row r="1120" spans="16:16" x14ac:dyDescent="0.4">
      <c r="P1120" s="4"/>
    </row>
    <row r="1121" spans="16:16" x14ac:dyDescent="0.4">
      <c r="P1121" s="4"/>
    </row>
    <row r="1122" spans="16:16" x14ac:dyDescent="0.4">
      <c r="P1122" s="4"/>
    </row>
    <row r="1123" spans="16:16" x14ac:dyDescent="0.4">
      <c r="P1123" s="4"/>
    </row>
    <row r="1124" spans="16:16" x14ac:dyDescent="0.4">
      <c r="P1124" s="4"/>
    </row>
    <row r="1125" spans="16:16" x14ac:dyDescent="0.4">
      <c r="P1125" s="4"/>
    </row>
    <row r="1126" spans="16:16" x14ac:dyDescent="0.4">
      <c r="P1126" s="4"/>
    </row>
    <row r="1127" spans="16:16" x14ac:dyDescent="0.4">
      <c r="P1127" s="4"/>
    </row>
    <row r="1128" spans="16:16" x14ac:dyDescent="0.4">
      <c r="P1128" s="4"/>
    </row>
    <row r="1129" spans="16:16" x14ac:dyDescent="0.4">
      <c r="P1129" s="4"/>
    </row>
    <row r="1130" spans="16:16" x14ac:dyDescent="0.4">
      <c r="P1130" s="4"/>
    </row>
    <row r="1131" spans="16:16" x14ac:dyDescent="0.4">
      <c r="P1131" s="4"/>
    </row>
    <row r="1132" spans="16:16" x14ac:dyDescent="0.4">
      <c r="P1132" s="4"/>
    </row>
    <row r="1133" spans="16:16" x14ac:dyDescent="0.4">
      <c r="P1133" s="4"/>
    </row>
    <row r="1134" spans="16:16" x14ac:dyDescent="0.4">
      <c r="P1134" s="4"/>
    </row>
    <row r="1135" spans="16:16" x14ac:dyDescent="0.4">
      <c r="P1135" s="4"/>
    </row>
    <row r="1136" spans="16:16" x14ac:dyDescent="0.4">
      <c r="P1136" s="4"/>
    </row>
    <row r="1137" spans="16:16" x14ac:dyDescent="0.4">
      <c r="P1137" s="4"/>
    </row>
    <row r="1138" spans="16:16" x14ac:dyDescent="0.4">
      <c r="P1138" s="4"/>
    </row>
    <row r="1139" spans="16:16" x14ac:dyDescent="0.4">
      <c r="P1139" s="4"/>
    </row>
    <row r="1140" spans="16:16" x14ac:dyDescent="0.4">
      <c r="P1140" s="4"/>
    </row>
    <row r="1141" spans="16:16" x14ac:dyDescent="0.4">
      <c r="P1141" s="4"/>
    </row>
    <row r="1142" spans="16:16" x14ac:dyDescent="0.4">
      <c r="P1142" s="4"/>
    </row>
    <row r="1143" spans="16:16" x14ac:dyDescent="0.4">
      <c r="P1143" s="4"/>
    </row>
    <row r="1144" spans="16:16" x14ac:dyDescent="0.4">
      <c r="P1144" s="4"/>
    </row>
    <row r="1145" spans="16:16" x14ac:dyDescent="0.4">
      <c r="P1145" s="4"/>
    </row>
    <row r="1146" spans="16:16" x14ac:dyDescent="0.4">
      <c r="P1146" s="4"/>
    </row>
    <row r="1147" spans="16:16" x14ac:dyDescent="0.4">
      <c r="P1147" s="4"/>
    </row>
    <row r="1148" spans="16:16" x14ac:dyDescent="0.4">
      <c r="P1148" s="4"/>
    </row>
    <row r="1149" spans="16:16" x14ac:dyDescent="0.4">
      <c r="P1149" s="4"/>
    </row>
    <row r="1150" spans="16:16" x14ac:dyDescent="0.4">
      <c r="P1150" s="4"/>
    </row>
    <row r="1151" spans="16:16" x14ac:dyDescent="0.4">
      <c r="P1151" s="4"/>
    </row>
    <row r="1152" spans="16:16" x14ac:dyDescent="0.4">
      <c r="P1152" s="4"/>
    </row>
    <row r="1153" spans="16:16" x14ac:dyDescent="0.4">
      <c r="P1153" s="4"/>
    </row>
    <row r="1154" spans="16:16" x14ac:dyDescent="0.4">
      <c r="P1154" s="4"/>
    </row>
    <row r="1155" spans="16:16" x14ac:dyDescent="0.4">
      <c r="P1155" s="4"/>
    </row>
    <row r="1156" spans="16:16" x14ac:dyDescent="0.4">
      <c r="P1156" s="4"/>
    </row>
    <row r="1157" spans="16:16" x14ac:dyDescent="0.4">
      <c r="P1157" s="4"/>
    </row>
    <row r="1158" spans="16:16" x14ac:dyDescent="0.4">
      <c r="P1158" s="4"/>
    </row>
    <row r="1159" spans="16:16" x14ac:dyDescent="0.4">
      <c r="P1159" s="4"/>
    </row>
    <row r="1160" spans="16:16" x14ac:dyDescent="0.4">
      <c r="P1160" s="4"/>
    </row>
    <row r="1161" spans="16:16" x14ac:dyDescent="0.4">
      <c r="P1161" s="4"/>
    </row>
    <row r="1162" spans="16:16" x14ac:dyDescent="0.4">
      <c r="P1162" s="4"/>
    </row>
    <row r="1163" spans="16:16" x14ac:dyDescent="0.4">
      <c r="P1163" s="4"/>
    </row>
    <row r="1164" spans="16:16" x14ac:dyDescent="0.4">
      <c r="P1164" s="4"/>
    </row>
    <row r="1165" spans="16:16" x14ac:dyDescent="0.4">
      <c r="P1165" s="4"/>
    </row>
    <row r="1166" spans="16:16" x14ac:dyDescent="0.4">
      <c r="P1166" s="4"/>
    </row>
    <row r="1167" spans="16:16" x14ac:dyDescent="0.4">
      <c r="P1167" s="4"/>
    </row>
    <row r="1168" spans="16:16" x14ac:dyDescent="0.4">
      <c r="P1168" s="4"/>
    </row>
    <row r="1169" spans="16:16" x14ac:dyDescent="0.4">
      <c r="P1169" s="4"/>
    </row>
    <row r="1170" spans="16:16" x14ac:dyDescent="0.4">
      <c r="P1170" s="4"/>
    </row>
    <row r="1171" spans="16:16" x14ac:dyDescent="0.4">
      <c r="P1171" s="4"/>
    </row>
    <row r="1172" spans="16:16" x14ac:dyDescent="0.4">
      <c r="P1172" s="4"/>
    </row>
    <row r="1173" spans="16:16" x14ac:dyDescent="0.4">
      <c r="P1173" s="4"/>
    </row>
    <row r="1174" spans="16:16" x14ac:dyDescent="0.4">
      <c r="P1174" s="4"/>
    </row>
    <row r="1175" spans="16:16" x14ac:dyDescent="0.4">
      <c r="P1175" s="4"/>
    </row>
    <row r="1176" spans="16:16" x14ac:dyDescent="0.4">
      <c r="P1176" s="4"/>
    </row>
    <row r="1177" spans="16:16" x14ac:dyDescent="0.4">
      <c r="P1177" s="4"/>
    </row>
    <row r="1178" spans="16:16" x14ac:dyDescent="0.4">
      <c r="P1178" s="4"/>
    </row>
    <row r="1179" spans="16:16" x14ac:dyDescent="0.4">
      <c r="P1179" s="4"/>
    </row>
    <row r="1180" spans="16:16" x14ac:dyDescent="0.4">
      <c r="P1180" s="4"/>
    </row>
    <row r="1181" spans="16:16" x14ac:dyDescent="0.4">
      <c r="P1181" s="4"/>
    </row>
    <row r="1182" spans="16:16" x14ac:dyDescent="0.4">
      <c r="P1182" s="4"/>
    </row>
    <row r="1183" spans="16:16" x14ac:dyDescent="0.4">
      <c r="P1183" s="4"/>
    </row>
    <row r="1184" spans="16:16" x14ac:dyDescent="0.4">
      <c r="P1184" s="4"/>
    </row>
    <row r="1185" spans="16:16" x14ac:dyDescent="0.4">
      <c r="P1185" s="4"/>
    </row>
    <row r="1186" spans="16:16" x14ac:dyDescent="0.4">
      <c r="P1186" s="4"/>
    </row>
    <row r="1187" spans="16:16" x14ac:dyDescent="0.4">
      <c r="P1187" s="4"/>
    </row>
    <row r="1188" spans="16:16" x14ac:dyDescent="0.4">
      <c r="P1188" s="4"/>
    </row>
    <row r="1189" spans="16:16" x14ac:dyDescent="0.4">
      <c r="P1189" s="4"/>
    </row>
    <row r="1190" spans="16:16" x14ac:dyDescent="0.4">
      <c r="P1190" s="4"/>
    </row>
    <row r="1191" spans="16:16" x14ac:dyDescent="0.4">
      <c r="P1191" s="4"/>
    </row>
    <row r="1192" spans="16:16" x14ac:dyDescent="0.4">
      <c r="P1192" s="4"/>
    </row>
    <row r="1193" spans="16:16" x14ac:dyDescent="0.4">
      <c r="P1193" s="4"/>
    </row>
    <row r="1194" spans="16:16" x14ac:dyDescent="0.4">
      <c r="P1194" s="4"/>
    </row>
    <row r="1195" spans="16:16" x14ac:dyDescent="0.4">
      <c r="P1195" s="4"/>
    </row>
    <row r="1196" spans="16:16" x14ac:dyDescent="0.4">
      <c r="P1196" s="4"/>
    </row>
    <row r="1197" spans="16:16" x14ac:dyDescent="0.4">
      <c r="P1197" s="4"/>
    </row>
    <row r="1198" spans="16:16" x14ac:dyDescent="0.4">
      <c r="P1198" s="4"/>
    </row>
    <row r="1199" spans="16:16" x14ac:dyDescent="0.4">
      <c r="P1199" s="4"/>
    </row>
    <row r="1200" spans="16:16" x14ac:dyDescent="0.4">
      <c r="P1200" s="4"/>
    </row>
    <row r="1201" spans="16:16" x14ac:dyDescent="0.4">
      <c r="P1201" s="4"/>
    </row>
    <row r="1202" spans="16:16" x14ac:dyDescent="0.4">
      <c r="P1202" s="4"/>
    </row>
    <row r="1203" spans="16:16" x14ac:dyDescent="0.4">
      <c r="P1203" s="4"/>
    </row>
    <row r="1204" spans="16:16" x14ac:dyDescent="0.4">
      <c r="P1204" s="4"/>
    </row>
    <row r="1205" spans="16:16" x14ac:dyDescent="0.4">
      <c r="P1205" s="4"/>
    </row>
    <row r="1206" spans="16:16" x14ac:dyDescent="0.4">
      <c r="P1206" s="4"/>
    </row>
    <row r="1207" spans="16:16" x14ac:dyDescent="0.4">
      <c r="P1207" s="4"/>
    </row>
    <row r="1208" spans="16:16" x14ac:dyDescent="0.4">
      <c r="P1208" s="4"/>
    </row>
    <row r="1209" spans="16:16" x14ac:dyDescent="0.4">
      <c r="P1209" s="4"/>
    </row>
    <row r="1210" spans="16:16" x14ac:dyDescent="0.4">
      <c r="P1210" s="4"/>
    </row>
    <row r="1211" spans="16:16" x14ac:dyDescent="0.4">
      <c r="P1211" s="4"/>
    </row>
    <row r="1212" spans="16:16" x14ac:dyDescent="0.4">
      <c r="P1212" s="4"/>
    </row>
    <row r="1213" spans="16:16" x14ac:dyDescent="0.4">
      <c r="P1213" s="4"/>
    </row>
    <row r="1214" spans="16:16" x14ac:dyDescent="0.4">
      <c r="P1214" s="4"/>
    </row>
    <row r="1215" spans="16:16" x14ac:dyDescent="0.4">
      <c r="P1215" s="4"/>
    </row>
    <row r="1216" spans="16:16" x14ac:dyDescent="0.4">
      <c r="P1216" s="4"/>
    </row>
    <row r="1217" spans="16:16" x14ac:dyDescent="0.4">
      <c r="P1217" s="4"/>
    </row>
    <row r="1218" spans="16:16" x14ac:dyDescent="0.4">
      <c r="P1218" s="4"/>
    </row>
    <row r="1219" spans="16:16" x14ac:dyDescent="0.4">
      <c r="P1219" s="4"/>
    </row>
    <row r="1220" spans="16:16" x14ac:dyDescent="0.4">
      <c r="P1220" s="4"/>
    </row>
    <row r="1221" spans="16:16" x14ac:dyDescent="0.4">
      <c r="P1221" s="4"/>
    </row>
    <row r="1222" spans="16:16" x14ac:dyDescent="0.4">
      <c r="P1222" s="4"/>
    </row>
    <row r="1223" spans="16:16" x14ac:dyDescent="0.4">
      <c r="P1223" s="4"/>
    </row>
    <row r="1224" spans="16:16" x14ac:dyDescent="0.4">
      <c r="P1224" s="4"/>
    </row>
    <row r="1225" spans="16:16" x14ac:dyDescent="0.4">
      <c r="P1225" s="4"/>
    </row>
    <row r="1226" spans="16:16" x14ac:dyDescent="0.4">
      <c r="P1226" s="4"/>
    </row>
    <row r="1227" spans="16:16" x14ac:dyDescent="0.4">
      <c r="P1227" s="4"/>
    </row>
    <row r="1228" spans="16:16" x14ac:dyDescent="0.4">
      <c r="P1228" s="4"/>
    </row>
    <row r="1229" spans="16:16" x14ac:dyDescent="0.4">
      <c r="P1229" s="4"/>
    </row>
    <row r="1230" spans="16:16" x14ac:dyDescent="0.4">
      <c r="P1230" s="4"/>
    </row>
    <row r="1231" spans="16:16" x14ac:dyDescent="0.4">
      <c r="P1231" s="4"/>
    </row>
    <row r="1232" spans="16:16" x14ac:dyDescent="0.4">
      <c r="P1232" s="4"/>
    </row>
    <row r="1233" spans="16:16" x14ac:dyDescent="0.4">
      <c r="P1233" s="4"/>
    </row>
    <row r="1234" spans="16:16" x14ac:dyDescent="0.4">
      <c r="P1234" s="4"/>
    </row>
    <row r="1235" spans="16:16" x14ac:dyDescent="0.4">
      <c r="P1235" s="4"/>
    </row>
    <row r="1236" spans="16:16" x14ac:dyDescent="0.4">
      <c r="P1236" s="4"/>
    </row>
    <row r="1237" spans="16:16" x14ac:dyDescent="0.4">
      <c r="P1237" s="4"/>
    </row>
    <row r="1238" spans="16:16" x14ac:dyDescent="0.4">
      <c r="P1238" s="4"/>
    </row>
    <row r="1239" spans="16:16" x14ac:dyDescent="0.4">
      <c r="P1239" s="4"/>
    </row>
    <row r="1240" spans="16:16" x14ac:dyDescent="0.4">
      <c r="P1240" s="4"/>
    </row>
    <row r="1241" spans="16:16" x14ac:dyDescent="0.4">
      <c r="P1241" s="4"/>
    </row>
    <row r="1242" spans="16:16" x14ac:dyDescent="0.4">
      <c r="P1242" s="4"/>
    </row>
    <row r="1243" spans="16:16" x14ac:dyDescent="0.4">
      <c r="P1243" s="4"/>
    </row>
    <row r="1244" spans="16:16" x14ac:dyDescent="0.4">
      <c r="P1244" s="4"/>
    </row>
    <row r="1245" spans="16:16" x14ac:dyDescent="0.4">
      <c r="P1245" s="4"/>
    </row>
    <row r="1246" spans="16:16" x14ac:dyDescent="0.4">
      <c r="P1246" s="4"/>
    </row>
    <row r="1247" spans="16:16" x14ac:dyDescent="0.4">
      <c r="P1247" s="4"/>
    </row>
    <row r="1248" spans="16:16" x14ac:dyDescent="0.4">
      <c r="P1248" s="4"/>
    </row>
    <row r="1249" spans="16:16" x14ac:dyDescent="0.4">
      <c r="P1249" s="4"/>
    </row>
    <row r="1250" spans="16:16" x14ac:dyDescent="0.4">
      <c r="P1250" s="4"/>
    </row>
    <row r="1251" spans="16:16" x14ac:dyDescent="0.4">
      <c r="P1251" s="4"/>
    </row>
    <row r="1252" spans="16:16" x14ac:dyDescent="0.4">
      <c r="P1252" s="4"/>
    </row>
    <row r="1253" spans="16:16" x14ac:dyDescent="0.4">
      <c r="P1253" s="4"/>
    </row>
    <row r="1254" spans="16:16" x14ac:dyDescent="0.4">
      <c r="P1254" s="4"/>
    </row>
    <row r="1255" spans="16:16" x14ac:dyDescent="0.4">
      <c r="P1255" s="4"/>
    </row>
    <row r="1256" spans="16:16" x14ac:dyDescent="0.4">
      <c r="P1256" s="4"/>
    </row>
    <row r="1257" spans="16:16" x14ac:dyDescent="0.4">
      <c r="P1257" s="4"/>
    </row>
    <row r="1258" spans="16:16" x14ac:dyDescent="0.4">
      <c r="P1258" s="4"/>
    </row>
    <row r="1259" spans="16:16" x14ac:dyDescent="0.4">
      <c r="P1259" s="4"/>
    </row>
    <row r="1260" spans="16:16" x14ac:dyDescent="0.4">
      <c r="P1260" s="4"/>
    </row>
    <row r="1261" spans="16:16" x14ac:dyDescent="0.4">
      <c r="P1261" s="4"/>
    </row>
    <row r="1262" spans="16:16" x14ac:dyDescent="0.4">
      <c r="P1262" s="4"/>
    </row>
    <row r="1263" spans="16:16" x14ac:dyDescent="0.4">
      <c r="P1263" s="4"/>
    </row>
    <row r="1264" spans="16:16" x14ac:dyDescent="0.4">
      <c r="P1264" s="4"/>
    </row>
    <row r="1265" spans="16:16" x14ac:dyDescent="0.4">
      <c r="P1265" s="4"/>
    </row>
    <row r="1266" spans="16:16" x14ac:dyDescent="0.4">
      <c r="P1266" s="4"/>
    </row>
    <row r="1267" spans="16:16" x14ac:dyDescent="0.4">
      <c r="P1267" s="4"/>
    </row>
    <row r="1268" spans="16:16" x14ac:dyDescent="0.4">
      <c r="P1268" s="4"/>
    </row>
    <row r="1269" spans="16:16" x14ac:dyDescent="0.4">
      <c r="P1269" s="4"/>
    </row>
    <row r="1270" spans="16:16" x14ac:dyDescent="0.4">
      <c r="P1270" s="4"/>
    </row>
    <row r="1271" spans="16:16" x14ac:dyDescent="0.4">
      <c r="P1271" s="4"/>
    </row>
    <row r="1272" spans="16:16" x14ac:dyDescent="0.4">
      <c r="P1272" s="4"/>
    </row>
    <row r="1273" spans="16:16" x14ac:dyDescent="0.4">
      <c r="P1273" s="4"/>
    </row>
    <row r="1274" spans="16:16" x14ac:dyDescent="0.4">
      <c r="P1274" s="4"/>
    </row>
    <row r="1275" spans="16:16" x14ac:dyDescent="0.4">
      <c r="P1275" s="4"/>
    </row>
    <row r="1276" spans="16:16" x14ac:dyDescent="0.4">
      <c r="P1276" s="4"/>
    </row>
    <row r="1277" spans="16:16" x14ac:dyDescent="0.4">
      <c r="P1277" s="4"/>
    </row>
    <row r="1278" spans="16:16" x14ac:dyDescent="0.4">
      <c r="P1278" s="4"/>
    </row>
    <row r="1279" spans="16:16" x14ac:dyDescent="0.4">
      <c r="P1279" s="4"/>
    </row>
    <row r="1280" spans="16:16" x14ac:dyDescent="0.4">
      <c r="P1280" s="4"/>
    </row>
    <row r="1281" spans="16:16" x14ac:dyDescent="0.4">
      <c r="P1281" s="4"/>
    </row>
    <row r="1282" spans="16:16" x14ac:dyDescent="0.4">
      <c r="P1282" s="4"/>
    </row>
    <row r="1283" spans="16:16" x14ac:dyDescent="0.4">
      <c r="P1283" s="4"/>
    </row>
    <row r="1284" spans="16:16" x14ac:dyDescent="0.4">
      <c r="P1284" s="4"/>
    </row>
    <row r="1285" spans="16:16" x14ac:dyDescent="0.4">
      <c r="P1285" s="4"/>
    </row>
    <row r="1286" spans="16:16" x14ac:dyDescent="0.4">
      <c r="P1286" s="4"/>
    </row>
    <row r="1287" spans="16:16" x14ac:dyDescent="0.4">
      <c r="P1287" s="4"/>
    </row>
    <row r="1288" spans="16:16" x14ac:dyDescent="0.4">
      <c r="P1288" s="4"/>
    </row>
    <row r="1289" spans="16:16" x14ac:dyDescent="0.4">
      <c r="P1289" s="4"/>
    </row>
    <row r="1290" spans="16:16" x14ac:dyDescent="0.4">
      <c r="P1290" s="4"/>
    </row>
    <row r="1291" spans="16:16" x14ac:dyDescent="0.4">
      <c r="P1291" s="4"/>
    </row>
    <row r="1292" spans="16:16" x14ac:dyDescent="0.4">
      <c r="P1292" s="4"/>
    </row>
    <row r="1293" spans="16:16" x14ac:dyDescent="0.4">
      <c r="P1293" s="4"/>
    </row>
    <row r="1294" spans="16:16" x14ac:dyDescent="0.4">
      <c r="P1294" s="4"/>
    </row>
    <row r="1295" spans="16:16" x14ac:dyDescent="0.4">
      <c r="P1295" s="4"/>
    </row>
    <row r="1296" spans="16:16" x14ac:dyDescent="0.4">
      <c r="P1296" s="4"/>
    </row>
    <row r="1297" spans="16:16" x14ac:dyDescent="0.4">
      <c r="P1297" s="4"/>
    </row>
    <row r="1298" spans="16:16" x14ac:dyDescent="0.4">
      <c r="P1298" s="4"/>
    </row>
    <row r="1299" spans="16:16" x14ac:dyDescent="0.4">
      <c r="P1299" s="4"/>
    </row>
    <row r="1300" spans="16:16" x14ac:dyDescent="0.4">
      <c r="P1300" s="4"/>
    </row>
    <row r="1301" spans="16:16" x14ac:dyDescent="0.4">
      <c r="P1301" s="4"/>
    </row>
    <row r="1302" spans="16:16" x14ac:dyDescent="0.4">
      <c r="P1302" s="4"/>
    </row>
    <row r="1303" spans="16:16" x14ac:dyDescent="0.4">
      <c r="P1303" s="4"/>
    </row>
    <row r="1304" spans="16:16" x14ac:dyDescent="0.4">
      <c r="P1304" s="4"/>
    </row>
    <row r="1305" spans="16:16" x14ac:dyDescent="0.4">
      <c r="P1305" s="4"/>
    </row>
    <row r="1306" spans="16:16" x14ac:dyDescent="0.4">
      <c r="P1306" s="4"/>
    </row>
    <row r="1307" spans="16:16" x14ac:dyDescent="0.4">
      <c r="P1307" s="4"/>
    </row>
    <row r="1308" spans="16:16" x14ac:dyDescent="0.4">
      <c r="P1308" s="4"/>
    </row>
    <row r="1309" spans="16:16" x14ac:dyDescent="0.4">
      <c r="P1309" s="4"/>
    </row>
    <row r="1310" spans="16:16" x14ac:dyDescent="0.4">
      <c r="P1310" s="4"/>
    </row>
    <row r="1311" spans="16:16" x14ac:dyDescent="0.4">
      <c r="P1311" s="4"/>
    </row>
    <row r="1312" spans="16:16" x14ac:dyDescent="0.4">
      <c r="P1312" s="4"/>
    </row>
    <row r="1313" spans="16:16" x14ac:dyDescent="0.4">
      <c r="P1313" s="4"/>
    </row>
    <row r="1314" spans="16:16" x14ac:dyDescent="0.4">
      <c r="P1314" s="4"/>
    </row>
    <row r="1315" spans="16:16" x14ac:dyDescent="0.4">
      <c r="P1315" s="4"/>
    </row>
    <row r="1316" spans="16:16" x14ac:dyDescent="0.4">
      <c r="P1316" s="4"/>
    </row>
    <row r="1317" spans="16:16" x14ac:dyDescent="0.4">
      <c r="P1317" s="4"/>
    </row>
    <row r="1318" spans="16:16" x14ac:dyDescent="0.4">
      <c r="P1318" s="4"/>
    </row>
    <row r="1319" spans="16:16" x14ac:dyDescent="0.4">
      <c r="P1319" s="4"/>
    </row>
    <row r="1320" spans="16:16" x14ac:dyDescent="0.4">
      <c r="P1320" s="4"/>
    </row>
    <row r="1321" spans="16:16" x14ac:dyDescent="0.4">
      <c r="P1321" s="4"/>
    </row>
    <row r="1322" spans="16:16" x14ac:dyDescent="0.4">
      <c r="P1322" s="4"/>
    </row>
    <row r="1323" spans="16:16" x14ac:dyDescent="0.4">
      <c r="P1323" s="4"/>
    </row>
    <row r="1324" spans="16:16" x14ac:dyDescent="0.4">
      <c r="P1324" s="4"/>
    </row>
    <row r="1325" spans="16:16" x14ac:dyDescent="0.4">
      <c r="P1325" s="4"/>
    </row>
    <row r="1326" spans="16:16" x14ac:dyDescent="0.4">
      <c r="P1326" s="4"/>
    </row>
    <row r="1327" spans="16:16" x14ac:dyDescent="0.4">
      <c r="P1327" s="4"/>
    </row>
    <row r="1328" spans="16:16" x14ac:dyDescent="0.4">
      <c r="P1328" s="4"/>
    </row>
    <row r="1329" spans="16:16" x14ac:dyDescent="0.4">
      <c r="P1329" s="4"/>
    </row>
    <row r="1330" spans="16:16" x14ac:dyDescent="0.4">
      <c r="P1330" s="4"/>
    </row>
    <row r="1331" spans="16:16" x14ac:dyDescent="0.4">
      <c r="P1331" s="4"/>
    </row>
    <row r="1332" spans="16:16" x14ac:dyDescent="0.4">
      <c r="P1332" s="4"/>
    </row>
    <row r="1333" spans="16:16" x14ac:dyDescent="0.4">
      <c r="P1333" s="4"/>
    </row>
    <row r="1334" spans="16:16" x14ac:dyDescent="0.4">
      <c r="P1334" s="4"/>
    </row>
    <row r="1335" spans="16:16" x14ac:dyDescent="0.4">
      <c r="P1335" s="4"/>
    </row>
    <row r="1336" spans="16:16" x14ac:dyDescent="0.4">
      <c r="P1336" s="4"/>
    </row>
    <row r="1337" spans="16:16" x14ac:dyDescent="0.4">
      <c r="P1337" s="4"/>
    </row>
    <row r="1338" spans="16:16" x14ac:dyDescent="0.4">
      <c r="P1338" s="4"/>
    </row>
    <row r="1339" spans="16:16" x14ac:dyDescent="0.4">
      <c r="P1339" s="4"/>
    </row>
    <row r="1340" spans="16:16" x14ac:dyDescent="0.4">
      <c r="P1340" s="4"/>
    </row>
    <row r="1341" spans="16:16" x14ac:dyDescent="0.4">
      <c r="P1341" s="4"/>
    </row>
    <row r="1342" spans="16:16" x14ac:dyDescent="0.4">
      <c r="P1342" s="4"/>
    </row>
    <row r="1343" spans="16:16" x14ac:dyDescent="0.4">
      <c r="P1343" s="4"/>
    </row>
    <row r="1344" spans="16:16" x14ac:dyDescent="0.4">
      <c r="P1344" s="4"/>
    </row>
    <row r="1345" spans="16:16" x14ac:dyDescent="0.4">
      <c r="P1345" s="4"/>
    </row>
    <row r="1346" spans="16:16" x14ac:dyDescent="0.4">
      <c r="P1346" s="4"/>
    </row>
    <row r="1347" spans="16:16" x14ac:dyDescent="0.4">
      <c r="P1347" s="4"/>
    </row>
    <row r="1348" spans="16:16" x14ac:dyDescent="0.4">
      <c r="P1348" s="4"/>
    </row>
    <row r="1349" spans="16:16" x14ac:dyDescent="0.4">
      <c r="P1349" s="4"/>
    </row>
    <row r="1350" spans="16:16" x14ac:dyDescent="0.4">
      <c r="P1350" s="4"/>
    </row>
    <row r="1351" spans="16:16" x14ac:dyDescent="0.4">
      <c r="P1351" s="4"/>
    </row>
    <row r="1352" spans="16:16" x14ac:dyDescent="0.4">
      <c r="P1352" s="4"/>
    </row>
    <row r="1353" spans="16:16" x14ac:dyDescent="0.4">
      <c r="P1353" s="4"/>
    </row>
    <row r="1354" spans="16:16" x14ac:dyDescent="0.4">
      <c r="P1354" s="4"/>
    </row>
    <row r="1355" spans="16:16" x14ac:dyDescent="0.4">
      <c r="P1355" s="4"/>
    </row>
    <row r="1356" spans="16:16" x14ac:dyDescent="0.4">
      <c r="P1356" s="4"/>
    </row>
    <row r="1357" spans="16:16" x14ac:dyDescent="0.4">
      <c r="P1357" s="4"/>
    </row>
    <row r="1358" spans="16:16" x14ac:dyDescent="0.4">
      <c r="P1358" s="4"/>
    </row>
    <row r="1359" spans="16:16" x14ac:dyDescent="0.4">
      <c r="P1359" s="4"/>
    </row>
    <row r="1360" spans="16:16" x14ac:dyDescent="0.4">
      <c r="P1360" s="4"/>
    </row>
    <row r="1361" spans="16:16" x14ac:dyDescent="0.4">
      <c r="P1361" s="4"/>
    </row>
    <row r="1362" spans="16:16" x14ac:dyDescent="0.4">
      <c r="P1362" s="4"/>
    </row>
    <row r="1363" spans="16:16" x14ac:dyDescent="0.4">
      <c r="P1363" s="4"/>
    </row>
    <row r="1364" spans="16:16" x14ac:dyDescent="0.4">
      <c r="P1364" s="4"/>
    </row>
    <row r="1365" spans="16:16" x14ac:dyDescent="0.4">
      <c r="P1365" s="4"/>
    </row>
    <row r="1366" spans="16:16" x14ac:dyDescent="0.4">
      <c r="P1366" s="4"/>
    </row>
    <row r="1367" spans="16:16" x14ac:dyDescent="0.4">
      <c r="P1367" s="4"/>
    </row>
    <row r="1368" spans="16:16" x14ac:dyDescent="0.4">
      <c r="P1368" s="4"/>
    </row>
    <row r="1369" spans="16:16" x14ac:dyDescent="0.4">
      <c r="P1369" s="4"/>
    </row>
    <row r="1370" spans="16:16" x14ac:dyDescent="0.4">
      <c r="P1370" s="4"/>
    </row>
    <row r="1371" spans="16:16" x14ac:dyDescent="0.4">
      <c r="P1371" s="4"/>
    </row>
    <row r="1372" spans="16:16" x14ac:dyDescent="0.4">
      <c r="P1372" s="4"/>
    </row>
    <row r="1373" spans="16:16" x14ac:dyDescent="0.4">
      <c r="P1373" s="4"/>
    </row>
    <row r="1374" spans="16:16" x14ac:dyDescent="0.4">
      <c r="P1374" s="4"/>
    </row>
    <row r="1375" spans="16:16" x14ac:dyDescent="0.4">
      <c r="P1375" s="4"/>
    </row>
    <row r="1376" spans="16:16" x14ac:dyDescent="0.4">
      <c r="P1376" s="4"/>
    </row>
    <row r="1377" spans="16:16" x14ac:dyDescent="0.4">
      <c r="P1377" s="4"/>
    </row>
    <row r="1378" spans="16:16" x14ac:dyDescent="0.4">
      <c r="P1378" s="4"/>
    </row>
    <row r="1379" spans="16:16" x14ac:dyDescent="0.4">
      <c r="P1379" s="4"/>
    </row>
    <row r="1380" spans="16:16" x14ac:dyDescent="0.4">
      <c r="P1380" s="4"/>
    </row>
    <row r="1381" spans="16:16" x14ac:dyDescent="0.4">
      <c r="P1381" s="4"/>
    </row>
    <row r="1382" spans="16:16" x14ac:dyDescent="0.4">
      <c r="P1382" s="4"/>
    </row>
    <row r="1383" spans="16:16" x14ac:dyDescent="0.4">
      <c r="P1383" s="4"/>
    </row>
    <row r="1384" spans="16:16" x14ac:dyDescent="0.4">
      <c r="P1384" s="4"/>
    </row>
    <row r="1385" spans="16:16" x14ac:dyDescent="0.4">
      <c r="P1385" s="4"/>
    </row>
    <row r="1386" spans="16:16" x14ac:dyDescent="0.4">
      <c r="P1386" s="4"/>
    </row>
    <row r="1387" spans="16:16" x14ac:dyDescent="0.4">
      <c r="P1387" s="4"/>
    </row>
    <row r="1388" spans="16:16" x14ac:dyDescent="0.4">
      <c r="P1388" s="4"/>
    </row>
    <row r="1389" spans="16:16" x14ac:dyDescent="0.4">
      <c r="P1389" s="4"/>
    </row>
    <row r="1390" spans="16:16" x14ac:dyDescent="0.4">
      <c r="P1390" s="4"/>
    </row>
    <row r="1391" spans="16:16" x14ac:dyDescent="0.4">
      <c r="P1391" s="4"/>
    </row>
    <row r="1392" spans="16:16" x14ac:dyDescent="0.4">
      <c r="P1392" s="4"/>
    </row>
    <row r="1393" spans="16:16" x14ac:dyDescent="0.4">
      <c r="P1393" s="4"/>
    </row>
    <row r="1394" spans="16:16" x14ac:dyDescent="0.4">
      <c r="P1394" s="4"/>
    </row>
    <row r="1395" spans="16:16" x14ac:dyDescent="0.4">
      <c r="P1395" s="4"/>
    </row>
    <row r="1396" spans="16:16" x14ac:dyDescent="0.4">
      <c r="P1396" s="4"/>
    </row>
    <row r="1397" spans="16:16" x14ac:dyDescent="0.4">
      <c r="P1397" s="4"/>
    </row>
    <row r="1398" spans="16:16" x14ac:dyDescent="0.4">
      <c r="P1398" s="4"/>
    </row>
    <row r="1399" spans="16:16" x14ac:dyDescent="0.4">
      <c r="P1399" s="4"/>
    </row>
    <row r="1400" spans="16:16" x14ac:dyDescent="0.4">
      <c r="P1400" s="4"/>
    </row>
    <row r="1401" spans="16:16" x14ac:dyDescent="0.4">
      <c r="P1401" s="4"/>
    </row>
    <row r="1402" spans="16:16" x14ac:dyDescent="0.4">
      <c r="P1402" s="4"/>
    </row>
    <row r="1403" spans="16:16" x14ac:dyDescent="0.4">
      <c r="P1403" s="4"/>
    </row>
    <row r="1404" spans="16:16" x14ac:dyDescent="0.4">
      <c r="P1404" s="4"/>
    </row>
    <row r="1405" spans="16:16" x14ac:dyDescent="0.4">
      <c r="P1405" s="4"/>
    </row>
    <row r="1406" spans="16:16" x14ac:dyDescent="0.4">
      <c r="P1406" s="4"/>
    </row>
    <row r="1407" spans="16:16" x14ac:dyDescent="0.4">
      <c r="P1407" s="4"/>
    </row>
    <row r="1408" spans="16:16" x14ac:dyDescent="0.4">
      <c r="P1408" s="4"/>
    </row>
    <row r="1409" spans="16:16" x14ac:dyDescent="0.4">
      <c r="P1409" s="4"/>
    </row>
    <row r="1410" spans="16:16" x14ac:dyDescent="0.4">
      <c r="P1410" s="4"/>
    </row>
    <row r="1411" spans="16:16" x14ac:dyDescent="0.4">
      <c r="P1411" s="4"/>
    </row>
    <row r="1412" spans="16:16" x14ac:dyDescent="0.4">
      <c r="P1412" s="4"/>
    </row>
    <row r="1413" spans="16:16" x14ac:dyDescent="0.4">
      <c r="P1413" s="4"/>
    </row>
    <row r="1414" spans="16:16" x14ac:dyDescent="0.4">
      <c r="P1414" s="4"/>
    </row>
    <row r="1415" spans="16:16" x14ac:dyDescent="0.4">
      <c r="P1415" s="4"/>
    </row>
    <row r="1416" spans="16:16" x14ac:dyDescent="0.4">
      <c r="P1416" s="4"/>
    </row>
    <row r="1417" spans="16:16" x14ac:dyDescent="0.4">
      <c r="P1417" s="4"/>
    </row>
    <row r="1418" spans="16:16" x14ac:dyDescent="0.4">
      <c r="P1418" s="4"/>
    </row>
    <row r="1419" spans="16:16" x14ac:dyDescent="0.4">
      <c r="P1419" s="4"/>
    </row>
    <row r="1420" spans="16:16" x14ac:dyDescent="0.4">
      <c r="P1420" s="4"/>
    </row>
    <row r="1421" spans="16:16" x14ac:dyDescent="0.4">
      <c r="P1421" s="4"/>
    </row>
    <row r="1422" spans="16:16" x14ac:dyDescent="0.4">
      <c r="P1422" s="4"/>
    </row>
    <row r="1423" spans="16:16" x14ac:dyDescent="0.4">
      <c r="P1423" s="4"/>
    </row>
    <row r="1424" spans="16:16" x14ac:dyDescent="0.4">
      <c r="P1424" s="4"/>
    </row>
    <row r="1425" spans="16:16" x14ac:dyDescent="0.4">
      <c r="P1425" s="4"/>
    </row>
    <row r="1426" spans="16:16" x14ac:dyDescent="0.4">
      <c r="P1426" s="4"/>
    </row>
    <row r="1427" spans="16:16" x14ac:dyDescent="0.4">
      <c r="P1427" s="4"/>
    </row>
    <row r="1428" spans="16:16" x14ac:dyDescent="0.4">
      <c r="P1428" s="4"/>
    </row>
    <row r="1429" spans="16:16" x14ac:dyDescent="0.4">
      <c r="P1429" s="4"/>
    </row>
    <row r="1430" spans="16:16" x14ac:dyDescent="0.4">
      <c r="P1430" s="4"/>
    </row>
    <row r="1431" spans="16:16" x14ac:dyDescent="0.4">
      <c r="P1431" s="4"/>
    </row>
    <row r="1432" spans="16:16" x14ac:dyDescent="0.4">
      <c r="P1432" s="4"/>
    </row>
    <row r="1433" spans="16:16" x14ac:dyDescent="0.4">
      <c r="P1433" s="4"/>
    </row>
    <row r="1434" spans="16:16" x14ac:dyDescent="0.4">
      <c r="P1434" s="4"/>
    </row>
    <row r="1435" spans="16:16" x14ac:dyDescent="0.4">
      <c r="P1435" s="4"/>
    </row>
    <row r="1436" spans="16:16" x14ac:dyDescent="0.4">
      <c r="P1436" s="4"/>
    </row>
    <row r="1437" spans="16:16" x14ac:dyDescent="0.4">
      <c r="P1437" s="4"/>
    </row>
    <row r="1438" spans="16:16" x14ac:dyDescent="0.4">
      <c r="P1438" s="4"/>
    </row>
    <row r="1439" spans="16:16" x14ac:dyDescent="0.4">
      <c r="P1439" s="4"/>
    </row>
    <row r="1440" spans="16:16" x14ac:dyDescent="0.4">
      <c r="P1440" s="4"/>
    </row>
    <row r="1441" spans="16:16" x14ac:dyDescent="0.4">
      <c r="P1441" s="4"/>
    </row>
    <row r="1442" spans="16:16" x14ac:dyDescent="0.4">
      <c r="P1442" s="4"/>
    </row>
    <row r="1443" spans="16:16" x14ac:dyDescent="0.4">
      <c r="P1443" s="4"/>
    </row>
    <row r="1444" spans="16:16" x14ac:dyDescent="0.4">
      <c r="P1444" s="4"/>
    </row>
    <row r="1445" spans="16:16" x14ac:dyDescent="0.4">
      <c r="P1445" s="4"/>
    </row>
    <row r="1446" spans="16:16" x14ac:dyDescent="0.4">
      <c r="P1446" s="4"/>
    </row>
    <row r="1447" spans="16:16" x14ac:dyDescent="0.4">
      <c r="P1447" s="4"/>
    </row>
    <row r="1448" spans="16:16" x14ac:dyDescent="0.4">
      <c r="P1448" s="4"/>
    </row>
    <row r="1449" spans="16:16" x14ac:dyDescent="0.4">
      <c r="P1449" s="4"/>
    </row>
    <row r="1450" spans="16:16" x14ac:dyDescent="0.4">
      <c r="P1450" s="4"/>
    </row>
    <row r="1451" spans="16:16" x14ac:dyDescent="0.4">
      <c r="P1451" s="4"/>
    </row>
    <row r="1452" spans="16:16" x14ac:dyDescent="0.4">
      <c r="P1452" s="4"/>
    </row>
    <row r="1453" spans="16:16" x14ac:dyDescent="0.4">
      <c r="P1453" s="4"/>
    </row>
    <row r="1454" spans="16:16" x14ac:dyDescent="0.4">
      <c r="P1454" s="4"/>
    </row>
    <row r="1455" spans="16:16" x14ac:dyDescent="0.4">
      <c r="P1455" s="4"/>
    </row>
    <row r="1456" spans="16:16" x14ac:dyDescent="0.4">
      <c r="P1456" s="4"/>
    </row>
    <row r="1457" spans="16:16" x14ac:dyDescent="0.4">
      <c r="P1457" s="4"/>
    </row>
    <row r="1458" spans="16:16" x14ac:dyDescent="0.4">
      <c r="P1458" s="4"/>
    </row>
    <row r="1459" spans="16:16" x14ac:dyDescent="0.4">
      <c r="P1459" s="4"/>
    </row>
    <row r="1460" spans="16:16" x14ac:dyDescent="0.4">
      <c r="P1460" s="4"/>
    </row>
    <row r="1461" spans="16:16" x14ac:dyDescent="0.4">
      <c r="P1461" s="4"/>
    </row>
    <row r="1462" spans="16:16" x14ac:dyDescent="0.4">
      <c r="P1462" s="4"/>
    </row>
    <row r="1463" spans="16:16" x14ac:dyDescent="0.4">
      <c r="P1463" s="4"/>
    </row>
    <row r="1464" spans="16:16" x14ac:dyDescent="0.4">
      <c r="P1464" s="4"/>
    </row>
    <row r="1465" spans="16:16" x14ac:dyDescent="0.4">
      <c r="P1465" s="4"/>
    </row>
    <row r="1466" spans="16:16" x14ac:dyDescent="0.4">
      <c r="P1466" s="4"/>
    </row>
    <row r="1467" spans="16:16" x14ac:dyDescent="0.4">
      <c r="P1467" s="4"/>
    </row>
    <row r="1468" spans="16:16" x14ac:dyDescent="0.4">
      <c r="P1468" s="4"/>
    </row>
    <row r="1469" spans="16:16" x14ac:dyDescent="0.4">
      <c r="P1469" s="4"/>
    </row>
    <row r="1470" spans="16:16" x14ac:dyDescent="0.4">
      <c r="P1470" s="4"/>
    </row>
    <row r="1471" spans="16:16" x14ac:dyDescent="0.4">
      <c r="P1471" s="4"/>
    </row>
    <row r="1472" spans="16:16" x14ac:dyDescent="0.4">
      <c r="P1472" s="4"/>
    </row>
    <row r="1473" spans="16:16" x14ac:dyDescent="0.4">
      <c r="P1473" s="4"/>
    </row>
    <row r="1474" spans="16:16" x14ac:dyDescent="0.4">
      <c r="P1474" s="4"/>
    </row>
    <row r="1475" spans="16:16" x14ac:dyDescent="0.4">
      <c r="P1475" s="4"/>
    </row>
    <row r="1476" spans="16:16" x14ac:dyDescent="0.4">
      <c r="P1476" s="4"/>
    </row>
    <row r="1477" spans="16:16" x14ac:dyDescent="0.4">
      <c r="P1477" s="4"/>
    </row>
    <row r="1478" spans="16:16" x14ac:dyDescent="0.4">
      <c r="P1478" s="4"/>
    </row>
    <row r="1479" spans="16:16" x14ac:dyDescent="0.4">
      <c r="P1479" s="4"/>
    </row>
    <row r="1480" spans="16:16" x14ac:dyDescent="0.4">
      <c r="P1480" s="4"/>
    </row>
    <row r="1481" spans="16:16" x14ac:dyDescent="0.4">
      <c r="P1481" s="4"/>
    </row>
    <row r="1482" spans="16:16" x14ac:dyDescent="0.4">
      <c r="P1482" s="4"/>
    </row>
    <row r="1483" spans="16:16" x14ac:dyDescent="0.4">
      <c r="P1483" s="4"/>
    </row>
    <row r="1484" spans="16:16" x14ac:dyDescent="0.4">
      <c r="P1484" s="4"/>
    </row>
    <row r="1485" spans="16:16" x14ac:dyDescent="0.4">
      <c r="P1485" s="4"/>
    </row>
    <row r="1486" spans="16:16" x14ac:dyDescent="0.4">
      <c r="P1486" s="4"/>
    </row>
    <row r="1487" spans="16:16" x14ac:dyDescent="0.4">
      <c r="P1487" s="4"/>
    </row>
    <row r="1488" spans="16:16" x14ac:dyDescent="0.4">
      <c r="P1488" s="4"/>
    </row>
    <row r="1489" spans="16:16" x14ac:dyDescent="0.4">
      <c r="P1489" s="4"/>
    </row>
    <row r="1490" spans="16:16" x14ac:dyDescent="0.4">
      <c r="P1490" s="4"/>
    </row>
    <row r="1491" spans="16:16" x14ac:dyDescent="0.4">
      <c r="P1491" s="4"/>
    </row>
    <row r="1492" spans="16:16" x14ac:dyDescent="0.4">
      <c r="P1492" s="4"/>
    </row>
    <row r="1493" spans="16:16" x14ac:dyDescent="0.4">
      <c r="P1493" s="4"/>
    </row>
    <row r="1494" spans="16:16" x14ac:dyDescent="0.4">
      <c r="P1494" s="4"/>
    </row>
    <row r="1495" spans="16:16" x14ac:dyDescent="0.4">
      <c r="P1495" s="4"/>
    </row>
    <row r="1496" spans="16:16" x14ac:dyDescent="0.4">
      <c r="P1496" s="4"/>
    </row>
    <row r="1497" spans="16:16" x14ac:dyDescent="0.4">
      <c r="P1497" s="4"/>
    </row>
    <row r="1498" spans="16:16" x14ac:dyDescent="0.4">
      <c r="P1498" s="4"/>
    </row>
    <row r="1499" spans="16:16" x14ac:dyDescent="0.4">
      <c r="P1499" s="4"/>
    </row>
    <row r="1500" spans="16:16" x14ac:dyDescent="0.4">
      <c r="P1500" s="4"/>
    </row>
    <row r="1501" spans="16:16" x14ac:dyDescent="0.4">
      <c r="P1501" s="4"/>
    </row>
    <row r="1502" spans="16:16" x14ac:dyDescent="0.4">
      <c r="P1502" s="4"/>
    </row>
    <row r="1503" spans="16:16" x14ac:dyDescent="0.4">
      <c r="P1503" s="4"/>
    </row>
    <row r="1504" spans="16:16" x14ac:dyDescent="0.4">
      <c r="P1504" s="4"/>
    </row>
    <row r="1505" spans="16:16" x14ac:dyDescent="0.4">
      <c r="P1505" s="4"/>
    </row>
    <row r="1506" spans="16:16" x14ac:dyDescent="0.4">
      <c r="P1506" s="4"/>
    </row>
    <row r="1507" spans="16:16" x14ac:dyDescent="0.4">
      <c r="P1507" s="4"/>
    </row>
    <row r="1508" spans="16:16" x14ac:dyDescent="0.4">
      <c r="P1508" s="4"/>
    </row>
    <row r="1509" spans="16:16" x14ac:dyDescent="0.4">
      <c r="P1509" s="4"/>
    </row>
    <row r="1510" spans="16:16" x14ac:dyDescent="0.4">
      <c r="P1510" s="4"/>
    </row>
    <row r="1511" spans="16:16" x14ac:dyDescent="0.4">
      <c r="P1511" s="4"/>
    </row>
    <row r="1512" spans="16:16" x14ac:dyDescent="0.4">
      <c r="P1512" s="4"/>
    </row>
    <row r="1513" spans="16:16" x14ac:dyDescent="0.4">
      <c r="P1513" s="4"/>
    </row>
    <row r="1514" spans="16:16" x14ac:dyDescent="0.4">
      <c r="P1514" s="4"/>
    </row>
    <row r="1515" spans="16:16" x14ac:dyDescent="0.4">
      <c r="P1515" s="4"/>
    </row>
    <row r="1516" spans="16:16" x14ac:dyDescent="0.4">
      <c r="P1516" s="4"/>
    </row>
    <row r="1517" spans="16:16" x14ac:dyDescent="0.4">
      <c r="P1517" s="4"/>
    </row>
    <row r="1518" spans="16:16" x14ac:dyDescent="0.4">
      <c r="P1518" s="4"/>
    </row>
    <row r="1519" spans="16:16" x14ac:dyDescent="0.4">
      <c r="P1519" s="4"/>
    </row>
    <row r="1520" spans="16:16" x14ac:dyDescent="0.4">
      <c r="P1520" s="4"/>
    </row>
    <row r="1521" spans="16:16" x14ac:dyDescent="0.4">
      <c r="P1521" s="4"/>
    </row>
    <row r="1522" spans="16:16" x14ac:dyDescent="0.4">
      <c r="P1522" s="4"/>
    </row>
    <row r="1523" spans="16:16" x14ac:dyDescent="0.4">
      <c r="P1523" s="4"/>
    </row>
    <row r="1524" spans="16:16" x14ac:dyDescent="0.4">
      <c r="P1524" s="4"/>
    </row>
    <row r="1525" spans="16:16" x14ac:dyDescent="0.4">
      <c r="P1525" s="4"/>
    </row>
    <row r="1526" spans="16:16" x14ac:dyDescent="0.4">
      <c r="P1526" s="4"/>
    </row>
    <row r="1527" spans="16:16" x14ac:dyDescent="0.4">
      <c r="P1527" s="4"/>
    </row>
    <row r="1528" spans="16:16" x14ac:dyDescent="0.4">
      <c r="P1528" s="4"/>
    </row>
    <row r="1529" spans="16:16" x14ac:dyDescent="0.4">
      <c r="P1529" s="4"/>
    </row>
    <row r="1530" spans="16:16" x14ac:dyDescent="0.4">
      <c r="P1530" s="4"/>
    </row>
    <row r="1531" spans="16:16" x14ac:dyDescent="0.4">
      <c r="P1531" s="4"/>
    </row>
    <row r="1532" spans="16:16" x14ac:dyDescent="0.4">
      <c r="P1532" s="4"/>
    </row>
    <row r="1533" spans="16:16" x14ac:dyDescent="0.4">
      <c r="P1533" s="4"/>
    </row>
    <row r="1534" spans="16:16" x14ac:dyDescent="0.4">
      <c r="P1534" s="4"/>
    </row>
    <row r="1535" spans="16:16" x14ac:dyDescent="0.4">
      <c r="P1535" s="4"/>
    </row>
    <row r="1536" spans="16:16" x14ac:dyDescent="0.4">
      <c r="P1536" s="4"/>
    </row>
    <row r="1537" spans="16:16" x14ac:dyDescent="0.4">
      <c r="P1537" s="4"/>
    </row>
    <row r="1538" spans="16:16" x14ac:dyDescent="0.4">
      <c r="P1538" s="4"/>
    </row>
    <row r="1539" spans="16:16" x14ac:dyDescent="0.4">
      <c r="P1539" s="4"/>
    </row>
    <row r="1540" spans="16:16" x14ac:dyDescent="0.4">
      <c r="P1540" s="4"/>
    </row>
    <row r="1541" spans="16:16" x14ac:dyDescent="0.4">
      <c r="P1541" s="4"/>
    </row>
    <row r="1542" spans="16:16" x14ac:dyDescent="0.4">
      <c r="P1542" s="4"/>
    </row>
    <row r="1543" spans="16:16" x14ac:dyDescent="0.4">
      <c r="P1543" s="4"/>
    </row>
    <row r="1544" spans="16:16" x14ac:dyDescent="0.4">
      <c r="P1544" s="4"/>
    </row>
    <row r="1545" spans="16:16" x14ac:dyDescent="0.4">
      <c r="P1545" s="4"/>
    </row>
    <row r="1546" spans="16:16" x14ac:dyDescent="0.4">
      <c r="P1546" s="4"/>
    </row>
    <row r="1547" spans="16:16" x14ac:dyDescent="0.4">
      <c r="P1547" s="4"/>
    </row>
    <row r="1548" spans="16:16" x14ac:dyDescent="0.4">
      <c r="P1548" s="4"/>
    </row>
    <row r="1549" spans="16:16" x14ac:dyDescent="0.4">
      <c r="P1549" s="4"/>
    </row>
    <row r="1550" spans="16:16" x14ac:dyDescent="0.4">
      <c r="P1550" s="4"/>
    </row>
    <row r="1551" spans="16:16" x14ac:dyDescent="0.4">
      <c r="P1551" s="4"/>
    </row>
    <row r="1552" spans="16:16" x14ac:dyDescent="0.4">
      <c r="P1552" s="4"/>
    </row>
    <row r="1553" spans="16:16" x14ac:dyDescent="0.4">
      <c r="P1553" s="4"/>
    </row>
  </sheetData>
  <mergeCells count="34">
    <mergeCell ref="Q251:Q278"/>
    <mergeCell ref="Q136:Q151"/>
    <mergeCell ref="Q153:Q181"/>
    <mergeCell ref="Q182:Q203"/>
    <mergeCell ref="Q204:Q221"/>
    <mergeCell ref="Q222:Q250"/>
    <mergeCell ref="Q34:Q54"/>
    <mergeCell ref="Q56:Q76"/>
    <mergeCell ref="Q77:Q91"/>
    <mergeCell ref="Q92:Q112"/>
    <mergeCell ref="Q113:Q135"/>
    <mergeCell ref="L278:P278"/>
    <mergeCell ref="A9:P9"/>
    <mergeCell ref="A278:E279"/>
    <mergeCell ref="K4:P4"/>
    <mergeCell ref="K5:P5"/>
    <mergeCell ref="A8:P8"/>
    <mergeCell ref="A12:A14"/>
    <mergeCell ref="C12:C14"/>
    <mergeCell ref="B12:B14"/>
    <mergeCell ref="D12:D14"/>
    <mergeCell ref="A10:P10"/>
    <mergeCell ref="M13:N13"/>
    <mergeCell ref="O13:O14"/>
    <mergeCell ref="K13:K14"/>
    <mergeCell ref="G13:H13"/>
    <mergeCell ref="F13:F14"/>
    <mergeCell ref="L13:L14"/>
    <mergeCell ref="E13:E14"/>
    <mergeCell ref="I13:I14"/>
    <mergeCell ref="P12:P14"/>
    <mergeCell ref="J13:J14"/>
    <mergeCell ref="J12:O12"/>
    <mergeCell ref="E12:I12"/>
  </mergeCells>
  <phoneticPr fontId="3" type="noConversion"/>
  <printOptions horizontalCentered="1"/>
  <pageMargins left="0.19685039370078741" right="0" top="0.82677165354330717" bottom="0.11811023622047245" header="0.62992125984251968" footer="0.19685039370078741"/>
  <pageSetup paperSize="9" scale="42" fitToHeight="10000" orientation="landscape" useFirstPageNumber="1" horizontalDpi="360" verticalDpi="360" r:id="rId1"/>
  <headerFooter scaleWithDoc="0" alignWithMargins="0"/>
  <rowBreaks count="1" manualBreakCount="1">
    <brk id="24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9"/>
  <sheetViews>
    <sheetView showGridLines="0" showZeros="0" tabSelected="1" view="pageBreakPreview" topLeftCell="C1" zoomScale="55" zoomScaleNormal="87" zoomScaleSheetLayoutView="55" workbookViewId="0">
      <selection activeCell="H14" sqref="H14:H15"/>
    </sheetView>
  </sheetViews>
  <sheetFormatPr defaultColWidth="9.140625" defaultRowHeight="15.4" x14ac:dyDescent="0.45"/>
  <cols>
    <col min="1" max="1" width="19.140625" style="88" customWidth="1"/>
    <col min="2" max="2" width="22.140625" style="87" customWidth="1"/>
    <col min="3" max="3" width="74.140625" style="89" customWidth="1"/>
    <col min="4" max="4" width="23.140625" style="90" customWidth="1"/>
    <col min="5" max="5" width="23.85546875" style="90" customWidth="1"/>
    <col min="6" max="6" width="23.640625" style="90" customWidth="1"/>
    <col min="7" max="7" width="20.85546875" style="90" customWidth="1"/>
    <col min="8" max="8" width="21.140625" style="90" customWidth="1"/>
    <col min="9" max="9" width="22.5" style="90" customWidth="1"/>
    <col min="10" max="10" width="21.140625" style="90" customWidth="1"/>
    <col min="11" max="11" width="21.35546875" style="90" customWidth="1"/>
    <col min="12" max="12" width="19.140625" style="90" customWidth="1"/>
    <col min="13" max="13" width="18.85546875" style="90" customWidth="1"/>
    <col min="14" max="14" width="23" style="90" customWidth="1"/>
    <col min="15" max="15" width="22.85546875" style="90" customWidth="1"/>
    <col min="16" max="16" width="7.640625" style="130" customWidth="1"/>
    <col min="17" max="17" width="0.140625" style="87" customWidth="1"/>
    <col min="18" max="18" width="21.640625" style="87" customWidth="1"/>
    <col min="19" max="19" width="12.140625" style="87" customWidth="1"/>
    <col min="20" max="20" width="11.35546875" style="87" customWidth="1"/>
    <col min="21" max="21" width="10.85546875" style="87" customWidth="1"/>
    <col min="22" max="16384" width="9.140625" style="87"/>
  </cols>
  <sheetData>
    <row r="1" spans="1:17" ht="27.75" customHeight="1" x14ac:dyDescent="0.9">
      <c r="J1" s="107" t="s">
        <v>537</v>
      </c>
      <c r="K1" s="107"/>
      <c r="L1" s="107"/>
      <c r="M1" s="107"/>
      <c r="N1" s="107"/>
      <c r="O1" s="107"/>
      <c r="P1" s="131"/>
      <c r="Q1" s="161"/>
    </row>
    <row r="2" spans="1:17" ht="24" customHeight="1" x14ac:dyDescent="0.45">
      <c r="J2" s="97" t="s">
        <v>359</v>
      </c>
      <c r="K2" s="97"/>
      <c r="L2" s="97"/>
      <c r="M2" s="97"/>
      <c r="N2" s="97"/>
      <c r="O2" s="97"/>
      <c r="P2" s="131"/>
      <c r="Q2" s="161"/>
    </row>
    <row r="3" spans="1:17" ht="26.25" customHeight="1" x14ac:dyDescent="0.45">
      <c r="J3" s="97" t="s">
        <v>360</v>
      </c>
      <c r="K3" s="97"/>
      <c r="L3" s="97"/>
      <c r="M3" s="97"/>
      <c r="N3" s="97"/>
      <c r="O3" s="97"/>
      <c r="P3" s="131"/>
      <c r="Q3" s="161"/>
    </row>
    <row r="4" spans="1:17" ht="26.25" customHeight="1" x14ac:dyDescent="0.9">
      <c r="J4" s="163" t="s">
        <v>540</v>
      </c>
      <c r="K4" s="163"/>
      <c r="L4" s="163"/>
      <c r="M4" s="163"/>
      <c r="N4" s="163"/>
      <c r="O4" s="163"/>
      <c r="P4" s="131"/>
      <c r="Q4" s="161"/>
    </row>
    <row r="5" spans="1:17" ht="26.25" customHeight="1" x14ac:dyDescent="0.85">
      <c r="J5" s="8"/>
      <c r="K5" s="8"/>
      <c r="L5" s="8"/>
      <c r="M5" s="8"/>
      <c r="N5" s="8"/>
      <c r="O5" s="8"/>
      <c r="P5" s="131"/>
      <c r="Q5" s="161"/>
    </row>
    <row r="6" spans="1:17" ht="26.25" customHeight="1" x14ac:dyDescent="0.85">
      <c r="J6" s="8"/>
      <c r="K6" s="8"/>
      <c r="L6" s="8"/>
      <c r="M6" s="8"/>
      <c r="N6" s="8"/>
      <c r="O6" s="8"/>
      <c r="P6" s="131"/>
      <c r="Q6" s="161"/>
    </row>
    <row r="7" spans="1:17" ht="26.25" customHeight="1" x14ac:dyDescent="0.85">
      <c r="J7" s="108"/>
      <c r="K7" s="108"/>
      <c r="L7" s="108"/>
      <c r="M7" s="108"/>
      <c r="N7" s="108"/>
      <c r="O7" s="108"/>
      <c r="P7" s="131"/>
      <c r="Q7" s="161"/>
    </row>
    <row r="8" spans="1:17" ht="26.25" customHeight="1" x14ac:dyDescent="0.85">
      <c r="J8" s="8"/>
      <c r="K8" s="8"/>
      <c r="L8" s="8"/>
      <c r="M8" s="8"/>
      <c r="N8" s="8"/>
      <c r="O8" s="8"/>
      <c r="P8" s="131"/>
      <c r="Q8" s="161"/>
    </row>
    <row r="9" spans="1:17" ht="105.75" customHeight="1" x14ac:dyDescent="0.45">
      <c r="A9" s="165" t="s">
        <v>370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31"/>
      <c r="Q9" s="161"/>
    </row>
    <row r="10" spans="1:17" ht="23.25" customHeight="1" x14ac:dyDescent="0.45">
      <c r="A10" s="164" t="s">
        <v>356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31"/>
      <c r="Q10" s="161"/>
    </row>
    <row r="11" spans="1:17" ht="21" customHeight="1" x14ac:dyDescent="0.45">
      <c r="A11" s="154" t="s">
        <v>321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31"/>
      <c r="Q11" s="161"/>
    </row>
    <row r="12" spans="1:17" s="98" customFormat="1" ht="20.25" customHeight="1" x14ac:dyDescent="0.55000000000000004">
      <c r="A12" s="53"/>
      <c r="B12" s="54"/>
      <c r="C12" s="55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13" t="s">
        <v>277</v>
      </c>
      <c r="P12" s="131"/>
      <c r="Q12" s="161"/>
    </row>
    <row r="13" spans="1:17" s="91" customFormat="1" ht="21.75" customHeight="1" x14ac:dyDescent="0.4">
      <c r="A13" s="166" t="s">
        <v>261</v>
      </c>
      <c r="B13" s="166" t="s">
        <v>253</v>
      </c>
      <c r="C13" s="166" t="s">
        <v>263</v>
      </c>
      <c r="D13" s="145" t="s">
        <v>183</v>
      </c>
      <c r="E13" s="145"/>
      <c r="F13" s="145"/>
      <c r="G13" s="145"/>
      <c r="H13" s="145"/>
      <c r="I13" s="145" t="s">
        <v>184</v>
      </c>
      <c r="J13" s="145"/>
      <c r="K13" s="145"/>
      <c r="L13" s="145"/>
      <c r="M13" s="145"/>
      <c r="N13" s="145"/>
      <c r="O13" s="145" t="s">
        <v>185</v>
      </c>
      <c r="P13" s="131"/>
      <c r="Q13" s="161"/>
    </row>
    <row r="14" spans="1:17" s="91" customFormat="1" ht="29.25" customHeight="1" x14ac:dyDescent="0.4">
      <c r="A14" s="166"/>
      <c r="B14" s="166"/>
      <c r="C14" s="166"/>
      <c r="D14" s="160" t="s">
        <v>499</v>
      </c>
      <c r="E14" s="160" t="s">
        <v>186</v>
      </c>
      <c r="F14" s="155" t="s">
        <v>187</v>
      </c>
      <c r="G14" s="155"/>
      <c r="H14" s="160" t="s">
        <v>188</v>
      </c>
      <c r="I14" s="160" t="s">
        <v>499</v>
      </c>
      <c r="J14" s="160" t="s">
        <v>254</v>
      </c>
      <c r="K14" s="160" t="s">
        <v>186</v>
      </c>
      <c r="L14" s="155" t="s">
        <v>187</v>
      </c>
      <c r="M14" s="155"/>
      <c r="N14" s="160" t="s">
        <v>188</v>
      </c>
      <c r="O14" s="145"/>
      <c r="P14" s="131"/>
      <c r="Q14" s="161"/>
    </row>
    <row r="15" spans="1:17" s="91" customFormat="1" ht="60.75" customHeight="1" x14ac:dyDescent="0.4">
      <c r="A15" s="166"/>
      <c r="B15" s="166"/>
      <c r="C15" s="166"/>
      <c r="D15" s="160"/>
      <c r="E15" s="160"/>
      <c r="F15" s="129" t="s">
        <v>189</v>
      </c>
      <c r="G15" s="129" t="s">
        <v>190</v>
      </c>
      <c r="H15" s="160"/>
      <c r="I15" s="160"/>
      <c r="J15" s="160"/>
      <c r="K15" s="160"/>
      <c r="L15" s="129" t="s">
        <v>189</v>
      </c>
      <c r="M15" s="129" t="s">
        <v>190</v>
      </c>
      <c r="N15" s="160"/>
      <c r="O15" s="145"/>
      <c r="P15" s="131"/>
      <c r="Q15" s="161"/>
    </row>
    <row r="16" spans="1:17" s="91" customFormat="1" ht="21" customHeight="1" x14ac:dyDescent="0.4">
      <c r="A16" s="57" t="s">
        <v>36</v>
      </c>
      <c r="B16" s="58"/>
      <c r="C16" s="59" t="s">
        <v>374</v>
      </c>
      <c r="D16" s="60">
        <f>D17+D18</f>
        <v>424230992</v>
      </c>
      <c r="E16" s="60">
        <f t="shared" ref="E16:O16" si="0">E17+E18</f>
        <v>424230992</v>
      </c>
      <c r="F16" s="60">
        <f t="shared" si="0"/>
        <v>321521200</v>
      </c>
      <c r="G16" s="60">
        <f t="shared" si="0"/>
        <v>11489800</v>
      </c>
      <c r="H16" s="60">
        <f t="shared" si="0"/>
        <v>0</v>
      </c>
      <c r="I16" s="60">
        <f t="shared" si="0"/>
        <v>1112600</v>
      </c>
      <c r="J16" s="60">
        <f t="shared" si="0"/>
        <v>712600</v>
      </c>
      <c r="K16" s="60">
        <f t="shared" si="0"/>
        <v>400000</v>
      </c>
      <c r="L16" s="60">
        <f t="shared" si="0"/>
        <v>0</v>
      </c>
      <c r="M16" s="60">
        <f t="shared" si="0"/>
        <v>228200</v>
      </c>
      <c r="N16" s="60">
        <f t="shared" si="0"/>
        <v>712600</v>
      </c>
      <c r="O16" s="60">
        <f t="shared" si="0"/>
        <v>425343592</v>
      </c>
      <c r="P16" s="131"/>
      <c r="Q16" s="161"/>
    </row>
    <row r="17" spans="1:17" ht="37.5" customHeight="1" x14ac:dyDescent="0.45">
      <c r="A17" s="61" t="s">
        <v>100</v>
      </c>
      <c r="B17" s="61" t="s">
        <v>38</v>
      </c>
      <c r="C17" s="62" t="s">
        <v>369</v>
      </c>
      <c r="D17" s="63">
        <f>'дод 3'!E18+'дод 3'!E56+'дод 3'!E108+'дод 3'!E126+'дод 3'!E156+'дод 3'!E162+'дод 3'!E177+'дод 3'!E215+'дод 3'!E239+'дод 3'!E259+'дод 3'!E246+'дод 3'!E250+'дод 3'!E242+'дод 3'!E268</f>
        <v>421030992</v>
      </c>
      <c r="E17" s="63">
        <f>'дод 3'!F18+'дод 3'!F56+'дод 3'!F108+'дод 3'!F126+'дод 3'!F156+'дод 3'!F162+'дод 3'!F177+'дод 3'!F215+'дод 3'!F239+'дод 3'!F259+'дод 3'!F246+'дод 3'!F250+'дод 3'!F242+'дод 3'!F268</f>
        <v>421030992</v>
      </c>
      <c r="F17" s="63">
        <f>'дод 3'!G18+'дод 3'!G56+'дод 3'!G108+'дод 3'!G126+'дод 3'!G156+'дод 3'!G162+'дод 3'!G177+'дод 3'!G215+'дод 3'!G239+'дод 3'!G259+'дод 3'!G246+'дод 3'!G250+'дод 3'!G242+'дод 3'!G268</f>
        <v>321521200</v>
      </c>
      <c r="G17" s="63">
        <f>'дод 3'!H18+'дод 3'!H56+'дод 3'!H108+'дод 3'!H126+'дод 3'!H156+'дод 3'!H162+'дод 3'!H177+'дод 3'!H215+'дод 3'!H239+'дод 3'!H259+'дод 3'!H246+'дод 3'!H250+'дод 3'!H242+'дод 3'!H268</f>
        <v>11489800</v>
      </c>
      <c r="H17" s="63">
        <f>'дод 3'!I18+'дод 3'!I56+'дод 3'!I108+'дод 3'!I126+'дод 3'!I156+'дод 3'!I162+'дод 3'!I177+'дод 3'!I215+'дод 3'!I239+'дод 3'!I259+'дод 3'!I246+'дод 3'!I250+'дод 3'!I242+'дод 3'!I268</f>
        <v>0</v>
      </c>
      <c r="I17" s="63">
        <f>'дод 3'!J18+'дод 3'!J56+'дод 3'!J108+'дод 3'!J126+'дод 3'!J156+'дод 3'!J162+'дод 3'!J177+'дод 3'!J215+'дод 3'!J239+'дод 3'!J259+'дод 3'!J246+'дод 3'!J250+'дод 3'!J242+'дод 3'!J268</f>
        <v>1112600</v>
      </c>
      <c r="J17" s="63">
        <f>'дод 3'!K18+'дод 3'!K56+'дод 3'!K108+'дод 3'!K126+'дод 3'!K156+'дод 3'!K162+'дод 3'!K177+'дод 3'!K215+'дод 3'!K239+'дод 3'!K259+'дод 3'!K246+'дод 3'!K250+'дод 3'!K242+'дод 3'!K268</f>
        <v>712600</v>
      </c>
      <c r="K17" s="63">
        <f>'дод 3'!L18+'дод 3'!L56+'дод 3'!L108+'дод 3'!L126+'дод 3'!L156+'дод 3'!L162+'дод 3'!L177+'дод 3'!L215+'дод 3'!L239+'дод 3'!L259+'дод 3'!L246+'дод 3'!L250+'дод 3'!L242+'дод 3'!L268</f>
        <v>400000</v>
      </c>
      <c r="L17" s="63">
        <f>'дод 3'!M18+'дод 3'!M56+'дод 3'!M108+'дод 3'!M126+'дод 3'!M156+'дод 3'!M162+'дод 3'!M177+'дод 3'!M215+'дод 3'!M239+'дод 3'!M259+'дод 3'!M246+'дод 3'!M250+'дод 3'!M242+'дод 3'!M268</f>
        <v>0</v>
      </c>
      <c r="M17" s="63">
        <f>'дод 3'!N18+'дод 3'!N56+'дод 3'!N108+'дод 3'!N126+'дод 3'!N156+'дод 3'!N162+'дод 3'!N177+'дод 3'!N215+'дод 3'!N239+'дод 3'!N259+'дод 3'!N246+'дод 3'!N250+'дод 3'!N242+'дод 3'!N268</f>
        <v>228200</v>
      </c>
      <c r="N17" s="63">
        <f>'дод 3'!O18+'дод 3'!O56+'дод 3'!O108+'дод 3'!O126+'дод 3'!O156+'дод 3'!O162+'дод 3'!O177+'дод 3'!O215+'дод 3'!O239+'дод 3'!O259+'дод 3'!O246+'дод 3'!O250+'дод 3'!O242+'дод 3'!O268</f>
        <v>712600</v>
      </c>
      <c r="O17" s="63">
        <f>'дод 3'!P18+'дод 3'!P56+'дод 3'!P108+'дод 3'!P126+'дод 3'!P156+'дод 3'!P162+'дод 3'!P177+'дод 3'!P215+'дод 3'!P239+'дод 3'!P259+'дод 3'!P246+'дод 3'!P250+'дод 3'!P242+'дод 3'!P268</f>
        <v>422143592</v>
      </c>
      <c r="P17" s="131"/>
      <c r="Q17" s="161"/>
    </row>
    <row r="18" spans="1:17" ht="22.5" customHeight="1" x14ac:dyDescent="0.45">
      <c r="A18" s="61" t="s">
        <v>37</v>
      </c>
      <c r="B18" s="61" t="s">
        <v>80</v>
      </c>
      <c r="C18" s="62" t="s">
        <v>200</v>
      </c>
      <c r="D18" s="63">
        <f>'дод 3'!E19+'дод 3'!E178</f>
        <v>3200000</v>
      </c>
      <c r="E18" s="63">
        <f>'дод 3'!F19+'дод 3'!F178</f>
        <v>3200000</v>
      </c>
      <c r="F18" s="63">
        <f>'дод 3'!G19+'дод 3'!G178</f>
        <v>0</v>
      </c>
      <c r="G18" s="63">
        <f>'дод 3'!H19+'дод 3'!H178</f>
        <v>0</v>
      </c>
      <c r="H18" s="63">
        <f>'дод 3'!I19+'дод 3'!I178</f>
        <v>0</v>
      </c>
      <c r="I18" s="63">
        <f>'дод 3'!J19+'дод 3'!J178</f>
        <v>0</v>
      </c>
      <c r="J18" s="63">
        <f>'дод 3'!K19+'дод 3'!K178</f>
        <v>0</v>
      </c>
      <c r="K18" s="63">
        <f>'дод 3'!L19+'дод 3'!L178</f>
        <v>0</v>
      </c>
      <c r="L18" s="63">
        <f>'дод 3'!M19+'дод 3'!M178</f>
        <v>0</v>
      </c>
      <c r="M18" s="63">
        <f>'дод 3'!N19+'дод 3'!N178</f>
        <v>0</v>
      </c>
      <c r="N18" s="63">
        <f>'дод 3'!O19+'дод 3'!O178</f>
        <v>0</v>
      </c>
      <c r="O18" s="63">
        <f>'дод 3'!P19+'дод 3'!P178</f>
        <v>3200000</v>
      </c>
      <c r="P18" s="131"/>
      <c r="Q18" s="161"/>
    </row>
    <row r="19" spans="1:17" s="91" customFormat="1" ht="18.75" customHeight="1" x14ac:dyDescent="0.4">
      <c r="A19" s="64" t="s">
        <v>39</v>
      </c>
      <c r="B19" s="31"/>
      <c r="C19" s="59" t="s">
        <v>402</v>
      </c>
      <c r="D19" s="60">
        <f t="shared" ref="D19:O19" si="1">D33+D34+D35+D36+D44+D45+D52+D53+D54+D57+D46+D37+D55+D40+D42+D49+D58+D59+D61+D77+D75+D79+D71+D65+D66+D68+D69+D63+D73</f>
        <v>1333178505.55</v>
      </c>
      <c r="E19" s="60">
        <f t="shared" si="1"/>
        <v>1333178505.55</v>
      </c>
      <c r="F19" s="60">
        <f t="shared" si="1"/>
        <v>889766750</v>
      </c>
      <c r="G19" s="60">
        <f t="shared" si="1"/>
        <v>151937100</v>
      </c>
      <c r="H19" s="60">
        <f t="shared" si="1"/>
        <v>0</v>
      </c>
      <c r="I19" s="60">
        <f t="shared" si="1"/>
        <v>537555274.67000008</v>
      </c>
      <c r="J19" s="60">
        <f t="shared" si="1"/>
        <v>431287974.67000002</v>
      </c>
      <c r="K19" s="60">
        <f t="shared" si="1"/>
        <v>90746400</v>
      </c>
      <c r="L19" s="60">
        <f t="shared" si="1"/>
        <v>12915580</v>
      </c>
      <c r="M19" s="60">
        <f t="shared" si="1"/>
        <v>6906830</v>
      </c>
      <c r="N19" s="60">
        <f t="shared" si="1"/>
        <v>446808874.67000002</v>
      </c>
      <c r="O19" s="60">
        <f t="shared" si="1"/>
        <v>1870733780.22</v>
      </c>
      <c r="P19" s="131"/>
      <c r="Q19" s="161"/>
    </row>
    <row r="20" spans="1:17" s="95" customFormat="1" ht="28.5" customHeight="1" x14ac:dyDescent="0.4">
      <c r="A20" s="65"/>
      <c r="B20" s="32"/>
      <c r="C20" s="33" t="s">
        <v>406</v>
      </c>
      <c r="D20" s="66">
        <f t="shared" ref="D20:O20" si="2">D38+D41+D43+D50+D70</f>
        <v>336977300</v>
      </c>
      <c r="E20" s="66">
        <f t="shared" si="2"/>
        <v>336977300</v>
      </c>
      <c r="F20" s="66">
        <f t="shared" si="2"/>
        <v>276212800</v>
      </c>
      <c r="G20" s="66">
        <f t="shared" si="2"/>
        <v>0</v>
      </c>
      <c r="H20" s="66">
        <f t="shared" si="2"/>
        <v>0</v>
      </c>
      <c r="I20" s="66">
        <f t="shared" si="2"/>
        <v>15081700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15081700</v>
      </c>
      <c r="O20" s="66">
        <f t="shared" si="2"/>
        <v>352059000</v>
      </c>
      <c r="P20" s="131"/>
      <c r="Q20" s="161"/>
    </row>
    <row r="21" spans="1:17" s="95" customFormat="1" ht="66" customHeight="1" x14ac:dyDescent="0.4">
      <c r="A21" s="65"/>
      <c r="B21" s="32"/>
      <c r="C21" s="33" t="str">
        <f>C60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D21" s="66">
        <f>D60</f>
        <v>2625231</v>
      </c>
      <c r="E21" s="66">
        <f t="shared" ref="E21:O21" si="3">E60</f>
        <v>2625231</v>
      </c>
      <c r="F21" s="66">
        <f t="shared" si="3"/>
        <v>0</v>
      </c>
      <c r="G21" s="66">
        <f t="shared" si="3"/>
        <v>0</v>
      </c>
      <c r="H21" s="66">
        <f t="shared" si="3"/>
        <v>0</v>
      </c>
      <c r="I21" s="66">
        <f t="shared" si="3"/>
        <v>7677569</v>
      </c>
      <c r="J21" s="66">
        <f t="shared" si="3"/>
        <v>7677569</v>
      </c>
      <c r="K21" s="66">
        <f t="shared" si="3"/>
        <v>0</v>
      </c>
      <c r="L21" s="66">
        <f t="shared" si="3"/>
        <v>0</v>
      </c>
      <c r="M21" s="66">
        <f t="shared" si="3"/>
        <v>0</v>
      </c>
      <c r="N21" s="66">
        <f t="shared" si="3"/>
        <v>7677569</v>
      </c>
      <c r="O21" s="66">
        <f t="shared" si="3"/>
        <v>10302800</v>
      </c>
      <c r="P21" s="131"/>
      <c r="Q21" s="161"/>
    </row>
    <row r="22" spans="1:17" s="95" customFormat="1" ht="41.65" customHeight="1" x14ac:dyDescent="0.4">
      <c r="A22" s="65"/>
      <c r="B22" s="32"/>
      <c r="C22" s="33" t="str">
        <f>C62</f>
        <v>субвенції з державного бюджету місцевим бюджетам на надання державної пітримки особам з особливими освітніми потребами</v>
      </c>
      <c r="D22" s="66">
        <f>D62</f>
        <v>891200</v>
      </c>
      <c r="E22" s="66">
        <f t="shared" ref="E22:O22" si="4">E62</f>
        <v>891200</v>
      </c>
      <c r="F22" s="66">
        <f t="shared" si="4"/>
        <v>730490</v>
      </c>
      <c r="G22" s="66">
        <f t="shared" si="4"/>
        <v>0</v>
      </c>
      <c r="H22" s="66">
        <f t="shared" si="4"/>
        <v>0</v>
      </c>
      <c r="I22" s="66">
        <f t="shared" si="4"/>
        <v>0</v>
      </c>
      <c r="J22" s="66">
        <f t="shared" si="4"/>
        <v>0</v>
      </c>
      <c r="K22" s="66">
        <f t="shared" si="4"/>
        <v>0</v>
      </c>
      <c r="L22" s="66">
        <f t="shared" si="4"/>
        <v>0</v>
      </c>
      <c r="M22" s="66">
        <f t="shared" si="4"/>
        <v>0</v>
      </c>
      <c r="N22" s="66">
        <f t="shared" si="4"/>
        <v>0</v>
      </c>
      <c r="O22" s="66">
        <f t="shared" si="4"/>
        <v>891200</v>
      </c>
      <c r="P22" s="131"/>
      <c r="Q22" s="161"/>
    </row>
    <row r="23" spans="1:17" s="95" customFormat="1" ht="45" x14ac:dyDescent="0.4">
      <c r="A23" s="65"/>
      <c r="B23" s="32"/>
      <c r="C23" s="33" t="str">
        <f>C78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D23" s="66">
        <f>D78</f>
        <v>24742100</v>
      </c>
      <c r="E23" s="66">
        <f t="shared" ref="E23:O23" si="5">E78</f>
        <v>24742100</v>
      </c>
      <c r="F23" s="66">
        <f t="shared" si="5"/>
        <v>20280410</v>
      </c>
      <c r="G23" s="66">
        <f t="shared" si="5"/>
        <v>0</v>
      </c>
      <c r="H23" s="66">
        <f t="shared" si="5"/>
        <v>0</v>
      </c>
      <c r="I23" s="66">
        <f t="shared" si="5"/>
        <v>0</v>
      </c>
      <c r="J23" s="66">
        <f t="shared" si="5"/>
        <v>0</v>
      </c>
      <c r="K23" s="66">
        <f t="shared" si="5"/>
        <v>0</v>
      </c>
      <c r="L23" s="66">
        <f t="shared" si="5"/>
        <v>0</v>
      </c>
      <c r="M23" s="66">
        <f t="shared" si="5"/>
        <v>0</v>
      </c>
      <c r="N23" s="66">
        <f t="shared" si="5"/>
        <v>0</v>
      </c>
      <c r="O23" s="66">
        <f t="shared" si="5"/>
        <v>24742100</v>
      </c>
      <c r="P23" s="131"/>
      <c r="Q23" s="161"/>
    </row>
    <row r="24" spans="1:17" s="95" customFormat="1" ht="45" x14ac:dyDescent="0.4">
      <c r="A24" s="65"/>
      <c r="B24" s="32"/>
      <c r="C24" s="33" t="str">
        <f>C76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D24" s="66">
        <f>D76</f>
        <v>0</v>
      </c>
      <c r="E24" s="66">
        <f t="shared" ref="E24:O24" si="6">E76</f>
        <v>0</v>
      </c>
      <c r="F24" s="66">
        <f t="shared" si="6"/>
        <v>0</v>
      </c>
      <c r="G24" s="66">
        <f t="shared" si="6"/>
        <v>0</v>
      </c>
      <c r="H24" s="66">
        <f t="shared" si="6"/>
        <v>0</v>
      </c>
      <c r="I24" s="66">
        <f t="shared" si="6"/>
        <v>22533600</v>
      </c>
      <c r="J24" s="66">
        <f t="shared" si="6"/>
        <v>0</v>
      </c>
      <c r="K24" s="66">
        <f t="shared" si="6"/>
        <v>22533600</v>
      </c>
      <c r="L24" s="66">
        <f t="shared" si="6"/>
        <v>0</v>
      </c>
      <c r="M24" s="66">
        <f t="shared" si="6"/>
        <v>0</v>
      </c>
      <c r="N24" s="66">
        <f t="shared" si="6"/>
        <v>0</v>
      </c>
      <c r="O24" s="66">
        <f t="shared" si="6"/>
        <v>22533600</v>
      </c>
      <c r="P24" s="131"/>
      <c r="Q24" s="161"/>
    </row>
    <row r="25" spans="1:17" s="121" customFormat="1" ht="75" x14ac:dyDescent="0.4">
      <c r="A25" s="65"/>
      <c r="B25" s="32"/>
      <c r="C25" s="33" t="str">
        <f>C64</f>
        <v>субвенції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v>
      </c>
      <c r="D25" s="66">
        <f>D64</f>
        <v>2442000</v>
      </c>
      <c r="E25" s="66">
        <f t="shared" ref="E25:O25" si="7">E64</f>
        <v>2442000</v>
      </c>
      <c r="F25" s="66">
        <f t="shared" si="7"/>
        <v>0</v>
      </c>
      <c r="G25" s="66">
        <f t="shared" si="7"/>
        <v>0</v>
      </c>
      <c r="H25" s="66">
        <f t="shared" si="7"/>
        <v>0</v>
      </c>
      <c r="I25" s="66">
        <f t="shared" si="7"/>
        <v>12258000</v>
      </c>
      <c r="J25" s="66">
        <f t="shared" si="7"/>
        <v>12258000</v>
      </c>
      <c r="K25" s="66">
        <f t="shared" si="7"/>
        <v>0</v>
      </c>
      <c r="L25" s="66">
        <f t="shared" si="7"/>
        <v>0</v>
      </c>
      <c r="M25" s="66">
        <f t="shared" si="7"/>
        <v>0</v>
      </c>
      <c r="N25" s="66">
        <f t="shared" si="7"/>
        <v>12258000</v>
      </c>
      <c r="O25" s="66">
        <f t="shared" si="7"/>
        <v>14700000</v>
      </c>
      <c r="P25" s="131"/>
      <c r="Q25" s="161"/>
    </row>
    <row r="26" spans="1:17" s="126" customFormat="1" ht="79.900000000000006" customHeight="1" x14ac:dyDescent="0.4">
      <c r="A26" s="65"/>
      <c r="B26" s="32"/>
      <c r="C26" s="33" t="str">
        <f>C74</f>
        <v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D26" s="66">
        <f>D74</f>
        <v>0</v>
      </c>
      <c r="E26" s="66">
        <f t="shared" ref="E26:O26" si="8">E74</f>
        <v>0</v>
      </c>
      <c r="F26" s="66">
        <f t="shared" si="8"/>
        <v>0</v>
      </c>
      <c r="G26" s="66">
        <f t="shared" si="8"/>
        <v>0</v>
      </c>
      <c r="H26" s="66">
        <f t="shared" si="8"/>
        <v>0</v>
      </c>
      <c r="I26" s="66">
        <f t="shared" si="8"/>
        <v>22450000</v>
      </c>
      <c r="J26" s="66">
        <f t="shared" si="8"/>
        <v>22450000</v>
      </c>
      <c r="K26" s="66">
        <f t="shared" si="8"/>
        <v>0</v>
      </c>
      <c r="L26" s="66">
        <f t="shared" si="8"/>
        <v>0</v>
      </c>
      <c r="M26" s="66">
        <f t="shared" si="8"/>
        <v>0</v>
      </c>
      <c r="N26" s="66">
        <f t="shared" si="8"/>
        <v>22450000</v>
      </c>
      <c r="O26" s="66">
        <f t="shared" si="8"/>
        <v>22450000</v>
      </c>
      <c r="P26" s="131"/>
      <c r="Q26" s="161"/>
    </row>
    <row r="27" spans="1:17" s="95" customFormat="1" ht="99.75" customHeight="1" x14ac:dyDescent="0.4">
      <c r="A27" s="65"/>
      <c r="B27" s="32"/>
      <c r="C27" s="33" t="str">
        <f>C47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D27" s="66">
        <f t="shared" ref="D27:O27" si="9">D47+D72</f>
        <v>0</v>
      </c>
      <c r="E27" s="66">
        <f t="shared" si="9"/>
        <v>0</v>
      </c>
      <c r="F27" s="66">
        <f t="shared" si="9"/>
        <v>0</v>
      </c>
      <c r="G27" s="66">
        <f t="shared" si="9"/>
        <v>0</v>
      </c>
      <c r="H27" s="66">
        <f t="shared" si="9"/>
        <v>0</v>
      </c>
      <c r="I27" s="66">
        <f t="shared" si="9"/>
        <v>35673973.670000002</v>
      </c>
      <c r="J27" s="66">
        <f t="shared" si="9"/>
        <v>35673973.670000002</v>
      </c>
      <c r="K27" s="66">
        <f t="shared" si="9"/>
        <v>0</v>
      </c>
      <c r="L27" s="66">
        <f t="shared" si="9"/>
        <v>0</v>
      </c>
      <c r="M27" s="66">
        <f t="shared" si="9"/>
        <v>0</v>
      </c>
      <c r="N27" s="66">
        <f t="shared" si="9"/>
        <v>35673973.670000002</v>
      </c>
      <c r="O27" s="66">
        <f t="shared" si="9"/>
        <v>35673973.670000002</v>
      </c>
      <c r="P27" s="131"/>
      <c r="Q27" s="161"/>
    </row>
    <row r="28" spans="1:17" s="95" customFormat="1" ht="69.75" customHeight="1" x14ac:dyDescent="0.4">
      <c r="A28" s="65"/>
      <c r="B28" s="32"/>
      <c r="C28" s="33" t="str">
        <f>C80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D28" s="66">
        <f>D80</f>
        <v>0</v>
      </c>
      <c r="E28" s="66">
        <f t="shared" ref="E28:O28" si="10">E80</f>
        <v>0</v>
      </c>
      <c r="F28" s="66">
        <f t="shared" si="10"/>
        <v>0</v>
      </c>
      <c r="G28" s="66">
        <f t="shared" si="10"/>
        <v>0</v>
      </c>
      <c r="H28" s="66">
        <f t="shared" si="10"/>
        <v>0</v>
      </c>
      <c r="I28" s="66">
        <f t="shared" si="10"/>
        <v>2892900</v>
      </c>
      <c r="J28" s="66">
        <f t="shared" si="10"/>
        <v>0</v>
      </c>
      <c r="K28" s="66">
        <f t="shared" si="10"/>
        <v>2892900</v>
      </c>
      <c r="L28" s="66">
        <f t="shared" si="10"/>
        <v>0</v>
      </c>
      <c r="M28" s="66">
        <f t="shared" si="10"/>
        <v>0</v>
      </c>
      <c r="N28" s="66">
        <f t="shared" si="10"/>
        <v>0</v>
      </c>
      <c r="O28" s="66">
        <f t="shared" si="10"/>
        <v>2892900</v>
      </c>
      <c r="P28" s="131"/>
      <c r="Q28" s="161"/>
    </row>
    <row r="29" spans="1:17" s="95" customFormat="1" ht="55.5" customHeight="1" x14ac:dyDescent="0.4">
      <c r="A29" s="65"/>
      <c r="B29" s="32"/>
      <c r="C29" s="33" t="str">
        <f>C81</f>
        <v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D29" s="66">
        <f>D81</f>
        <v>0</v>
      </c>
      <c r="E29" s="66">
        <f t="shared" ref="E29:O29" si="11">E81</f>
        <v>0</v>
      </c>
      <c r="F29" s="66">
        <f t="shared" si="11"/>
        <v>0</v>
      </c>
      <c r="G29" s="66">
        <f t="shared" si="11"/>
        <v>0</v>
      </c>
      <c r="H29" s="66">
        <f t="shared" si="11"/>
        <v>0</v>
      </c>
      <c r="I29" s="66">
        <f t="shared" si="11"/>
        <v>2892900</v>
      </c>
      <c r="J29" s="66">
        <f t="shared" si="11"/>
        <v>0</v>
      </c>
      <c r="K29" s="66">
        <f t="shared" si="11"/>
        <v>2892900</v>
      </c>
      <c r="L29" s="66">
        <f t="shared" si="11"/>
        <v>0</v>
      </c>
      <c r="M29" s="66">
        <f t="shared" si="11"/>
        <v>0</v>
      </c>
      <c r="N29" s="66">
        <f t="shared" si="11"/>
        <v>0</v>
      </c>
      <c r="O29" s="66">
        <f t="shared" si="11"/>
        <v>2892900</v>
      </c>
      <c r="P29" s="131"/>
      <c r="Q29" s="161"/>
    </row>
    <row r="30" spans="1:17" s="95" customFormat="1" ht="99" customHeight="1" x14ac:dyDescent="0.4">
      <c r="A30" s="65"/>
      <c r="B30" s="32"/>
      <c r="C30" s="33" t="str">
        <f>C67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D30" s="66">
        <f>D67</f>
        <v>0</v>
      </c>
      <c r="E30" s="66">
        <f t="shared" ref="E30:O30" si="12">E67</f>
        <v>0</v>
      </c>
      <c r="F30" s="66">
        <f t="shared" si="12"/>
        <v>0</v>
      </c>
      <c r="G30" s="66">
        <f t="shared" si="12"/>
        <v>0</v>
      </c>
      <c r="H30" s="66">
        <f t="shared" si="12"/>
        <v>0</v>
      </c>
      <c r="I30" s="66">
        <f t="shared" si="12"/>
        <v>213902286</v>
      </c>
      <c r="J30" s="66">
        <f t="shared" si="12"/>
        <v>213902286</v>
      </c>
      <c r="K30" s="66">
        <f t="shared" si="12"/>
        <v>0</v>
      </c>
      <c r="L30" s="66">
        <f t="shared" si="12"/>
        <v>0</v>
      </c>
      <c r="M30" s="66">
        <f t="shared" si="12"/>
        <v>0</v>
      </c>
      <c r="N30" s="66">
        <f t="shared" si="12"/>
        <v>213902286</v>
      </c>
      <c r="O30" s="66">
        <f t="shared" si="12"/>
        <v>213902286</v>
      </c>
      <c r="P30" s="162">
        <v>2</v>
      </c>
      <c r="Q30" s="161"/>
    </row>
    <row r="31" spans="1:17" s="95" customFormat="1" ht="30" x14ac:dyDescent="0.4">
      <c r="A31" s="65"/>
      <c r="B31" s="32"/>
      <c r="C31" s="99" t="str">
        <f>C39</f>
        <v>субвенції з місцевого бюджету на здійснення переданих видатків у сфері освіти за рахунок коштів освітньої субвенції</v>
      </c>
      <c r="D31" s="66">
        <f t="shared" ref="D31:O31" si="13">D39+D56+D51</f>
        <v>3648622.55</v>
      </c>
      <c r="E31" s="66">
        <f t="shared" si="13"/>
        <v>3648622.55</v>
      </c>
      <c r="F31" s="66">
        <f t="shared" si="13"/>
        <v>1268474</v>
      </c>
      <c r="G31" s="66">
        <f t="shared" si="13"/>
        <v>0</v>
      </c>
      <c r="H31" s="66">
        <f t="shared" si="13"/>
        <v>0</v>
      </c>
      <c r="I31" s="66">
        <f t="shared" si="13"/>
        <v>0</v>
      </c>
      <c r="J31" s="66">
        <f t="shared" si="13"/>
        <v>0</v>
      </c>
      <c r="K31" s="66">
        <f t="shared" si="13"/>
        <v>0</v>
      </c>
      <c r="L31" s="66">
        <f t="shared" si="13"/>
        <v>0</v>
      </c>
      <c r="M31" s="66">
        <f t="shared" si="13"/>
        <v>0</v>
      </c>
      <c r="N31" s="66">
        <f t="shared" si="13"/>
        <v>0</v>
      </c>
      <c r="O31" s="66">
        <f t="shared" si="13"/>
        <v>3648622.55</v>
      </c>
      <c r="P31" s="162"/>
      <c r="Q31" s="161"/>
    </row>
    <row r="32" spans="1:17" s="95" customFormat="1" ht="15" x14ac:dyDescent="0.4">
      <c r="A32" s="65"/>
      <c r="B32" s="32"/>
      <c r="C32" s="99" t="str">
        <f>C48</f>
        <v>іншої субвенції з місцевого бюджету</v>
      </c>
      <c r="D32" s="66">
        <f>D48</f>
        <v>29494</v>
      </c>
      <c r="E32" s="66">
        <f t="shared" ref="E32:O32" si="14">E48</f>
        <v>29494</v>
      </c>
      <c r="F32" s="66">
        <f t="shared" si="14"/>
        <v>24176</v>
      </c>
      <c r="G32" s="66">
        <f t="shared" si="14"/>
        <v>0</v>
      </c>
      <c r="H32" s="66">
        <f t="shared" si="14"/>
        <v>0</v>
      </c>
      <c r="I32" s="66">
        <f t="shared" si="14"/>
        <v>4500000</v>
      </c>
      <c r="J32" s="66">
        <f t="shared" si="14"/>
        <v>4500000</v>
      </c>
      <c r="K32" s="66">
        <f t="shared" si="14"/>
        <v>0</v>
      </c>
      <c r="L32" s="66">
        <f t="shared" si="14"/>
        <v>0</v>
      </c>
      <c r="M32" s="66">
        <f t="shared" si="14"/>
        <v>0</v>
      </c>
      <c r="N32" s="66">
        <f t="shared" si="14"/>
        <v>4500000</v>
      </c>
      <c r="O32" s="66">
        <f t="shared" si="14"/>
        <v>4529494</v>
      </c>
      <c r="P32" s="162"/>
      <c r="Q32" s="161"/>
    </row>
    <row r="33" spans="1:17" ht="23.25" customHeight="1" x14ac:dyDescent="0.45">
      <c r="A33" s="61" t="s">
        <v>40</v>
      </c>
      <c r="B33" s="61" t="s">
        <v>41</v>
      </c>
      <c r="C33" s="62" t="s">
        <v>315</v>
      </c>
      <c r="D33" s="63">
        <f>'дод 3'!E57+'дод 3'!E216</f>
        <v>372827900</v>
      </c>
      <c r="E33" s="63">
        <f>'дод 3'!F57+'дод 3'!F216</f>
        <v>372827900</v>
      </c>
      <c r="F33" s="63">
        <f>'дод 3'!G57+'дод 3'!G216</f>
        <v>253895000</v>
      </c>
      <c r="G33" s="63">
        <f>'дод 3'!H57+'дод 3'!H216</f>
        <v>47086600</v>
      </c>
      <c r="H33" s="63">
        <f>'дод 3'!I57+'дод 3'!I216</f>
        <v>0</v>
      </c>
      <c r="I33" s="63">
        <f>'дод 3'!J57+'дод 3'!J216</f>
        <v>17052030</v>
      </c>
      <c r="J33" s="63">
        <f>'дод 3'!K57+'дод 3'!K216</f>
        <v>0</v>
      </c>
      <c r="K33" s="63">
        <f>'дод 3'!L57+'дод 3'!L216</f>
        <v>17052030</v>
      </c>
      <c r="L33" s="63">
        <f>'дод 3'!M57+'дод 3'!M216</f>
        <v>0</v>
      </c>
      <c r="M33" s="63">
        <f>'дод 3'!N57+'дод 3'!N216</f>
        <v>0</v>
      </c>
      <c r="N33" s="63">
        <f>'дод 3'!O57+'дод 3'!O216</f>
        <v>0</v>
      </c>
      <c r="O33" s="63">
        <f>'дод 3'!P57+'дод 3'!P216</f>
        <v>389879930</v>
      </c>
      <c r="P33" s="162"/>
      <c r="Q33" s="161"/>
    </row>
    <row r="34" spans="1:17" ht="31.5" customHeight="1" x14ac:dyDescent="0.45">
      <c r="A34" s="61">
        <v>1021</v>
      </c>
      <c r="B34" s="61" t="s">
        <v>43</v>
      </c>
      <c r="C34" s="27" t="s">
        <v>375</v>
      </c>
      <c r="D34" s="63">
        <f>'дод 3'!E58+'дод 3'!E217</f>
        <v>276673151</v>
      </c>
      <c r="E34" s="63">
        <f>'дод 3'!F58+'дод 3'!F217</f>
        <v>276673151</v>
      </c>
      <c r="F34" s="63">
        <f>'дод 3'!G58+'дод 3'!G217</f>
        <v>145056200</v>
      </c>
      <c r="G34" s="63">
        <f>'дод 3'!H58+'дод 3'!H217</f>
        <v>65222400</v>
      </c>
      <c r="H34" s="63">
        <f>'дод 3'!I58+'дод 3'!I217</f>
        <v>0</v>
      </c>
      <c r="I34" s="63">
        <f>'дод 3'!J58+'дод 3'!J217</f>
        <v>27049410</v>
      </c>
      <c r="J34" s="63">
        <f>'дод 3'!K58+'дод 3'!K217</f>
        <v>6854000</v>
      </c>
      <c r="K34" s="63">
        <f>'дод 3'!L58+'дод 3'!L217</f>
        <v>20195410</v>
      </c>
      <c r="L34" s="63">
        <f>'дод 3'!M58+'дод 3'!M217</f>
        <v>2627920</v>
      </c>
      <c r="M34" s="63">
        <f>'дод 3'!N58+'дод 3'!N217</f>
        <v>244330</v>
      </c>
      <c r="N34" s="63">
        <f>'дод 3'!O58+'дод 3'!O217</f>
        <v>6854000</v>
      </c>
      <c r="O34" s="63">
        <f>'дод 3'!P58+'дод 3'!P217</f>
        <v>303722561</v>
      </c>
      <c r="P34" s="162"/>
      <c r="Q34" s="161"/>
    </row>
    <row r="35" spans="1:17" ht="74.25" customHeight="1" x14ac:dyDescent="0.45">
      <c r="A35" s="61">
        <v>1022</v>
      </c>
      <c r="B35" s="25" t="s">
        <v>46</v>
      </c>
      <c r="C35" s="27" t="s">
        <v>371</v>
      </c>
      <c r="D35" s="63">
        <f>'дод 3'!E59</f>
        <v>18577200</v>
      </c>
      <c r="E35" s="63">
        <f>'дод 3'!F59</f>
        <v>18577200</v>
      </c>
      <c r="F35" s="63">
        <f>'дод 3'!G59</f>
        <v>11223500</v>
      </c>
      <c r="G35" s="63">
        <f>'дод 3'!H59</f>
        <v>3058200</v>
      </c>
      <c r="H35" s="63">
        <f>'дод 3'!I59</f>
        <v>0</v>
      </c>
      <c r="I35" s="63">
        <f>'дод 3'!J59</f>
        <v>0</v>
      </c>
      <c r="J35" s="63">
        <f>'дод 3'!K59</f>
        <v>0</v>
      </c>
      <c r="K35" s="63">
        <f>'дод 3'!L59</f>
        <v>0</v>
      </c>
      <c r="L35" s="63">
        <f>'дод 3'!M59</f>
        <v>0</v>
      </c>
      <c r="M35" s="63">
        <f>'дод 3'!N59</f>
        <v>0</v>
      </c>
      <c r="N35" s="63">
        <f>'дод 3'!O59</f>
        <v>0</v>
      </c>
      <c r="O35" s="63">
        <f>'дод 3'!P59</f>
        <v>18577200</v>
      </c>
      <c r="P35" s="162"/>
      <c r="Q35" s="161"/>
    </row>
    <row r="36" spans="1:17" ht="63.75" customHeight="1" x14ac:dyDescent="0.45">
      <c r="A36" s="61">
        <v>1025</v>
      </c>
      <c r="B36" s="61" t="s">
        <v>46</v>
      </c>
      <c r="C36" s="40" t="s">
        <v>372</v>
      </c>
      <c r="D36" s="63">
        <f>'дод 3'!E60</f>
        <v>13453600</v>
      </c>
      <c r="E36" s="63">
        <f>'дод 3'!F60</f>
        <v>13453600</v>
      </c>
      <c r="F36" s="63">
        <f>'дод 3'!G60</f>
        <v>9459000</v>
      </c>
      <c r="G36" s="63">
        <f>'дод 3'!H60</f>
        <v>1260200</v>
      </c>
      <c r="H36" s="63">
        <f>'дод 3'!I60</f>
        <v>0</v>
      </c>
      <c r="I36" s="63">
        <f>'дод 3'!J60</f>
        <v>0</v>
      </c>
      <c r="J36" s="63">
        <f>'дод 3'!K60</f>
        <v>0</v>
      </c>
      <c r="K36" s="63">
        <f>'дод 3'!L60</f>
        <v>0</v>
      </c>
      <c r="L36" s="63">
        <f>'дод 3'!M60</f>
        <v>0</v>
      </c>
      <c r="M36" s="63">
        <f>'дод 3'!N60</f>
        <v>0</v>
      </c>
      <c r="N36" s="63">
        <f>'дод 3'!O60</f>
        <v>0</v>
      </c>
      <c r="O36" s="63">
        <f>'дод 3'!P60</f>
        <v>13453600</v>
      </c>
      <c r="P36" s="162"/>
      <c r="Q36" s="161"/>
    </row>
    <row r="37" spans="1:17" ht="57.75" customHeight="1" x14ac:dyDescent="0.45">
      <c r="A37" s="61">
        <v>1031</v>
      </c>
      <c r="B37" s="61">
        <v>921</v>
      </c>
      <c r="C37" s="40" t="s">
        <v>400</v>
      </c>
      <c r="D37" s="63">
        <f>'дод 3'!E61</f>
        <v>311742647</v>
      </c>
      <c r="E37" s="63">
        <f>'дод 3'!F61</f>
        <v>311742647</v>
      </c>
      <c r="F37" s="63">
        <f>'дод 3'!G61</f>
        <v>253806400</v>
      </c>
      <c r="G37" s="63">
        <f>'дод 3'!H61</f>
        <v>0</v>
      </c>
      <c r="H37" s="63">
        <f>'дод 3'!I61</f>
        <v>0</v>
      </c>
      <c r="I37" s="63">
        <f>'дод 3'!J61</f>
        <v>0</v>
      </c>
      <c r="J37" s="63">
        <f>'дод 3'!K61</f>
        <v>0</v>
      </c>
      <c r="K37" s="63">
        <f>'дод 3'!L61</f>
        <v>0</v>
      </c>
      <c r="L37" s="63">
        <f>'дод 3'!M61</f>
        <v>0</v>
      </c>
      <c r="M37" s="63">
        <f>'дод 3'!N61</f>
        <v>0</v>
      </c>
      <c r="N37" s="63">
        <f>'дод 3'!O61</f>
        <v>0</v>
      </c>
      <c r="O37" s="63">
        <f>'дод 3'!P61</f>
        <v>311742647</v>
      </c>
      <c r="P37" s="162"/>
      <c r="Q37" s="161"/>
    </row>
    <row r="38" spans="1:17" x14ac:dyDescent="0.45">
      <c r="A38" s="61"/>
      <c r="B38" s="61"/>
      <c r="C38" s="36" t="s">
        <v>406</v>
      </c>
      <c r="D38" s="63">
        <f>'дод 3'!E62</f>
        <v>309641500</v>
      </c>
      <c r="E38" s="63">
        <f>'дод 3'!F62</f>
        <v>309641500</v>
      </c>
      <c r="F38" s="63">
        <f>'дод 3'!G62</f>
        <v>253806400</v>
      </c>
      <c r="G38" s="63">
        <f>'дод 3'!H62</f>
        <v>0</v>
      </c>
      <c r="H38" s="63">
        <f>'дод 3'!I62</f>
        <v>0</v>
      </c>
      <c r="I38" s="63">
        <f>'дод 3'!J62</f>
        <v>0</v>
      </c>
      <c r="J38" s="63">
        <f>'дод 3'!K62</f>
        <v>0</v>
      </c>
      <c r="K38" s="63">
        <f>'дод 3'!L62</f>
        <v>0</v>
      </c>
      <c r="L38" s="63">
        <f>'дод 3'!M62</f>
        <v>0</v>
      </c>
      <c r="M38" s="63">
        <f>'дод 3'!N62</f>
        <v>0</v>
      </c>
      <c r="N38" s="63">
        <f>'дод 3'!O62</f>
        <v>0</v>
      </c>
      <c r="O38" s="63">
        <f>'дод 3'!P62</f>
        <v>309641500</v>
      </c>
      <c r="P38" s="162"/>
      <c r="Q38" s="161"/>
    </row>
    <row r="39" spans="1:17" s="92" customFormat="1" ht="57.75" customHeight="1" x14ac:dyDescent="0.45">
      <c r="A39" s="67"/>
      <c r="B39" s="67"/>
      <c r="C39" s="39" t="s">
        <v>399</v>
      </c>
      <c r="D39" s="68">
        <f>'дод 3'!E63</f>
        <v>2101147</v>
      </c>
      <c r="E39" s="68">
        <f>'дод 3'!F63</f>
        <v>2101147</v>
      </c>
      <c r="F39" s="68">
        <f>'дод 3'!G63</f>
        <v>0</v>
      </c>
      <c r="G39" s="68">
        <f>'дод 3'!H63</f>
        <v>0</v>
      </c>
      <c r="H39" s="68">
        <f>'дод 3'!I63</f>
        <v>0</v>
      </c>
      <c r="I39" s="68">
        <f>'дод 3'!J63</f>
        <v>0</v>
      </c>
      <c r="J39" s="68">
        <f>'дод 3'!K63</f>
        <v>0</v>
      </c>
      <c r="K39" s="68">
        <f>'дод 3'!L63</f>
        <v>0</v>
      </c>
      <c r="L39" s="68">
        <f>'дод 3'!M63</f>
        <v>0</v>
      </c>
      <c r="M39" s="68">
        <f>'дод 3'!N63</f>
        <v>0</v>
      </c>
      <c r="N39" s="68">
        <f>'дод 3'!O63</f>
        <v>0</v>
      </c>
      <c r="O39" s="68">
        <f>'дод 3'!P63</f>
        <v>2101147</v>
      </c>
      <c r="P39" s="162"/>
      <c r="Q39" s="161"/>
    </row>
    <row r="40" spans="1:17" s="92" customFormat="1" ht="88.5" customHeight="1" x14ac:dyDescent="0.45">
      <c r="A40" s="69" t="s">
        <v>408</v>
      </c>
      <c r="B40" s="69" t="s">
        <v>46</v>
      </c>
      <c r="C40" s="70" t="s">
        <v>409</v>
      </c>
      <c r="D40" s="63">
        <f>'дод 3'!E64</f>
        <v>12847200</v>
      </c>
      <c r="E40" s="63">
        <f>'дод 3'!F64</f>
        <v>12847200</v>
      </c>
      <c r="F40" s="63">
        <f>'дод 3'!G64</f>
        <v>10530500</v>
      </c>
      <c r="G40" s="63">
        <f>'дод 3'!H64</f>
        <v>0</v>
      </c>
      <c r="H40" s="63">
        <f>'дод 3'!I64</f>
        <v>0</v>
      </c>
      <c r="I40" s="63">
        <f>'дод 3'!J64</f>
        <v>0</v>
      </c>
      <c r="J40" s="63">
        <f>'дод 3'!K64</f>
        <v>0</v>
      </c>
      <c r="K40" s="63">
        <f>'дод 3'!L64</f>
        <v>0</v>
      </c>
      <c r="L40" s="63">
        <f>'дод 3'!M64</f>
        <v>0</v>
      </c>
      <c r="M40" s="63">
        <f>'дод 3'!N64</f>
        <v>0</v>
      </c>
      <c r="N40" s="63">
        <f>'дод 3'!O64</f>
        <v>0</v>
      </c>
      <c r="O40" s="63">
        <f>'дод 3'!P64</f>
        <v>12847200</v>
      </c>
      <c r="P40" s="162"/>
      <c r="Q40" s="161"/>
    </row>
    <row r="41" spans="1:17" s="92" customFormat="1" x14ac:dyDescent="0.45">
      <c r="A41" s="67"/>
      <c r="B41" s="67"/>
      <c r="C41" s="39" t="s">
        <v>406</v>
      </c>
      <c r="D41" s="68">
        <f>'дод 3'!E65</f>
        <v>12847200</v>
      </c>
      <c r="E41" s="68">
        <f>'дод 3'!F65</f>
        <v>12847200</v>
      </c>
      <c r="F41" s="68">
        <f>'дод 3'!G65</f>
        <v>10530500</v>
      </c>
      <c r="G41" s="68">
        <f>'дод 3'!H65</f>
        <v>0</v>
      </c>
      <c r="H41" s="68">
        <f>'дод 3'!I65</f>
        <v>0</v>
      </c>
      <c r="I41" s="68">
        <f>'дод 3'!J65</f>
        <v>0</v>
      </c>
      <c r="J41" s="68">
        <f>'дод 3'!K65</f>
        <v>0</v>
      </c>
      <c r="K41" s="68">
        <f>'дод 3'!L65</f>
        <v>0</v>
      </c>
      <c r="L41" s="68">
        <f>'дод 3'!M65</f>
        <v>0</v>
      </c>
      <c r="M41" s="68">
        <f>'дод 3'!N65</f>
        <v>0</v>
      </c>
      <c r="N41" s="68">
        <f>'дод 3'!O65</f>
        <v>0</v>
      </c>
      <c r="O41" s="68">
        <f>'дод 3'!P65</f>
        <v>12847200</v>
      </c>
      <c r="P41" s="162"/>
      <c r="Q41" s="161"/>
    </row>
    <row r="42" spans="1:17" ht="70.900000000000006" customHeight="1" x14ac:dyDescent="0.45">
      <c r="A42" s="61">
        <v>1035</v>
      </c>
      <c r="B42" s="61" t="s">
        <v>46</v>
      </c>
      <c r="C42" s="27" t="s">
        <v>410</v>
      </c>
      <c r="D42" s="63">
        <f>'дод 3'!E66</f>
        <v>1068600</v>
      </c>
      <c r="E42" s="63">
        <f>'дод 3'!F66</f>
        <v>1068600</v>
      </c>
      <c r="F42" s="63">
        <f>'дод 3'!G66</f>
        <v>875900</v>
      </c>
      <c r="G42" s="63">
        <f>'дод 3'!H66</f>
        <v>0</v>
      </c>
      <c r="H42" s="63">
        <f>'дод 3'!I66</f>
        <v>0</v>
      </c>
      <c r="I42" s="63">
        <f>'дод 3'!J66</f>
        <v>0</v>
      </c>
      <c r="J42" s="63">
        <f>'дод 3'!K66</f>
        <v>0</v>
      </c>
      <c r="K42" s="63">
        <f>'дод 3'!L66</f>
        <v>0</v>
      </c>
      <c r="L42" s="63">
        <f>'дод 3'!M66</f>
        <v>0</v>
      </c>
      <c r="M42" s="63">
        <f>'дод 3'!N66</f>
        <v>0</v>
      </c>
      <c r="N42" s="63">
        <f>'дод 3'!O66</f>
        <v>0</v>
      </c>
      <c r="O42" s="63">
        <f>'дод 3'!P66</f>
        <v>1068600</v>
      </c>
      <c r="P42" s="162"/>
      <c r="Q42" s="161"/>
    </row>
    <row r="43" spans="1:17" s="92" customFormat="1" ht="26.25" customHeight="1" x14ac:dyDescent="0.45">
      <c r="A43" s="61"/>
      <c r="B43" s="61"/>
      <c r="C43" s="39" t="s">
        <v>406</v>
      </c>
      <c r="D43" s="68">
        <f>'дод 3'!E67</f>
        <v>1068600</v>
      </c>
      <c r="E43" s="68">
        <f>'дод 3'!F67</f>
        <v>1068600</v>
      </c>
      <c r="F43" s="68">
        <f>'дод 3'!G67</f>
        <v>875900</v>
      </c>
      <c r="G43" s="68">
        <f>'дод 3'!H67</f>
        <v>0</v>
      </c>
      <c r="H43" s="68">
        <f>'дод 3'!I67</f>
        <v>0</v>
      </c>
      <c r="I43" s="68">
        <f>'дод 3'!J67</f>
        <v>0</v>
      </c>
      <c r="J43" s="68">
        <f>'дод 3'!K67</f>
        <v>0</v>
      </c>
      <c r="K43" s="68">
        <f>'дод 3'!L67</f>
        <v>0</v>
      </c>
      <c r="L43" s="68">
        <f>'дод 3'!M67</f>
        <v>0</v>
      </c>
      <c r="M43" s="68">
        <f>'дод 3'!N67</f>
        <v>0</v>
      </c>
      <c r="N43" s="68">
        <f>'дод 3'!O67</f>
        <v>0</v>
      </c>
      <c r="O43" s="68">
        <f>'дод 3'!P67</f>
        <v>1068600</v>
      </c>
      <c r="P43" s="162"/>
      <c r="Q43" s="161"/>
    </row>
    <row r="44" spans="1:17" s="92" customFormat="1" ht="38.25" customHeight="1" x14ac:dyDescent="0.45">
      <c r="A44" s="25" t="s">
        <v>45</v>
      </c>
      <c r="B44" s="25" t="s">
        <v>48</v>
      </c>
      <c r="C44" s="27" t="s">
        <v>280</v>
      </c>
      <c r="D44" s="63">
        <f>'дод 3'!E68</f>
        <v>47805900</v>
      </c>
      <c r="E44" s="63">
        <f>'дод 3'!F68</f>
        <v>47805900</v>
      </c>
      <c r="F44" s="63">
        <f>'дод 3'!G68</f>
        <v>32550000</v>
      </c>
      <c r="G44" s="63">
        <f>'дод 3'!H68</f>
        <v>7564900</v>
      </c>
      <c r="H44" s="63">
        <f>'дод 3'!I68</f>
        <v>0</v>
      </c>
      <c r="I44" s="63">
        <f>'дод 3'!J68</f>
        <v>0</v>
      </c>
      <c r="J44" s="63">
        <f>'дод 3'!K68</f>
        <v>0</v>
      </c>
      <c r="K44" s="63">
        <f>'дод 3'!L68</f>
        <v>0</v>
      </c>
      <c r="L44" s="63">
        <f>'дод 3'!M68</f>
        <v>0</v>
      </c>
      <c r="M44" s="63">
        <f>'дод 3'!N68</f>
        <v>0</v>
      </c>
      <c r="N44" s="63">
        <f>'дод 3'!O68</f>
        <v>0</v>
      </c>
      <c r="O44" s="63">
        <f>'дод 3'!P68</f>
        <v>47805900</v>
      </c>
      <c r="P44" s="162"/>
      <c r="Q44" s="161"/>
    </row>
    <row r="45" spans="1:17" s="92" customFormat="1" ht="30" customHeight="1" x14ac:dyDescent="0.45">
      <c r="A45" s="26">
        <v>1080</v>
      </c>
      <c r="B45" s="25" t="s">
        <v>48</v>
      </c>
      <c r="C45" s="27" t="s">
        <v>323</v>
      </c>
      <c r="D45" s="63">
        <f>'дод 3'!E163</f>
        <v>58762400</v>
      </c>
      <c r="E45" s="63">
        <f>'дод 3'!F163</f>
        <v>58762400</v>
      </c>
      <c r="F45" s="63">
        <f>'дод 3'!G163</f>
        <v>46330300</v>
      </c>
      <c r="G45" s="63">
        <f>'дод 3'!H163</f>
        <v>1616300</v>
      </c>
      <c r="H45" s="63">
        <f>'дод 3'!I163</f>
        <v>0</v>
      </c>
      <c r="I45" s="63">
        <f>'дод 3'!J163</f>
        <v>3703600</v>
      </c>
      <c r="J45" s="63">
        <f>'дод 3'!K163</f>
        <v>0</v>
      </c>
      <c r="K45" s="63">
        <f>'дод 3'!L163</f>
        <v>3701400</v>
      </c>
      <c r="L45" s="63">
        <f>'дод 3'!M163</f>
        <v>3029160</v>
      </c>
      <c r="M45" s="63">
        <f>'дод 3'!N163</f>
        <v>0</v>
      </c>
      <c r="N45" s="63">
        <f>'дод 3'!O163</f>
        <v>2200</v>
      </c>
      <c r="O45" s="63">
        <f>'дод 3'!P163</f>
        <v>62466000</v>
      </c>
      <c r="P45" s="162"/>
      <c r="Q45" s="161"/>
    </row>
    <row r="46" spans="1:17" s="92" customFormat="1" ht="52.5" customHeight="1" x14ac:dyDescent="0.45">
      <c r="A46" s="26">
        <v>1091</v>
      </c>
      <c r="B46" s="25" t="s">
        <v>332</v>
      </c>
      <c r="C46" s="27" t="s">
        <v>448</v>
      </c>
      <c r="D46" s="63">
        <f>'дод 3'!E69</f>
        <v>154436194</v>
      </c>
      <c r="E46" s="63">
        <f>'дод 3'!F69</f>
        <v>154436194</v>
      </c>
      <c r="F46" s="63">
        <f>'дод 3'!G69</f>
        <v>80223576</v>
      </c>
      <c r="G46" s="63">
        <f>'дод 3'!H69</f>
        <v>24365100</v>
      </c>
      <c r="H46" s="63">
        <f>'дод 3'!I69</f>
        <v>0</v>
      </c>
      <c r="I46" s="63">
        <f>'дод 3'!J69</f>
        <v>32625160</v>
      </c>
      <c r="J46" s="63">
        <f>'дод 3'!K69</f>
        <v>10710000</v>
      </c>
      <c r="K46" s="63">
        <f>'дод 3'!L69</f>
        <v>21478160</v>
      </c>
      <c r="L46" s="63">
        <f>'дод 3'!M69</f>
        <v>7258500</v>
      </c>
      <c r="M46" s="63">
        <f>'дод 3'!N69</f>
        <v>6662500</v>
      </c>
      <c r="N46" s="63">
        <f>'дод 3'!O69</f>
        <v>11147000</v>
      </c>
      <c r="O46" s="63">
        <f>'дод 3'!P69</f>
        <v>187061354</v>
      </c>
      <c r="P46" s="162"/>
      <c r="Q46" s="161"/>
    </row>
    <row r="47" spans="1:17" s="92" customFormat="1" ht="103.5" customHeight="1" x14ac:dyDescent="0.45">
      <c r="A47" s="35"/>
      <c r="B47" s="34"/>
      <c r="C47" s="39" t="s">
        <v>452</v>
      </c>
      <c r="D47" s="68">
        <f>'дод 3'!E70</f>
        <v>0</v>
      </c>
      <c r="E47" s="68">
        <f>'дод 3'!F70</f>
        <v>0</v>
      </c>
      <c r="F47" s="68">
        <f>'дод 3'!G70</f>
        <v>0</v>
      </c>
      <c r="G47" s="68">
        <f>'дод 3'!H70</f>
        <v>0</v>
      </c>
      <c r="H47" s="68">
        <f>'дод 3'!I70</f>
        <v>0</v>
      </c>
      <c r="I47" s="68">
        <f>'дод 3'!J70</f>
        <v>6210000</v>
      </c>
      <c r="J47" s="68">
        <f>'дод 3'!K70</f>
        <v>6210000</v>
      </c>
      <c r="K47" s="68">
        <f>'дод 3'!L70</f>
        <v>0</v>
      </c>
      <c r="L47" s="68">
        <f>'дод 3'!M70</f>
        <v>0</v>
      </c>
      <c r="M47" s="68">
        <f>'дод 3'!N70</f>
        <v>0</v>
      </c>
      <c r="N47" s="68">
        <f>'дод 3'!O70</f>
        <v>6210000</v>
      </c>
      <c r="O47" s="68">
        <f>'дод 3'!P70</f>
        <v>6210000</v>
      </c>
      <c r="P47" s="162"/>
      <c r="Q47" s="161"/>
    </row>
    <row r="48" spans="1:17" s="92" customFormat="1" ht="28.5" customHeight="1" x14ac:dyDescent="0.45">
      <c r="A48" s="35"/>
      <c r="B48" s="34"/>
      <c r="C48" s="39" t="str">
        <f>'дод 3'!D71</f>
        <v>іншої субвенції з місцевого бюджету</v>
      </c>
      <c r="D48" s="68">
        <f>'дод 3'!E71</f>
        <v>29494</v>
      </c>
      <c r="E48" s="68">
        <f>'дод 3'!F71</f>
        <v>29494</v>
      </c>
      <c r="F48" s="68">
        <f>'дод 3'!G71</f>
        <v>24176</v>
      </c>
      <c r="G48" s="68">
        <f>'дод 3'!H71</f>
        <v>0</v>
      </c>
      <c r="H48" s="68">
        <f>'дод 3'!I71</f>
        <v>0</v>
      </c>
      <c r="I48" s="68">
        <f>'дод 3'!J71</f>
        <v>4500000</v>
      </c>
      <c r="J48" s="68">
        <f>'дод 3'!K71</f>
        <v>4500000</v>
      </c>
      <c r="K48" s="68">
        <f>'дод 3'!L71</f>
        <v>0</v>
      </c>
      <c r="L48" s="68">
        <f>'дод 3'!M71</f>
        <v>0</v>
      </c>
      <c r="M48" s="68">
        <f>'дод 3'!N71</f>
        <v>0</v>
      </c>
      <c r="N48" s="68">
        <f>'дод 3'!O71</f>
        <v>4500000</v>
      </c>
      <c r="O48" s="68">
        <f>'дод 3'!P71</f>
        <v>4529494</v>
      </c>
      <c r="P48" s="162"/>
      <c r="Q48" s="161"/>
    </row>
    <row r="49" spans="1:17" s="92" customFormat="1" ht="64.5" customHeight="1" x14ac:dyDescent="0.45">
      <c r="A49" s="71">
        <v>1092</v>
      </c>
      <c r="B49" s="69" t="s">
        <v>332</v>
      </c>
      <c r="C49" s="70" t="s">
        <v>412</v>
      </c>
      <c r="D49" s="63">
        <f>'дод 3'!E72</f>
        <v>13532505.550000001</v>
      </c>
      <c r="E49" s="63">
        <f>'дод 3'!F72</f>
        <v>13532505.550000001</v>
      </c>
      <c r="F49" s="63">
        <f>'дод 3'!G72</f>
        <v>11092264</v>
      </c>
      <c r="G49" s="63">
        <f>'дод 3'!H72</f>
        <v>0</v>
      </c>
      <c r="H49" s="63">
        <f>'дод 3'!I72</f>
        <v>0</v>
      </c>
      <c r="I49" s="63">
        <f>'дод 3'!J72</f>
        <v>0</v>
      </c>
      <c r="J49" s="63">
        <f>'дод 3'!K72</f>
        <v>0</v>
      </c>
      <c r="K49" s="63">
        <f>'дод 3'!L72</f>
        <v>0</v>
      </c>
      <c r="L49" s="63">
        <f>'дод 3'!M72</f>
        <v>0</v>
      </c>
      <c r="M49" s="63">
        <f>'дод 3'!N72</f>
        <v>0</v>
      </c>
      <c r="N49" s="63">
        <f>'дод 3'!O72</f>
        <v>0</v>
      </c>
      <c r="O49" s="63">
        <f>'дод 3'!P72</f>
        <v>13532505.550000001</v>
      </c>
      <c r="P49" s="162"/>
      <c r="Q49" s="161"/>
    </row>
    <row r="50" spans="1:17" s="92" customFormat="1" ht="20.25" customHeight="1" x14ac:dyDescent="0.45">
      <c r="A50" s="72"/>
      <c r="B50" s="73"/>
      <c r="C50" s="39" t="s">
        <v>406</v>
      </c>
      <c r="D50" s="68">
        <f>'дод 3'!E73</f>
        <v>13420000</v>
      </c>
      <c r="E50" s="68">
        <f>'дод 3'!F73</f>
        <v>13420000</v>
      </c>
      <c r="F50" s="68">
        <f>'дод 3'!G73</f>
        <v>11000000</v>
      </c>
      <c r="G50" s="68">
        <f>'дод 3'!H73</f>
        <v>0</v>
      </c>
      <c r="H50" s="68">
        <f>'дод 3'!I73</f>
        <v>0</v>
      </c>
      <c r="I50" s="68">
        <f>'дод 3'!J73</f>
        <v>0</v>
      </c>
      <c r="J50" s="68">
        <f>'дод 3'!K73</f>
        <v>0</v>
      </c>
      <c r="K50" s="68">
        <f>'дод 3'!L73</f>
        <v>0</v>
      </c>
      <c r="L50" s="68">
        <f>'дод 3'!M73</f>
        <v>0</v>
      </c>
      <c r="M50" s="68">
        <f>'дод 3'!N73</f>
        <v>0</v>
      </c>
      <c r="N50" s="68">
        <f>'дод 3'!O73</f>
        <v>0</v>
      </c>
      <c r="O50" s="68">
        <f>'дод 3'!P73</f>
        <v>13420000</v>
      </c>
      <c r="P50" s="162"/>
      <c r="Q50" s="161"/>
    </row>
    <row r="51" spans="1:17" s="92" customFormat="1" ht="41.65" customHeight="1" x14ac:dyDescent="0.45">
      <c r="A51" s="72"/>
      <c r="B51" s="73"/>
      <c r="C51" s="36" t="s">
        <v>509</v>
      </c>
      <c r="D51" s="68">
        <f>'дод 3'!E74</f>
        <v>112505.55</v>
      </c>
      <c r="E51" s="68">
        <f>'дод 3'!F74</f>
        <v>112505.55</v>
      </c>
      <c r="F51" s="68">
        <f>'дод 3'!G74</f>
        <v>92264</v>
      </c>
      <c r="G51" s="68">
        <f>'дод 3'!H74</f>
        <v>0</v>
      </c>
      <c r="H51" s="68">
        <f>'дод 3'!I74</f>
        <v>0</v>
      </c>
      <c r="I51" s="68">
        <f>'дод 3'!J74</f>
        <v>0</v>
      </c>
      <c r="J51" s="68">
        <f>'дод 3'!K74</f>
        <v>0</v>
      </c>
      <c r="K51" s="68">
        <f>'дод 3'!L74</f>
        <v>0</v>
      </c>
      <c r="L51" s="68">
        <f>'дод 3'!M74</f>
        <v>0</v>
      </c>
      <c r="M51" s="68">
        <f>'дод 3'!N74</f>
        <v>0</v>
      </c>
      <c r="N51" s="68">
        <f>'дод 3'!O74</f>
        <v>0</v>
      </c>
      <c r="O51" s="68">
        <f>'дод 3'!P74</f>
        <v>112505.55</v>
      </c>
      <c r="P51" s="162"/>
      <c r="Q51" s="161"/>
    </row>
    <row r="52" spans="1:17" s="92" customFormat="1" ht="24.75" customHeight="1" x14ac:dyDescent="0.45">
      <c r="A52" s="25" t="s">
        <v>301</v>
      </c>
      <c r="B52" s="25" t="s">
        <v>49</v>
      </c>
      <c r="C52" s="27" t="s">
        <v>317</v>
      </c>
      <c r="D52" s="63">
        <f>'дод 3'!E75+'дод 3'!E218</f>
        <v>14119800</v>
      </c>
      <c r="E52" s="63">
        <f>'дод 3'!F75+'дод 3'!F218</f>
        <v>14119800</v>
      </c>
      <c r="F52" s="63">
        <f>'дод 3'!G75+'дод 3'!G218</f>
        <v>9824000</v>
      </c>
      <c r="G52" s="63">
        <f>'дод 3'!H75+'дод 3'!H218</f>
        <v>1318500</v>
      </c>
      <c r="H52" s="63">
        <f>'дод 3'!I75+'дод 3'!I218</f>
        <v>0</v>
      </c>
      <c r="I52" s="63">
        <f>'дод 3'!J75+'дод 3'!J218</f>
        <v>0</v>
      </c>
      <c r="J52" s="63">
        <f>'дод 3'!K75+'дод 3'!K218</f>
        <v>0</v>
      </c>
      <c r="K52" s="63">
        <f>'дод 3'!L75+'дод 3'!L218</f>
        <v>0</v>
      </c>
      <c r="L52" s="63">
        <f>'дод 3'!M75+'дод 3'!M218</f>
        <v>0</v>
      </c>
      <c r="M52" s="63">
        <f>'дод 3'!N75+'дод 3'!N218</f>
        <v>0</v>
      </c>
      <c r="N52" s="63">
        <f>'дод 3'!O75+'дод 3'!O218</f>
        <v>0</v>
      </c>
      <c r="O52" s="63">
        <f>'дод 3'!P75+'дод 3'!P218</f>
        <v>14119800</v>
      </c>
      <c r="P52" s="162">
        <v>3</v>
      </c>
      <c r="Q52" s="161"/>
    </row>
    <row r="53" spans="1:17" ht="30" customHeight="1" x14ac:dyDescent="0.45">
      <c r="A53" s="25" t="s">
        <v>303</v>
      </c>
      <c r="B53" s="25" t="s">
        <v>49</v>
      </c>
      <c r="C53" s="27" t="s">
        <v>222</v>
      </c>
      <c r="D53" s="63">
        <f>'дод 3'!E76</f>
        <v>134000</v>
      </c>
      <c r="E53" s="63">
        <f>'дод 3'!F76</f>
        <v>134000</v>
      </c>
      <c r="F53" s="63">
        <f>'дод 3'!G76</f>
        <v>0</v>
      </c>
      <c r="G53" s="63">
        <f>'дод 3'!H76</f>
        <v>0</v>
      </c>
      <c r="H53" s="63">
        <f>'дод 3'!I76</f>
        <v>0</v>
      </c>
      <c r="I53" s="63">
        <f>'дод 3'!J76</f>
        <v>0</v>
      </c>
      <c r="J53" s="63">
        <f>'дод 3'!K76</f>
        <v>0</v>
      </c>
      <c r="K53" s="63">
        <f>'дод 3'!L76</f>
        <v>0</v>
      </c>
      <c r="L53" s="63">
        <f>'дод 3'!M76</f>
        <v>0</v>
      </c>
      <c r="M53" s="63">
        <f>'дод 3'!N76</f>
        <v>0</v>
      </c>
      <c r="N53" s="63">
        <f>'дод 3'!O76</f>
        <v>0</v>
      </c>
      <c r="O53" s="63">
        <f>'дод 3'!P76</f>
        <v>134000</v>
      </c>
      <c r="P53" s="162"/>
      <c r="Q53" s="161"/>
    </row>
    <row r="54" spans="1:17" ht="32.25" customHeight="1" x14ac:dyDescent="0.45">
      <c r="A54" s="25" t="s">
        <v>305</v>
      </c>
      <c r="B54" s="25" t="s">
        <v>49</v>
      </c>
      <c r="C54" s="27" t="s">
        <v>306</v>
      </c>
      <c r="D54" s="63">
        <f>'дод 3'!E77</f>
        <v>173400</v>
      </c>
      <c r="E54" s="63">
        <f>'дод 3'!F77</f>
        <v>173400</v>
      </c>
      <c r="F54" s="63">
        <f>'дод 3'!G77</f>
        <v>0</v>
      </c>
      <c r="G54" s="63">
        <f>'дод 3'!H77</f>
        <v>129400</v>
      </c>
      <c r="H54" s="63">
        <f>'дод 3'!I77</f>
        <v>0</v>
      </c>
      <c r="I54" s="63">
        <f>'дод 3'!J77</f>
        <v>0</v>
      </c>
      <c r="J54" s="63">
        <f>'дод 3'!K77</f>
        <v>0</v>
      </c>
      <c r="K54" s="63">
        <f>'дод 3'!L77</f>
        <v>0</v>
      </c>
      <c r="L54" s="63">
        <f>'дод 3'!M77</f>
        <v>0</v>
      </c>
      <c r="M54" s="63">
        <f>'дод 3'!N77</f>
        <v>0</v>
      </c>
      <c r="N54" s="63">
        <f>'дод 3'!O77</f>
        <v>0</v>
      </c>
      <c r="O54" s="63">
        <f>'дод 3'!P77</f>
        <v>173400</v>
      </c>
      <c r="P54" s="162"/>
      <c r="Q54" s="161"/>
    </row>
    <row r="55" spans="1:17" ht="45" customHeight="1" x14ac:dyDescent="0.45">
      <c r="A55" s="25" t="s">
        <v>403</v>
      </c>
      <c r="B55" s="25" t="s">
        <v>49</v>
      </c>
      <c r="C55" s="27" t="s">
        <v>404</v>
      </c>
      <c r="D55" s="63">
        <f>'дод 3'!E78</f>
        <v>1434970</v>
      </c>
      <c r="E55" s="63">
        <f>'дод 3'!F78</f>
        <v>1434970</v>
      </c>
      <c r="F55" s="63">
        <f>'дод 3'!G78</f>
        <v>1176210</v>
      </c>
      <c r="G55" s="63">
        <f>'дод 3'!H78</f>
        <v>0</v>
      </c>
      <c r="H55" s="63">
        <f>'дод 3'!I78</f>
        <v>0</v>
      </c>
      <c r="I55" s="63">
        <f>'дод 3'!J78</f>
        <v>0</v>
      </c>
      <c r="J55" s="63">
        <f>'дод 3'!K78</f>
        <v>0</v>
      </c>
      <c r="K55" s="63">
        <f>'дод 3'!L78</f>
        <v>0</v>
      </c>
      <c r="L55" s="63">
        <f>'дод 3'!M78</f>
        <v>0</v>
      </c>
      <c r="M55" s="63">
        <f>'дод 3'!N78</f>
        <v>0</v>
      </c>
      <c r="N55" s="63">
        <f>'дод 3'!O78</f>
        <v>0</v>
      </c>
      <c r="O55" s="63">
        <f>'дод 3'!P78</f>
        <v>1434970</v>
      </c>
      <c r="P55" s="162"/>
      <c r="Q55" s="161"/>
    </row>
    <row r="56" spans="1:17" s="92" customFormat="1" ht="45" customHeight="1" x14ac:dyDescent="0.45">
      <c r="A56" s="34"/>
      <c r="B56" s="34"/>
      <c r="C56" s="39" t="s">
        <v>399</v>
      </c>
      <c r="D56" s="68">
        <f>'дод 3'!E79</f>
        <v>1434970</v>
      </c>
      <c r="E56" s="68">
        <f>'дод 3'!F79</f>
        <v>1434970</v>
      </c>
      <c r="F56" s="68">
        <f>'дод 3'!G79</f>
        <v>1176210</v>
      </c>
      <c r="G56" s="68">
        <f>'дод 3'!H79</f>
        <v>0</v>
      </c>
      <c r="H56" s="68">
        <f>'дод 3'!I79</f>
        <v>0</v>
      </c>
      <c r="I56" s="68">
        <f>'дод 3'!J79</f>
        <v>0</v>
      </c>
      <c r="J56" s="68">
        <f>'дод 3'!K79</f>
        <v>0</v>
      </c>
      <c r="K56" s="68">
        <f>'дод 3'!L79</f>
        <v>0</v>
      </c>
      <c r="L56" s="68">
        <f>'дод 3'!M79</f>
        <v>0</v>
      </c>
      <c r="M56" s="68">
        <f>'дод 3'!N79</f>
        <v>0</v>
      </c>
      <c r="N56" s="68">
        <f>'дод 3'!O79</f>
        <v>0</v>
      </c>
      <c r="O56" s="68">
        <f>'дод 3'!P79</f>
        <v>1434970</v>
      </c>
      <c r="P56" s="162"/>
      <c r="Q56" s="161"/>
    </row>
    <row r="57" spans="1:17" s="92" customFormat="1" ht="30.75" x14ac:dyDescent="0.45">
      <c r="A57" s="25" t="s">
        <v>308</v>
      </c>
      <c r="B57" s="25" t="s">
        <v>49</v>
      </c>
      <c r="C57" s="27" t="s">
        <v>309</v>
      </c>
      <c r="D57" s="63">
        <f>'дод 3'!E80</f>
        <v>3763400</v>
      </c>
      <c r="E57" s="63">
        <f>'дод 3'!F80</f>
        <v>3763400</v>
      </c>
      <c r="F57" s="63">
        <f>'дод 3'!G80</f>
        <v>2713000</v>
      </c>
      <c r="G57" s="63">
        <f>'дод 3'!H80</f>
        <v>315500</v>
      </c>
      <c r="H57" s="63">
        <f>'дод 3'!I80</f>
        <v>0</v>
      </c>
      <c r="I57" s="63">
        <f>'дод 3'!J80</f>
        <v>0</v>
      </c>
      <c r="J57" s="63">
        <f>'дод 3'!K80</f>
        <v>0</v>
      </c>
      <c r="K57" s="63">
        <f>'дод 3'!L80</f>
        <v>0</v>
      </c>
      <c r="L57" s="63">
        <f>'дод 3'!M80</f>
        <v>0</v>
      </c>
      <c r="M57" s="63">
        <f>'дод 3'!N80</f>
        <v>0</v>
      </c>
      <c r="N57" s="63">
        <f>'дод 3'!O80</f>
        <v>0</v>
      </c>
      <c r="O57" s="63">
        <f>'дод 3'!P80</f>
        <v>3763400</v>
      </c>
      <c r="P57" s="162"/>
      <c r="Q57" s="161"/>
    </row>
    <row r="58" spans="1:17" s="92" customFormat="1" ht="74.650000000000006" customHeight="1" x14ac:dyDescent="0.45">
      <c r="A58" s="25" t="s">
        <v>429</v>
      </c>
      <c r="B58" s="25" t="s">
        <v>49</v>
      </c>
      <c r="C58" s="30" t="s">
        <v>428</v>
      </c>
      <c r="D58" s="63">
        <f>'дод 3'!E81</f>
        <v>1125107</v>
      </c>
      <c r="E58" s="63">
        <f>'дод 3'!F81</f>
        <v>1125107</v>
      </c>
      <c r="F58" s="63">
        <f>'дод 3'!G81</f>
        <v>0</v>
      </c>
      <c r="G58" s="63">
        <f>'дод 3'!H81</f>
        <v>0</v>
      </c>
      <c r="H58" s="63">
        <f>'дод 3'!I81</f>
        <v>0</v>
      </c>
      <c r="I58" s="63">
        <f>'дод 3'!J81</f>
        <v>3290393</v>
      </c>
      <c r="J58" s="63">
        <f>'дод 3'!K81</f>
        <v>3290393</v>
      </c>
      <c r="K58" s="63">
        <f>'дод 3'!L81</f>
        <v>0</v>
      </c>
      <c r="L58" s="63">
        <f>'дод 3'!M81</f>
        <v>0</v>
      </c>
      <c r="M58" s="63">
        <f>'дод 3'!N81</f>
        <v>0</v>
      </c>
      <c r="N58" s="63">
        <f>'дод 3'!O81</f>
        <v>3290393</v>
      </c>
      <c r="O58" s="63">
        <f>'дод 3'!P81</f>
        <v>4415500</v>
      </c>
      <c r="P58" s="162"/>
      <c r="Q58" s="161"/>
    </row>
    <row r="59" spans="1:17" s="92" customFormat="1" ht="77.25" customHeight="1" x14ac:dyDescent="0.45">
      <c r="A59" s="25" t="s">
        <v>430</v>
      </c>
      <c r="B59" s="25" t="s">
        <v>49</v>
      </c>
      <c r="C59" s="30" t="s">
        <v>431</v>
      </c>
      <c r="D59" s="63">
        <f>'дод 3'!E82</f>
        <v>2625231</v>
      </c>
      <c r="E59" s="63">
        <f>'дод 3'!F82</f>
        <v>2625231</v>
      </c>
      <c r="F59" s="63">
        <f>'дод 3'!G82</f>
        <v>0</v>
      </c>
      <c r="G59" s="63">
        <f>'дод 3'!H82</f>
        <v>0</v>
      </c>
      <c r="H59" s="63">
        <f>'дод 3'!I82</f>
        <v>0</v>
      </c>
      <c r="I59" s="63">
        <f>'дод 3'!J82</f>
        <v>7677569</v>
      </c>
      <c r="J59" s="63">
        <f>'дод 3'!K82</f>
        <v>7677569</v>
      </c>
      <c r="K59" s="63">
        <f>'дод 3'!L82</f>
        <v>0</v>
      </c>
      <c r="L59" s="63">
        <f>'дод 3'!M82</f>
        <v>0</v>
      </c>
      <c r="M59" s="63">
        <f>'дод 3'!N82</f>
        <v>0</v>
      </c>
      <c r="N59" s="63">
        <f>'дод 3'!O82</f>
        <v>7677569</v>
      </c>
      <c r="O59" s="63">
        <f>'дод 3'!P82</f>
        <v>10302800</v>
      </c>
      <c r="P59" s="162"/>
      <c r="Q59" s="161"/>
    </row>
    <row r="60" spans="1:17" s="92" customFormat="1" ht="59.65" customHeight="1" x14ac:dyDescent="0.45">
      <c r="A60" s="34"/>
      <c r="B60" s="34"/>
      <c r="C60" s="36" t="s">
        <v>432</v>
      </c>
      <c r="D60" s="63">
        <f>'дод 3'!E83</f>
        <v>2625231</v>
      </c>
      <c r="E60" s="63">
        <f>'дод 3'!F83</f>
        <v>2625231</v>
      </c>
      <c r="F60" s="63">
        <f>'дод 3'!G83</f>
        <v>0</v>
      </c>
      <c r="G60" s="63">
        <f>'дод 3'!H83</f>
        <v>0</v>
      </c>
      <c r="H60" s="63">
        <f>'дод 3'!I83</f>
        <v>0</v>
      </c>
      <c r="I60" s="63">
        <f>'дод 3'!J83</f>
        <v>7677569</v>
      </c>
      <c r="J60" s="63">
        <f>'дод 3'!K83</f>
        <v>7677569</v>
      </c>
      <c r="K60" s="63">
        <f>'дод 3'!L83</f>
        <v>0</v>
      </c>
      <c r="L60" s="63">
        <f>'дод 3'!M83</f>
        <v>0</v>
      </c>
      <c r="M60" s="63">
        <f>'дод 3'!N83</f>
        <v>0</v>
      </c>
      <c r="N60" s="63">
        <f>'дод 3'!O83</f>
        <v>7677569</v>
      </c>
      <c r="O60" s="63">
        <f>'дод 3'!P83</f>
        <v>10302800</v>
      </c>
      <c r="P60" s="162"/>
      <c r="Q60" s="161"/>
    </row>
    <row r="61" spans="1:17" ht="69.400000000000006" customHeight="1" x14ac:dyDescent="0.45">
      <c r="A61" s="25" t="s">
        <v>435</v>
      </c>
      <c r="B61" s="25" t="s">
        <v>49</v>
      </c>
      <c r="C61" s="30" t="s">
        <v>436</v>
      </c>
      <c r="D61" s="63">
        <f>'дод 3'!E84</f>
        <v>891200</v>
      </c>
      <c r="E61" s="63">
        <f>'дод 3'!F84</f>
        <v>891200</v>
      </c>
      <c r="F61" s="63">
        <f>'дод 3'!G84</f>
        <v>730490</v>
      </c>
      <c r="G61" s="63">
        <f>'дод 3'!H84</f>
        <v>0</v>
      </c>
      <c r="H61" s="63">
        <f>'дод 3'!I84</f>
        <v>0</v>
      </c>
      <c r="I61" s="63">
        <f>'дод 3'!J84</f>
        <v>0</v>
      </c>
      <c r="J61" s="63">
        <f>'дод 3'!K84</f>
        <v>0</v>
      </c>
      <c r="K61" s="63">
        <f>'дод 3'!L84</f>
        <v>0</v>
      </c>
      <c r="L61" s="63">
        <f>'дод 3'!M84</f>
        <v>0</v>
      </c>
      <c r="M61" s="63">
        <f>'дод 3'!N84</f>
        <v>0</v>
      </c>
      <c r="N61" s="63">
        <f>'дод 3'!O84</f>
        <v>0</v>
      </c>
      <c r="O61" s="63">
        <f>'дод 3'!P84</f>
        <v>891200</v>
      </c>
      <c r="P61" s="162"/>
      <c r="Q61" s="161"/>
    </row>
    <row r="62" spans="1:17" s="92" customFormat="1" ht="47.65" customHeight="1" x14ac:dyDescent="0.45">
      <c r="A62" s="34"/>
      <c r="B62" s="34"/>
      <c r="C62" s="36" t="s">
        <v>437</v>
      </c>
      <c r="D62" s="68">
        <f>'дод 3'!E85</f>
        <v>891200</v>
      </c>
      <c r="E62" s="68">
        <f>'дод 3'!F85</f>
        <v>891200</v>
      </c>
      <c r="F62" s="68">
        <f>'дод 3'!G85</f>
        <v>730490</v>
      </c>
      <c r="G62" s="68">
        <f>'дод 3'!H85</f>
        <v>0</v>
      </c>
      <c r="H62" s="68">
        <f>'дод 3'!I85</f>
        <v>0</v>
      </c>
      <c r="I62" s="68">
        <f>'дод 3'!J85</f>
        <v>0</v>
      </c>
      <c r="J62" s="68">
        <f>'дод 3'!K85</f>
        <v>0</v>
      </c>
      <c r="K62" s="68">
        <f>'дод 3'!L85</f>
        <v>0</v>
      </c>
      <c r="L62" s="68">
        <f>'дод 3'!M85</f>
        <v>0</v>
      </c>
      <c r="M62" s="68">
        <f>'дод 3'!N85</f>
        <v>0</v>
      </c>
      <c r="N62" s="68">
        <f>'дод 3'!O85</f>
        <v>0</v>
      </c>
      <c r="O62" s="68">
        <f>'дод 3'!P85</f>
        <v>891200</v>
      </c>
      <c r="P62" s="162"/>
      <c r="Q62" s="161"/>
    </row>
    <row r="63" spans="1:17" s="119" customFormat="1" ht="85.9" customHeight="1" x14ac:dyDescent="0.45">
      <c r="A63" s="25" t="s">
        <v>520</v>
      </c>
      <c r="B63" s="25" t="s">
        <v>49</v>
      </c>
      <c r="C63" s="30" t="s">
        <v>521</v>
      </c>
      <c r="D63" s="63">
        <f>'дод 3'!E86</f>
        <v>2442000</v>
      </c>
      <c r="E63" s="63">
        <f>'дод 3'!F86</f>
        <v>2442000</v>
      </c>
      <c r="F63" s="63">
        <f>'дод 3'!G86</f>
        <v>0</v>
      </c>
      <c r="G63" s="63">
        <f>'дод 3'!H86</f>
        <v>0</v>
      </c>
      <c r="H63" s="63">
        <f>'дод 3'!I86</f>
        <v>0</v>
      </c>
      <c r="I63" s="63">
        <f>'дод 3'!J86</f>
        <v>12258000</v>
      </c>
      <c r="J63" s="63">
        <f>'дод 3'!K86</f>
        <v>12258000</v>
      </c>
      <c r="K63" s="63">
        <f>'дод 3'!L86</f>
        <v>0</v>
      </c>
      <c r="L63" s="63">
        <f>'дод 3'!M86</f>
        <v>0</v>
      </c>
      <c r="M63" s="63">
        <f>'дод 3'!N86</f>
        <v>0</v>
      </c>
      <c r="N63" s="63">
        <f>'дод 3'!O86</f>
        <v>12258000</v>
      </c>
      <c r="O63" s="63">
        <f>'дод 3'!P86</f>
        <v>14700000</v>
      </c>
      <c r="P63" s="162"/>
      <c r="Q63" s="161"/>
    </row>
    <row r="64" spans="1:17" s="120" customFormat="1" ht="87" customHeight="1" x14ac:dyDescent="0.45">
      <c r="A64" s="34"/>
      <c r="B64" s="34"/>
      <c r="C64" s="36" t="s">
        <v>522</v>
      </c>
      <c r="D64" s="68">
        <f>'дод 3'!E87</f>
        <v>2442000</v>
      </c>
      <c r="E64" s="68">
        <f>'дод 3'!F87</f>
        <v>2442000</v>
      </c>
      <c r="F64" s="68">
        <f>'дод 3'!G87</f>
        <v>0</v>
      </c>
      <c r="G64" s="68">
        <f>'дод 3'!H87</f>
        <v>0</v>
      </c>
      <c r="H64" s="68">
        <f>'дод 3'!I87</f>
        <v>0</v>
      </c>
      <c r="I64" s="68">
        <f>'дод 3'!J87</f>
        <v>12258000</v>
      </c>
      <c r="J64" s="68">
        <f>'дод 3'!K87</f>
        <v>12258000</v>
      </c>
      <c r="K64" s="68">
        <f>'дод 3'!L87</f>
        <v>0</v>
      </c>
      <c r="L64" s="68">
        <f>'дод 3'!M87</f>
        <v>0</v>
      </c>
      <c r="M64" s="68">
        <f>'дод 3'!N87</f>
        <v>0</v>
      </c>
      <c r="N64" s="68">
        <f>'дод 3'!O87</f>
        <v>12258000</v>
      </c>
      <c r="O64" s="68">
        <f>'дод 3'!P87</f>
        <v>14700000</v>
      </c>
      <c r="P64" s="162"/>
      <c r="Q64" s="161"/>
    </row>
    <row r="65" spans="1:17" ht="120.75" customHeight="1" x14ac:dyDescent="0.45">
      <c r="A65" s="25" t="s">
        <v>480</v>
      </c>
      <c r="B65" s="25" t="s">
        <v>49</v>
      </c>
      <c r="C65" s="30" t="s">
        <v>481</v>
      </c>
      <c r="D65" s="63">
        <f>'дод 3'!E219</f>
        <v>0</v>
      </c>
      <c r="E65" s="63">
        <f>'дод 3'!F219</f>
        <v>0</v>
      </c>
      <c r="F65" s="63">
        <f>'дод 3'!G219</f>
        <v>0</v>
      </c>
      <c r="G65" s="63">
        <f>'дод 3'!H219</f>
        <v>0</v>
      </c>
      <c r="H65" s="63">
        <f>'дод 3'!I219</f>
        <v>0</v>
      </c>
      <c r="I65" s="63">
        <f>'дод 3'!J219</f>
        <v>112284866</v>
      </c>
      <c r="J65" s="63">
        <f>'дод 3'!K219</f>
        <v>112284866</v>
      </c>
      <c r="K65" s="63">
        <f>'дод 3'!L219</f>
        <v>0</v>
      </c>
      <c r="L65" s="63">
        <f>'дод 3'!M219</f>
        <v>0</v>
      </c>
      <c r="M65" s="63">
        <f>'дод 3'!N219</f>
        <v>0</v>
      </c>
      <c r="N65" s="63">
        <f>'дод 3'!O219</f>
        <v>112284866</v>
      </c>
      <c r="O65" s="63">
        <f>'дод 3'!P219</f>
        <v>112284866</v>
      </c>
      <c r="P65" s="162"/>
      <c r="Q65" s="161"/>
    </row>
    <row r="66" spans="1:17" ht="111.75" customHeight="1" x14ac:dyDescent="0.45">
      <c r="A66" s="25" t="s">
        <v>484</v>
      </c>
      <c r="B66" s="25" t="s">
        <v>49</v>
      </c>
      <c r="C66" s="30" t="s">
        <v>485</v>
      </c>
      <c r="D66" s="63">
        <f>'дод 3'!E220</f>
        <v>0</v>
      </c>
      <c r="E66" s="63">
        <f>'дод 3'!F220</f>
        <v>0</v>
      </c>
      <c r="F66" s="63">
        <f>'дод 3'!G220</f>
        <v>0</v>
      </c>
      <c r="G66" s="63">
        <f>'дод 3'!H220</f>
        <v>0</v>
      </c>
      <c r="H66" s="63">
        <f>'дод 3'!I220</f>
        <v>0</v>
      </c>
      <c r="I66" s="63">
        <f>'дод 3'!J220</f>
        <v>213902286</v>
      </c>
      <c r="J66" s="63">
        <f>'дод 3'!K220</f>
        <v>213902286</v>
      </c>
      <c r="K66" s="63">
        <f>'дод 3'!L220</f>
        <v>0</v>
      </c>
      <c r="L66" s="63">
        <f>'дод 3'!M220</f>
        <v>0</v>
      </c>
      <c r="M66" s="63">
        <f>'дод 3'!N220</f>
        <v>0</v>
      </c>
      <c r="N66" s="63">
        <f>'дод 3'!O220</f>
        <v>213902286</v>
      </c>
      <c r="O66" s="63">
        <f>'дод 3'!P220</f>
        <v>213902286</v>
      </c>
      <c r="P66" s="162"/>
      <c r="Q66" s="161"/>
    </row>
    <row r="67" spans="1:17" ht="120.75" customHeight="1" x14ac:dyDescent="0.45">
      <c r="A67" s="25"/>
      <c r="B67" s="25"/>
      <c r="C67" s="36" t="s">
        <v>486</v>
      </c>
      <c r="D67" s="68">
        <f>'дод 3'!E221</f>
        <v>0</v>
      </c>
      <c r="E67" s="68">
        <f>'дод 3'!F221</f>
        <v>0</v>
      </c>
      <c r="F67" s="68">
        <f>'дод 3'!G221</f>
        <v>0</v>
      </c>
      <c r="G67" s="68">
        <f>'дод 3'!H221</f>
        <v>0</v>
      </c>
      <c r="H67" s="68">
        <f>'дод 3'!I221</f>
        <v>0</v>
      </c>
      <c r="I67" s="68">
        <f>'дод 3'!J221</f>
        <v>213902286</v>
      </c>
      <c r="J67" s="68">
        <f>'дод 3'!K221</f>
        <v>213902286</v>
      </c>
      <c r="K67" s="68">
        <f>'дод 3'!L221</f>
        <v>0</v>
      </c>
      <c r="L67" s="68">
        <f>'дод 3'!M221</f>
        <v>0</v>
      </c>
      <c r="M67" s="68">
        <f>'дод 3'!N221</f>
        <v>0</v>
      </c>
      <c r="N67" s="68">
        <f>'дод 3'!O221</f>
        <v>213902286</v>
      </c>
      <c r="O67" s="68">
        <f>'дод 3'!P221</f>
        <v>213902286</v>
      </c>
      <c r="P67" s="162"/>
      <c r="Q67" s="161"/>
    </row>
    <row r="68" spans="1:17" ht="102.75" customHeight="1" x14ac:dyDescent="0.45">
      <c r="A68" s="25" t="s">
        <v>514</v>
      </c>
      <c r="B68" s="25" t="s">
        <v>49</v>
      </c>
      <c r="C68" s="30" t="s">
        <v>515</v>
      </c>
      <c r="D68" s="63">
        <f>'дод 3'!E88</f>
        <v>0</v>
      </c>
      <c r="E68" s="63">
        <f>'дод 3'!F88</f>
        <v>0</v>
      </c>
      <c r="F68" s="63">
        <f>'дод 3'!G88</f>
        <v>0</v>
      </c>
      <c r="G68" s="63">
        <f>'дод 3'!H88</f>
        <v>0</v>
      </c>
      <c r="H68" s="63">
        <f>'дод 3'!I88</f>
        <v>0</v>
      </c>
      <c r="I68" s="63">
        <f>'дод 3'!J88</f>
        <v>9926266</v>
      </c>
      <c r="J68" s="63">
        <f>'дод 3'!K88</f>
        <v>9926266</v>
      </c>
      <c r="K68" s="63">
        <f>'дод 3'!L88</f>
        <v>0</v>
      </c>
      <c r="L68" s="63">
        <f>'дод 3'!M88</f>
        <v>0</v>
      </c>
      <c r="M68" s="63">
        <f>'дод 3'!N88</f>
        <v>0</v>
      </c>
      <c r="N68" s="63">
        <f>'дод 3'!O88</f>
        <v>9926266</v>
      </c>
      <c r="O68" s="63">
        <f>'дод 3'!P88</f>
        <v>9926266</v>
      </c>
      <c r="P68" s="162">
        <v>4</v>
      </c>
      <c r="Q68" s="161"/>
    </row>
    <row r="69" spans="1:17" ht="81" customHeight="1" x14ac:dyDescent="0.45">
      <c r="A69" s="25" t="s">
        <v>516</v>
      </c>
      <c r="B69" s="25" t="s">
        <v>49</v>
      </c>
      <c r="C69" s="30" t="s">
        <v>517</v>
      </c>
      <c r="D69" s="63">
        <f>'дод 3'!E89</f>
        <v>0</v>
      </c>
      <c r="E69" s="63">
        <f>'дод 3'!F89</f>
        <v>0</v>
      </c>
      <c r="F69" s="63">
        <f>'дод 3'!G89</f>
        <v>0</v>
      </c>
      <c r="G69" s="63">
        <f>'дод 3'!H89</f>
        <v>0</v>
      </c>
      <c r="H69" s="63">
        <f>'дод 3'!I89</f>
        <v>0</v>
      </c>
      <c r="I69" s="63">
        <f>'дод 3'!J89</f>
        <v>15081700</v>
      </c>
      <c r="J69" s="63">
        <f>'дод 3'!K89</f>
        <v>0</v>
      </c>
      <c r="K69" s="63">
        <f>'дод 3'!L89</f>
        <v>0</v>
      </c>
      <c r="L69" s="63">
        <f>'дод 3'!M89</f>
        <v>0</v>
      </c>
      <c r="M69" s="63">
        <f>'дод 3'!N89</f>
        <v>0</v>
      </c>
      <c r="N69" s="63">
        <f>'дод 3'!O89</f>
        <v>15081700</v>
      </c>
      <c r="O69" s="63">
        <f>'дод 3'!P89</f>
        <v>15081700</v>
      </c>
      <c r="P69" s="162"/>
      <c r="Q69" s="161"/>
    </row>
    <row r="70" spans="1:17" s="92" customFormat="1" ht="37.15" customHeight="1" x14ac:dyDescent="0.45">
      <c r="A70" s="34"/>
      <c r="B70" s="34"/>
      <c r="C70" s="36" t="s">
        <v>406</v>
      </c>
      <c r="D70" s="68">
        <f>'дод 3'!E90</f>
        <v>0</v>
      </c>
      <c r="E70" s="68">
        <f>'дод 3'!F90</f>
        <v>0</v>
      </c>
      <c r="F70" s="68">
        <f>'дод 3'!G90</f>
        <v>0</v>
      </c>
      <c r="G70" s="68">
        <f>'дод 3'!H90</f>
        <v>0</v>
      </c>
      <c r="H70" s="68">
        <f>'дод 3'!I90</f>
        <v>0</v>
      </c>
      <c r="I70" s="68">
        <f>'дод 3'!J90</f>
        <v>15081700</v>
      </c>
      <c r="J70" s="68">
        <f>'дод 3'!K90</f>
        <v>0</v>
      </c>
      <c r="K70" s="68">
        <f>'дод 3'!L90</f>
        <v>0</v>
      </c>
      <c r="L70" s="68">
        <f>'дод 3'!M90</f>
        <v>0</v>
      </c>
      <c r="M70" s="68">
        <f>'дод 3'!N90</f>
        <v>0</v>
      </c>
      <c r="N70" s="68">
        <f>'дод 3'!O90</f>
        <v>15081700</v>
      </c>
      <c r="O70" s="68">
        <f>'дод 3'!P90</f>
        <v>15081700</v>
      </c>
      <c r="P70" s="162"/>
      <c r="Q70" s="161"/>
    </row>
    <row r="71" spans="1:17" ht="28.15" customHeight="1" x14ac:dyDescent="0.45">
      <c r="A71" s="25" t="s">
        <v>454</v>
      </c>
      <c r="B71" s="25" t="s">
        <v>49</v>
      </c>
      <c r="C71" s="30" t="s">
        <v>470</v>
      </c>
      <c r="D71" s="63">
        <f>'дод 3'!E222+'дод 3'!E91</f>
        <v>0</v>
      </c>
      <c r="E71" s="63">
        <f>'дод 3'!F222+'дод 3'!F91</f>
        <v>0</v>
      </c>
      <c r="F71" s="63">
        <f>'дод 3'!G222+'дод 3'!G91</f>
        <v>0</v>
      </c>
      <c r="G71" s="63">
        <f>'дод 3'!H222+'дод 3'!H91</f>
        <v>0</v>
      </c>
      <c r="H71" s="63">
        <f>'дод 3'!I222+'дод 3'!I91</f>
        <v>0</v>
      </c>
      <c r="I71" s="63">
        <f>'дод 3'!J222+'дод 3'!J91</f>
        <v>31354594.670000002</v>
      </c>
      <c r="J71" s="63">
        <f>'дод 3'!K222+'дод 3'!K91</f>
        <v>31354594.670000002</v>
      </c>
      <c r="K71" s="63">
        <f>'дод 3'!L222+'дод 3'!L91</f>
        <v>0</v>
      </c>
      <c r="L71" s="63">
        <f>'дод 3'!M222+'дод 3'!M91</f>
        <v>0</v>
      </c>
      <c r="M71" s="63">
        <f>'дод 3'!N222+'дод 3'!N91</f>
        <v>0</v>
      </c>
      <c r="N71" s="63">
        <f>'дод 3'!O222+'дод 3'!O91</f>
        <v>31354594.670000002</v>
      </c>
      <c r="O71" s="63">
        <f>'дод 3'!P222+'дод 3'!P91</f>
        <v>31354594.670000002</v>
      </c>
      <c r="P71" s="162"/>
      <c r="Q71" s="161"/>
    </row>
    <row r="72" spans="1:17" ht="92.25" x14ac:dyDescent="0.45">
      <c r="A72" s="25"/>
      <c r="B72" s="25"/>
      <c r="C72" s="36" t="s">
        <v>452</v>
      </c>
      <c r="D72" s="68">
        <f>'дод 3'!E92</f>
        <v>0</v>
      </c>
      <c r="E72" s="68">
        <f>'дод 3'!F92</f>
        <v>0</v>
      </c>
      <c r="F72" s="68">
        <f>'дод 3'!G92</f>
        <v>0</v>
      </c>
      <c r="G72" s="68">
        <f>'дод 3'!H92</f>
        <v>0</v>
      </c>
      <c r="H72" s="68">
        <f>'дод 3'!I92</f>
        <v>0</v>
      </c>
      <c r="I72" s="68">
        <f>'дод 3'!J92</f>
        <v>29463973.670000002</v>
      </c>
      <c r="J72" s="68">
        <f>'дод 3'!K92</f>
        <v>29463973.670000002</v>
      </c>
      <c r="K72" s="68">
        <f>'дод 3'!L92</f>
        <v>0</v>
      </c>
      <c r="L72" s="68">
        <f>'дод 3'!M92</f>
        <v>0</v>
      </c>
      <c r="M72" s="68">
        <f>'дод 3'!N92</f>
        <v>0</v>
      </c>
      <c r="N72" s="68">
        <f>'дод 3'!O92</f>
        <v>29463973.670000002</v>
      </c>
      <c r="O72" s="68">
        <f>'дод 3'!P92</f>
        <v>29463973.670000002</v>
      </c>
      <c r="P72" s="162"/>
      <c r="Q72" s="161"/>
    </row>
    <row r="73" spans="1:17" s="125" customFormat="1" ht="46.15" x14ac:dyDescent="0.45">
      <c r="A73" s="25" t="s">
        <v>528</v>
      </c>
      <c r="B73" s="25" t="s">
        <v>49</v>
      </c>
      <c r="C73" s="30" t="s">
        <v>531</v>
      </c>
      <c r="D73" s="63">
        <f>'дод 3'!E223</f>
        <v>0</v>
      </c>
      <c r="E73" s="63">
        <f>'дод 3'!F223</f>
        <v>0</v>
      </c>
      <c r="F73" s="63">
        <f>'дод 3'!G223</f>
        <v>0</v>
      </c>
      <c r="G73" s="63">
        <f>'дод 3'!H223</f>
        <v>0</v>
      </c>
      <c r="H73" s="63">
        <f>'дод 3'!I223</f>
        <v>0</v>
      </c>
      <c r="I73" s="63">
        <f>'дод 3'!J223</f>
        <v>23030000</v>
      </c>
      <c r="J73" s="63">
        <f>'дод 3'!K223</f>
        <v>23030000</v>
      </c>
      <c r="K73" s="63">
        <f>'дод 3'!L223</f>
        <v>0</v>
      </c>
      <c r="L73" s="63">
        <f>'дод 3'!M223</f>
        <v>0</v>
      </c>
      <c r="M73" s="63">
        <f>'дод 3'!N223</f>
        <v>0</v>
      </c>
      <c r="N73" s="63">
        <f>'дод 3'!O223</f>
        <v>23030000</v>
      </c>
      <c r="O73" s="63">
        <f>'дод 3'!P223</f>
        <v>23030000</v>
      </c>
      <c r="P73" s="162"/>
      <c r="Q73" s="161"/>
    </row>
    <row r="74" spans="1:17" s="125" customFormat="1" ht="69" customHeight="1" x14ac:dyDescent="0.45">
      <c r="A74" s="25"/>
      <c r="B74" s="25"/>
      <c r="C74" s="36" t="s">
        <v>397</v>
      </c>
      <c r="D74" s="68">
        <f>'дод 3'!E224</f>
        <v>0</v>
      </c>
      <c r="E74" s="68">
        <f>'дод 3'!F224</f>
        <v>0</v>
      </c>
      <c r="F74" s="68">
        <f>'дод 3'!G224</f>
        <v>0</v>
      </c>
      <c r="G74" s="68">
        <f>'дод 3'!H224</f>
        <v>0</v>
      </c>
      <c r="H74" s="68">
        <f>'дод 3'!I224</f>
        <v>0</v>
      </c>
      <c r="I74" s="68">
        <f>'дод 3'!J224</f>
        <v>22450000</v>
      </c>
      <c r="J74" s="68">
        <f>'дод 3'!K224</f>
        <v>22450000</v>
      </c>
      <c r="K74" s="68">
        <f>'дод 3'!L224</f>
        <v>0</v>
      </c>
      <c r="L74" s="68">
        <f>'дод 3'!M224</f>
        <v>0</v>
      </c>
      <c r="M74" s="68">
        <f>'дод 3'!N224</f>
        <v>0</v>
      </c>
      <c r="N74" s="68">
        <f>'дод 3'!O224</f>
        <v>22450000</v>
      </c>
      <c r="O74" s="68">
        <f>'дод 3'!P224</f>
        <v>22450000</v>
      </c>
      <c r="P74" s="162"/>
      <c r="Q74" s="161"/>
    </row>
    <row r="75" spans="1:17" ht="47.65" customHeight="1" x14ac:dyDescent="0.45">
      <c r="A75" s="25" t="s">
        <v>445</v>
      </c>
      <c r="B75" s="25" t="s">
        <v>49</v>
      </c>
      <c r="C75" s="30" t="s">
        <v>446</v>
      </c>
      <c r="D75" s="63">
        <f>'дод 3'!E93</f>
        <v>0</v>
      </c>
      <c r="E75" s="63">
        <f>'дод 3'!F93</f>
        <v>0</v>
      </c>
      <c r="F75" s="63">
        <f>'дод 3'!G93</f>
        <v>0</v>
      </c>
      <c r="G75" s="63">
        <f>'дод 3'!H93</f>
        <v>0</v>
      </c>
      <c r="H75" s="63">
        <f>'дод 3'!I93</f>
        <v>0</v>
      </c>
      <c r="I75" s="63">
        <f>'дод 3'!J93</f>
        <v>22533600</v>
      </c>
      <c r="J75" s="63">
        <f>'дод 3'!K93</f>
        <v>0</v>
      </c>
      <c r="K75" s="63">
        <f>'дод 3'!L93</f>
        <v>22533600</v>
      </c>
      <c r="L75" s="63">
        <f>'дод 3'!M93</f>
        <v>0</v>
      </c>
      <c r="M75" s="63">
        <f>'дод 3'!N93</f>
        <v>0</v>
      </c>
      <c r="N75" s="63">
        <f>'дод 3'!O93</f>
        <v>0</v>
      </c>
      <c r="O75" s="63">
        <f>'дод 3'!P93</f>
        <v>22533600</v>
      </c>
      <c r="P75" s="162"/>
      <c r="Q75" s="161"/>
    </row>
    <row r="76" spans="1:17" s="92" customFormat="1" ht="47.65" customHeight="1" x14ac:dyDescent="0.45">
      <c r="A76" s="34"/>
      <c r="B76" s="34"/>
      <c r="C76" s="39" t="s">
        <v>447</v>
      </c>
      <c r="D76" s="68">
        <f>'дод 3'!E94</f>
        <v>0</v>
      </c>
      <c r="E76" s="68">
        <f>'дод 3'!F94</f>
        <v>0</v>
      </c>
      <c r="F76" s="68">
        <f>'дод 3'!G94</f>
        <v>0</v>
      </c>
      <c r="G76" s="68">
        <f>'дод 3'!H94</f>
        <v>0</v>
      </c>
      <c r="H76" s="68">
        <f>'дод 3'!I94</f>
        <v>0</v>
      </c>
      <c r="I76" s="68">
        <f>'дод 3'!J94</f>
        <v>22533600</v>
      </c>
      <c r="J76" s="68">
        <f>'дод 3'!K94</f>
        <v>0</v>
      </c>
      <c r="K76" s="68">
        <f>'дод 3'!L94</f>
        <v>22533600</v>
      </c>
      <c r="L76" s="68">
        <f>'дод 3'!M94</f>
        <v>0</v>
      </c>
      <c r="M76" s="68">
        <f>'дод 3'!N94</f>
        <v>0</v>
      </c>
      <c r="N76" s="68">
        <f>'дод 3'!O94</f>
        <v>0</v>
      </c>
      <c r="O76" s="68">
        <f>'дод 3'!P94</f>
        <v>22533600</v>
      </c>
      <c r="P76" s="162"/>
      <c r="Q76" s="161"/>
    </row>
    <row r="77" spans="1:17" ht="72" customHeight="1" x14ac:dyDescent="0.45">
      <c r="A77" s="25" t="s">
        <v>438</v>
      </c>
      <c r="B77" s="25" t="s">
        <v>49</v>
      </c>
      <c r="C77" s="30" t="s">
        <v>439</v>
      </c>
      <c r="D77" s="63">
        <f>'дод 3'!E95</f>
        <v>24742100</v>
      </c>
      <c r="E77" s="63">
        <f>'дод 3'!F95</f>
        <v>24742100</v>
      </c>
      <c r="F77" s="63">
        <f>'дод 3'!G95</f>
        <v>20280410</v>
      </c>
      <c r="G77" s="63">
        <f>'дод 3'!H95</f>
        <v>0</v>
      </c>
      <c r="H77" s="63">
        <f>'дод 3'!I95</f>
        <v>0</v>
      </c>
      <c r="I77" s="63">
        <f>'дод 3'!J95</f>
        <v>0</v>
      </c>
      <c r="J77" s="63">
        <f>'дод 3'!K95</f>
        <v>0</v>
      </c>
      <c r="K77" s="63">
        <f>'дод 3'!L95</f>
        <v>0</v>
      </c>
      <c r="L77" s="63">
        <f>'дод 3'!M95</f>
        <v>0</v>
      </c>
      <c r="M77" s="63">
        <f>'дод 3'!N95</f>
        <v>0</v>
      </c>
      <c r="N77" s="63">
        <f>'дод 3'!O95</f>
        <v>0</v>
      </c>
      <c r="O77" s="63">
        <f>'дод 3'!P95</f>
        <v>24742100</v>
      </c>
      <c r="P77" s="162"/>
      <c r="Q77" s="161"/>
    </row>
    <row r="78" spans="1:17" s="92" customFormat="1" ht="47.65" customHeight="1" x14ac:dyDescent="0.45">
      <c r="A78" s="34"/>
      <c r="B78" s="34"/>
      <c r="C78" s="36" t="s">
        <v>440</v>
      </c>
      <c r="D78" s="68">
        <f>'дод 3'!E96</f>
        <v>24742100</v>
      </c>
      <c r="E78" s="68">
        <f>'дод 3'!F96</f>
        <v>24742100</v>
      </c>
      <c r="F78" s="68">
        <f>'дод 3'!G96</f>
        <v>20280410</v>
      </c>
      <c r="G78" s="68">
        <f>'дод 3'!H96</f>
        <v>0</v>
      </c>
      <c r="H78" s="68">
        <f>'дод 3'!I96</f>
        <v>0</v>
      </c>
      <c r="I78" s="68">
        <f>'дод 3'!J96</f>
        <v>0</v>
      </c>
      <c r="J78" s="68">
        <f>'дод 3'!K96</f>
        <v>0</v>
      </c>
      <c r="K78" s="68">
        <f>'дод 3'!L96</f>
        <v>0</v>
      </c>
      <c r="L78" s="68">
        <f>'дод 3'!M96</f>
        <v>0</v>
      </c>
      <c r="M78" s="68">
        <f>'дод 3'!N96</f>
        <v>0</v>
      </c>
      <c r="N78" s="68">
        <f>'дод 3'!O96</f>
        <v>0</v>
      </c>
      <c r="O78" s="68">
        <f>'дод 3'!P96</f>
        <v>24742100</v>
      </c>
      <c r="P78" s="162"/>
      <c r="Q78" s="161"/>
    </row>
    <row r="79" spans="1:17" ht="47.65" customHeight="1" x14ac:dyDescent="0.45">
      <c r="A79" s="25" t="s">
        <v>449</v>
      </c>
      <c r="B79" s="25" t="s">
        <v>49</v>
      </c>
      <c r="C79" s="30" t="s">
        <v>450</v>
      </c>
      <c r="D79" s="63">
        <f>'дод 3'!E97</f>
        <v>0</v>
      </c>
      <c r="E79" s="63">
        <f>'дод 3'!F97</f>
        <v>0</v>
      </c>
      <c r="F79" s="63">
        <f>'дод 3'!G97</f>
        <v>0</v>
      </c>
      <c r="G79" s="63">
        <f>'дод 3'!H97</f>
        <v>0</v>
      </c>
      <c r="H79" s="63">
        <f>'дод 3'!I97</f>
        <v>0</v>
      </c>
      <c r="I79" s="63">
        <f>'дод 3'!J97</f>
        <v>5785800</v>
      </c>
      <c r="J79" s="63">
        <f>'дод 3'!K97</f>
        <v>0</v>
      </c>
      <c r="K79" s="63">
        <f>'дод 3'!L97</f>
        <v>5785800</v>
      </c>
      <c r="L79" s="63">
        <f>'дод 3'!M97</f>
        <v>0</v>
      </c>
      <c r="M79" s="63">
        <f>'дод 3'!N97</f>
        <v>0</v>
      </c>
      <c r="N79" s="63">
        <f>'дод 3'!O97</f>
        <v>0</v>
      </c>
      <c r="O79" s="63">
        <f>'дод 3'!P97</f>
        <v>5785800</v>
      </c>
      <c r="P79" s="162"/>
      <c r="Q79" s="161"/>
    </row>
    <row r="80" spans="1:17" s="92" customFormat="1" ht="70.900000000000006" customHeight="1" x14ac:dyDescent="0.45">
      <c r="A80" s="34"/>
      <c r="B80" s="34"/>
      <c r="C80" s="36" t="s">
        <v>453</v>
      </c>
      <c r="D80" s="68">
        <f>'дод 3'!E98</f>
        <v>0</v>
      </c>
      <c r="E80" s="68">
        <f>'дод 3'!F98</f>
        <v>0</v>
      </c>
      <c r="F80" s="68">
        <f>'дод 3'!G98</f>
        <v>0</v>
      </c>
      <c r="G80" s="68">
        <f>'дод 3'!H98</f>
        <v>0</v>
      </c>
      <c r="H80" s="68">
        <f>'дод 3'!I98</f>
        <v>0</v>
      </c>
      <c r="I80" s="68">
        <f>'дод 3'!J98</f>
        <v>2892900</v>
      </c>
      <c r="J80" s="68">
        <f>'дод 3'!K98</f>
        <v>0</v>
      </c>
      <c r="K80" s="68">
        <f>'дод 3'!L98</f>
        <v>2892900</v>
      </c>
      <c r="L80" s="68">
        <f>'дод 3'!M98</f>
        <v>0</v>
      </c>
      <c r="M80" s="68">
        <f>'дод 3'!N98</f>
        <v>0</v>
      </c>
      <c r="N80" s="68">
        <f>'дод 3'!O98</f>
        <v>0</v>
      </c>
      <c r="O80" s="68">
        <f>'дод 3'!P98</f>
        <v>2892900</v>
      </c>
      <c r="P80" s="162"/>
      <c r="Q80" s="161"/>
    </row>
    <row r="81" spans="1:17" s="92" customFormat="1" ht="70.900000000000006" customHeight="1" x14ac:dyDescent="0.45">
      <c r="A81" s="34"/>
      <c r="B81" s="34"/>
      <c r="C81" s="36" t="s">
        <v>487</v>
      </c>
      <c r="D81" s="68">
        <f>'дод 3'!E99</f>
        <v>0</v>
      </c>
      <c r="E81" s="68">
        <f>'дод 3'!F99</f>
        <v>0</v>
      </c>
      <c r="F81" s="68">
        <f>'дод 3'!G99</f>
        <v>0</v>
      </c>
      <c r="G81" s="68">
        <f>'дод 3'!H99</f>
        <v>0</v>
      </c>
      <c r="H81" s="68">
        <f>'дод 3'!I99</f>
        <v>0</v>
      </c>
      <c r="I81" s="68">
        <f>'дод 3'!J99</f>
        <v>2892900</v>
      </c>
      <c r="J81" s="68">
        <f>'дод 3'!K99</f>
        <v>0</v>
      </c>
      <c r="K81" s="68">
        <f>'дод 3'!L99</f>
        <v>2892900</v>
      </c>
      <c r="L81" s="68">
        <f>'дод 3'!M99</f>
        <v>0</v>
      </c>
      <c r="M81" s="68">
        <f>'дод 3'!N99</f>
        <v>0</v>
      </c>
      <c r="N81" s="68">
        <f>'дод 3'!O99</f>
        <v>0</v>
      </c>
      <c r="O81" s="68">
        <f>'дод 3'!P99</f>
        <v>2892900</v>
      </c>
      <c r="P81" s="162"/>
      <c r="Q81" s="161"/>
    </row>
    <row r="82" spans="1:17" s="91" customFormat="1" ht="19.5" customHeight="1" x14ac:dyDescent="0.4">
      <c r="A82" s="64" t="s">
        <v>50</v>
      </c>
      <c r="B82" s="31"/>
      <c r="C82" s="59" t="s">
        <v>379</v>
      </c>
      <c r="D82" s="60">
        <f>D83+D84+D85+D86+D87+D88+D89</f>
        <v>133394795</v>
      </c>
      <c r="E82" s="60">
        <f t="shared" ref="E82:O82" si="15">E83+E84+E85+E86+E87+E88+E89</f>
        <v>133394795</v>
      </c>
      <c r="F82" s="60">
        <f t="shared" si="15"/>
        <v>3252200</v>
      </c>
      <c r="G82" s="60">
        <f t="shared" si="15"/>
        <v>170000</v>
      </c>
      <c r="H82" s="60">
        <f t="shared" si="15"/>
        <v>0</v>
      </c>
      <c r="I82" s="60">
        <f t="shared" si="15"/>
        <v>15560052</v>
      </c>
      <c r="J82" s="60">
        <f t="shared" si="15"/>
        <v>15560052</v>
      </c>
      <c r="K82" s="60">
        <f t="shared" si="15"/>
        <v>0</v>
      </c>
      <c r="L82" s="60">
        <f t="shared" si="15"/>
        <v>0</v>
      </c>
      <c r="M82" s="60">
        <f t="shared" si="15"/>
        <v>0</v>
      </c>
      <c r="N82" s="60">
        <f t="shared" si="15"/>
        <v>15560052</v>
      </c>
      <c r="O82" s="60">
        <f t="shared" si="15"/>
        <v>148954847</v>
      </c>
      <c r="P82" s="162"/>
      <c r="Q82" s="161"/>
    </row>
    <row r="83" spans="1:17" ht="25.5" customHeight="1" x14ac:dyDescent="0.45">
      <c r="A83" s="61" t="s">
        <v>51</v>
      </c>
      <c r="B83" s="61" t="s">
        <v>52</v>
      </c>
      <c r="C83" s="62" t="s">
        <v>325</v>
      </c>
      <c r="D83" s="63">
        <f>'дод 3'!E109+'дод 3'!E225</f>
        <v>79509995</v>
      </c>
      <c r="E83" s="63">
        <f>'дод 3'!F109+'дод 3'!F225</f>
        <v>79509995</v>
      </c>
      <c r="F83" s="63">
        <f>'дод 3'!G109+'дод 3'!G225</f>
        <v>0</v>
      </c>
      <c r="G83" s="63">
        <f>'дод 3'!H109+'дод 3'!H225</f>
        <v>0</v>
      </c>
      <c r="H83" s="63">
        <f>'дод 3'!I109+'дод 3'!I225</f>
        <v>0</v>
      </c>
      <c r="I83" s="63">
        <f>'дод 3'!J109+'дод 3'!J225</f>
        <v>11014832</v>
      </c>
      <c r="J83" s="63">
        <f>'дод 3'!K109+'дод 3'!K225</f>
        <v>11014832</v>
      </c>
      <c r="K83" s="63">
        <f>'дод 3'!L109+'дод 3'!L225</f>
        <v>0</v>
      </c>
      <c r="L83" s="63">
        <f>'дод 3'!M109+'дод 3'!M225</f>
        <v>0</v>
      </c>
      <c r="M83" s="63">
        <f>'дод 3'!N109+'дод 3'!N225</f>
        <v>0</v>
      </c>
      <c r="N83" s="63">
        <f>'дод 3'!O109+'дод 3'!O225</f>
        <v>11014832</v>
      </c>
      <c r="O83" s="63">
        <f>'дод 3'!P109+'дод 3'!P225</f>
        <v>90524827</v>
      </c>
      <c r="P83" s="162"/>
      <c r="Q83" s="161"/>
    </row>
    <row r="84" spans="1:17" ht="36.75" customHeight="1" x14ac:dyDescent="0.45">
      <c r="A84" s="61" t="s">
        <v>101</v>
      </c>
      <c r="B84" s="61" t="s">
        <v>53</v>
      </c>
      <c r="C84" s="62" t="s">
        <v>294</v>
      </c>
      <c r="D84" s="63">
        <f>'дод 3'!E110</f>
        <v>6632300</v>
      </c>
      <c r="E84" s="63">
        <f>'дод 3'!F110</f>
        <v>6632300</v>
      </c>
      <c r="F84" s="63">
        <f>'дод 3'!G110</f>
        <v>0</v>
      </c>
      <c r="G84" s="63">
        <f>'дод 3'!H110</f>
        <v>0</v>
      </c>
      <c r="H84" s="63">
        <f>'дод 3'!I110</f>
        <v>0</v>
      </c>
      <c r="I84" s="63">
        <f>'дод 3'!J110</f>
        <v>0</v>
      </c>
      <c r="J84" s="63">
        <f>'дод 3'!K110</f>
        <v>0</v>
      </c>
      <c r="K84" s="63">
        <f>'дод 3'!L110</f>
        <v>0</v>
      </c>
      <c r="L84" s="63">
        <f>'дод 3'!M110</f>
        <v>0</v>
      </c>
      <c r="M84" s="63">
        <f>'дод 3'!N110</f>
        <v>0</v>
      </c>
      <c r="N84" s="63">
        <f>'дод 3'!O110</f>
        <v>0</v>
      </c>
      <c r="O84" s="63">
        <f>'дод 3'!P110</f>
        <v>6632300</v>
      </c>
      <c r="P84" s="162"/>
      <c r="Q84" s="161"/>
    </row>
    <row r="85" spans="1:17" ht="19.5" customHeight="1" x14ac:dyDescent="0.45">
      <c r="A85" s="61" t="s">
        <v>102</v>
      </c>
      <c r="B85" s="61" t="s">
        <v>54</v>
      </c>
      <c r="C85" s="62" t="s">
        <v>295</v>
      </c>
      <c r="D85" s="63">
        <f>'дод 3'!E111</f>
        <v>3005800</v>
      </c>
      <c r="E85" s="63">
        <f>'дод 3'!F111</f>
        <v>3005800</v>
      </c>
      <c r="F85" s="63">
        <f>'дод 3'!G111</f>
        <v>0</v>
      </c>
      <c r="G85" s="63">
        <f>'дод 3'!H111</f>
        <v>0</v>
      </c>
      <c r="H85" s="63">
        <f>'дод 3'!I111</f>
        <v>0</v>
      </c>
      <c r="I85" s="63">
        <f>'дод 3'!J111</f>
        <v>0</v>
      </c>
      <c r="J85" s="63">
        <f>'дод 3'!K111</f>
        <v>0</v>
      </c>
      <c r="K85" s="63">
        <f>'дод 3'!L111</f>
        <v>0</v>
      </c>
      <c r="L85" s="63">
        <f>'дод 3'!M111</f>
        <v>0</v>
      </c>
      <c r="M85" s="63">
        <f>'дод 3'!N111</f>
        <v>0</v>
      </c>
      <c r="N85" s="63">
        <f>'дод 3'!O111</f>
        <v>0</v>
      </c>
      <c r="O85" s="63">
        <f>'дод 3'!P111</f>
        <v>3005800</v>
      </c>
      <c r="P85" s="162"/>
      <c r="Q85" s="161"/>
    </row>
    <row r="86" spans="1:17" ht="38.25" customHeight="1" x14ac:dyDescent="0.45">
      <c r="A86" s="61" t="s">
        <v>103</v>
      </c>
      <c r="B86" s="61" t="s">
        <v>243</v>
      </c>
      <c r="C86" s="62" t="s">
        <v>296</v>
      </c>
      <c r="D86" s="63">
        <f>'дод 3'!E112</f>
        <v>6034800</v>
      </c>
      <c r="E86" s="63">
        <f>'дод 3'!F112</f>
        <v>6034800</v>
      </c>
      <c r="F86" s="63">
        <f>'дод 3'!G112</f>
        <v>0</v>
      </c>
      <c r="G86" s="63">
        <f>'дод 3'!H112</f>
        <v>0</v>
      </c>
      <c r="H86" s="63">
        <f>'дод 3'!I112</f>
        <v>0</v>
      </c>
      <c r="I86" s="63">
        <f>'дод 3'!J112</f>
        <v>0</v>
      </c>
      <c r="J86" s="63">
        <f>'дод 3'!K112</f>
        <v>0</v>
      </c>
      <c r="K86" s="63">
        <f>'дод 3'!L112</f>
        <v>0</v>
      </c>
      <c r="L86" s="63">
        <f>'дод 3'!M112</f>
        <v>0</v>
      </c>
      <c r="M86" s="63">
        <f>'дод 3'!N112</f>
        <v>0</v>
      </c>
      <c r="N86" s="63">
        <f>'дод 3'!O112</f>
        <v>0</v>
      </c>
      <c r="O86" s="63">
        <f>'дод 3'!P112</f>
        <v>6034800</v>
      </c>
      <c r="P86" s="162"/>
      <c r="Q86" s="161"/>
    </row>
    <row r="87" spans="1:17" ht="26.25" customHeight="1" x14ac:dyDescent="0.45">
      <c r="A87" s="61" t="s">
        <v>223</v>
      </c>
      <c r="B87" s="61" t="s">
        <v>55</v>
      </c>
      <c r="C87" s="40" t="s">
        <v>328</v>
      </c>
      <c r="D87" s="63">
        <f>'дод 3'!E113</f>
        <v>4355200</v>
      </c>
      <c r="E87" s="63">
        <f>'дод 3'!F113</f>
        <v>4355200</v>
      </c>
      <c r="F87" s="63">
        <f>'дод 3'!G113</f>
        <v>3252200</v>
      </c>
      <c r="G87" s="63">
        <f>'дод 3'!H113</f>
        <v>170000</v>
      </c>
      <c r="H87" s="63">
        <f>'дод 3'!I113</f>
        <v>0</v>
      </c>
      <c r="I87" s="63">
        <f>'дод 3'!J113</f>
        <v>0</v>
      </c>
      <c r="J87" s="63">
        <f>'дод 3'!K113</f>
        <v>0</v>
      </c>
      <c r="K87" s="63">
        <f>'дод 3'!L113</f>
        <v>0</v>
      </c>
      <c r="L87" s="63">
        <f>'дод 3'!M113</f>
        <v>0</v>
      </c>
      <c r="M87" s="63">
        <f>'дод 3'!N113</f>
        <v>0</v>
      </c>
      <c r="N87" s="63">
        <f>'дод 3'!O113</f>
        <v>0</v>
      </c>
      <c r="O87" s="63">
        <f>'дод 3'!P113</f>
        <v>4355200</v>
      </c>
      <c r="P87" s="162"/>
    </row>
    <row r="88" spans="1:17" ht="21.75" customHeight="1" x14ac:dyDescent="0.45">
      <c r="A88" s="61" t="s">
        <v>224</v>
      </c>
      <c r="B88" s="61" t="s">
        <v>55</v>
      </c>
      <c r="C88" s="40" t="s">
        <v>329</v>
      </c>
      <c r="D88" s="63">
        <f>'дод 3'!E114</f>
        <v>33856700</v>
      </c>
      <c r="E88" s="63">
        <f>'дод 3'!F114</f>
        <v>33856700</v>
      </c>
      <c r="F88" s="63">
        <f>'дод 3'!G114</f>
        <v>0</v>
      </c>
      <c r="G88" s="63">
        <f>'дод 3'!H114</f>
        <v>0</v>
      </c>
      <c r="H88" s="63">
        <f>'дод 3'!I114</f>
        <v>0</v>
      </c>
      <c r="I88" s="63">
        <f>'дод 3'!J114</f>
        <v>0</v>
      </c>
      <c r="J88" s="63">
        <f>'дод 3'!K114</f>
        <v>0</v>
      </c>
      <c r="K88" s="63">
        <f>'дод 3'!L114</f>
        <v>0</v>
      </c>
      <c r="L88" s="63">
        <f>'дод 3'!M114</f>
        <v>0</v>
      </c>
      <c r="M88" s="63">
        <f>'дод 3'!N114</f>
        <v>0</v>
      </c>
      <c r="N88" s="63">
        <f>'дод 3'!O114</f>
        <v>0</v>
      </c>
      <c r="O88" s="63">
        <f>'дод 3'!P114</f>
        <v>33856700</v>
      </c>
      <c r="P88" s="162"/>
    </row>
    <row r="89" spans="1:17" ht="21.75" customHeight="1" x14ac:dyDescent="0.45">
      <c r="A89" s="61">
        <v>2170</v>
      </c>
      <c r="B89" s="61" t="s">
        <v>55</v>
      </c>
      <c r="C89" s="40" t="s">
        <v>471</v>
      </c>
      <c r="D89" s="63">
        <f>'дод 3'!E226+'дод 3'!E115</f>
        <v>0</v>
      </c>
      <c r="E89" s="63">
        <f>'дод 3'!F226+'дод 3'!F115</f>
        <v>0</v>
      </c>
      <c r="F89" s="63">
        <f>'дод 3'!G226+'дод 3'!G115</f>
        <v>0</v>
      </c>
      <c r="G89" s="63">
        <f>'дод 3'!H226+'дод 3'!H115</f>
        <v>0</v>
      </c>
      <c r="H89" s="63">
        <f>'дод 3'!I226+'дод 3'!I115</f>
        <v>0</v>
      </c>
      <c r="I89" s="63">
        <f>'дод 3'!J226+'дод 3'!J115</f>
        <v>4545220</v>
      </c>
      <c r="J89" s="63">
        <f>'дод 3'!K226+'дод 3'!K115</f>
        <v>4545220</v>
      </c>
      <c r="K89" s="63">
        <f>'дод 3'!L226+'дод 3'!L115</f>
        <v>0</v>
      </c>
      <c r="L89" s="63">
        <f>'дод 3'!M226+'дод 3'!M115</f>
        <v>0</v>
      </c>
      <c r="M89" s="63">
        <f>'дод 3'!N226+'дод 3'!N115</f>
        <v>0</v>
      </c>
      <c r="N89" s="63">
        <f>'дод 3'!O226+'дод 3'!O115</f>
        <v>4545220</v>
      </c>
      <c r="O89" s="63">
        <f>'дод 3'!P226+'дод 3'!P115</f>
        <v>4545220</v>
      </c>
      <c r="P89" s="162"/>
    </row>
    <row r="90" spans="1:17" s="91" customFormat="1" ht="33" customHeight="1" x14ac:dyDescent="0.4">
      <c r="A90" s="64" t="s">
        <v>56</v>
      </c>
      <c r="B90" s="74"/>
      <c r="C90" s="75" t="s">
        <v>347</v>
      </c>
      <c r="D90" s="60">
        <f>D95+D96+D97+D98+D99+D104+D105+D106+D108+D109+D112+D116+D117+D120+D121+D122+D123+D110+D111+D100+D114+D102+D107+D118</f>
        <v>358490522.53999996</v>
      </c>
      <c r="E90" s="60">
        <f t="shared" ref="E90:O90" si="16">E95+E96+E97+E98+E99+E104+E105+E106+E108+E109+E112+E116+E117+E120+E121+E122+E123+E110+E111+E100+E114+E102+E107+E118</f>
        <v>358490522.53999996</v>
      </c>
      <c r="F90" s="60">
        <f t="shared" si="16"/>
        <v>32448065</v>
      </c>
      <c r="G90" s="60">
        <f t="shared" si="16"/>
        <v>3061000</v>
      </c>
      <c r="H90" s="60">
        <f t="shared" si="16"/>
        <v>0</v>
      </c>
      <c r="I90" s="60">
        <f t="shared" si="16"/>
        <v>295584</v>
      </c>
      <c r="J90" s="60">
        <f t="shared" si="16"/>
        <v>226984</v>
      </c>
      <c r="K90" s="60">
        <f t="shared" si="16"/>
        <v>68600</v>
      </c>
      <c r="L90" s="60">
        <f t="shared" si="16"/>
        <v>50000</v>
      </c>
      <c r="M90" s="60">
        <f t="shared" si="16"/>
        <v>3810</v>
      </c>
      <c r="N90" s="60">
        <f t="shared" si="16"/>
        <v>226984</v>
      </c>
      <c r="O90" s="60">
        <f t="shared" si="16"/>
        <v>358786106.53999996</v>
      </c>
      <c r="P90" s="162">
        <v>5</v>
      </c>
    </row>
    <row r="91" spans="1:17" s="91" customFormat="1" ht="33" customHeight="1" x14ac:dyDescent="0.4">
      <c r="A91" s="64"/>
      <c r="B91" s="74"/>
      <c r="C91" s="76" t="s">
        <v>283</v>
      </c>
      <c r="D91" s="66">
        <f>D101+D103+D115+D124</f>
        <v>1422057</v>
      </c>
      <c r="E91" s="66">
        <f t="shared" ref="E91:O91" si="17">E101+E103+E115+E124</f>
        <v>1422057</v>
      </c>
      <c r="F91" s="66">
        <f t="shared" si="17"/>
        <v>0</v>
      </c>
      <c r="G91" s="66">
        <f t="shared" si="17"/>
        <v>0</v>
      </c>
      <c r="H91" s="66">
        <f t="shared" si="17"/>
        <v>0</v>
      </c>
      <c r="I91" s="66">
        <f t="shared" si="17"/>
        <v>0</v>
      </c>
      <c r="J91" s="66">
        <f t="shared" si="17"/>
        <v>0</v>
      </c>
      <c r="K91" s="66">
        <f t="shared" si="17"/>
        <v>0</v>
      </c>
      <c r="L91" s="66">
        <f t="shared" si="17"/>
        <v>0</v>
      </c>
      <c r="M91" s="66">
        <f t="shared" si="17"/>
        <v>0</v>
      </c>
      <c r="N91" s="66">
        <f t="shared" si="17"/>
        <v>0</v>
      </c>
      <c r="O91" s="66">
        <f t="shared" si="17"/>
        <v>1422057</v>
      </c>
      <c r="P91" s="162"/>
    </row>
    <row r="92" spans="1:17" s="91" customFormat="1" ht="72" customHeight="1" x14ac:dyDescent="0.4">
      <c r="A92" s="64"/>
      <c r="B92" s="74"/>
      <c r="C92" s="22" t="s">
        <v>397</v>
      </c>
      <c r="D92" s="66">
        <f t="shared" ref="D92:O92" si="18">D125+D113</f>
        <v>71303000</v>
      </c>
      <c r="E92" s="66">
        <f t="shared" si="18"/>
        <v>71303000</v>
      </c>
      <c r="F92" s="66">
        <f t="shared" si="18"/>
        <v>0</v>
      </c>
      <c r="G92" s="66">
        <f t="shared" si="18"/>
        <v>0</v>
      </c>
      <c r="H92" s="66">
        <f t="shared" si="18"/>
        <v>0</v>
      </c>
      <c r="I92" s="66">
        <f t="shared" si="18"/>
        <v>0</v>
      </c>
      <c r="J92" s="66">
        <f t="shared" si="18"/>
        <v>0</v>
      </c>
      <c r="K92" s="66">
        <f t="shared" si="18"/>
        <v>0</v>
      </c>
      <c r="L92" s="66">
        <f t="shared" si="18"/>
        <v>0</v>
      </c>
      <c r="M92" s="66">
        <f t="shared" si="18"/>
        <v>0</v>
      </c>
      <c r="N92" s="66">
        <f t="shared" si="18"/>
        <v>0</v>
      </c>
      <c r="O92" s="66">
        <f t="shared" si="18"/>
        <v>71303000</v>
      </c>
      <c r="P92" s="162"/>
    </row>
    <row r="93" spans="1:17" s="91" customFormat="1" ht="101.25" customHeight="1" x14ac:dyDescent="0.4">
      <c r="A93" s="64"/>
      <c r="B93" s="74"/>
      <c r="C93" s="22" t="str">
        <f>C126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D93" s="66">
        <f>D126</f>
        <v>2868232.83</v>
      </c>
      <c r="E93" s="66">
        <f t="shared" ref="E93:O93" si="19">E126</f>
        <v>2868232.83</v>
      </c>
      <c r="F93" s="66">
        <f t="shared" si="19"/>
        <v>0</v>
      </c>
      <c r="G93" s="66">
        <f t="shared" si="19"/>
        <v>0</v>
      </c>
      <c r="H93" s="66">
        <f t="shared" si="19"/>
        <v>0</v>
      </c>
      <c r="I93" s="66">
        <f t="shared" si="19"/>
        <v>0</v>
      </c>
      <c r="J93" s="66">
        <f t="shared" si="19"/>
        <v>0</v>
      </c>
      <c r="K93" s="66">
        <f t="shared" si="19"/>
        <v>0</v>
      </c>
      <c r="L93" s="66">
        <f t="shared" si="19"/>
        <v>0</v>
      </c>
      <c r="M93" s="66">
        <f t="shared" si="19"/>
        <v>0</v>
      </c>
      <c r="N93" s="66">
        <f t="shared" si="19"/>
        <v>0</v>
      </c>
      <c r="O93" s="66">
        <f t="shared" si="19"/>
        <v>2868232.83</v>
      </c>
      <c r="P93" s="162"/>
    </row>
    <row r="94" spans="1:17" s="91" customFormat="1" ht="76.900000000000006" customHeight="1" x14ac:dyDescent="0.4">
      <c r="A94" s="64"/>
      <c r="B94" s="74"/>
      <c r="C94" s="22" t="str">
        <f>C119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D94" s="66">
        <f>D119</f>
        <v>898243</v>
      </c>
      <c r="E94" s="66">
        <f t="shared" ref="E94:O94" si="20">E119</f>
        <v>898243</v>
      </c>
      <c r="F94" s="66">
        <f t="shared" si="20"/>
        <v>352465</v>
      </c>
      <c r="G94" s="66">
        <f t="shared" si="20"/>
        <v>0</v>
      </c>
      <c r="H94" s="66">
        <f t="shared" si="20"/>
        <v>0</v>
      </c>
      <c r="I94" s="66">
        <f t="shared" si="20"/>
        <v>0</v>
      </c>
      <c r="J94" s="66">
        <f t="shared" si="20"/>
        <v>0</v>
      </c>
      <c r="K94" s="66">
        <f t="shared" si="20"/>
        <v>0</v>
      </c>
      <c r="L94" s="66">
        <f t="shared" si="20"/>
        <v>0</v>
      </c>
      <c r="M94" s="66">
        <f t="shared" si="20"/>
        <v>0</v>
      </c>
      <c r="N94" s="66">
        <f t="shared" si="20"/>
        <v>0</v>
      </c>
      <c r="O94" s="66">
        <f t="shared" si="20"/>
        <v>898243</v>
      </c>
      <c r="P94" s="162"/>
    </row>
    <row r="95" spans="1:17" ht="38.25" customHeight="1" x14ac:dyDescent="0.45">
      <c r="A95" s="61" t="s">
        <v>85</v>
      </c>
      <c r="B95" s="61" t="s">
        <v>44</v>
      </c>
      <c r="C95" s="40" t="s">
        <v>104</v>
      </c>
      <c r="D95" s="63">
        <f>'дод 3'!E127</f>
        <v>438760</v>
      </c>
      <c r="E95" s="63">
        <f>'дод 3'!F127</f>
        <v>438760</v>
      </c>
      <c r="F95" s="63">
        <f>'дод 3'!G127</f>
        <v>0</v>
      </c>
      <c r="G95" s="63">
        <f>'дод 3'!H127</f>
        <v>0</v>
      </c>
      <c r="H95" s="63">
        <f>'дод 3'!I127</f>
        <v>0</v>
      </c>
      <c r="I95" s="63">
        <f>'дод 3'!J127</f>
        <v>0</v>
      </c>
      <c r="J95" s="63">
        <f>'дод 3'!K127</f>
        <v>0</v>
      </c>
      <c r="K95" s="63">
        <f>'дод 3'!L127</f>
        <v>0</v>
      </c>
      <c r="L95" s="63">
        <f>'дод 3'!M127</f>
        <v>0</v>
      </c>
      <c r="M95" s="63">
        <f>'дод 3'!N127</f>
        <v>0</v>
      </c>
      <c r="N95" s="63">
        <f>'дод 3'!O127</f>
        <v>0</v>
      </c>
      <c r="O95" s="63">
        <f>'дод 3'!P127</f>
        <v>438760</v>
      </c>
      <c r="P95" s="162"/>
    </row>
    <row r="96" spans="1:17" ht="30" customHeight="1" x14ac:dyDescent="0.45">
      <c r="A96" s="61" t="s">
        <v>105</v>
      </c>
      <c r="B96" s="61" t="s">
        <v>45</v>
      </c>
      <c r="C96" s="40" t="s">
        <v>278</v>
      </c>
      <c r="D96" s="63">
        <f>'дод 3'!E128</f>
        <v>700000</v>
      </c>
      <c r="E96" s="63">
        <f>'дод 3'!F128</f>
        <v>700000</v>
      </c>
      <c r="F96" s="63">
        <f>'дод 3'!G128</f>
        <v>0</v>
      </c>
      <c r="G96" s="63">
        <f>'дод 3'!H128</f>
        <v>0</v>
      </c>
      <c r="H96" s="63">
        <f>'дод 3'!I128</f>
        <v>0</v>
      </c>
      <c r="I96" s="63">
        <f>'дод 3'!J128</f>
        <v>0</v>
      </c>
      <c r="J96" s="63">
        <f>'дод 3'!K128</f>
        <v>0</v>
      </c>
      <c r="K96" s="63">
        <f>'дод 3'!L128</f>
        <v>0</v>
      </c>
      <c r="L96" s="63">
        <f>'дод 3'!M128</f>
        <v>0</v>
      </c>
      <c r="M96" s="63">
        <f>'дод 3'!N128</f>
        <v>0</v>
      </c>
      <c r="N96" s="63">
        <f>'дод 3'!O128</f>
        <v>0</v>
      </c>
      <c r="O96" s="63">
        <f>'дод 3'!P128</f>
        <v>700000</v>
      </c>
      <c r="P96" s="162"/>
    </row>
    <row r="97" spans="1:16" ht="30.75" x14ac:dyDescent="0.45">
      <c r="A97" s="61" t="s">
        <v>86</v>
      </c>
      <c r="B97" s="61" t="s">
        <v>45</v>
      </c>
      <c r="C97" s="40" t="s">
        <v>380</v>
      </c>
      <c r="D97" s="63">
        <f>'дод 3'!E129+'дод 3'!E20</f>
        <v>21941000</v>
      </c>
      <c r="E97" s="63">
        <f>'дод 3'!F129+'дод 3'!F20</f>
        <v>21941000</v>
      </c>
      <c r="F97" s="63">
        <f>'дод 3'!G129+'дод 3'!G20</f>
        <v>0</v>
      </c>
      <c r="G97" s="63">
        <f>'дод 3'!H129+'дод 3'!H20</f>
        <v>0</v>
      </c>
      <c r="H97" s="63">
        <f>'дод 3'!I129+'дод 3'!I20</f>
        <v>0</v>
      </c>
      <c r="I97" s="63">
        <f>'дод 3'!J129+'дод 3'!J20</f>
        <v>0</v>
      </c>
      <c r="J97" s="63">
        <f>'дод 3'!K129+'дод 3'!K20</f>
        <v>0</v>
      </c>
      <c r="K97" s="63">
        <f>'дод 3'!L129+'дод 3'!L20</f>
        <v>0</v>
      </c>
      <c r="L97" s="63">
        <f>'дод 3'!M129+'дод 3'!M20</f>
        <v>0</v>
      </c>
      <c r="M97" s="63">
        <f>'дод 3'!N129+'дод 3'!N20</f>
        <v>0</v>
      </c>
      <c r="N97" s="63">
        <f>'дод 3'!O129+'дод 3'!O20</f>
        <v>0</v>
      </c>
      <c r="O97" s="63">
        <f>'дод 3'!P129+'дод 3'!P20</f>
        <v>21941000</v>
      </c>
      <c r="P97" s="162"/>
    </row>
    <row r="98" spans="1:16" ht="47.25" customHeight="1" x14ac:dyDescent="0.45">
      <c r="A98" s="61" t="s">
        <v>249</v>
      </c>
      <c r="B98" s="61" t="s">
        <v>45</v>
      </c>
      <c r="C98" s="40" t="s">
        <v>248</v>
      </c>
      <c r="D98" s="63">
        <f>'дод 3'!E130</f>
        <v>1000000</v>
      </c>
      <c r="E98" s="63">
        <f>'дод 3'!F130</f>
        <v>1000000</v>
      </c>
      <c r="F98" s="63">
        <f>'дод 3'!G130</f>
        <v>0</v>
      </c>
      <c r="G98" s="63">
        <f>'дод 3'!H130</f>
        <v>0</v>
      </c>
      <c r="H98" s="63">
        <f>'дод 3'!I130</f>
        <v>0</v>
      </c>
      <c r="I98" s="63">
        <f>'дод 3'!J130</f>
        <v>0</v>
      </c>
      <c r="J98" s="63">
        <f>'дод 3'!K130</f>
        <v>0</v>
      </c>
      <c r="K98" s="63">
        <f>'дод 3'!L130</f>
        <v>0</v>
      </c>
      <c r="L98" s="63">
        <f>'дод 3'!M130</f>
        <v>0</v>
      </c>
      <c r="M98" s="63">
        <f>'дод 3'!N130</f>
        <v>0</v>
      </c>
      <c r="N98" s="63">
        <f>'дод 3'!O130</f>
        <v>0</v>
      </c>
      <c r="O98" s="63">
        <f>'дод 3'!P130</f>
        <v>1000000</v>
      </c>
      <c r="P98" s="162"/>
    </row>
    <row r="99" spans="1:16" ht="36.75" customHeight="1" x14ac:dyDescent="0.45">
      <c r="A99" s="61" t="s">
        <v>106</v>
      </c>
      <c r="B99" s="61" t="s">
        <v>45</v>
      </c>
      <c r="C99" s="40" t="s">
        <v>17</v>
      </c>
      <c r="D99" s="63">
        <f>'дод 3'!E131+'дод 3'!E21</f>
        <v>44199300</v>
      </c>
      <c r="E99" s="63">
        <f>'дод 3'!F131+'дод 3'!F21</f>
        <v>44199300</v>
      </c>
      <c r="F99" s="63">
        <f>'дод 3'!G131+'дод 3'!G21</f>
        <v>0</v>
      </c>
      <c r="G99" s="63">
        <f>'дод 3'!H131+'дод 3'!H21</f>
        <v>0</v>
      </c>
      <c r="H99" s="63">
        <f>'дод 3'!I131+'дод 3'!I21</f>
        <v>0</v>
      </c>
      <c r="I99" s="63">
        <f>'дод 3'!J131+'дод 3'!J21</f>
        <v>0</v>
      </c>
      <c r="J99" s="63">
        <f>'дод 3'!K131+'дод 3'!K21</f>
        <v>0</v>
      </c>
      <c r="K99" s="63">
        <f>'дод 3'!L131+'дод 3'!L21</f>
        <v>0</v>
      </c>
      <c r="L99" s="63">
        <f>'дод 3'!M131+'дод 3'!M21</f>
        <v>0</v>
      </c>
      <c r="M99" s="63">
        <f>'дод 3'!N131+'дод 3'!N21</f>
        <v>0</v>
      </c>
      <c r="N99" s="63">
        <f>'дод 3'!O131+'дод 3'!O21</f>
        <v>0</v>
      </c>
      <c r="O99" s="63">
        <f>'дод 3'!P131+'дод 3'!P21</f>
        <v>44199300</v>
      </c>
      <c r="P99" s="162"/>
    </row>
    <row r="100" spans="1:16" ht="34.5" customHeight="1" x14ac:dyDescent="0.45">
      <c r="A100" s="61" t="s">
        <v>418</v>
      </c>
      <c r="B100" s="61" t="s">
        <v>45</v>
      </c>
      <c r="C100" s="40" t="s">
        <v>419</v>
      </c>
      <c r="D100" s="63">
        <f>'дод 3'!E132</f>
        <v>856600</v>
      </c>
      <c r="E100" s="63">
        <f>'дод 3'!F132</f>
        <v>856600</v>
      </c>
      <c r="F100" s="63">
        <f>'дод 3'!G132</f>
        <v>0</v>
      </c>
      <c r="G100" s="63">
        <f>'дод 3'!H132</f>
        <v>0</v>
      </c>
      <c r="H100" s="63">
        <f>'дод 3'!I132</f>
        <v>0</v>
      </c>
      <c r="I100" s="63">
        <f>'дод 3'!J132</f>
        <v>0</v>
      </c>
      <c r="J100" s="63">
        <f>'дод 3'!K132</f>
        <v>0</v>
      </c>
      <c r="K100" s="63">
        <f>'дод 3'!L132</f>
        <v>0</v>
      </c>
      <c r="L100" s="63">
        <f>'дод 3'!M132</f>
        <v>0</v>
      </c>
      <c r="M100" s="63">
        <f>'дод 3'!N132</f>
        <v>0</v>
      </c>
      <c r="N100" s="63">
        <f>'дод 3'!O132</f>
        <v>0</v>
      </c>
      <c r="O100" s="63">
        <f>'дод 3'!P132</f>
        <v>856600</v>
      </c>
      <c r="P100" s="162"/>
    </row>
    <row r="101" spans="1:16" s="92" customFormat="1" ht="21" customHeight="1" x14ac:dyDescent="0.45">
      <c r="A101" s="67"/>
      <c r="B101" s="67"/>
      <c r="C101" s="77" t="s">
        <v>283</v>
      </c>
      <c r="D101" s="68">
        <f>'дод 3'!E133</f>
        <v>856600</v>
      </c>
      <c r="E101" s="68">
        <f>'дод 3'!F133</f>
        <v>856600</v>
      </c>
      <c r="F101" s="68">
        <f>'дод 3'!G133</f>
        <v>0</v>
      </c>
      <c r="G101" s="68">
        <f>'дод 3'!H133</f>
        <v>0</v>
      </c>
      <c r="H101" s="68">
        <f>'дод 3'!I133</f>
        <v>0</v>
      </c>
      <c r="I101" s="68">
        <f>'дод 3'!J133</f>
        <v>0</v>
      </c>
      <c r="J101" s="68">
        <f>'дод 3'!K133</f>
        <v>0</v>
      </c>
      <c r="K101" s="68">
        <f>'дод 3'!L133</f>
        <v>0</v>
      </c>
      <c r="L101" s="68">
        <f>'дод 3'!M133</f>
        <v>0</v>
      </c>
      <c r="M101" s="68">
        <f>'дод 3'!N133</f>
        <v>0</v>
      </c>
      <c r="N101" s="68">
        <f>'дод 3'!O133</f>
        <v>0</v>
      </c>
      <c r="O101" s="68">
        <f>'дод 3'!P133</f>
        <v>856600</v>
      </c>
      <c r="P101" s="162"/>
    </row>
    <row r="102" spans="1:16" ht="34.5" customHeight="1" x14ac:dyDescent="0.45">
      <c r="A102" s="61" t="s">
        <v>420</v>
      </c>
      <c r="B102" s="61" t="s">
        <v>44</v>
      </c>
      <c r="C102" s="40" t="s">
        <v>421</v>
      </c>
      <c r="D102" s="63">
        <f>'дод 3'!E134</f>
        <v>124000</v>
      </c>
      <c r="E102" s="63">
        <f>'дод 3'!F134</f>
        <v>124000</v>
      </c>
      <c r="F102" s="63">
        <f>'дод 3'!G134</f>
        <v>0</v>
      </c>
      <c r="G102" s="63">
        <f>'дод 3'!H134</f>
        <v>0</v>
      </c>
      <c r="H102" s="63">
        <f>'дод 3'!I134</f>
        <v>0</v>
      </c>
      <c r="I102" s="63">
        <f>'дод 3'!J134</f>
        <v>0</v>
      </c>
      <c r="J102" s="63">
        <f>'дод 3'!K134</f>
        <v>0</v>
      </c>
      <c r="K102" s="63">
        <f>'дод 3'!L134</f>
        <v>0</v>
      </c>
      <c r="L102" s="63">
        <f>'дод 3'!M134</f>
        <v>0</v>
      </c>
      <c r="M102" s="63">
        <f>'дод 3'!N134</f>
        <v>0</v>
      </c>
      <c r="N102" s="63">
        <f>'дод 3'!O134</f>
        <v>0</v>
      </c>
      <c r="O102" s="63">
        <f>'дод 3'!P134</f>
        <v>124000</v>
      </c>
      <c r="P102" s="162"/>
    </row>
    <row r="103" spans="1:16" s="92" customFormat="1" ht="21" customHeight="1" x14ac:dyDescent="0.45">
      <c r="A103" s="67"/>
      <c r="B103" s="67"/>
      <c r="C103" s="77" t="s">
        <v>283</v>
      </c>
      <c r="D103" s="68">
        <f>'дод 3'!E135</f>
        <v>124000</v>
      </c>
      <c r="E103" s="68">
        <f>'дод 3'!F135</f>
        <v>124000</v>
      </c>
      <c r="F103" s="68">
        <f>'дод 3'!G135</f>
        <v>0</v>
      </c>
      <c r="G103" s="68">
        <f>'дод 3'!H135</f>
        <v>0</v>
      </c>
      <c r="H103" s="68">
        <f>'дод 3'!I135</f>
        <v>0</v>
      </c>
      <c r="I103" s="68">
        <f>'дод 3'!J135</f>
        <v>0</v>
      </c>
      <c r="J103" s="68">
        <f>'дод 3'!K135</f>
        <v>0</v>
      </c>
      <c r="K103" s="68">
        <f>'дод 3'!L135</f>
        <v>0</v>
      </c>
      <c r="L103" s="68">
        <f>'дод 3'!M135</f>
        <v>0</v>
      </c>
      <c r="M103" s="68">
        <f>'дод 3'!N135</f>
        <v>0</v>
      </c>
      <c r="N103" s="68">
        <f>'дод 3'!O135</f>
        <v>0</v>
      </c>
      <c r="O103" s="68">
        <f>'дод 3'!P135</f>
        <v>124000</v>
      </c>
      <c r="P103" s="162"/>
    </row>
    <row r="104" spans="1:16" ht="45.75" customHeight="1" x14ac:dyDescent="0.45">
      <c r="A104" s="61" t="s">
        <v>88</v>
      </c>
      <c r="B104" s="61" t="s">
        <v>42</v>
      </c>
      <c r="C104" s="40" t="s">
        <v>25</v>
      </c>
      <c r="D104" s="63">
        <f>'дод 3'!E136</f>
        <v>27074900</v>
      </c>
      <c r="E104" s="63">
        <f>'дод 3'!F136</f>
        <v>27074900</v>
      </c>
      <c r="F104" s="63">
        <f>'дод 3'!G136</f>
        <v>20066500</v>
      </c>
      <c r="G104" s="63">
        <f>'дод 3'!H136</f>
        <v>1317500</v>
      </c>
      <c r="H104" s="63">
        <f>'дод 3'!I136</f>
        <v>0</v>
      </c>
      <c r="I104" s="63">
        <f>'дод 3'!J136</f>
        <v>58600</v>
      </c>
      <c r="J104" s="63">
        <f>'дод 3'!K136</f>
        <v>0</v>
      </c>
      <c r="K104" s="63">
        <f>'дод 3'!L136</f>
        <v>58600</v>
      </c>
      <c r="L104" s="63">
        <f>'дод 3'!M136</f>
        <v>48000</v>
      </c>
      <c r="M104" s="63">
        <f>'дод 3'!N136</f>
        <v>0</v>
      </c>
      <c r="N104" s="63">
        <f>'дод 3'!O136</f>
        <v>0</v>
      </c>
      <c r="O104" s="63">
        <f>'дод 3'!P136</f>
        <v>27133500</v>
      </c>
      <c r="P104" s="162"/>
    </row>
    <row r="105" spans="1:16" ht="76.5" hidden="1" customHeight="1" x14ac:dyDescent="0.45">
      <c r="A105" s="61" t="s">
        <v>257</v>
      </c>
      <c r="B105" s="61" t="s">
        <v>87</v>
      </c>
      <c r="C105" s="27" t="s">
        <v>424</v>
      </c>
      <c r="D105" s="63">
        <f>SUM('дод 3'!E157)</f>
        <v>0</v>
      </c>
      <c r="E105" s="63">
        <f>SUM('дод 3'!F157)</f>
        <v>0</v>
      </c>
      <c r="F105" s="63">
        <f>SUM('дод 3'!G157)</f>
        <v>0</v>
      </c>
      <c r="G105" s="63">
        <f>SUM('дод 3'!H157)</f>
        <v>0</v>
      </c>
      <c r="H105" s="63">
        <f>SUM('дод 3'!I157)</f>
        <v>0</v>
      </c>
      <c r="I105" s="63">
        <f>SUM('дод 3'!J157)</f>
        <v>0</v>
      </c>
      <c r="J105" s="63">
        <f>SUM('дод 3'!K157)</f>
        <v>0</v>
      </c>
      <c r="K105" s="63">
        <f>SUM('дод 3'!L157)</f>
        <v>0</v>
      </c>
      <c r="L105" s="63">
        <f>SUM('дод 3'!M157)</f>
        <v>0</v>
      </c>
      <c r="M105" s="63">
        <f>SUM('дод 3'!N157)</f>
        <v>0</v>
      </c>
      <c r="N105" s="63">
        <f>SUM('дод 3'!O157)</f>
        <v>0</v>
      </c>
      <c r="O105" s="63">
        <f>SUM('дод 3'!P157)</f>
        <v>0</v>
      </c>
      <c r="P105" s="162"/>
    </row>
    <row r="106" spans="1:16" s="92" customFormat="1" ht="31.35" customHeight="1" x14ac:dyDescent="0.45">
      <c r="A106" s="61" t="s">
        <v>89</v>
      </c>
      <c r="B106" s="61" t="s">
        <v>87</v>
      </c>
      <c r="C106" s="40" t="s">
        <v>26</v>
      </c>
      <c r="D106" s="63">
        <f>'дод 3'!E158</f>
        <v>141200</v>
      </c>
      <c r="E106" s="63">
        <f>'дод 3'!F158</f>
        <v>141200</v>
      </c>
      <c r="F106" s="63">
        <f>'дод 3'!G158</f>
        <v>0</v>
      </c>
      <c r="G106" s="63">
        <f>'дод 3'!H158</f>
        <v>0</v>
      </c>
      <c r="H106" s="63">
        <f>'дод 3'!I158</f>
        <v>0</v>
      </c>
      <c r="I106" s="63">
        <f>'дод 3'!J158</f>
        <v>0</v>
      </c>
      <c r="J106" s="63">
        <f>'дод 3'!K158</f>
        <v>0</v>
      </c>
      <c r="K106" s="63">
        <f>'дод 3'!L158</f>
        <v>0</v>
      </c>
      <c r="L106" s="63">
        <f>'дод 3'!M158</f>
        <v>0</v>
      </c>
      <c r="M106" s="63">
        <f>'дод 3'!N158</f>
        <v>0</v>
      </c>
      <c r="N106" s="63">
        <f>'дод 3'!O158</f>
        <v>0</v>
      </c>
      <c r="O106" s="63">
        <f>'дод 3'!P158</f>
        <v>141200</v>
      </c>
      <c r="P106" s="162"/>
    </row>
    <row r="107" spans="1:16" s="92" customFormat="1" ht="46.15" x14ac:dyDescent="0.45">
      <c r="A107" s="61">
        <v>3114</v>
      </c>
      <c r="B107" s="61">
        <v>1040</v>
      </c>
      <c r="C107" s="40" t="s">
        <v>443</v>
      </c>
      <c r="D107" s="63">
        <f>'дод 3'!E159</f>
        <v>151000</v>
      </c>
      <c r="E107" s="63">
        <f>'дод 3'!F159</f>
        <v>151000</v>
      </c>
      <c r="F107" s="63">
        <f>'дод 3'!G159</f>
        <v>0</v>
      </c>
      <c r="G107" s="63">
        <f>'дод 3'!H159</f>
        <v>0</v>
      </c>
      <c r="H107" s="63">
        <f>'дод 3'!I159</f>
        <v>0</v>
      </c>
      <c r="I107" s="63">
        <f>'дод 3'!J159</f>
        <v>0</v>
      </c>
      <c r="J107" s="63">
        <f>'дод 3'!K159</f>
        <v>0</v>
      </c>
      <c r="K107" s="63">
        <f>'дод 3'!L159</f>
        <v>0</v>
      </c>
      <c r="L107" s="63">
        <f>'дод 3'!M159</f>
        <v>0</v>
      </c>
      <c r="M107" s="63">
        <f>'дод 3'!N159</f>
        <v>0</v>
      </c>
      <c r="N107" s="63">
        <f>'дод 3'!O159</f>
        <v>0</v>
      </c>
      <c r="O107" s="63">
        <f>'дод 3'!P159</f>
        <v>151000</v>
      </c>
      <c r="P107" s="162"/>
    </row>
    <row r="108" spans="1:16" s="92" customFormat="1" ht="63.4" customHeight="1" x14ac:dyDescent="0.45">
      <c r="A108" s="61" t="s">
        <v>107</v>
      </c>
      <c r="B108" s="61" t="s">
        <v>87</v>
      </c>
      <c r="C108" s="78" t="s">
        <v>467</v>
      </c>
      <c r="D108" s="63">
        <f>'дод 3'!E137</f>
        <v>6159000</v>
      </c>
      <c r="E108" s="63">
        <f>'дод 3'!F137</f>
        <v>6159000</v>
      </c>
      <c r="F108" s="63">
        <f>'дод 3'!G137</f>
        <v>4356500</v>
      </c>
      <c r="G108" s="63">
        <f>'дод 3'!H137</f>
        <v>402100</v>
      </c>
      <c r="H108" s="63">
        <f>'дод 3'!I137</f>
        <v>0</v>
      </c>
      <c r="I108" s="63">
        <f>'дод 3'!J137</f>
        <v>0</v>
      </c>
      <c r="J108" s="63">
        <f>'дод 3'!K137</f>
        <v>0</v>
      </c>
      <c r="K108" s="63">
        <f>'дод 3'!L137</f>
        <v>0</v>
      </c>
      <c r="L108" s="63">
        <f>'дод 3'!M137</f>
        <v>0</v>
      </c>
      <c r="M108" s="63">
        <f>'дод 3'!N137</f>
        <v>0</v>
      </c>
      <c r="N108" s="63">
        <f>'дод 3'!O137</f>
        <v>0</v>
      </c>
      <c r="O108" s="63">
        <f>'дод 3'!P137</f>
        <v>6159000</v>
      </c>
      <c r="P108" s="162"/>
    </row>
    <row r="109" spans="1:16" s="92" customFormat="1" ht="44.65" customHeight="1" x14ac:dyDescent="0.45">
      <c r="A109" s="61" t="s">
        <v>92</v>
      </c>
      <c r="B109" s="61" t="s">
        <v>87</v>
      </c>
      <c r="C109" s="40" t="s">
        <v>264</v>
      </c>
      <c r="D109" s="63">
        <f>'дод 3'!E22</f>
        <v>410000</v>
      </c>
      <c r="E109" s="63">
        <f>'дод 3'!F22</f>
        <v>410000</v>
      </c>
      <c r="F109" s="63">
        <f>'дод 3'!G22</f>
        <v>0</v>
      </c>
      <c r="G109" s="63">
        <f>'дод 3'!H22</f>
        <v>0</v>
      </c>
      <c r="H109" s="63">
        <f>'дод 3'!I22</f>
        <v>0</v>
      </c>
      <c r="I109" s="63">
        <f>'дод 3'!J22</f>
        <v>0</v>
      </c>
      <c r="J109" s="63">
        <f>'дод 3'!K22</f>
        <v>0</v>
      </c>
      <c r="K109" s="63">
        <f>'дод 3'!L22</f>
        <v>0</v>
      </c>
      <c r="L109" s="63">
        <f>'дод 3'!M22</f>
        <v>0</v>
      </c>
      <c r="M109" s="63">
        <f>'дод 3'!N22</f>
        <v>0</v>
      </c>
      <c r="N109" s="63">
        <f>'дод 3'!O22</f>
        <v>0</v>
      </c>
      <c r="O109" s="63">
        <f>'дод 3'!P22</f>
        <v>410000</v>
      </c>
      <c r="P109" s="162"/>
    </row>
    <row r="110" spans="1:16" s="92" customFormat="1" ht="46.15" x14ac:dyDescent="0.45">
      <c r="A110" s="61">
        <v>3133</v>
      </c>
      <c r="B110" s="61">
        <v>1040</v>
      </c>
      <c r="C110" s="40" t="s">
        <v>425</v>
      </c>
      <c r="D110" s="63">
        <f>'дод 3'!E23</f>
        <v>5841416</v>
      </c>
      <c r="E110" s="63">
        <f>'дод 3'!F23</f>
        <v>5841416</v>
      </c>
      <c r="F110" s="63">
        <f>'дод 3'!G23</f>
        <v>3357400</v>
      </c>
      <c r="G110" s="63">
        <f>'дод 3'!H23</f>
        <v>778500</v>
      </c>
      <c r="H110" s="63">
        <f>'дод 3'!I23</f>
        <v>0</v>
      </c>
      <c r="I110" s="63">
        <f>'дод 3'!J23</f>
        <v>126984</v>
      </c>
      <c r="J110" s="63">
        <f>'дод 3'!K23</f>
        <v>116984</v>
      </c>
      <c r="K110" s="63">
        <f>'дод 3'!L23</f>
        <v>10000</v>
      </c>
      <c r="L110" s="63">
        <f>'дод 3'!M23</f>
        <v>2000</v>
      </c>
      <c r="M110" s="63">
        <f>'дод 3'!N23</f>
        <v>3810</v>
      </c>
      <c r="N110" s="63">
        <f>'дод 3'!O23</f>
        <v>116984</v>
      </c>
      <c r="O110" s="63">
        <f>'дод 3'!P23</f>
        <v>5968400</v>
      </c>
      <c r="P110" s="162"/>
    </row>
    <row r="111" spans="1:16" s="93" customFormat="1" ht="48" customHeight="1" x14ac:dyDescent="0.45">
      <c r="A111" s="61">
        <v>3140</v>
      </c>
      <c r="B111" s="61">
        <v>1040</v>
      </c>
      <c r="C111" s="40" t="s">
        <v>382</v>
      </c>
      <c r="D111" s="63">
        <f>'дод 3'!E138</f>
        <v>2000000</v>
      </c>
      <c r="E111" s="63">
        <f>'дод 3'!F138</f>
        <v>2000000</v>
      </c>
      <c r="F111" s="79">
        <f>'дод 3'!G138</f>
        <v>0</v>
      </c>
      <c r="G111" s="79">
        <f>'дод 3'!H138</f>
        <v>0</v>
      </c>
      <c r="H111" s="79">
        <f>'дод 3'!I138</f>
        <v>0</v>
      </c>
      <c r="I111" s="79">
        <f>'дод 3'!J138</f>
        <v>0</v>
      </c>
      <c r="J111" s="79">
        <f>'дод 3'!K138</f>
        <v>0</v>
      </c>
      <c r="K111" s="79">
        <f>'дод 3'!L138</f>
        <v>0</v>
      </c>
      <c r="L111" s="79">
        <f>'дод 3'!M138</f>
        <v>0</v>
      </c>
      <c r="M111" s="79">
        <f>'дод 3'!N138</f>
        <v>0</v>
      </c>
      <c r="N111" s="79">
        <f>'дод 3'!O138</f>
        <v>0</v>
      </c>
      <c r="O111" s="63">
        <f>'дод 3'!P138</f>
        <v>2000000</v>
      </c>
      <c r="P111" s="162"/>
    </row>
    <row r="112" spans="1:16" ht="66" customHeight="1" x14ac:dyDescent="0.45">
      <c r="A112" s="61" t="s">
        <v>93</v>
      </c>
      <c r="B112" s="61">
        <v>1010</v>
      </c>
      <c r="C112" s="40" t="s">
        <v>378</v>
      </c>
      <c r="D112" s="63">
        <f>'дод 3'!E139</f>
        <v>22228000</v>
      </c>
      <c r="E112" s="63">
        <f>'дод 3'!F139</f>
        <v>22228000</v>
      </c>
      <c r="F112" s="63">
        <f>'дод 3'!G139</f>
        <v>0</v>
      </c>
      <c r="G112" s="63">
        <f>'дод 3'!H139</f>
        <v>0</v>
      </c>
      <c r="H112" s="63">
        <f>'дод 3'!I139</f>
        <v>0</v>
      </c>
      <c r="I112" s="63">
        <f>'дод 3'!J139</f>
        <v>0</v>
      </c>
      <c r="J112" s="63">
        <f>'дод 3'!K139</f>
        <v>0</v>
      </c>
      <c r="K112" s="63">
        <f>'дод 3'!L139</f>
        <v>0</v>
      </c>
      <c r="L112" s="63">
        <f>'дод 3'!M139</f>
        <v>0</v>
      </c>
      <c r="M112" s="63">
        <f>'дод 3'!N139</f>
        <v>0</v>
      </c>
      <c r="N112" s="63">
        <f>'дод 3'!O139</f>
        <v>0</v>
      </c>
      <c r="O112" s="63">
        <f>'дод 3'!P139</f>
        <v>22228000</v>
      </c>
      <c r="P112" s="162"/>
    </row>
    <row r="113" spans="1:16" ht="65.25" customHeight="1" x14ac:dyDescent="0.45">
      <c r="A113" s="61"/>
      <c r="B113" s="61"/>
      <c r="C113" s="39" t="s">
        <v>397</v>
      </c>
      <c r="D113" s="63">
        <f>'дод 3'!E140</f>
        <v>20000000</v>
      </c>
      <c r="E113" s="63">
        <f>'дод 3'!F140</f>
        <v>20000000</v>
      </c>
      <c r="F113" s="63">
        <f>'дод 3'!G140</f>
        <v>0</v>
      </c>
      <c r="G113" s="63">
        <f>'дод 3'!H140</f>
        <v>0</v>
      </c>
      <c r="H113" s="63">
        <f>'дод 3'!I140</f>
        <v>0</v>
      </c>
      <c r="I113" s="63">
        <f>'дод 3'!J140</f>
        <v>0</v>
      </c>
      <c r="J113" s="63">
        <f>'дод 3'!K140</f>
        <v>0</v>
      </c>
      <c r="K113" s="63">
        <f>'дод 3'!L140</f>
        <v>0</v>
      </c>
      <c r="L113" s="63">
        <f>'дод 3'!M140</f>
        <v>0</v>
      </c>
      <c r="M113" s="63">
        <f>'дод 3'!N140</f>
        <v>0</v>
      </c>
      <c r="N113" s="63">
        <f>'дод 3'!O140</f>
        <v>0</v>
      </c>
      <c r="O113" s="63">
        <f>'дод 3'!P140</f>
        <v>20000000</v>
      </c>
      <c r="P113" s="162"/>
    </row>
    <row r="114" spans="1:16" ht="51.75" customHeight="1" x14ac:dyDescent="0.45">
      <c r="A114" s="61" t="s">
        <v>422</v>
      </c>
      <c r="B114" s="61">
        <v>1010</v>
      </c>
      <c r="C114" s="40" t="s">
        <v>423</v>
      </c>
      <c r="D114" s="63">
        <f>'дод 3'!E141</f>
        <v>203057</v>
      </c>
      <c r="E114" s="63">
        <f>'дод 3'!F141</f>
        <v>203057</v>
      </c>
      <c r="F114" s="63">
        <f>'дод 3'!G141</f>
        <v>0</v>
      </c>
      <c r="G114" s="63">
        <f>'дод 3'!H141</f>
        <v>0</v>
      </c>
      <c r="H114" s="63">
        <f>'дод 3'!I141</f>
        <v>0</v>
      </c>
      <c r="I114" s="63">
        <f>'дод 3'!J141</f>
        <v>0</v>
      </c>
      <c r="J114" s="63">
        <f>'дод 3'!K141</f>
        <v>0</v>
      </c>
      <c r="K114" s="63">
        <f>'дод 3'!L141</f>
        <v>0</v>
      </c>
      <c r="L114" s="63">
        <f>'дод 3'!M141</f>
        <v>0</v>
      </c>
      <c r="M114" s="63">
        <f>'дод 3'!N141</f>
        <v>0</v>
      </c>
      <c r="N114" s="63">
        <f>'дод 3'!O141</f>
        <v>0</v>
      </c>
      <c r="O114" s="63">
        <f>'дод 3'!P141</f>
        <v>203057</v>
      </c>
      <c r="P114" s="162">
        <v>6</v>
      </c>
    </row>
    <row r="115" spans="1:16" s="92" customFormat="1" ht="18.75" customHeight="1" x14ac:dyDescent="0.45">
      <c r="A115" s="67"/>
      <c r="B115" s="67"/>
      <c r="C115" s="77" t="s">
        <v>283</v>
      </c>
      <c r="D115" s="68">
        <f>'дод 3'!E142</f>
        <v>203057</v>
      </c>
      <c r="E115" s="68">
        <f>'дод 3'!F142</f>
        <v>203057</v>
      </c>
      <c r="F115" s="68">
        <f>'дод 3'!G142</f>
        <v>0</v>
      </c>
      <c r="G115" s="68">
        <f>'дод 3'!H142</f>
        <v>0</v>
      </c>
      <c r="H115" s="68">
        <f>'дод 3'!I142</f>
        <v>0</v>
      </c>
      <c r="I115" s="68">
        <f>'дод 3'!J142</f>
        <v>0</v>
      </c>
      <c r="J115" s="68">
        <f>'дод 3'!K142</f>
        <v>0</v>
      </c>
      <c r="K115" s="68">
        <f>'дод 3'!L142</f>
        <v>0</v>
      </c>
      <c r="L115" s="68">
        <f>'дод 3'!M142</f>
        <v>0</v>
      </c>
      <c r="M115" s="68">
        <f>'дод 3'!N142</f>
        <v>0</v>
      </c>
      <c r="N115" s="68">
        <f>'дод 3'!O142</f>
        <v>0</v>
      </c>
      <c r="O115" s="68">
        <f>'дод 3'!P142</f>
        <v>203057</v>
      </c>
      <c r="P115" s="162"/>
    </row>
    <row r="116" spans="1:16" s="92" customFormat="1" ht="26.25" customHeight="1" x14ac:dyDescent="0.45">
      <c r="A116" s="61" t="s">
        <v>225</v>
      </c>
      <c r="B116" s="61" t="s">
        <v>44</v>
      </c>
      <c r="C116" s="40" t="s">
        <v>16</v>
      </c>
      <c r="D116" s="63">
        <f>'дод 3'!E143</f>
        <v>29337700</v>
      </c>
      <c r="E116" s="63">
        <f>'дод 3'!F143</f>
        <v>29337700</v>
      </c>
      <c r="F116" s="63">
        <f>'дод 3'!G143</f>
        <v>0</v>
      </c>
      <c r="G116" s="63">
        <f>'дод 3'!H143</f>
        <v>0</v>
      </c>
      <c r="H116" s="63">
        <f>'дод 3'!I143</f>
        <v>0</v>
      </c>
      <c r="I116" s="63">
        <f>'дод 3'!J143</f>
        <v>0</v>
      </c>
      <c r="J116" s="63">
        <f>'дод 3'!K143</f>
        <v>0</v>
      </c>
      <c r="K116" s="63">
        <f>'дод 3'!L143</f>
        <v>0</v>
      </c>
      <c r="L116" s="63">
        <f>'дод 3'!M143</f>
        <v>0</v>
      </c>
      <c r="M116" s="63">
        <f>'дод 3'!N143</f>
        <v>0</v>
      </c>
      <c r="N116" s="63">
        <f>'дод 3'!O143</f>
        <v>0</v>
      </c>
      <c r="O116" s="63">
        <f>'дод 3'!P143</f>
        <v>29337700</v>
      </c>
      <c r="P116" s="162"/>
    </row>
    <row r="117" spans="1:16" s="92" customFormat="1" ht="40.5" customHeight="1" x14ac:dyDescent="0.45">
      <c r="A117" s="61" t="s">
        <v>226</v>
      </c>
      <c r="B117" s="61" t="s">
        <v>44</v>
      </c>
      <c r="C117" s="27" t="s">
        <v>314</v>
      </c>
      <c r="D117" s="63">
        <f>'дод 3'!E144</f>
        <v>2042540</v>
      </c>
      <c r="E117" s="63">
        <f>'дод 3'!F144</f>
        <v>2042540</v>
      </c>
      <c r="F117" s="63">
        <f>'дод 3'!G144</f>
        <v>0</v>
      </c>
      <c r="G117" s="63">
        <f>'дод 3'!H144</f>
        <v>0</v>
      </c>
      <c r="H117" s="63">
        <f>'дод 3'!I144</f>
        <v>0</v>
      </c>
      <c r="I117" s="63">
        <f>'дод 3'!J144</f>
        <v>0</v>
      </c>
      <c r="J117" s="63">
        <f>'дод 3'!K144</f>
        <v>0</v>
      </c>
      <c r="K117" s="63">
        <f>'дод 3'!L144</f>
        <v>0</v>
      </c>
      <c r="L117" s="63">
        <f>'дод 3'!M144</f>
        <v>0</v>
      </c>
      <c r="M117" s="63">
        <f>'дод 3'!N144</f>
        <v>0</v>
      </c>
      <c r="N117" s="63">
        <f>'дод 3'!O144</f>
        <v>0</v>
      </c>
      <c r="O117" s="63">
        <f>'дод 3'!P144</f>
        <v>2042540</v>
      </c>
      <c r="P117" s="162"/>
    </row>
    <row r="118" spans="1:16" s="92" customFormat="1" ht="61.5" customHeight="1" x14ac:dyDescent="0.45">
      <c r="A118" s="61">
        <v>3193</v>
      </c>
      <c r="B118" s="61">
        <v>1030</v>
      </c>
      <c r="C118" s="27" t="s">
        <v>473</v>
      </c>
      <c r="D118" s="63">
        <f>'дод 3'!E145+'дод 3'!E116</f>
        <v>898243</v>
      </c>
      <c r="E118" s="63">
        <f>'дод 3'!F145+'дод 3'!F116</f>
        <v>898243</v>
      </c>
      <c r="F118" s="63">
        <f>'дод 3'!G145+'дод 3'!G116</f>
        <v>352465</v>
      </c>
      <c r="G118" s="63">
        <f>'дод 3'!H145+'дод 3'!H116</f>
        <v>0</v>
      </c>
      <c r="H118" s="63">
        <f>'дод 3'!I145+'дод 3'!I116</f>
        <v>0</v>
      </c>
      <c r="I118" s="63">
        <f>'дод 3'!J145+'дод 3'!J116</f>
        <v>0</v>
      </c>
      <c r="J118" s="63">
        <f>'дод 3'!K145+'дод 3'!K116</f>
        <v>0</v>
      </c>
      <c r="K118" s="63">
        <f>'дод 3'!L145+'дод 3'!L116</f>
        <v>0</v>
      </c>
      <c r="L118" s="63">
        <f>'дод 3'!M145+'дод 3'!M116</f>
        <v>0</v>
      </c>
      <c r="M118" s="63">
        <f>'дод 3'!N145+'дод 3'!N116</f>
        <v>0</v>
      </c>
      <c r="N118" s="63">
        <f>'дод 3'!O145+'дод 3'!O116</f>
        <v>0</v>
      </c>
      <c r="O118" s="63">
        <f>'дод 3'!P145+'дод 3'!P116</f>
        <v>898243</v>
      </c>
      <c r="P118" s="162"/>
    </row>
    <row r="119" spans="1:16" s="92" customFormat="1" ht="76.900000000000006" x14ac:dyDescent="0.45">
      <c r="A119" s="67"/>
      <c r="B119" s="67"/>
      <c r="C119" s="39" t="s">
        <v>474</v>
      </c>
      <c r="D119" s="68">
        <f>'дод 3'!E146+'дод 3'!E117</f>
        <v>898243</v>
      </c>
      <c r="E119" s="68">
        <f>'дод 3'!F146+'дод 3'!F117</f>
        <v>898243</v>
      </c>
      <c r="F119" s="68">
        <f>'дод 3'!G146+'дод 3'!G117</f>
        <v>352465</v>
      </c>
      <c r="G119" s="68">
        <f>'дод 3'!H146+'дод 3'!H117</f>
        <v>0</v>
      </c>
      <c r="H119" s="68">
        <f>'дод 3'!I146+'дод 3'!I117</f>
        <v>0</v>
      </c>
      <c r="I119" s="68">
        <f>'дод 3'!J146+'дод 3'!J117</f>
        <v>0</v>
      </c>
      <c r="J119" s="68">
        <f>'дод 3'!K146+'дод 3'!K117</f>
        <v>0</v>
      </c>
      <c r="K119" s="68">
        <f>'дод 3'!L146+'дод 3'!L117</f>
        <v>0</v>
      </c>
      <c r="L119" s="68">
        <f>'дод 3'!M146+'дод 3'!M117</f>
        <v>0</v>
      </c>
      <c r="M119" s="68">
        <f>'дод 3'!N146+'дод 3'!N117</f>
        <v>0</v>
      </c>
      <c r="N119" s="68">
        <f>'дод 3'!O146+'дод 3'!O117</f>
        <v>0</v>
      </c>
      <c r="O119" s="68">
        <f>'дод 3'!P146+'дод 3'!P117</f>
        <v>898243</v>
      </c>
      <c r="P119" s="162"/>
    </row>
    <row r="120" spans="1:16" ht="36.75" customHeight="1" x14ac:dyDescent="0.45">
      <c r="A120" s="61" t="s">
        <v>90</v>
      </c>
      <c r="B120" s="61" t="s">
        <v>47</v>
      </c>
      <c r="C120" s="40" t="s">
        <v>265</v>
      </c>
      <c r="D120" s="63">
        <f>'дод 3'!E147</f>
        <v>107000</v>
      </c>
      <c r="E120" s="63">
        <f>'дод 3'!F147</f>
        <v>107000</v>
      </c>
      <c r="F120" s="63">
        <f>'дод 3'!G147</f>
        <v>0</v>
      </c>
      <c r="G120" s="63">
        <f>'дод 3'!H147</f>
        <v>0</v>
      </c>
      <c r="H120" s="63">
        <f>'дод 3'!I147</f>
        <v>0</v>
      </c>
      <c r="I120" s="63">
        <f>'дод 3'!J147</f>
        <v>0</v>
      </c>
      <c r="J120" s="63">
        <f>'дод 3'!K147</f>
        <v>0</v>
      </c>
      <c r="K120" s="63">
        <f>'дод 3'!L147</f>
        <v>0</v>
      </c>
      <c r="L120" s="63">
        <f>'дод 3'!M147</f>
        <v>0</v>
      </c>
      <c r="M120" s="63">
        <f>'дод 3'!N147</f>
        <v>0</v>
      </c>
      <c r="N120" s="63">
        <f>'дод 3'!O147</f>
        <v>0</v>
      </c>
      <c r="O120" s="63">
        <f>'дод 3'!P147</f>
        <v>107000</v>
      </c>
      <c r="P120" s="162"/>
    </row>
    <row r="121" spans="1:16" ht="20.25" customHeight="1" x14ac:dyDescent="0.45">
      <c r="A121" s="61" t="s">
        <v>227</v>
      </c>
      <c r="B121" s="61" t="s">
        <v>91</v>
      </c>
      <c r="C121" s="40" t="s">
        <v>31</v>
      </c>
      <c r="D121" s="63">
        <f>'дод 3'!E179</f>
        <v>100000</v>
      </c>
      <c r="E121" s="63">
        <f>'дод 3'!F179</f>
        <v>100000</v>
      </c>
      <c r="F121" s="63">
        <f>'дод 3'!G179</f>
        <v>0</v>
      </c>
      <c r="G121" s="63">
        <f>'дод 3'!H179</f>
        <v>0</v>
      </c>
      <c r="H121" s="63">
        <f>'дод 3'!I179</f>
        <v>0</v>
      </c>
      <c r="I121" s="63">
        <f>'дод 3'!J179</f>
        <v>0</v>
      </c>
      <c r="J121" s="63">
        <f>'дод 3'!K179</f>
        <v>0</v>
      </c>
      <c r="K121" s="63">
        <f>'дод 3'!L179</f>
        <v>0</v>
      </c>
      <c r="L121" s="63">
        <f>'дод 3'!M179</f>
        <v>0</v>
      </c>
      <c r="M121" s="63">
        <f>'дод 3'!N179</f>
        <v>0</v>
      </c>
      <c r="N121" s="63">
        <f>'дод 3'!O179</f>
        <v>0</v>
      </c>
      <c r="O121" s="63">
        <f>'дод 3'!P179</f>
        <v>100000</v>
      </c>
      <c r="P121" s="162"/>
    </row>
    <row r="122" spans="1:16" s="92" customFormat="1" ht="40.9" customHeight="1" x14ac:dyDescent="0.45">
      <c r="A122" s="61" t="s">
        <v>228</v>
      </c>
      <c r="B122" s="61" t="s">
        <v>47</v>
      </c>
      <c r="C122" s="40" t="s">
        <v>468</v>
      </c>
      <c r="D122" s="63">
        <f>'дод 3'!E148</f>
        <v>7683300</v>
      </c>
      <c r="E122" s="63">
        <f>'дод 3'!F148</f>
        <v>7683300</v>
      </c>
      <c r="F122" s="63">
        <f>'дод 3'!G148</f>
        <v>4315200</v>
      </c>
      <c r="G122" s="63">
        <f>'дод 3'!H148</f>
        <v>562900</v>
      </c>
      <c r="H122" s="63">
        <f>'дод 3'!I148</f>
        <v>0</v>
      </c>
      <c r="I122" s="63">
        <f>'дод 3'!J148</f>
        <v>110000</v>
      </c>
      <c r="J122" s="63">
        <f>'дод 3'!K148</f>
        <v>110000</v>
      </c>
      <c r="K122" s="63">
        <f>'дод 3'!L148</f>
        <v>0</v>
      </c>
      <c r="L122" s="63">
        <f>'дод 3'!M148</f>
        <v>0</v>
      </c>
      <c r="M122" s="63">
        <f>'дод 3'!N148</f>
        <v>0</v>
      </c>
      <c r="N122" s="63">
        <f>'дод 3'!O148</f>
        <v>110000</v>
      </c>
      <c r="O122" s="63">
        <f>'дод 3'!P148</f>
        <v>7793300</v>
      </c>
      <c r="P122" s="162"/>
    </row>
    <row r="123" spans="1:16" s="92" customFormat="1" ht="31.5" customHeight="1" x14ac:dyDescent="0.45">
      <c r="A123" s="61" t="s">
        <v>229</v>
      </c>
      <c r="B123" s="61" t="s">
        <v>47</v>
      </c>
      <c r="C123" s="40" t="s">
        <v>362</v>
      </c>
      <c r="D123" s="63">
        <f>'дод 3'!E24+'дод 3'!E100+'дод 3'!E149</f>
        <v>184853506.53999999</v>
      </c>
      <c r="E123" s="63">
        <f>'дод 3'!F24+'дод 3'!F100+'дод 3'!F149</f>
        <v>184853506.53999999</v>
      </c>
      <c r="F123" s="63">
        <f>'дод 3'!G24+'дод 3'!G100+'дод 3'!G149</f>
        <v>0</v>
      </c>
      <c r="G123" s="63">
        <f>'дод 3'!H24+'дод 3'!H100+'дод 3'!H149</f>
        <v>0</v>
      </c>
      <c r="H123" s="63">
        <f>'дод 3'!I24+'дод 3'!I100+'дод 3'!I149</f>
        <v>0</v>
      </c>
      <c r="I123" s="63">
        <f>'дод 3'!J24+'дод 3'!J100+'дод 3'!J149</f>
        <v>0</v>
      </c>
      <c r="J123" s="63">
        <f>'дод 3'!K24+'дод 3'!K100+'дод 3'!K149</f>
        <v>0</v>
      </c>
      <c r="K123" s="63">
        <f>'дод 3'!L24+'дод 3'!L100+'дод 3'!L149</f>
        <v>0</v>
      </c>
      <c r="L123" s="63">
        <f>'дод 3'!M24+'дод 3'!M100+'дод 3'!M149</f>
        <v>0</v>
      </c>
      <c r="M123" s="63">
        <f>'дод 3'!N24+'дод 3'!N100+'дод 3'!N149</f>
        <v>0</v>
      </c>
      <c r="N123" s="63">
        <f>'дод 3'!O24+'дод 3'!O100+'дод 3'!O149</f>
        <v>0</v>
      </c>
      <c r="O123" s="63">
        <f>'дод 3'!P24+'дод 3'!P100+'дод 3'!P149</f>
        <v>184853506.53999999</v>
      </c>
      <c r="P123" s="162"/>
    </row>
    <row r="124" spans="1:16" s="92" customFormat="1" ht="21" customHeight="1" x14ac:dyDescent="0.45">
      <c r="A124" s="67"/>
      <c r="B124" s="67"/>
      <c r="C124" s="77" t="s">
        <v>283</v>
      </c>
      <c r="D124" s="68">
        <f>'дод 3'!E150</f>
        <v>238400</v>
      </c>
      <c r="E124" s="68">
        <f>'дод 3'!F150</f>
        <v>238400</v>
      </c>
      <c r="F124" s="68">
        <f>'дод 3'!G150</f>
        <v>0</v>
      </c>
      <c r="G124" s="68">
        <f>'дод 3'!H150</f>
        <v>0</v>
      </c>
      <c r="H124" s="68">
        <f>'дод 3'!I150</f>
        <v>0</v>
      </c>
      <c r="I124" s="68">
        <f>'дод 3'!J150</f>
        <v>0</v>
      </c>
      <c r="J124" s="68">
        <f>'дод 3'!K150</f>
        <v>0</v>
      </c>
      <c r="K124" s="68">
        <f>'дод 3'!L150</f>
        <v>0</v>
      </c>
      <c r="L124" s="68">
        <f>'дод 3'!M150</f>
        <v>0</v>
      </c>
      <c r="M124" s="68">
        <f>'дод 3'!N150</f>
        <v>0</v>
      </c>
      <c r="N124" s="68">
        <f>'дод 3'!O150</f>
        <v>0</v>
      </c>
      <c r="O124" s="68">
        <f>'дод 3'!P150</f>
        <v>238400</v>
      </c>
      <c r="P124" s="162"/>
    </row>
    <row r="125" spans="1:16" s="92" customFormat="1" ht="69" customHeight="1" x14ac:dyDescent="0.45">
      <c r="A125" s="61"/>
      <c r="B125" s="61"/>
      <c r="C125" s="39" t="s">
        <v>397</v>
      </c>
      <c r="D125" s="63">
        <f>'дод 3'!E151</f>
        <v>51303000</v>
      </c>
      <c r="E125" s="63">
        <f>'дод 3'!F151</f>
        <v>51303000</v>
      </c>
      <c r="F125" s="63">
        <f>'дод 3'!G151</f>
        <v>0</v>
      </c>
      <c r="G125" s="63">
        <f>'дод 3'!H151</f>
        <v>0</v>
      </c>
      <c r="H125" s="63">
        <f>'дод 3'!I151</f>
        <v>0</v>
      </c>
      <c r="I125" s="63">
        <f>'дод 3'!J151</f>
        <v>0</v>
      </c>
      <c r="J125" s="63">
        <f>'дод 3'!K151</f>
        <v>0</v>
      </c>
      <c r="K125" s="63">
        <f>'дод 3'!L151</f>
        <v>0</v>
      </c>
      <c r="L125" s="63">
        <f>'дод 3'!M151</f>
        <v>0</v>
      </c>
      <c r="M125" s="63">
        <f>'дод 3'!N151</f>
        <v>0</v>
      </c>
      <c r="N125" s="63">
        <f>'дод 3'!O151</f>
        <v>0</v>
      </c>
      <c r="O125" s="63">
        <f>'дод 3'!P151</f>
        <v>51303000</v>
      </c>
      <c r="P125" s="162"/>
    </row>
    <row r="126" spans="1:16" s="92" customFormat="1" ht="92.25" x14ac:dyDescent="0.45">
      <c r="A126" s="61"/>
      <c r="B126" s="61"/>
      <c r="C126" s="36" t="s">
        <v>452</v>
      </c>
      <c r="D126" s="68">
        <f>'дод 3'!E152</f>
        <v>2868232.83</v>
      </c>
      <c r="E126" s="68">
        <f>'дод 3'!F152</f>
        <v>2868232.83</v>
      </c>
      <c r="F126" s="68">
        <f>'дод 3'!G152</f>
        <v>0</v>
      </c>
      <c r="G126" s="68">
        <f>'дод 3'!H152</f>
        <v>0</v>
      </c>
      <c r="H126" s="68">
        <f>'дод 3'!I152</f>
        <v>0</v>
      </c>
      <c r="I126" s="68">
        <f>'дод 3'!J152</f>
        <v>0</v>
      </c>
      <c r="J126" s="68">
        <f>'дод 3'!K152</f>
        <v>0</v>
      </c>
      <c r="K126" s="68">
        <f>'дод 3'!L152</f>
        <v>0</v>
      </c>
      <c r="L126" s="68">
        <f>'дод 3'!M152</f>
        <v>0</v>
      </c>
      <c r="M126" s="68">
        <f>'дод 3'!N152</f>
        <v>0</v>
      </c>
      <c r="N126" s="68">
        <f>'дод 3'!O152</f>
        <v>0</v>
      </c>
      <c r="O126" s="68">
        <f>'дод 3'!P152</f>
        <v>2868232.83</v>
      </c>
      <c r="P126" s="162"/>
    </row>
    <row r="127" spans="1:16" s="91" customFormat="1" ht="19.5" customHeight="1" x14ac:dyDescent="0.4">
      <c r="A127" s="64" t="s">
        <v>61</v>
      </c>
      <c r="B127" s="74"/>
      <c r="C127" s="75" t="s">
        <v>62</v>
      </c>
      <c r="D127" s="60">
        <f>D128+D129+D130+D131+D132</f>
        <v>39500800</v>
      </c>
      <c r="E127" s="60">
        <f t="shared" ref="E127:O127" si="21">E128+E129+E130+E131+E132</f>
        <v>39500800</v>
      </c>
      <c r="F127" s="60">
        <f t="shared" si="21"/>
        <v>26837100</v>
      </c>
      <c r="G127" s="60">
        <f t="shared" si="21"/>
        <v>3653058</v>
      </c>
      <c r="H127" s="60">
        <f t="shared" si="21"/>
        <v>0</v>
      </c>
      <c r="I127" s="60">
        <f t="shared" si="21"/>
        <v>1070000</v>
      </c>
      <c r="J127" s="60">
        <f t="shared" si="21"/>
        <v>1060000</v>
      </c>
      <c r="K127" s="60">
        <f t="shared" si="21"/>
        <v>10000</v>
      </c>
      <c r="L127" s="60">
        <f t="shared" si="21"/>
        <v>0</v>
      </c>
      <c r="M127" s="60">
        <f t="shared" si="21"/>
        <v>0</v>
      </c>
      <c r="N127" s="60">
        <f t="shared" si="21"/>
        <v>1060000</v>
      </c>
      <c r="O127" s="60">
        <f t="shared" si="21"/>
        <v>40570800</v>
      </c>
      <c r="P127" s="162"/>
    </row>
    <row r="128" spans="1:16" ht="22.5" customHeight="1" x14ac:dyDescent="0.45">
      <c r="A128" s="61" t="s">
        <v>63</v>
      </c>
      <c r="B128" s="61" t="s">
        <v>64</v>
      </c>
      <c r="C128" s="40" t="s">
        <v>13</v>
      </c>
      <c r="D128" s="63">
        <f>'дод 3'!E164</f>
        <v>26641500</v>
      </c>
      <c r="E128" s="63">
        <f>'дод 3'!F164</f>
        <v>26641500</v>
      </c>
      <c r="F128" s="63">
        <f>'дод 3'!G164</f>
        <v>18518800</v>
      </c>
      <c r="G128" s="63">
        <f>'дод 3'!H164</f>
        <v>2877800</v>
      </c>
      <c r="H128" s="63">
        <f>'дод 3'!I164</f>
        <v>0</v>
      </c>
      <c r="I128" s="63">
        <f>'дод 3'!J164</f>
        <v>670000</v>
      </c>
      <c r="J128" s="63">
        <f>'дод 3'!K164</f>
        <v>660000</v>
      </c>
      <c r="K128" s="63">
        <f>'дод 3'!L164</f>
        <v>10000</v>
      </c>
      <c r="L128" s="63">
        <f>'дод 3'!M164</f>
        <v>0</v>
      </c>
      <c r="M128" s="63">
        <f>'дод 3'!N164</f>
        <v>0</v>
      </c>
      <c r="N128" s="63">
        <f>'дод 3'!O164</f>
        <v>660000</v>
      </c>
      <c r="O128" s="63">
        <f>'дод 3'!P164</f>
        <v>27311500</v>
      </c>
      <c r="P128" s="162"/>
    </row>
    <row r="129" spans="1:18" ht="33.75" customHeight="1" x14ac:dyDescent="0.45">
      <c r="A129" s="61" t="s">
        <v>245</v>
      </c>
      <c r="B129" s="61" t="s">
        <v>246</v>
      </c>
      <c r="C129" s="40" t="s">
        <v>247</v>
      </c>
      <c r="D129" s="63">
        <f>'дод 3'!E165</f>
        <v>5950000</v>
      </c>
      <c r="E129" s="63">
        <f>'дод 3'!F165</f>
        <v>5950000</v>
      </c>
      <c r="F129" s="63">
        <f>'дод 3'!G165</f>
        <v>3831000</v>
      </c>
      <c r="G129" s="63">
        <f>'дод 3'!H165</f>
        <v>413000</v>
      </c>
      <c r="H129" s="63">
        <f>'дод 3'!I165</f>
        <v>0</v>
      </c>
      <c r="I129" s="63">
        <f>'дод 3'!J165</f>
        <v>200000</v>
      </c>
      <c r="J129" s="63">
        <f>'дод 3'!K165</f>
        <v>200000</v>
      </c>
      <c r="K129" s="63">
        <f>'дод 3'!L165</f>
        <v>0</v>
      </c>
      <c r="L129" s="63">
        <f>'дод 3'!M165</f>
        <v>0</v>
      </c>
      <c r="M129" s="63">
        <f>'дод 3'!N165</f>
        <v>0</v>
      </c>
      <c r="N129" s="63">
        <f>'дод 3'!O165</f>
        <v>200000</v>
      </c>
      <c r="O129" s="63">
        <f>'дод 3'!P165</f>
        <v>6150000</v>
      </c>
      <c r="P129" s="162"/>
    </row>
    <row r="130" spans="1:18" s="92" customFormat="1" ht="26.25" customHeight="1" x14ac:dyDescent="0.45">
      <c r="A130" s="61" t="s">
        <v>230</v>
      </c>
      <c r="B130" s="61" t="s">
        <v>65</v>
      </c>
      <c r="C130" s="40" t="s">
        <v>266</v>
      </c>
      <c r="D130" s="63">
        <f>'дод 3'!E25+'дод 3'!E166</f>
        <v>6409300</v>
      </c>
      <c r="E130" s="63">
        <f>'дод 3'!F25+'дод 3'!F166</f>
        <v>6409300</v>
      </c>
      <c r="F130" s="63">
        <f>'дод 3'!G25+'дод 3'!G166</f>
        <v>4487300</v>
      </c>
      <c r="G130" s="63">
        <f>'дод 3'!H25+'дод 3'!H166</f>
        <v>362258</v>
      </c>
      <c r="H130" s="63">
        <f>'дод 3'!I25+'дод 3'!I166</f>
        <v>0</v>
      </c>
      <c r="I130" s="63">
        <f>'дод 3'!J25+'дод 3'!J166</f>
        <v>0</v>
      </c>
      <c r="J130" s="63">
        <f>'дод 3'!K25+'дод 3'!K166</f>
        <v>0</v>
      </c>
      <c r="K130" s="63">
        <f>'дод 3'!L25+'дод 3'!L166</f>
        <v>0</v>
      </c>
      <c r="L130" s="63">
        <f>'дод 3'!M25+'дод 3'!M166</f>
        <v>0</v>
      </c>
      <c r="M130" s="63">
        <f>'дод 3'!N25+'дод 3'!N166</f>
        <v>0</v>
      </c>
      <c r="N130" s="63">
        <f>'дод 3'!O25+'дод 3'!O166</f>
        <v>0</v>
      </c>
      <c r="O130" s="63">
        <f>'дод 3'!P25+'дод 3'!P166</f>
        <v>6409300</v>
      </c>
      <c r="P130" s="162"/>
    </row>
    <row r="131" spans="1:18" s="92" customFormat="1" ht="22.5" customHeight="1" x14ac:dyDescent="0.45">
      <c r="A131" s="61" t="s">
        <v>231</v>
      </c>
      <c r="B131" s="61" t="s">
        <v>65</v>
      </c>
      <c r="C131" s="40" t="s">
        <v>232</v>
      </c>
      <c r="D131" s="63">
        <f>'дод 3'!E167</f>
        <v>500000</v>
      </c>
      <c r="E131" s="63">
        <f>'дод 3'!F167</f>
        <v>500000</v>
      </c>
      <c r="F131" s="63">
        <f>'дод 3'!G167</f>
        <v>0</v>
      </c>
      <c r="G131" s="63">
        <f>'дод 3'!H167</f>
        <v>0</v>
      </c>
      <c r="H131" s="63">
        <f>'дод 3'!I167</f>
        <v>0</v>
      </c>
      <c r="I131" s="63">
        <f>'дод 3'!J167</f>
        <v>0</v>
      </c>
      <c r="J131" s="63">
        <f>'дод 3'!K167</f>
        <v>0</v>
      </c>
      <c r="K131" s="63">
        <f>'дод 3'!L167</f>
        <v>0</v>
      </c>
      <c r="L131" s="63">
        <f>'дод 3'!M167</f>
        <v>0</v>
      </c>
      <c r="M131" s="63">
        <f>'дод 3'!N167</f>
        <v>0</v>
      </c>
      <c r="N131" s="63">
        <f>'дод 3'!O167</f>
        <v>0</v>
      </c>
      <c r="O131" s="63">
        <f>'дод 3'!P167</f>
        <v>500000</v>
      </c>
      <c r="P131" s="162"/>
    </row>
    <row r="132" spans="1:18" s="118" customFormat="1" ht="22.5" customHeight="1" x14ac:dyDescent="0.45">
      <c r="A132" s="61">
        <v>4083</v>
      </c>
      <c r="B132" s="61" t="s">
        <v>65</v>
      </c>
      <c r="C132" s="40" t="s">
        <v>512</v>
      </c>
      <c r="D132" s="63">
        <f>'дод 3'!E168</f>
        <v>0</v>
      </c>
      <c r="E132" s="63">
        <f>'дод 3'!F168</f>
        <v>0</v>
      </c>
      <c r="F132" s="63">
        <f>'дод 3'!G168</f>
        <v>0</v>
      </c>
      <c r="G132" s="63">
        <f>'дод 3'!H168</f>
        <v>0</v>
      </c>
      <c r="H132" s="63">
        <f>'дод 3'!I168</f>
        <v>0</v>
      </c>
      <c r="I132" s="63">
        <f>'дод 3'!J168</f>
        <v>200000</v>
      </c>
      <c r="J132" s="63">
        <f>'дод 3'!K168</f>
        <v>200000</v>
      </c>
      <c r="K132" s="63">
        <f>'дод 3'!L168</f>
        <v>0</v>
      </c>
      <c r="L132" s="63">
        <f>'дод 3'!M168</f>
        <v>0</v>
      </c>
      <c r="M132" s="63">
        <f>'дод 3'!N168</f>
        <v>0</v>
      </c>
      <c r="N132" s="63">
        <f>'дод 3'!O168</f>
        <v>200000</v>
      </c>
      <c r="O132" s="63">
        <f>'дод 3'!P168</f>
        <v>200000</v>
      </c>
      <c r="P132" s="162"/>
    </row>
    <row r="133" spans="1:18" s="91" customFormat="1" ht="21.75" customHeight="1" x14ac:dyDescent="0.4">
      <c r="A133" s="64" t="s">
        <v>66</v>
      </c>
      <c r="B133" s="74"/>
      <c r="C133" s="75" t="s">
        <v>326</v>
      </c>
      <c r="D133" s="60">
        <f>D134+D135+D136+D137+D138+D139</f>
        <v>93330201</v>
      </c>
      <c r="E133" s="60">
        <f t="shared" ref="E133:O133" si="22">E134+E135+E136+E137+E138+E139</f>
        <v>93330201</v>
      </c>
      <c r="F133" s="60">
        <f t="shared" si="22"/>
        <v>33577600</v>
      </c>
      <c r="G133" s="60">
        <f t="shared" si="22"/>
        <v>3389300</v>
      </c>
      <c r="H133" s="60">
        <f t="shared" si="22"/>
        <v>0</v>
      </c>
      <c r="I133" s="60">
        <f t="shared" si="22"/>
        <v>633800</v>
      </c>
      <c r="J133" s="60">
        <f t="shared" si="22"/>
        <v>50000</v>
      </c>
      <c r="K133" s="60">
        <f t="shared" si="22"/>
        <v>583800</v>
      </c>
      <c r="L133" s="60">
        <f t="shared" si="22"/>
        <v>352800</v>
      </c>
      <c r="M133" s="60">
        <f t="shared" si="22"/>
        <v>48438</v>
      </c>
      <c r="N133" s="60">
        <f t="shared" si="22"/>
        <v>50000</v>
      </c>
      <c r="O133" s="60">
        <f t="shared" si="22"/>
        <v>93964001</v>
      </c>
      <c r="P133" s="162"/>
    </row>
    <row r="134" spans="1:18" s="92" customFormat="1" ht="37.5" customHeight="1" x14ac:dyDescent="0.45">
      <c r="A134" s="61" t="s">
        <v>67</v>
      </c>
      <c r="B134" s="61" t="s">
        <v>68</v>
      </c>
      <c r="C134" s="40" t="s">
        <v>18</v>
      </c>
      <c r="D134" s="63">
        <f>'дод 3'!E26</f>
        <v>1150000</v>
      </c>
      <c r="E134" s="63">
        <f>'дод 3'!F26</f>
        <v>1150000</v>
      </c>
      <c r="F134" s="63">
        <f>'дод 3'!G26</f>
        <v>0</v>
      </c>
      <c r="G134" s="63">
        <f>'дод 3'!H26</f>
        <v>0</v>
      </c>
      <c r="H134" s="63">
        <f>'дод 3'!I26</f>
        <v>0</v>
      </c>
      <c r="I134" s="63">
        <f>'дод 3'!J26</f>
        <v>0</v>
      </c>
      <c r="J134" s="63">
        <f>'дод 3'!K26</f>
        <v>0</v>
      </c>
      <c r="K134" s="63">
        <f>'дод 3'!L26</f>
        <v>0</v>
      </c>
      <c r="L134" s="63">
        <f>'дод 3'!M26</f>
        <v>0</v>
      </c>
      <c r="M134" s="63">
        <f>'дод 3'!N26</f>
        <v>0</v>
      </c>
      <c r="N134" s="63">
        <f>'дод 3'!O26</f>
        <v>0</v>
      </c>
      <c r="O134" s="63">
        <f>'дод 3'!P26</f>
        <v>1150000</v>
      </c>
      <c r="P134" s="162"/>
    </row>
    <row r="135" spans="1:18" s="92" customFormat="1" ht="34.5" customHeight="1" x14ac:dyDescent="0.45">
      <c r="A135" s="61" t="s">
        <v>69</v>
      </c>
      <c r="B135" s="61" t="s">
        <v>68</v>
      </c>
      <c r="C135" s="40" t="s">
        <v>14</v>
      </c>
      <c r="D135" s="63">
        <f>'дод 3'!E27</f>
        <v>1034450</v>
      </c>
      <c r="E135" s="63">
        <f>'дод 3'!F27</f>
        <v>1034450</v>
      </c>
      <c r="F135" s="63">
        <f>'дод 3'!G27</f>
        <v>0</v>
      </c>
      <c r="G135" s="63">
        <f>'дод 3'!H27</f>
        <v>0</v>
      </c>
      <c r="H135" s="63">
        <f>'дод 3'!I27</f>
        <v>0</v>
      </c>
      <c r="I135" s="63">
        <f>'дод 3'!J27</f>
        <v>0</v>
      </c>
      <c r="J135" s="63">
        <f>'дод 3'!K27</f>
        <v>0</v>
      </c>
      <c r="K135" s="63">
        <f>'дод 3'!L27</f>
        <v>0</v>
      </c>
      <c r="L135" s="63">
        <f>'дод 3'!M27</f>
        <v>0</v>
      </c>
      <c r="M135" s="63">
        <f>'дод 3'!N27</f>
        <v>0</v>
      </c>
      <c r="N135" s="63">
        <f>'дод 3'!O27</f>
        <v>0</v>
      </c>
      <c r="O135" s="63">
        <f>'дод 3'!P27</f>
        <v>1034450</v>
      </c>
      <c r="P135" s="162"/>
    </row>
    <row r="136" spans="1:18" s="92" customFormat="1" ht="46.15" x14ac:dyDescent="0.45">
      <c r="A136" s="61" t="s">
        <v>98</v>
      </c>
      <c r="B136" s="61" t="s">
        <v>68</v>
      </c>
      <c r="C136" s="40" t="s">
        <v>426</v>
      </c>
      <c r="D136" s="63">
        <f>'дод 3'!E28+'дод 3'!E101</f>
        <v>42587100</v>
      </c>
      <c r="E136" s="63">
        <f>'дод 3'!F28+'дод 3'!F101</f>
        <v>42587100</v>
      </c>
      <c r="F136" s="63">
        <f>'дод 3'!G28+'дод 3'!G101</f>
        <v>28906600</v>
      </c>
      <c r="G136" s="63">
        <f>'дод 3'!H28+'дод 3'!H101</f>
        <v>2441200</v>
      </c>
      <c r="H136" s="63">
        <f>'дод 3'!I28+'дод 3'!I101</f>
        <v>0</v>
      </c>
      <c r="I136" s="63">
        <f>'дод 3'!J28+'дод 3'!J101</f>
        <v>0</v>
      </c>
      <c r="J136" s="63">
        <f>'дод 3'!K28+'дод 3'!K101</f>
        <v>0</v>
      </c>
      <c r="K136" s="63">
        <f>'дод 3'!L28+'дод 3'!L101</f>
        <v>0</v>
      </c>
      <c r="L136" s="63">
        <f>'дод 3'!M28+'дод 3'!M101</f>
        <v>0</v>
      </c>
      <c r="M136" s="63">
        <f>'дод 3'!N28+'дод 3'!N101</f>
        <v>0</v>
      </c>
      <c r="N136" s="63">
        <f>'дод 3'!O28+'дод 3'!O101</f>
        <v>0</v>
      </c>
      <c r="O136" s="63">
        <f>'дод 3'!P28+'дод 3'!P101</f>
        <v>42587100</v>
      </c>
      <c r="P136" s="162"/>
    </row>
    <row r="137" spans="1:18" s="92" customFormat="1" ht="38.25" customHeight="1" x14ac:dyDescent="0.45">
      <c r="A137" s="61" t="s">
        <v>99</v>
      </c>
      <c r="B137" s="61" t="s">
        <v>68</v>
      </c>
      <c r="C137" s="40" t="s">
        <v>19</v>
      </c>
      <c r="D137" s="63">
        <f>'дод 3'!E29</f>
        <v>21838600</v>
      </c>
      <c r="E137" s="63">
        <f>'дод 3'!F29</f>
        <v>21838600</v>
      </c>
      <c r="F137" s="63">
        <f>'дод 3'!G29</f>
        <v>0</v>
      </c>
      <c r="G137" s="63">
        <f>'дод 3'!H29</f>
        <v>0</v>
      </c>
      <c r="H137" s="63">
        <f>'дод 3'!I29</f>
        <v>0</v>
      </c>
      <c r="I137" s="63">
        <f>'дод 3'!J29</f>
        <v>0</v>
      </c>
      <c r="J137" s="63">
        <f>'дод 3'!K29</f>
        <v>0</v>
      </c>
      <c r="K137" s="63">
        <f>'дод 3'!L29</f>
        <v>0</v>
      </c>
      <c r="L137" s="63">
        <f>'дод 3'!M29</f>
        <v>0</v>
      </c>
      <c r="M137" s="63">
        <f>'дод 3'!N29</f>
        <v>0</v>
      </c>
      <c r="N137" s="63">
        <f>'дод 3'!O29</f>
        <v>0</v>
      </c>
      <c r="O137" s="63">
        <f>'дод 3'!P29</f>
        <v>21838600</v>
      </c>
      <c r="P137" s="162"/>
    </row>
    <row r="138" spans="1:18" s="92" customFormat="1" ht="48" customHeight="1" x14ac:dyDescent="0.45">
      <c r="A138" s="61" t="s">
        <v>95</v>
      </c>
      <c r="B138" s="61" t="s">
        <v>68</v>
      </c>
      <c r="C138" s="40" t="s">
        <v>330</v>
      </c>
      <c r="D138" s="63">
        <f>'дод 3'!E30</f>
        <v>8374835</v>
      </c>
      <c r="E138" s="63">
        <f>'дод 3'!F30</f>
        <v>8374835</v>
      </c>
      <c r="F138" s="63">
        <f>'дод 3'!G30</f>
        <v>4671000</v>
      </c>
      <c r="G138" s="63">
        <f>'дод 3'!H30</f>
        <v>948100</v>
      </c>
      <c r="H138" s="63">
        <f>'дод 3'!I30</f>
        <v>0</v>
      </c>
      <c r="I138" s="63">
        <f>'дод 3'!J30</f>
        <v>633800</v>
      </c>
      <c r="J138" s="63">
        <f>'дод 3'!K30</f>
        <v>50000</v>
      </c>
      <c r="K138" s="63">
        <f>'дод 3'!L30</f>
        <v>583800</v>
      </c>
      <c r="L138" s="63">
        <f>'дод 3'!M30</f>
        <v>352800</v>
      </c>
      <c r="M138" s="63">
        <f>'дод 3'!N30</f>
        <v>48438</v>
      </c>
      <c r="N138" s="63">
        <f>'дод 3'!O30</f>
        <v>50000</v>
      </c>
      <c r="O138" s="63">
        <f>'дод 3'!P30</f>
        <v>9008635</v>
      </c>
      <c r="P138" s="162"/>
    </row>
    <row r="139" spans="1:18" s="92" customFormat="1" ht="38.25" customHeight="1" x14ac:dyDescent="0.45">
      <c r="A139" s="61" t="s">
        <v>97</v>
      </c>
      <c r="B139" s="61" t="s">
        <v>68</v>
      </c>
      <c r="C139" s="40" t="s">
        <v>96</v>
      </c>
      <c r="D139" s="63">
        <f>'дод 3'!E31</f>
        <v>18345216</v>
      </c>
      <c r="E139" s="63">
        <f>'дод 3'!F31</f>
        <v>18345216</v>
      </c>
      <c r="F139" s="63">
        <f>'дод 3'!G31</f>
        <v>0</v>
      </c>
      <c r="G139" s="63">
        <f>'дод 3'!H31</f>
        <v>0</v>
      </c>
      <c r="H139" s="63">
        <f>'дод 3'!I31</f>
        <v>0</v>
      </c>
      <c r="I139" s="63">
        <f>'дод 3'!J31</f>
        <v>0</v>
      </c>
      <c r="J139" s="63">
        <f>'дод 3'!K31</f>
        <v>0</v>
      </c>
      <c r="K139" s="63">
        <f>'дод 3'!L31</f>
        <v>0</v>
      </c>
      <c r="L139" s="63">
        <f>'дод 3'!M31</f>
        <v>0</v>
      </c>
      <c r="M139" s="63">
        <f>'дод 3'!N31</f>
        <v>0</v>
      </c>
      <c r="N139" s="63">
        <f>'дод 3'!O31</f>
        <v>0</v>
      </c>
      <c r="O139" s="63">
        <f>'дод 3'!P31</f>
        <v>18345216</v>
      </c>
      <c r="P139" s="162"/>
    </row>
    <row r="140" spans="1:18" s="91" customFormat="1" ht="26.25" customHeight="1" x14ac:dyDescent="0.4">
      <c r="A140" s="64" t="s">
        <v>57</v>
      </c>
      <c r="B140" s="74"/>
      <c r="C140" s="75" t="s">
        <v>491</v>
      </c>
      <c r="D140" s="60">
        <f>D145+D147+D148+D149+D151+D152+D150+D146+D153+D159+D157</f>
        <v>373770076</v>
      </c>
      <c r="E140" s="60">
        <f t="shared" ref="E140:O140" si="23">E145+E147+E148+E149+E151+E152+E150+E146+E153+E159+E157</f>
        <v>308416367</v>
      </c>
      <c r="F140" s="60">
        <f t="shared" si="23"/>
        <v>0</v>
      </c>
      <c r="G140" s="60">
        <f t="shared" si="23"/>
        <v>55206000</v>
      </c>
      <c r="H140" s="60">
        <f t="shared" si="23"/>
        <v>65353709</v>
      </c>
      <c r="I140" s="60">
        <f t="shared" si="23"/>
        <v>137965556.55000001</v>
      </c>
      <c r="J140" s="60">
        <f t="shared" si="23"/>
        <v>47835783</v>
      </c>
      <c r="K140" s="60">
        <f t="shared" si="23"/>
        <v>0</v>
      </c>
      <c r="L140" s="60">
        <f t="shared" si="23"/>
        <v>0</v>
      </c>
      <c r="M140" s="60">
        <f t="shared" si="23"/>
        <v>0</v>
      </c>
      <c r="N140" s="60">
        <f t="shared" si="23"/>
        <v>137965556.55000001</v>
      </c>
      <c r="O140" s="60">
        <f t="shared" si="23"/>
        <v>511735632.55000001</v>
      </c>
      <c r="P140" s="162">
        <v>7</v>
      </c>
      <c r="R140" s="94">
        <f>E140+H140</f>
        <v>373770076</v>
      </c>
    </row>
    <row r="141" spans="1:18" s="95" customFormat="1" ht="64.900000000000006" customHeight="1" x14ac:dyDescent="0.4">
      <c r="A141" s="65"/>
      <c r="B141" s="33"/>
      <c r="C141" s="76" t="str">
        <f>C160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D141" s="66">
        <f>D160</f>
        <v>0</v>
      </c>
      <c r="E141" s="66">
        <f t="shared" ref="E141:O141" si="24">E160</f>
        <v>0</v>
      </c>
      <c r="F141" s="66">
        <f t="shared" si="24"/>
        <v>0</v>
      </c>
      <c r="G141" s="66">
        <f t="shared" si="24"/>
        <v>0</v>
      </c>
      <c r="H141" s="66">
        <f t="shared" si="24"/>
        <v>0</v>
      </c>
      <c r="I141" s="66">
        <f t="shared" si="24"/>
        <v>89775000</v>
      </c>
      <c r="J141" s="66">
        <f t="shared" si="24"/>
        <v>0</v>
      </c>
      <c r="K141" s="66">
        <f t="shared" si="24"/>
        <v>0</v>
      </c>
      <c r="L141" s="66">
        <f t="shared" si="24"/>
        <v>0</v>
      </c>
      <c r="M141" s="66">
        <f t="shared" si="24"/>
        <v>0</v>
      </c>
      <c r="N141" s="66">
        <f t="shared" si="24"/>
        <v>89775000</v>
      </c>
      <c r="O141" s="66">
        <f t="shared" si="24"/>
        <v>89775000</v>
      </c>
      <c r="P141" s="162"/>
      <c r="R141" s="110"/>
    </row>
    <row r="142" spans="1:18" s="126" customFormat="1" ht="64.900000000000006" customHeight="1" x14ac:dyDescent="0.4">
      <c r="A142" s="65"/>
      <c r="B142" s="33"/>
      <c r="C142" s="33" t="str">
        <f>C158</f>
        <v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D142" s="66">
        <f>D158+D156</f>
        <v>313360</v>
      </c>
      <c r="E142" s="66">
        <f t="shared" ref="E142:O142" si="25">E158+E156</f>
        <v>313360</v>
      </c>
      <c r="F142" s="66">
        <f t="shared" si="25"/>
        <v>0</v>
      </c>
      <c r="G142" s="66">
        <f t="shared" si="25"/>
        <v>0</v>
      </c>
      <c r="H142" s="66">
        <f t="shared" si="25"/>
        <v>0</v>
      </c>
      <c r="I142" s="66">
        <f t="shared" si="25"/>
        <v>10500000</v>
      </c>
      <c r="J142" s="66">
        <f t="shared" si="25"/>
        <v>10500000</v>
      </c>
      <c r="K142" s="66">
        <f t="shared" si="25"/>
        <v>0</v>
      </c>
      <c r="L142" s="66">
        <f t="shared" si="25"/>
        <v>0</v>
      </c>
      <c r="M142" s="66">
        <f t="shared" si="25"/>
        <v>0</v>
      </c>
      <c r="N142" s="66">
        <f t="shared" si="25"/>
        <v>10500000</v>
      </c>
      <c r="O142" s="66">
        <f t="shared" si="25"/>
        <v>10813360</v>
      </c>
      <c r="P142" s="162"/>
      <c r="R142" s="127"/>
    </row>
    <row r="143" spans="1:18" s="126" customFormat="1" ht="47.65" customHeight="1" x14ac:dyDescent="0.4">
      <c r="A143" s="65"/>
      <c r="B143" s="33"/>
      <c r="C143" s="33" t="str">
        <f>C154</f>
        <v>залишку коштів інших субвенцій з місцевого бюджету,  що склався станом на 01.01.2025 року</v>
      </c>
      <c r="D143" s="66">
        <f>D154</f>
        <v>0</v>
      </c>
      <c r="E143" s="66">
        <f t="shared" ref="E143:O143" si="26">E154</f>
        <v>0</v>
      </c>
      <c r="F143" s="66">
        <f t="shared" si="26"/>
        <v>0</v>
      </c>
      <c r="G143" s="66">
        <f t="shared" si="26"/>
        <v>0</v>
      </c>
      <c r="H143" s="66">
        <f t="shared" si="26"/>
        <v>0</v>
      </c>
      <c r="I143" s="66">
        <f t="shared" si="26"/>
        <v>4380600</v>
      </c>
      <c r="J143" s="66">
        <f t="shared" si="26"/>
        <v>4380600</v>
      </c>
      <c r="K143" s="66">
        <f t="shared" si="26"/>
        <v>0</v>
      </c>
      <c r="L143" s="66">
        <f t="shared" si="26"/>
        <v>0</v>
      </c>
      <c r="M143" s="66">
        <f t="shared" si="26"/>
        <v>0</v>
      </c>
      <c r="N143" s="66">
        <f t="shared" si="26"/>
        <v>4380600</v>
      </c>
      <c r="O143" s="66">
        <f t="shared" si="26"/>
        <v>4380600</v>
      </c>
      <c r="P143" s="162"/>
      <c r="R143" s="127"/>
    </row>
    <row r="144" spans="1:18" s="126" customFormat="1" ht="23.45" customHeight="1" x14ac:dyDescent="0.4">
      <c r="A144" s="65"/>
      <c r="B144" s="33"/>
      <c r="C144" s="33" t="str">
        <f>C155</f>
        <v>іншої субвенції з місцевого бюджету</v>
      </c>
      <c r="D144" s="66">
        <f>D155</f>
        <v>0</v>
      </c>
      <c r="E144" s="66">
        <f t="shared" ref="E144:O144" si="27">E155</f>
        <v>0</v>
      </c>
      <c r="F144" s="66">
        <f t="shared" si="27"/>
        <v>0</v>
      </c>
      <c r="G144" s="66">
        <f t="shared" si="27"/>
        <v>0</v>
      </c>
      <c r="H144" s="66">
        <f t="shared" si="27"/>
        <v>0</v>
      </c>
      <c r="I144" s="66">
        <f t="shared" si="27"/>
        <v>68255</v>
      </c>
      <c r="J144" s="66">
        <f t="shared" si="27"/>
        <v>68255</v>
      </c>
      <c r="K144" s="66">
        <f t="shared" si="27"/>
        <v>0</v>
      </c>
      <c r="L144" s="66">
        <f t="shared" si="27"/>
        <v>0</v>
      </c>
      <c r="M144" s="66">
        <f t="shared" si="27"/>
        <v>0</v>
      </c>
      <c r="N144" s="66">
        <f t="shared" si="27"/>
        <v>68255</v>
      </c>
      <c r="O144" s="66">
        <f t="shared" si="27"/>
        <v>68255</v>
      </c>
      <c r="P144" s="162"/>
      <c r="R144" s="127"/>
    </row>
    <row r="145" spans="1:16" s="92" customFormat="1" ht="23.25" customHeight="1" x14ac:dyDescent="0.45">
      <c r="A145" s="61" t="s">
        <v>108</v>
      </c>
      <c r="B145" s="61" t="s">
        <v>60</v>
      </c>
      <c r="C145" s="40" t="s">
        <v>121</v>
      </c>
      <c r="D145" s="63">
        <f>'дод 3'!E180</f>
        <v>61034773</v>
      </c>
      <c r="E145" s="63">
        <f>'дод 3'!F180</f>
        <v>1034773</v>
      </c>
      <c r="F145" s="63">
        <f>'дод 3'!G180</f>
        <v>0</v>
      </c>
      <c r="G145" s="63">
        <f>'дод 3'!H180</f>
        <v>0</v>
      </c>
      <c r="H145" s="63">
        <f>'дод 3'!I180</f>
        <v>60000000</v>
      </c>
      <c r="I145" s="63">
        <f>'дод 3'!J180</f>
        <v>8583307</v>
      </c>
      <c r="J145" s="63">
        <f>'дод 3'!K180</f>
        <v>8583307</v>
      </c>
      <c r="K145" s="63">
        <f>'дод 3'!L180</f>
        <v>0</v>
      </c>
      <c r="L145" s="63">
        <f>'дод 3'!M180</f>
        <v>0</v>
      </c>
      <c r="M145" s="63">
        <f>'дод 3'!N180</f>
        <v>0</v>
      </c>
      <c r="N145" s="63">
        <f>'дод 3'!O180</f>
        <v>8583307</v>
      </c>
      <c r="O145" s="63">
        <f>'дод 3'!P180</f>
        <v>69618080</v>
      </c>
      <c r="P145" s="162"/>
    </row>
    <row r="146" spans="1:16" s="92" customFormat="1" ht="22.5" customHeight="1" x14ac:dyDescent="0.45">
      <c r="A146" s="61">
        <v>6014</v>
      </c>
      <c r="B146" s="80" t="s">
        <v>60</v>
      </c>
      <c r="C146" s="40" t="s">
        <v>383</v>
      </c>
      <c r="D146" s="63">
        <f>'дод 3'!E181</f>
        <v>6500000</v>
      </c>
      <c r="E146" s="63">
        <f>'дод 3'!F181</f>
        <v>6500000</v>
      </c>
      <c r="F146" s="63">
        <f>'дод 3'!G181</f>
        <v>0</v>
      </c>
      <c r="G146" s="63">
        <f>'дод 3'!H181</f>
        <v>0</v>
      </c>
      <c r="H146" s="63">
        <f>'дод 3'!I181</f>
        <v>0</v>
      </c>
      <c r="I146" s="63">
        <f>'дод 3'!J181</f>
        <v>0</v>
      </c>
      <c r="J146" s="63">
        <f>'дод 3'!K181</f>
        <v>0</v>
      </c>
      <c r="K146" s="63">
        <f>'дод 3'!L181</f>
        <v>0</v>
      </c>
      <c r="L146" s="63">
        <f>'дод 3'!M181</f>
        <v>0</v>
      </c>
      <c r="M146" s="63">
        <f>'дод 3'!N181</f>
        <v>0</v>
      </c>
      <c r="N146" s="63">
        <f>'дод 3'!O181</f>
        <v>0</v>
      </c>
      <c r="O146" s="63">
        <f>'дод 3'!P181</f>
        <v>6500000</v>
      </c>
      <c r="P146" s="162"/>
    </row>
    <row r="147" spans="1:16" s="92" customFormat="1" ht="33" customHeight="1" x14ac:dyDescent="0.45">
      <c r="A147" s="61" t="s">
        <v>214</v>
      </c>
      <c r="B147" s="61" t="s">
        <v>60</v>
      </c>
      <c r="C147" s="40" t="s">
        <v>267</v>
      </c>
      <c r="D147" s="63">
        <f>'дод 3'!E182</f>
        <v>600000</v>
      </c>
      <c r="E147" s="63">
        <f>'дод 3'!F182</f>
        <v>600000</v>
      </c>
      <c r="F147" s="63">
        <f>'дод 3'!G182</f>
        <v>0</v>
      </c>
      <c r="G147" s="63">
        <f>'дод 3'!H182</f>
        <v>0</v>
      </c>
      <c r="H147" s="63">
        <f>'дод 3'!I182</f>
        <v>0</v>
      </c>
      <c r="I147" s="63">
        <f>'дод 3'!J182</f>
        <v>0</v>
      </c>
      <c r="J147" s="63">
        <f>'дод 3'!K182</f>
        <v>0</v>
      </c>
      <c r="K147" s="63">
        <f>'дод 3'!L182</f>
        <v>0</v>
      </c>
      <c r="L147" s="63">
        <f>'дод 3'!M182</f>
        <v>0</v>
      </c>
      <c r="M147" s="63">
        <f>'дод 3'!N182</f>
        <v>0</v>
      </c>
      <c r="N147" s="63">
        <f>'дод 3'!O182</f>
        <v>0</v>
      </c>
      <c r="O147" s="63">
        <f>'дод 3'!P182</f>
        <v>600000</v>
      </c>
      <c r="P147" s="162"/>
    </row>
    <row r="148" spans="1:16" s="92" customFormat="1" ht="45.75" customHeight="1" x14ac:dyDescent="0.45">
      <c r="A148" s="61" t="s">
        <v>59</v>
      </c>
      <c r="B148" s="61" t="s">
        <v>60</v>
      </c>
      <c r="C148" s="40" t="s">
        <v>111</v>
      </c>
      <c r="D148" s="63">
        <f>'дод 3'!E183</f>
        <v>2991209</v>
      </c>
      <c r="E148" s="63">
        <f>'дод 3'!F183</f>
        <v>0</v>
      </c>
      <c r="F148" s="63">
        <f>'дод 3'!G183</f>
        <v>0</v>
      </c>
      <c r="G148" s="63">
        <f>'дод 3'!H183</f>
        <v>0</v>
      </c>
      <c r="H148" s="63">
        <f>'дод 3'!I183</f>
        <v>2991209</v>
      </c>
      <c r="I148" s="63">
        <f>'дод 3'!J183</f>
        <v>0</v>
      </c>
      <c r="J148" s="63">
        <f>'дод 3'!K183</f>
        <v>0</v>
      </c>
      <c r="K148" s="63">
        <f>'дод 3'!L183</f>
        <v>0</v>
      </c>
      <c r="L148" s="63">
        <f>'дод 3'!M183</f>
        <v>0</v>
      </c>
      <c r="M148" s="63">
        <f>'дод 3'!N183</f>
        <v>0</v>
      </c>
      <c r="N148" s="63">
        <f>'дод 3'!O183</f>
        <v>0</v>
      </c>
      <c r="O148" s="63">
        <f>'дод 3'!P183</f>
        <v>2991209</v>
      </c>
      <c r="P148" s="162"/>
    </row>
    <row r="149" spans="1:16" ht="24" customHeight="1" x14ac:dyDescent="0.45">
      <c r="A149" s="61" t="s">
        <v>109</v>
      </c>
      <c r="B149" s="61" t="s">
        <v>60</v>
      </c>
      <c r="C149" s="40" t="s">
        <v>110</v>
      </c>
      <c r="D149" s="63">
        <f>'дод 3'!E184+'дод 3'!E227</f>
        <v>295607647</v>
      </c>
      <c r="E149" s="63">
        <f>'дод 3'!F184+'дод 3'!F227</f>
        <v>294407647</v>
      </c>
      <c r="F149" s="63">
        <f>'дод 3'!G184+'дод 3'!G227</f>
        <v>0</v>
      </c>
      <c r="G149" s="63">
        <f>'дод 3'!H184+'дод 3'!H227</f>
        <v>55200000</v>
      </c>
      <c r="H149" s="63">
        <f>'дод 3'!I184+'дод 3'!I227</f>
        <v>1200000</v>
      </c>
      <c r="I149" s="63">
        <f>'дод 3'!J184+'дод 3'!J227</f>
        <v>151000</v>
      </c>
      <c r="J149" s="63">
        <f>'дод 3'!K184+'дод 3'!K227</f>
        <v>151000</v>
      </c>
      <c r="K149" s="63">
        <f>'дод 3'!L184+'дод 3'!L227</f>
        <v>0</v>
      </c>
      <c r="L149" s="63">
        <f>'дод 3'!M184+'дод 3'!M227</f>
        <v>0</v>
      </c>
      <c r="M149" s="63">
        <f>'дод 3'!N184+'дод 3'!N227</f>
        <v>0</v>
      </c>
      <c r="N149" s="63">
        <f>'дод 3'!O184+'дод 3'!O227</f>
        <v>151000</v>
      </c>
      <c r="O149" s="63">
        <f>'дод 3'!P184+'дод 3'!P227</f>
        <v>295758647</v>
      </c>
      <c r="P149" s="162"/>
    </row>
    <row r="150" spans="1:16" ht="46.15" x14ac:dyDescent="0.45">
      <c r="A150" s="61">
        <v>6084</v>
      </c>
      <c r="B150" s="80" t="s">
        <v>58</v>
      </c>
      <c r="C150" s="40" t="s">
        <v>526</v>
      </c>
      <c r="D150" s="63">
        <f>'дод 3'!E228</f>
        <v>0</v>
      </c>
      <c r="E150" s="63">
        <f>'дод 3'!F228</f>
        <v>0</v>
      </c>
      <c r="F150" s="63">
        <f>'дод 3'!G228</f>
        <v>0</v>
      </c>
      <c r="G150" s="63">
        <f>'дод 3'!H228</f>
        <v>0</v>
      </c>
      <c r="H150" s="63">
        <f>'дод 3'!I228</f>
        <v>0</v>
      </c>
      <c r="I150" s="63">
        <f>'дод 3'!J228</f>
        <v>354773.55</v>
      </c>
      <c r="J150" s="63">
        <f>'дод 3'!K228</f>
        <v>0</v>
      </c>
      <c r="K150" s="63">
        <f>'дод 3'!L228</f>
        <v>0</v>
      </c>
      <c r="L150" s="63">
        <f>'дод 3'!M228</f>
        <v>0</v>
      </c>
      <c r="M150" s="63">
        <f>'дод 3'!N228</f>
        <v>0</v>
      </c>
      <c r="N150" s="63">
        <f>'дод 3'!O228</f>
        <v>354773.55</v>
      </c>
      <c r="O150" s="63">
        <f>'дод 3'!P228</f>
        <v>354773.55</v>
      </c>
      <c r="P150" s="162"/>
    </row>
    <row r="151" spans="1:16" ht="21.75" customHeight="1" x14ac:dyDescent="0.45">
      <c r="A151" s="61" t="s">
        <v>116</v>
      </c>
      <c r="B151" s="26" t="s">
        <v>242</v>
      </c>
      <c r="C151" s="40" t="s">
        <v>117</v>
      </c>
      <c r="D151" s="63">
        <f>'дод 3'!E185</f>
        <v>2723087</v>
      </c>
      <c r="E151" s="63">
        <f>'дод 3'!F185</f>
        <v>1560587</v>
      </c>
      <c r="F151" s="63">
        <f>'дод 3'!G185</f>
        <v>0</v>
      </c>
      <c r="G151" s="63">
        <f>'дод 3'!H185</f>
        <v>6000</v>
      </c>
      <c r="H151" s="63">
        <f>'дод 3'!I185</f>
        <v>1162500</v>
      </c>
      <c r="I151" s="63">
        <f>'дод 3'!J185</f>
        <v>0</v>
      </c>
      <c r="J151" s="63">
        <f>'дод 3'!K185</f>
        <v>0</v>
      </c>
      <c r="K151" s="63">
        <f>'дод 3'!L185</f>
        <v>0</v>
      </c>
      <c r="L151" s="63">
        <f>'дод 3'!M185</f>
        <v>0</v>
      </c>
      <c r="M151" s="63">
        <f>'дод 3'!N185</f>
        <v>0</v>
      </c>
      <c r="N151" s="63">
        <f>'дод 3'!O185</f>
        <v>0</v>
      </c>
      <c r="O151" s="63">
        <f>'дод 3'!P185</f>
        <v>2723087</v>
      </c>
      <c r="P151" s="162"/>
    </row>
    <row r="152" spans="1:16" ht="25.5" customHeight="1" x14ac:dyDescent="0.45">
      <c r="A152" s="61">
        <v>6091</v>
      </c>
      <c r="B152" s="80" t="s">
        <v>242</v>
      </c>
      <c r="C152" s="62" t="s">
        <v>361</v>
      </c>
      <c r="D152" s="63">
        <f>'дод 3'!E186+'дод 3'!E229</f>
        <v>0</v>
      </c>
      <c r="E152" s="63">
        <f>'дод 3'!F186+'дод 3'!F229</f>
        <v>0</v>
      </c>
      <c r="F152" s="63">
        <f>'дод 3'!G186+'дод 3'!G229</f>
        <v>0</v>
      </c>
      <c r="G152" s="63">
        <f>'дод 3'!H186+'дод 3'!H229</f>
        <v>0</v>
      </c>
      <c r="H152" s="63">
        <f>'дод 3'!I186+'дод 3'!I229</f>
        <v>0</v>
      </c>
      <c r="I152" s="63">
        <f>'дод 3'!J186+'дод 3'!J229</f>
        <v>8152621</v>
      </c>
      <c r="J152" s="63">
        <f>'дод 3'!K186+'дод 3'!K229</f>
        <v>8152621</v>
      </c>
      <c r="K152" s="63">
        <f>'дод 3'!L186+'дод 3'!L229</f>
        <v>0</v>
      </c>
      <c r="L152" s="63">
        <f>'дод 3'!M186+'дод 3'!M229</f>
        <v>0</v>
      </c>
      <c r="M152" s="63">
        <f>'дод 3'!N186+'дод 3'!N229</f>
        <v>0</v>
      </c>
      <c r="N152" s="63">
        <f>'дод 3'!O186+'дод 3'!O229</f>
        <v>8152621</v>
      </c>
      <c r="O152" s="63">
        <f>'дод 3'!P186+'дод 3'!P229</f>
        <v>8152621</v>
      </c>
      <c r="P152" s="162"/>
    </row>
    <row r="153" spans="1:16" ht="55.15" customHeight="1" x14ac:dyDescent="0.45">
      <c r="A153" s="61">
        <v>6092</v>
      </c>
      <c r="B153" s="80" t="s">
        <v>58</v>
      </c>
      <c r="C153" s="62" t="s">
        <v>533</v>
      </c>
      <c r="D153" s="63">
        <f>'дод 3'!E187+'дод 3'!E230</f>
        <v>4000000</v>
      </c>
      <c r="E153" s="63">
        <f>'дод 3'!F187+'дод 3'!F230</f>
        <v>4000000</v>
      </c>
      <c r="F153" s="63">
        <f>'дод 3'!G187+'дод 3'!G230</f>
        <v>0</v>
      </c>
      <c r="G153" s="63">
        <f>'дод 3'!H187+'дод 3'!H230</f>
        <v>0</v>
      </c>
      <c r="H153" s="63">
        <f>'дод 3'!I187+'дод 3'!I230</f>
        <v>0</v>
      </c>
      <c r="I153" s="63">
        <f>'дод 3'!J187+'дод 3'!J230</f>
        <v>30948855</v>
      </c>
      <c r="J153" s="63">
        <f>'дод 3'!K187+'дод 3'!K230</f>
        <v>30948855</v>
      </c>
      <c r="K153" s="63">
        <f>'дод 3'!L187+'дод 3'!L230</f>
        <v>0</v>
      </c>
      <c r="L153" s="63">
        <f>'дод 3'!M187+'дод 3'!M230</f>
        <v>0</v>
      </c>
      <c r="M153" s="63">
        <f>'дод 3'!N187+'дод 3'!N230</f>
        <v>0</v>
      </c>
      <c r="N153" s="63">
        <f>'дод 3'!O187+'дод 3'!O230</f>
        <v>30948855</v>
      </c>
      <c r="O153" s="63">
        <f>'дод 3'!P187+'дод 3'!P230</f>
        <v>34948855</v>
      </c>
      <c r="P153" s="162"/>
    </row>
    <row r="154" spans="1:16" s="125" customFormat="1" ht="39" customHeight="1" x14ac:dyDescent="0.45">
      <c r="A154" s="61"/>
      <c r="B154" s="80"/>
      <c r="C154" s="36" t="s">
        <v>534</v>
      </c>
      <c r="D154" s="68">
        <f>'дод 3'!E188</f>
        <v>0</v>
      </c>
      <c r="E154" s="68">
        <f>'дод 3'!F188</f>
        <v>0</v>
      </c>
      <c r="F154" s="68">
        <f>'дод 3'!G188</f>
        <v>0</v>
      </c>
      <c r="G154" s="68">
        <f>'дод 3'!H188</f>
        <v>0</v>
      </c>
      <c r="H154" s="68">
        <f>'дод 3'!I188</f>
        <v>0</v>
      </c>
      <c r="I154" s="68">
        <f>'дод 3'!J188</f>
        <v>4380600</v>
      </c>
      <c r="J154" s="68">
        <f>'дод 3'!K188</f>
        <v>4380600</v>
      </c>
      <c r="K154" s="68">
        <f>'дод 3'!L188</f>
        <v>0</v>
      </c>
      <c r="L154" s="68">
        <f>'дод 3'!M188</f>
        <v>0</v>
      </c>
      <c r="M154" s="68">
        <f>'дод 3'!N188</f>
        <v>0</v>
      </c>
      <c r="N154" s="68">
        <f>'дод 3'!O188</f>
        <v>4380600</v>
      </c>
      <c r="O154" s="68">
        <f>'дод 3'!P188</f>
        <v>4380600</v>
      </c>
      <c r="P154" s="162"/>
    </row>
    <row r="155" spans="1:16" s="125" customFormat="1" ht="39" customHeight="1" x14ac:dyDescent="0.45">
      <c r="A155" s="61"/>
      <c r="B155" s="80"/>
      <c r="C155" s="36" t="s">
        <v>283</v>
      </c>
      <c r="D155" s="68">
        <f>'дод 3'!E189</f>
        <v>0</v>
      </c>
      <c r="E155" s="68">
        <f>'дод 3'!F189</f>
        <v>0</v>
      </c>
      <c r="F155" s="68">
        <f>'дод 3'!G189</f>
        <v>0</v>
      </c>
      <c r="G155" s="68">
        <f>'дод 3'!H189</f>
        <v>0</v>
      </c>
      <c r="H155" s="68">
        <f>'дод 3'!I189</f>
        <v>0</v>
      </c>
      <c r="I155" s="68">
        <f>'дод 3'!J189</f>
        <v>68255</v>
      </c>
      <c r="J155" s="68">
        <f>'дод 3'!K189</f>
        <v>68255</v>
      </c>
      <c r="K155" s="68">
        <f>'дод 3'!L189</f>
        <v>0</v>
      </c>
      <c r="L155" s="68">
        <f>'дод 3'!M189</f>
        <v>0</v>
      </c>
      <c r="M155" s="68">
        <f>'дод 3'!N189</f>
        <v>0</v>
      </c>
      <c r="N155" s="68">
        <f>'дод 3'!O189</f>
        <v>68255</v>
      </c>
      <c r="O155" s="68">
        <f>'дод 3'!P189</f>
        <v>68255</v>
      </c>
      <c r="P155" s="162"/>
    </row>
    <row r="156" spans="1:16" s="125" customFormat="1" ht="61.5" x14ac:dyDescent="0.45">
      <c r="A156" s="61"/>
      <c r="B156" s="80"/>
      <c r="C156" s="36" t="s">
        <v>397</v>
      </c>
      <c r="D156" s="68">
        <f>'дод 3'!E231</f>
        <v>0</v>
      </c>
      <c r="E156" s="68">
        <f>'дод 3'!F231</f>
        <v>0</v>
      </c>
      <c r="F156" s="68">
        <f>'дод 3'!G231</f>
        <v>0</v>
      </c>
      <c r="G156" s="68">
        <f>'дод 3'!H231</f>
        <v>0</v>
      </c>
      <c r="H156" s="68">
        <f>'дод 3'!I231</f>
        <v>0</v>
      </c>
      <c r="I156" s="68">
        <f>'дод 3'!J231</f>
        <v>10500000</v>
      </c>
      <c r="J156" s="68">
        <f>'дод 3'!K231</f>
        <v>10500000</v>
      </c>
      <c r="K156" s="68">
        <f>'дод 3'!L231</f>
        <v>0</v>
      </c>
      <c r="L156" s="68">
        <f>'дод 3'!M231</f>
        <v>0</v>
      </c>
      <c r="M156" s="68">
        <f>'дод 3'!N231</f>
        <v>0</v>
      </c>
      <c r="N156" s="68">
        <f>'дод 3'!O231</f>
        <v>10500000</v>
      </c>
      <c r="O156" s="68">
        <f>'дод 3'!P231</f>
        <v>10500000</v>
      </c>
      <c r="P156" s="162"/>
    </row>
    <row r="157" spans="1:16" s="125" customFormat="1" ht="77.25" customHeight="1" x14ac:dyDescent="0.45">
      <c r="A157" s="61">
        <v>6093</v>
      </c>
      <c r="B157" s="80" t="s">
        <v>242</v>
      </c>
      <c r="C157" s="30" t="s">
        <v>529</v>
      </c>
      <c r="D157" s="63">
        <f>'дод 3'!E190</f>
        <v>313360</v>
      </c>
      <c r="E157" s="63">
        <f>'дод 3'!F190</f>
        <v>313360</v>
      </c>
      <c r="F157" s="63">
        <f>'дод 3'!G190</f>
        <v>0</v>
      </c>
      <c r="G157" s="63">
        <f>'дод 3'!H190</f>
        <v>0</v>
      </c>
      <c r="H157" s="63">
        <f>'дод 3'!I190</f>
        <v>0</v>
      </c>
      <c r="I157" s="63">
        <f>'дод 3'!J190</f>
        <v>0</v>
      </c>
      <c r="J157" s="63">
        <f>'дод 3'!K190</f>
        <v>0</v>
      </c>
      <c r="K157" s="63">
        <f>'дод 3'!L190</f>
        <v>0</v>
      </c>
      <c r="L157" s="63">
        <f>'дод 3'!M190</f>
        <v>0</v>
      </c>
      <c r="M157" s="63">
        <f>'дод 3'!N190</f>
        <v>0</v>
      </c>
      <c r="N157" s="63">
        <f>'дод 3'!O190</f>
        <v>0</v>
      </c>
      <c r="O157" s="63">
        <f>'дод 3'!P190</f>
        <v>313360</v>
      </c>
      <c r="P157" s="162"/>
    </row>
    <row r="158" spans="1:16" s="125" customFormat="1" ht="73.900000000000006" customHeight="1" x14ac:dyDescent="0.45">
      <c r="A158" s="61"/>
      <c r="B158" s="80"/>
      <c r="C158" s="36" t="s">
        <v>397</v>
      </c>
      <c r="D158" s="68">
        <f>'дод 3'!E191</f>
        <v>313360</v>
      </c>
      <c r="E158" s="68">
        <f>'дод 3'!F191</f>
        <v>313360</v>
      </c>
      <c r="F158" s="68">
        <f>'дод 3'!G191</f>
        <v>0</v>
      </c>
      <c r="G158" s="68">
        <f>'дод 3'!H191</f>
        <v>0</v>
      </c>
      <c r="H158" s="68">
        <f>'дод 3'!I191</f>
        <v>0</v>
      </c>
      <c r="I158" s="68">
        <f>'дод 3'!J191</f>
        <v>0</v>
      </c>
      <c r="J158" s="68">
        <f>'дод 3'!K191</f>
        <v>0</v>
      </c>
      <c r="K158" s="68">
        <f>'дод 3'!L191</f>
        <v>0</v>
      </c>
      <c r="L158" s="68">
        <f>'дод 3'!M191</f>
        <v>0</v>
      </c>
      <c r="M158" s="68">
        <f>'дод 3'!N191</f>
        <v>0</v>
      </c>
      <c r="N158" s="68">
        <f>'дод 3'!O191</f>
        <v>0</v>
      </c>
      <c r="O158" s="68">
        <f>'дод 3'!P191</f>
        <v>313360</v>
      </c>
      <c r="P158" s="162"/>
    </row>
    <row r="159" spans="1:16" ht="70.150000000000006" customHeight="1" x14ac:dyDescent="0.45">
      <c r="A159" s="61">
        <v>6094</v>
      </c>
      <c r="B159" s="80" t="s">
        <v>60</v>
      </c>
      <c r="C159" s="62" t="s">
        <v>490</v>
      </c>
      <c r="D159" s="63">
        <f>'дод 3'!E192</f>
        <v>0</v>
      </c>
      <c r="E159" s="63">
        <f>'дод 3'!F192</f>
        <v>0</v>
      </c>
      <c r="F159" s="63">
        <f>'дод 3'!G192</f>
        <v>0</v>
      </c>
      <c r="G159" s="63">
        <f>'дод 3'!H192</f>
        <v>0</v>
      </c>
      <c r="H159" s="63">
        <f>'дод 3'!I192</f>
        <v>0</v>
      </c>
      <c r="I159" s="63">
        <f>'дод 3'!J192</f>
        <v>89775000</v>
      </c>
      <c r="J159" s="63">
        <f>'дод 3'!K192</f>
        <v>0</v>
      </c>
      <c r="K159" s="63">
        <f>'дод 3'!L192</f>
        <v>0</v>
      </c>
      <c r="L159" s="63">
        <f>'дод 3'!M192</f>
        <v>0</v>
      </c>
      <c r="M159" s="63">
        <f>'дод 3'!N192</f>
        <v>0</v>
      </c>
      <c r="N159" s="63">
        <f>'дод 3'!O192</f>
        <v>89775000</v>
      </c>
      <c r="O159" s="63">
        <f>'дод 3'!P192</f>
        <v>89775000</v>
      </c>
      <c r="P159" s="162"/>
    </row>
    <row r="160" spans="1:16" s="92" customFormat="1" ht="74.650000000000006" customHeight="1" x14ac:dyDescent="0.45">
      <c r="A160" s="67"/>
      <c r="B160" s="105"/>
      <c r="C160" s="106" t="s">
        <v>489</v>
      </c>
      <c r="D160" s="68">
        <f>'дод 3'!E193</f>
        <v>0</v>
      </c>
      <c r="E160" s="68">
        <f>'дод 3'!F193</f>
        <v>0</v>
      </c>
      <c r="F160" s="68">
        <f>'дод 3'!G193</f>
        <v>0</v>
      </c>
      <c r="G160" s="68">
        <f>'дод 3'!H193</f>
        <v>0</v>
      </c>
      <c r="H160" s="68">
        <f>'дод 3'!I193</f>
        <v>0</v>
      </c>
      <c r="I160" s="68">
        <f>'дод 3'!J193</f>
        <v>89775000</v>
      </c>
      <c r="J160" s="68">
        <f>'дод 3'!K193</f>
        <v>0</v>
      </c>
      <c r="K160" s="68">
        <f>'дод 3'!L193</f>
        <v>0</v>
      </c>
      <c r="L160" s="68">
        <f>'дод 3'!M193</f>
        <v>0</v>
      </c>
      <c r="M160" s="68">
        <f>'дод 3'!N193</f>
        <v>0</v>
      </c>
      <c r="N160" s="68">
        <f>'дод 3'!O193</f>
        <v>89775000</v>
      </c>
      <c r="O160" s="68">
        <f>'дод 3'!P193</f>
        <v>89775000</v>
      </c>
      <c r="P160" s="162"/>
    </row>
    <row r="161" spans="1:18" s="91" customFormat="1" ht="21.75" customHeight="1" x14ac:dyDescent="0.4">
      <c r="A161" s="64" t="s">
        <v>112</v>
      </c>
      <c r="B161" s="74"/>
      <c r="C161" s="75" t="s">
        <v>348</v>
      </c>
      <c r="D161" s="60">
        <f t="shared" ref="D161:O161" si="28">D165+D167+D174+D179+D181</f>
        <v>108967633</v>
      </c>
      <c r="E161" s="60">
        <f t="shared" si="28"/>
        <v>12312933</v>
      </c>
      <c r="F161" s="60">
        <f t="shared" si="28"/>
        <v>0</v>
      </c>
      <c r="G161" s="60">
        <f t="shared" si="28"/>
        <v>0</v>
      </c>
      <c r="H161" s="60">
        <f t="shared" si="28"/>
        <v>96654700</v>
      </c>
      <c r="I161" s="60">
        <f t="shared" si="28"/>
        <v>352085347.17000002</v>
      </c>
      <c r="J161" s="60">
        <f t="shared" si="28"/>
        <v>344000813.66999996</v>
      </c>
      <c r="K161" s="60">
        <f t="shared" si="28"/>
        <v>1138587</v>
      </c>
      <c r="L161" s="60">
        <f t="shared" si="28"/>
        <v>0</v>
      </c>
      <c r="M161" s="60">
        <f t="shared" si="28"/>
        <v>0</v>
      </c>
      <c r="N161" s="60">
        <f t="shared" si="28"/>
        <v>350946760.17000002</v>
      </c>
      <c r="O161" s="60">
        <f t="shared" si="28"/>
        <v>461052980.17000002</v>
      </c>
      <c r="P161" s="162"/>
      <c r="R161" s="94">
        <f>E161+H161</f>
        <v>108967633</v>
      </c>
    </row>
    <row r="162" spans="1:18" s="91" customFormat="1" ht="90" x14ac:dyDescent="0.4">
      <c r="A162" s="64"/>
      <c r="B162" s="74"/>
      <c r="C162" s="22" t="s">
        <v>477</v>
      </c>
      <c r="D162" s="60">
        <f>D168</f>
        <v>0</v>
      </c>
      <c r="E162" s="60">
        <f t="shared" ref="E162:O162" si="29">E168</f>
        <v>0</v>
      </c>
      <c r="F162" s="60">
        <f t="shared" si="29"/>
        <v>0</v>
      </c>
      <c r="G162" s="60">
        <f t="shared" si="29"/>
        <v>0</v>
      </c>
      <c r="H162" s="60">
        <f t="shared" si="29"/>
        <v>0</v>
      </c>
      <c r="I162" s="60">
        <f t="shared" si="29"/>
        <v>6564069.9000000004</v>
      </c>
      <c r="J162" s="60">
        <f t="shared" si="29"/>
        <v>0</v>
      </c>
      <c r="K162" s="60">
        <f t="shared" si="29"/>
        <v>0</v>
      </c>
      <c r="L162" s="60">
        <f t="shared" si="29"/>
        <v>0</v>
      </c>
      <c r="M162" s="60">
        <f t="shared" si="29"/>
        <v>0</v>
      </c>
      <c r="N162" s="60">
        <f t="shared" si="29"/>
        <v>6564069.9000000004</v>
      </c>
      <c r="O162" s="60">
        <f t="shared" si="29"/>
        <v>6564069.9000000004</v>
      </c>
      <c r="P162" s="162"/>
      <c r="R162" s="94"/>
    </row>
    <row r="163" spans="1:18" s="95" customFormat="1" ht="18.75" customHeight="1" x14ac:dyDescent="0.4">
      <c r="A163" s="65"/>
      <c r="B163" s="65"/>
      <c r="C163" s="22" t="s">
        <v>288</v>
      </c>
      <c r="D163" s="66">
        <f>D182</f>
        <v>0</v>
      </c>
      <c r="E163" s="66">
        <f>E182</f>
        <v>0</v>
      </c>
      <c r="F163" s="66">
        <f t="shared" ref="F163:O163" si="30">F182</f>
        <v>0</v>
      </c>
      <c r="G163" s="66">
        <f t="shared" si="30"/>
        <v>0</v>
      </c>
      <c r="H163" s="66">
        <f t="shared" si="30"/>
        <v>0</v>
      </c>
      <c r="I163" s="66">
        <f t="shared" si="30"/>
        <v>209249640</v>
      </c>
      <c r="J163" s="66">
        <f t="shared" si="30"/>
        <v>209249640</v>
      </c>
      <c r="K163" s="66">
        <f t="shared" si="30"/>
        <v>0</v>
      </c>
      <c r="L163" s="66">
        <f t="shared" si="30"/>
        <v>0</v>
      </c>
      <c r="M163" s="66">
        <f t="shared" si="30"/>
        <v>0</v>
      </c>
      <c r="N163" s="66">
        <f t="shared" si="30"/>
        <v>209249640</v>
      </c>
      <c r="O163" s="66">
        <f t="shared" si="30"/>
        <v>209249640</v>
      </c>
      <c r="P163" s="162">
        <v>8</v>
      </c>
    </row>
    <row r="164" spans="1:18" s="95" customFormat="1" ht="45" x14ac:dyDescent="0.4">
      <c r="A164" s="65"/>
      <c r="B164" s="65"/>
      <c r="C164" s="22" t="str">
        <f>C183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D164" s="66">
        <f>D183</f>
        <v>0</v>
      </c>
      <c r="E164" s="66">
        <f t="shared" ref="E164:O164" si="31">E183</f>
        <v>0</v>
      </c>
      <c r="F164" s="66">
        <f t="shared" si="31"/>
        <v>0</v>
      </c>
      <c r="G164" s="66">
        <f t="shared" si="31"/>
        <v>0</v>
      </c>
      <c r="H164" s="66">
        <f t="shared" si="31"/>
        <v>0</v>
      </c>
      <c r="I164" s="66">
        <f t="shared" si="31"/>
        <v>42813357.390000001</v>
      </c>
      <c r="J164" s="66">
        <f t="shared" si="31"/>
        <v>42813357.390000001</v>
      </c>
      <c r="K164" s="66">
        <f t="shared" si="31"/>
        <v>0</v>
      </c>
      <c r="L164" s="66">
        <f t="shared" si="31"/>
        <v>0</v>
      </c>
      <c r="M164" s="66">
        <f t="shared" si="31"/>
        <v>0</v>
      </c>
      <c r="N164" s="66">
        <f t="shared" si="31"/>
        <v>42813357.390000001</v>
      </c>
      <c r="O164" s="66">
        <f t="shared" si="31"/>
        <v>42813357.390000001</v>
      </c>
      <c r="P164" s="162"/>
    </row>
    <row r="165" spans="1:18" s="91" customFormat="1" ht="15" x14ac:dyDescent="0.4">
      <c r="A165" s="64" t="s">
        <v>118</v>
      </c>
      <c r="B165" s="74"/>
      <c r="C165" s="75" t="s">
        <v>119</v>
      </c>
      <c r="D165" s="60">
        <f t="shared" ref="D165:O165" si="32">D166</f>
        <v>1400000</v>
      </c>
      <c r="E165" s="60">
        <f t="shared" si="32"/>
        <v>1400000</v>
      </c>
      <c r="F165" s="60">
        <f t="shared" si="32"/>
        <v>0</v>
      </c>
      <c r="G165" s="60">
        <f t="shared" si="32"/>
        <v>0</v>
      </c>
      <c r="H165" s="60">
        <f t="shared" si="32"/>
        <v>0</v>
      </c>
      <c r="I165" s="60">
        <f t="shared" si="32"/>
        <v>0</v>
      </c>
      <c r="J165" s="60">
        <f t="shared" si="32"/>
        <v>0</v>
      </c>
      <c r="K165" s="60">
        <f t="shared" si="32"/>
        <v>0</v>
      </c>
      <c r="L165" s="60">
        <f t="shared" si="32"/>
        <v>0</v>
      </c>
      <c r="M165" s="60">
        <f t="shared" si="32"/>
        <v>0</v>
      </c>
      <c r="N165" s="60">
        <f t="shared" si="32"/>
        <v>0</v>
      </c>
      <c r="O165" s="60">
        <f t="shared" si="32"/>
        <v>1400000</v>
      </c>
      <c r="P165" s="162"/>
    </row>
    <row r="166" spans="1:18" ht="16.5" customHeight="1" x14ac:dyDescent="0.45">
      <c r="A166" s="61" t="s">
        <v>113</v>
      </c>
      <c r="B166" s="61" t="s">
        <v>71</v>
      </c>
      <c r="C166" s="40" t="s">
        <v>268</v>
      </c>
      <c r="D166" s="63">
        <f>'дод 3'!E251</f>
        <v>1400000</v>
      </c>
      <c r="E166" s="63">
        <f>'дод 3'!F251</f>
        <v>1400000</v>
      </c>
      <c r="F166" s="63">
        <f>'дод 3'!G251</f>
        <v>0</v>
      </c>
      <c r="G166" s="63">
        <f>'дод 3'!H251</f>
        <v>0</v>
      </c>
      <c r="H166" s="63">
        <f>'дод 3'!I251</f>
        <v>0</v>
      </c>
      <c r="I166" s="63">
        <f>'дод 3'!J251</f>
        <v>0</v>
      </c>
      <c r="J166" s="63">
        <f>'дод 3'!K251</f>
        <v>0</v>
      </c>
      <c r="K166" s="63">
        <f>'дод 3'!L251</f>
        <v>0</v>
      </c>
      <c r="L166" s="63">
        <f>'дод 3'!M251</f>
        <v>0</v>
      </c>
      <c r="M166" s="63">
        <f>'дод 3'!N251</f>
        <v>0</v>
      </c>
      <c r="N166" s="63">
        <f>'дод 3'!O251</f>
        <v>0</v>
      </c>
      <c r="O166" s="63">
        <f>'дод 3'!P251</f>
        <v>1400000</v>
      </c>
      <c r="P166" s="162"/>
    </row>
    <row r="167" spans="1:18" s="91" customFormat="1" ht="30" x14ac:dyDescent="0.4">
      <c r="A167" s="64" t="s">
        <v>84</v>
      </c>
      <c r="B167" s="64"/>
      <c r="C167" s="96" t="s">
        <v>464</v>
      </c>
      <c r="D167" s="60">
        <f>D169+D170+D172+D171</f>
        <v>46000</v>
      </c>
      <c r="E167" s="60">
        <f t="shared" ref="E167:O167" si="33">E169+E170+E172+E171</f>
        <v>46000</v>
      </c>
      <c r="F167" s="60">
        <f t="shared" si="33"/>
        <v>0</v>
      </c>
      <c r="G167" s="60">
        <f t="shared" si="33"/>
        <v>0</v>
      </c>
      <c r="H167" s="60">
        <f t="shared" si="33"/>
        <v>0</v>
      </c>
      <c r="I167" s="60">
        <f t="shared" si="33"/>
        <v>33650794.18</v>
      </c>
      <c r="J167" s="60">
        <f t="shared" si="33"/>
        <v>27086724.280000001</v>
      </c>
      <c r="K167" s="60">
        <f t="shared" si="33"/>
        <v>0</v>
      </c>
      <c r="L167" s="60">
        <f t="shared" si="33"/>
        <v>0</v>
      </c>
      <c r="M167" s="60">
        <f t="shared" si="33"/>
        <v>0</v>
      </c>
      <c r="N167" s="60">
        <f t="shared" si="33"/>
        <v>33650794.18</v>
      </c>
      <c r="O167" s="60">
        <f t="shared" si="33"/>
        <v>33696794.18</v>
      </c>
      <c r="P167" s="162"/>
    </row>
    <row r="168" spans="1:18" s="95" customFormat="1" ht="90" x14ac:dyDescent="0.4">
      <c r="A168" s="65"/>
      <c r="B168" s="65"/>
      <c r="C168" s="22" t="s">
        <v>477</v>
      </c>
      <c r="D168" s="66">
        <f>D173</f>
        <v>0</v>
      </c>
      <c r="E168" s="66">
        <f t="shared" ref="E168:O168" si="34">E173</f>
        <v>0</v>
      </c>
      <c r="F168" s="66">
        <f t="shared" si="34"/>
        <v>0</v>
      </c>
      <c r="G168" s="66">
        <f t="shared" si="34"/>
        <v>0</v>
      </c>
      <c r="H168" s="66">
        <f t="shared" si="34"/>
        <v>0</v>
      </c>
      <c r="I168" s="66">
        <f t="shared" si="34"/>
        <v>6564069.9000000004</v>
      </c>
      <c r="J168" s="66">
        <f t="shared" si="34"/>
        <v>0</v>
      </c>
      <c r="K168" s="66">
        <f t="shared" si="34"/>
        <v>0</v>
      </c>
      <c r="L168" s="66">
        <f t="shared" si="34"/>
        <v>0</v>
      </c>
      <c r="M168" s="66">
        <f t="shared" si="34"/>
        <v>0</v>
      </c>
      <c r="N168" s="66">
        <f t="shared" si="34"/>
        <v>6564069.9000000004</v>
      </c>
      <c r="O168" s="66">
        <f t="shared" si="34"/>
        <v>6564069.9000000004</v>
      </c>
      <c r="P168" s="162"/>
    </row>
    <row r="169" spans="1:18" ht="30.75" customHeight="1" x14ac:dyDescent="0.45">
      <c r="A169" s="61" t="s">
        <v>221</v>
      </c>
      <c r="B169" s="61" t="s">
        <v>94</v>
      </c>
      <c r="C169" s="62" t="s">
        <v>466</v>
      </c>
      <c r="D169" s="63">
        <f>'дод 3'!E194+'дод 3'!E232</f>
        <v>0</v>
      </c>
      <c r="E169" s="63">
        <f>'дод 3'!F194+'дод 3'!F232</f>
        <v>0</v>
      </c>
      <c r="F169" s="63">
        <f>'дод 3'!G194+'дод 3'!G232</f>
        <v>0</v>
      </c>
      <c r="G169" s="63">
        <f>'дод 3'!H194+'дод 3'!H232</f>
        <v>0</v>
      </c>
      <c r="H169" s="63">
        <f>'дод 3'!I194+'дод 3'!I232</f>
        <v>0</v>
      </c>
      <c r="I169" s="63">
        <f>'дод 3'!J194+'дод 3'!J232</f>
        <v>24186724.280000001</v>
      </c>
      <c r="J169" s="63">
        <f>'дод 3'!K194+'дод 3'!K232</f>
        <v>24186724.280000001</v>
      </c>
      <c r="K169" s="63">
        <f>'дод 3'!L194+'дод 3'!L232</f>
        <v>0</v>
      </c>
      <c r="L169" s="63">
        <f>'дод 3'!M194+'дод 3'!M232</f>
        <v>0</v>
      </c>
      <c r="M169" s="63">
        <f>'дод 3'!N194+'дод 3'!N232</f>
        <v>0</v>
      </c>
      <c r="N169" s="63">
        <f>'дод 3'!O194+'дод 3'!O232</f>
        <v>24186724.280000001</v>
      </c>
      <c r="O169" s="63">
        <f>'дод 3'!P194+'дод 3'!P232</f>
        <v>24186724.280000001</v>
      </c>
      <c r="P169" s="162"/>
    </row>
    <row r="170" spans="1:18" s="92" customFormat="1" ht="31.5" customHeight="1" x14ac:dyDescent="0.45">
      <c r="A170" s="61">
        <v>7370</v>
      </c>
      <c r="B170" s="25" t="s">
        <v>70</v>
      </c>
      <c r="C170" s="27" t="s">
        <v>292</v>
      </c>
      <c r="D170" s="63">
        <f>'дод 3'!E252+'дод 3'!E233</f>
        <v>46000</v>
      </c>
      <c r="E170" s="63">
        <f>'дод 3'!F252+'дод 3'!F233</f>
        <v>46000</v>
      </c>
      <c r="F170" s="63">
        <f>'дод 3'!G252+'дод 3'!G233</f>
        <v>0</v>
      </c>
      <c r="G170" s="63">
        <f>'дод 3'!H252+'дод 3'!H233</f>
        <v>0</v>
      </c>
      <c r="H170" s="63">
        <f>'дод 3'!I252+'дод 3'!I233</f>
        <v>0</v>
      </c>
      <c r="I170" s="63">
        <f>'дод 3'!J252+'дод 3'!J233</f>
        <v>1600000</v>
      </c>
      <c r="J170" s="63">
        <f>'дод 3'!K252+'дод 3'!K233</f>
        <v>1600000</v>
      </c>
      <c r="K170" s="63">
        <f>'дод 3'!L252+'дод 3'!L233</f>
        <v>0</v>
      </c>
      <c r="L170" s="63">
        <f>'дод 3'!M252+'дод 3'!M233</f>
        <v>0</v>
      </c>
      <c r="M170" s="63">
        <f>'дод 3'!N252+'дод 3'!N233</f>
        <v>0</v>
      </c>
      <c r="N170" s="63">
        <f>'дод 3'!O252+'дод 3'!O233</f>
        <v>1600000</v>
      </c>
      <c r="O170" s="63">
        <f>'дод 3'!P252+'дод 3'!P233</f>
        <v>1646000</v>
      </c>
      <c r="P170" s="162"/>
    </row>
    <row r="171" spans="1:18" s="128" customFormat="1" ht="59.65" customHeight="1" x14ac:dyDescent="0.45">
      <c r="A171" s="61">
        <v>7377</v>
      </c>
      <c r="B171" s="25" t="s">
        <v>70</v>
      </c>
      <c r="C171" s="27" t="s">
        <v>536</v>
      </c>
      <c r="D171" s="63">
        <f>'дод 3'!E195</f>
        <v>0</v>
      </c>
      <c r="E171" s="63">
        <f>'дод 3'!F195</f>
        <v>0</v>
      </c>
      <c r="F171" s="63">
        <f>'дод 3'!G195</f>
        <v>0</v>
      </c>
      <c r="G171" s="63">
        <f>'дод 3'!H195</f>
        <v>0</v>
      </c>
      <c r="H171" s="63">
        <f>'дод 3'!I195</f>
        <v>0</v>
      </c>
      <c r="I171" s="63">
        <f>'дод 3'!J195</f>
        <v>1300000</v>
      </c>
      <c r="J171" s="63">
        <f>'дод 3'!K195</f>
        <v>1300000</v>
      </c>
      <c r="K171" s="63">
        <f>'дод 3'!L195</f>
        <v>0</v>
      </c>
      <c r="L171" s="63">
        <f>'дод 3'!M195</f>
        <v>0</v>
      </c>
      <c r="M171" s="63">
        <f>'дод 3'!N195</f>
        <v>0</v>
      </c>
      <c r="N171" s="63">
        <f>'дод 3'!O195</f>
        <v>1300000</v>
      </c>
      <c r="O171" s="63">
        <f>'дод 3'!P195</f>
        <v>1300000</v>
      </c>
      <c r="P171" s="162"/>
    </row>
    <row r="172" spans="1:18" s="92" customFormat="1" ht="61.5" x14ac:dyDescent="0.45">
      <c r="A172" s="61">
        <v>7384</v>
      </c>
      <c r="B172" s="25" t="s">
        <v>70</v>
      </c>
      <c r="C172" s="27" t="s">
        <v>476</v>
      </c>
      <c r="D172" s="63">
        <f>'дод 3'!E196</f>
        <v>0</v>
      </c>
      <c r="E172" s="63">
        <f>'дод 3'!F196</f>
        <v>0</v>
      </c>
      <c r="F172" s="63">
        <f>'дод 3'!G196</f>
        <v>0</v>
      </c>
      <c r="G172" s="63">
        <f>'дод 3'!H196</f>
        <v>0</v>
      </c>
      <c r="H172" s="63">
        <f>'дод 3'!I196</f>
        <v>0</v>
      </c>
      <c r="I172" s="63">
        <f>'дод 3'!J196</f>
        <v>6564069.9000000004</v>
      </c>
      <c r="J172" s="63">
        <f>'дод 3'!K196</f>
        <v>0</v>
      </c>
      <c r="K172" s="63">
        <f>'дод 3'!L196</f>
        <v>0</v>
      </c>
      <c r="L172" s="63">
        <f>'дод 3'!M196</f>
        <v>0</v>
      </c>
      <c r="M172" s="63">
        <f>'дод 3'!N196</f>
        <v>0</v>
      </c>
      <c r="N172" s="63">
        <f>'дод 3'!O196</f>
        <v>6564069.9000000004</v>
      </c>
      <c r="O172" s="63">
        <f>'дод 3'!P196</f>
        <v>6564069.9000000004</v>
      </c>
      <c r="P172" s="162"/>
    </row>
    <row r="173" spans="1:18" s="92" customFormat="1" ht="92.25" x14ac:dyDescent="0.45">
      <c r="A173" s="67"/>
      <c r="B173" s="34"/>
      <c r="C173" s="39" t="s">
        <v>477</v>
      </c>
      <c r="D173" s="68">
        <f>'дод 3'!E197</f>
        <v>0</v>
      </c>
      <c r="E173" s="68">
        <f>'дод 3'!F197</f>
        <v>0</v>
      </c>
      <c r="F173" s="68">
        <f>'дод 3'!G197</f>
        <v>0</v>
      </c>
      <c r="G173" s="68">
        <f>'дод 3'!H197</f>
        <v>0</v>
      </c>
      <c r="H173" s="68">
        <f>'дод 3'!I197</f>
        <v>0</v>
      </c>
      <c r="I173" s="68">
        <f>'дод 3'!J197</f>
        <v>6564069.9000000004</v>
      </c>
      <c r="J173" s="68">
        <f>'дод 3'!K197</f>
        <v>0</v>
      </c>
      <c r="K173" s="68">
        <f>'дод 3'!L197</f>
        <v>0</v>
      </c>
      <c r="L173" s="68">
        <f>'дод 3'!M197</f>
        <v>0</v>
      </c>
      <c r="M173" s="68">
        <f>'дод 3'!N197</f>
        <v>0</v>
      </c>
      <c r="N173" s="68">
        <f>'дод 3'!O197</f>
        <v>6564069.9000000004</v>
      </c>
      <c r="O173" s="68">
        <f>'дод 3'!P197</f>
        <v>6564069.9000000004</v>
      </c>
      <c r="P173" s="162"/>
    </row>
    <row r="174" spans="1:18" s="91" customFormat="1" ht="34.5" customHeight="1" x14ac:dyDescent="0.4">
      <c r="A174" s="64" t="s">
        <v>73</v>
      </c>
      <c r="B174" s="74"/>
      <c r="C174" s="75" t="s">
        <v>327</v>
      </c>
      <c r="D174" s="60">
        <f>D175+D177+D178+D176</f>
        <v>95743700</v>
      </c>
      <c r="E174" s="60">
        <f t="shared" ref="E174:O174" si="35">E175+E177+E178+E176</f>
        <v>984000</v>
      </c>
      <c r="F174" s="60">
        <f t="shared" si="35"/>
        <v>0</v>
      </c>
      <c r="G174" s="60">
        <f t="shared" si="35"/>
        <v>0</v>
      </c>
      <c r="H174" s="60">
        <f t="shared" si="35"/>
        <v>94759700</v>
      </c>
      <c r="I174" s="60">
        <f t="shared" si="35"/>
        <v>0</v>
      </c>
      <c r="J174" s="60">
        <f t="shared" si="35"/>
        <v>0</v>
      </c>
      <c r="K174" s="60">
        <f t="shared" si="35"/>
        <v>0</v>
      </c>
      <c r="L174" s="60">
        <f t="shared" si="35"/>
        <v>0</v>
      </c>
      <c r="M174" s="60">
        <f t="shared" si="35"/>
        <v>0</v>
      </c>
      <c r="N174" s="60">
        <f t="shared" si="35"/>
        <v>0</v>
      </c>
      <c r="O174" s="60">
        <f t="shared" si="35"/>
        <v>95743700</v>
      </c>
      <c r="P174" s="162"/>
    </row>
    <row r="175" spans="1:18" s="92" customFormat="1" ht="18.75" customHeight="1" x14ac:dyDescent="0.45">
      <c r="A175" s="61" t="s">
        <v>1</v>
      </c>
      <c r="B175" s="61" t="s">
        <v>72</v>
      </c>
      <c r="C175" s="40" t="s">
        <v>30</v>
      </c>
      <c r="D175" s="63">
        <f>'дод 3'!E198</f>
        <v>29059700</v>
      </c>
      <c r="E175" s="63">
        <f>'дод 3'!F198</f>
        <v>0</v>
      </c>
      <c r="F175" s="63">
        <f>'дод 3'!G198</f>
        <v>0</v>
      </c>
      <c r="G175" s="63">
        <f>'дод 3'!H198</f>
        <v>0</v>
      </c>
      <c r="H175" s="63">
        <f>'дод 3'!I198</f>
        <v>29059700</v>
      </c>
      <c r="I175" s="63">
        <f>'дод 3'!J198</f>
        <v>0</v>
      </c>
      <c r="J175" s="63">
        <f>'дод 3'!K198</f>
        <v>0</v>
      </c>
      <c r="K175" s="63">
        <f>'дод 3'!L198</f>
        <v>0</v>
      </c>
      <c r="L175" s="63">
        <f>'дод 3'!M198</f>
        <v>0</v>
      </c>
      <c r="M175" s="63">
        <f>'дод 3'!N198</f>
        <v>0</v>
      </c>
      <c r="N175" s="63">
        <f>'дод 3'!O198</f>
        <v>0</v>
      </c>
      <c r="O175" s="63">
        <f>'дод 3'!P198</f>
        <v>29059700</v>
      </c>
      <c r="P175" s="162"/>
    </row>
    <row r="176" spans="1:18" s="92" customFormat="1" ht="18.75" customHeight="1" x14ac:dyDescent="0.45">
      <c r="A176" s="61">
        <v>7422</v>
      </c>
      <c r="B176" s="80" t="s">
        <v>460</v>
      </c>
      <c r="C176" s="40" t="s">
        <v>459</v>
      </c>
      <c r="D176" s="63">
        <f>'дод 3'!E199</f>
        <v>65000000</v>
      </c>
      <c r="E176" s="63">
        <f>'дод 3'!F199</f>
        <v>0</v>
      </c>
      <c r="F176" s="63">
        <f>'дод 3'!G199</f>
        <v>0</v>
      </c>
      <c r="G176" s="63">
        <f>'дод 3'!H199</f>
        <v>0</v>
      </c>
      <c r="H176" s="63">
        <f>'дод 3'!I199</f>
        <v>65000000</v>
      </c>
      <c r="I176" s="63">
        <f>'дод 3'!J199</f>
        <v>0</v>
      </c>
      <c r="J176" s="63">
        <f>'дод 3'!K199</f>
        <v>0</v>
      </c>
      <c r="K176" s="63">
        <f>'дод 3'!L199</f>
        <v>0</v>
      </c>
      <c r="L176" s="63">
        <f>'дод 3'!M199</f>
        <v>0</v>
      </c>
      <c r="M176" s="63">
        <f>'дод 3'!N199</f>
        <v>0</v>
      </c>
      <c r="N176" s="63">
        <f>'дод 3'!O199</f>
        <v>0</v>
      </c>
      <c r="O176" s="63">
        <f>'дод 3'!P199</f>
        <v>65000000</v>
      </c>
      <c r="P176" s="162"/>
    </row>
    <row r="177" spans="1:16" s="92" customFormat="1" ht="26.25" customHeight="1" x14ac:dyDescent="0.45">
      <c r="A177" s="26">
        <v>7426</v>
      </c>
      <c r="B177" s="25" t="s">
        <v>392</v>
      </c>
      <c r="C177" s="30" t="s">
        <v>391</v>
      </c>
      <c r="D177" s="63">
        <f>'дод 3'!E200</f>
        <v>700000</v>
      </c>
      <c r="E177" s="63">
        <f>'дод 3'!F200</f>
        <v>0</v>
      </c>
      <c r="F177" s="63">
        <f>'дод 3'!G200</f>
        <v>0</v>
      </c>
      <c r="G177" s="63">
        <f>'дод 3'!H200</f>
        <v>0</v>
      </c>
      <c r="H177" s="63">
        <f>'дод 3'!I200</f>
        <v>700000</v>
      </c>
      <c r="I177" s="63">
        <f>'дод 3'!J200</f>
        <v>0</v>
      </c>
      <c r="J177" s="63">
        <f>'дод 3'!K200</f>
        <v>0</v>
      </c>
      <c r="K177" s="63">
        <f>'дод 3'!L200</f>
        <v>0</v>
      </c>
      <c r="L177" s="63">
        <f>'дод 3'!M200</f>
        <v>0</v>
      </c>
      <c r="M177" s="63">
        <f>'дод 3'!N200</f>
        <v>0</v>
      </c>
      <c r="N177" s="63">
        <f>'дод 3'!O200</f>
        <v>0</v>
      </c>
      <c r="O177" s="63">
        <f>'дод 3'!P200</f>
        <v>700000</v>
      </c>
      <c r="P177" s="162"/>
    </row>
    <row r="178" spans="1:16" s="92" customFormat="1" ht="23.25" customHeight="1" x14ac:dyDescent="0.45">
      <c r="A178" s="26">
        <v>7450</v>
      </c>
      <c r="B178" s="25" t="s">
        <v>388</v>
      </c>
      <c r="C178" s="40" t="s">
        <v>389</v>
      </c>
      <c r="D178" s="63">
        <f>'дод 3'!E201</f>
        <v>984000</v>
      </c>
      <c r="E178" s="63">
        <f>'дод 3'!F201</f>
        <v>984000</v>
      </c>
      <c r="F178" s="63">
        <f>'дод 3'!G201</f>
        <v>0</v>
      </c>
      <c r="G178" s="63">
        <f>'дод 3'!H201</f>
        <v>0</v>
      </c>
      <c r="H178" s="63">
        <f>'дод 3'!I201</f>
        <v>0</v>
      </c>
      <c r="I178" s="63">
        <f>'дод 3'!J201</f>
        <v>0</v>
      </c>
      <c r="J178" s="63">
        <f>'дод 3'!K201</f>
        <v>0</v>
      </c>
      <c r="K178" s="63">
        <f>'дод 3'!L201</f>
        <v>0</v>
      </c>
      <c r="L178" s="63">
        <f>'дод 3'!M201</f>
        <v>0</v>
      </c>
      <c r="M178" s="63">
        <f>'дод 3'!N201</f>
        <v>0</v>
      </c>
      <c r="N178" s="63">
        <f>'дод 3'!O201</f>
        <v>0</v>
      </c>
      <c r="O178" s="63">
        <f>'дод 3'!P201</f>
        <v>984000</v>
      </c>
      <c r="P178" s="162"/>
    </row>
    <row r="179" spans="1:16" s="91" customFormat="1" ht="18.75" customHeight="1" x14ac:dyDescent="0.4">
      <c r="A179" s="31" t="s">
        <v>195</v>
      </c>
      <c r="B179" s="74"/>
      <c r="C179" s="75" t="s">
        <v>196</v>
      </c>
      <c r="D179" s="60">
        <f>D180</f>
        <v>4644100</v>
      </c>
      <c r="E179" s="60">
        <f t="shared" ref="E179:O179" si="36">E180</f>
        <v>4644100</v>
      </c>
      <c r="F179" s="60">
        <f t="shared" si="36"/>
        <v>0</v>
      </c>
      <c r="G179" s="60">
        <f t="shared" si="36"/>
        <v>0</v>
      </c>
      <c r="H179" s="60">
        <f t="shared" si="36"/>
        <v>0</v>
      </c>
      <c r="I179" s="60">
        <f>I180</f>
        <v>0</v>
      </c>
      <c r="J179" s="60">
        <f t="shared" si="36"/>
        <v>0</v>
      </c>
      <c r="K179" s="60">
        <f t="shared" si="36"/>
        <v>0</v>
      </c>
      <c r="L179" s="60">
        <f t="shared" si="36"/>
        <v>0</v>
      </c>
      <c r="M179" s="60">
        <f t="shared" si="36"/>
        <v>0</v>
      </c>
      <c r="N179" s="60">
        <f t="shared" si="36"/>
        <v>0</v>
      </c>
      <c r="O179" s="60">
        <f t="shared" si="36"/>
        <v>4644100</v>
      </c>
      <c r="P179" s="162"/>
    </row>
    <row r="180" spans="1:16" ht="18.75" customHeight="1" x14ac:dyDescent="0.45">
      <c r="A180" s="61" t="s">
        <v>193</v>
      </c>
      <c r="B180" s="61" t="s">
        <v>194</v>
      </c>
      <c r="C180" s="42" t="s">
        <v>192</v>
      </c>
      <c r="D180" s="63">
        <f>'дод 3'!E32</f>
        <v>4644100</v>
      </c>
      <c r="E180" s="63">
        <f>'дод 3'!F32</f>
        <v>4644100</v>
      </c>
      <c r="F180" s="63">
        <f>'дод 3'!G32</f>
        <v>0</v>
      </c>
      <c r="G180" s="63">
        <f>'дод 3'!H32</f>
        <v>0</v>
      </c>
      <c r="H180" s="63">
        <f>'дод 3'!I32</f>
        <v>0</v>
      </c>
      <c r="I180" s="63">
        <f>'дод 3'!J32</f>
        <v>0</v>
      </c>
      <c r="J180" s="63">
        <f>'дод 3'!K32</f>
        <v>0</v>
      </c>
      <c r="K180" s="63">
        <f>'дод 3'!L32</f>
        <v>0</v>
      </c>
      <c r="L180" s="63">
        <f>'дод 3'!M32</f>
        <v>0</v>
      </c>
      <c r="M180" s="63">
        <f>'дод 3'!N32</f>
        <v>0</v>
      </c>
      <c r="N180" s="63">
        <f>'дод 3'!O32</f>
        <v>0</v>
      </c>
      <c r="O180" s="63">
        <f>'дод 3'!P32</f>
        <v>4644100</v>
      </c>
      <c r="P180" s="162"/>
    </row>
    <row r="181" spans="1:16" s="91" customFormat="1" ht="39.75" customHeight="1" x14ac:dyDescent="0.4">
      <c r="A181" s="64" t="s">
        <v>76</v>
      </c>
      <c r="B181" s="74"/>
      <c r="C181" s="75" t="s">
        <v>290</v>
      </c>
      <c r="D181" s="60">
        <f t="shared" ref="D181:O181" si="37">D184+D185+D188+D189+D190+D191+D192+D193</f>
        <v>7133833</v>
      </c>
      <c r="E181" s="60">
        <f t="shared" si="37"/>
        <v>5238833</v>
      </c>
      <c r="F181" s="60">
        <f t="shared" si="37"/>
        <v>0</v>
      </c>
      <c r="G181" s="60">
        <f t="shared" si="37"/>
        <v>0</v>
      </c>
      <c r="H181" s="60">
        <f t="shared" si="37"/>
        <v>1895000</v>
      </c>
      <c r="I181" s="60">
        <f t="shared" si="37"/>
        <v>318434552.99000001</v>
      </c>
      <c r="J181" s="60">
        <f t="shared" si="37"/>
        <v>316914089.38999999</v>
      </c>
      <c r="K181" s="60">
        <f t="shared" si="37"/>
        <v>1138587</v>
      </c>
      <c r="L181" s="60">
        <f t="shared" si="37"/>
        <v>0</v>
      </c>
      <c r="M181" s="60">
        <f t="shared" si="37"/>
        <v>0</v>
      </c>
      <c r="N181" s="60">
        <f t="shared" si="37"/>
        <v>317295965.99000001</v>
      </c>
      <c r="O181" s="60">
        <f t="shared" si="37"/>
        <v>325568385.99000001</v>
      </c>
      <c r="P181" s="162"/>
    </row>
    <row r="182" spans="1:16" s="95" customFormat="1" ht="16.5" customHeight="1" x14ac:dyDescent="0.4">
      <c r="A182" s="65"/>
      <c r="B182" s="65"/>
      <c r="C182" s="22" t="s">
        <v>288</v>
      </c>
      <c r="D182" s="66">
        <f>D186</f>
        <v>0</v>
      </c>
      <c r="E182" s="66">
        <f t="shared" ref="E182:O182" si="38">E186</f>
        <v>0</v>
      </c>
      <c r="F182" s="66">
        <f t="shared" si="38"/>
        <v>0</v>
      </c>
      <c r="G182" s="66">
        <f t="shared" si="38"/>
        <v>0</v>
      </c>
      <c r="H182" s="66">
        <f t="shared" si="38"/>
        <v>0</v>
      </c>
      <c r="I182" s="66">
        <f t="shared" si="38"/>
        <v>209249640</v>
      </c>
      <c r="J182" s="66">
        <f t="shared" si="38"/>
        <v>209249640</v>
      </c>
      <c r="K182" s="66">
        <f t="shared" si="38"/>
        <v>0</v>
      </c>
      <c r="L182" s="66">
        <f t="shared" si="38"/>
        <v>0</v>
      </c>
      <c r="M182" s="66">
        <f t="shared" si="38"/>
        <v>0</v>
      </c>
      <c r="N182" s="66">
        <f t="shared" si="38"/>
        <v>209249640</v>
      </c>
      <c r="O182" s="66">
        <f t="shared" si="38"/>
        <v>209249640</v>
      </c>
      <c r="P182" s="162"/>
    </row>
    <row r="183" spans="1:16" s="95" customFormat="1" ht="58.15" customHeight="1" x14ac:dyDescent="0.4">
      <c r="A183" s="65"/>
      <c r="B183" s="65"/>
      <c r="C183" s="22" t="str">
        <f>C187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D183" s="66">
        <f>D187</f>
        <v>0</v>
      </c>
      <c r="E183" s="66">
        <f t="shared" ref="E183:O183" si="39">E187</f>
        <v>0</v>
      </c>
      <c r="F183" s="66">
        <f t="shared" si="39"/>
        <v>0</v>
      </c>
      <c r="G183" s="66">
        <f t="shared" si="39"/>
        <v>0</v>
      </c>
      <c r="H183" s="66">
        <f t="shared" si="39"/>
        <v>0</v>
      </c>
      <c r="I183" s="66">
        <f t="shared" si="39"/>
        <v>42813357.390000001</v>
      </c>
      <c r="J183" s="66">
        <f t="shared" si="39"/>
        <v>42813357.390000001</v>
      </c>
      <c r="K183" s="66">
        <f t="shared" si="39"/>
        <v>0</v>
      </c>
      <c r="L183" s="66">
        <f t="shared" si="39"/>
        <v>0</v>
      </c>
      <c r="M183" s="66">
        <f t="shared" si="39"/>
        <v>0</v>
      </c>
      <c r="N183" s="66">
        <f t="shared" si="39"/>
        <v>42813357.390000001</v>
      </c>
      <c r="O183" s="66">
        <f t="shared" si="39"/>
        <v>42813357.390000001</v>
      </c>
      <c r="P183" s="162"/>
    </row>
    <row r="184" spans="1:16" ht="29.25" customHeight="1" x14ac:dyDescent="0.45">
      <c r="A184" s="61" t="s">
        <v>2</v>
      </c>
      <c r="B184" s="61" t="s">
        <v>75</v>
      </c>
      <c r="C184" s="40" t="s">
        <v>20</v>
      </c>
      <c r="D184" s="63">
        <f>'дод 3'!E243</f>
        <v>660000</v>
      </c>
      <c r="E184" s="63">
        <f>'дод 3'!F243</f>
        <v>60000</v>
      </c>
      <c r="F184" s="63">
        <f>'дод 3'!G243</f>
        <v>0</v>
      </c>
      <c r="G184" s="63">
        <f>'дод 3'!H243</f>
        <v>0</v>
      </c>
      <c r="H184" s="63">
        <f>'дод 3'!I243</f>
        <v>600000</v>
      </c>
      <c r="I184" s="63">
        <f>'дод 3'!J243</f>
        <v>0</v>
      </c>
      <c r="J184" s="63">
        <f>'дод 3'!K243</f>
        <v>0</v>
      </c>
      <c r="K184" s="63">
        <f>'дод 3'!L243</f>
        <v>0</v>
      </c>
      <c r="L184" s="63">
        <f>'дод 3'!M243</f>
        <v>0</v>
      </c>
      <c r="M184" s="63">
        <f>'дод 3'!N243</f>
        <v>0</v>
      </c>
      <c r="N184" s="63">
        <f>'дод 3'!O243</f>
        <v>0</v>
      </c>
      <c r="O184" s="63">
        <f>'дод 3'!P243</f>
        <v>660000</v>
      </c>
      <c r="P184" s="162"/>
    </row>
    <row r="185" spans="1:16" ht="21" customHeight="1" x14ac:dyDescent="0.45">
      <c r="A185" s="61" t="s">
        <v>0</v>
      </c>
      <c r="B185" s="61" t="s">
        <v>74</v>
      </c>
      <c r="C185" s="40" t="s">
        <v>287</v>
      </c>
      <c r="D185" s="63">
        <f>'дод 3'!E102+'дод 3'!E118+'дод 3'!E202+'дод 3'!E234+'дод 3'!E260</f>
        <v>3155734</v>
      </c>
      <c r="E185" s="63">
        <f>'дод 3'!F102+'дод 3'!F118+'дод 3'!F202+'дод 3'!F234+'дод 3'!F260</f>
        <v>1860734</v>
      </c>
      <c r="F185" s="63">
        <f>'дод 3'!G102+'дод 3'!G118+'дод 3'!G202+'дод 3'!G234+'дод 3'!G260</f>
        <v>0</v>
      </c>
      <c r="G185" s="63">
        <f>'дод 3'!H102+'дод 3'!H118+'дод 3'!H202+'дод 3'!H234+'дод 3'!H260</f>
        <v>0</v>
      </c>
      <c r="H185" s="63">
        <f>'дод 3'!I102+'дод 3'!I118+'дод 3'!I202+'дод 3'!I234+'дод 3'!I260</f>
        <v>1295000</v>
      </c>
      <c r="I185" s="63">
        <f>'дод 3'!J102+'дод 3'!J118+'дод 3'!J202+'дод 3'!J234+'дод 3'!J260</f>
        <v>301448000.38999999</v>
      </c>
      <c r="J185" s="63">
        <f>'дод 3'!K102+'дод 3'!K118+'дод 3'!K202+'дод 3'!K234+'дод 3'!K260</f>
        <v>301448000.38999999</v>
      </c>
      <c r="K185" s="63">
        <f>'дод 3'!L102+'дод 3'!L118+'дод 3'!L202+'дод 3'!L234+'дод 3'!L260</f>
        <v>0</v>
      </c>
      <c r="L185" s="63">
        <f>'дод 3'!M102+'дод 3'!M118+'дод 3'!M202+'дод 3'!M234+'дод 3'!M260</f>
        <v>0</v>
      </c>
      <c r="M185" s="63">
        <f>'дод 3'!N102+'дод 3'!N118+'дод 3'!N202+'дод 3'!N234+'дод 3'!N260</f>
        <v>0</v>
      </c>
      <c r="N185" s="63">
        <f>'дод 3'!O102+'дод 3'!O118+'дод 3'!O202+'дод 3'!O234+'дод 3'!O260</f>
        <v>301448000.38999999</v>
      </c>
      <c r="O185" s="63">
        <f>'дод 3'!P102+'дод 3'!P118+'дод 3'!P202+'дод 3'!P234+'дод 3'!P260</f>
        <v>304603734.38999999</v>
      </c>
      <c r="P185" s="162"/>
    </row>
    <row r="186" spans="1:16" s="92" customFormat="1" ht="19.5" customHeight="1" x14ac:dyDescent="0.45">
      <c r="A186" s="67"/>
      <c r="B186" s="67"/>
      <c r="C186" s="39" t="s">
        <v>288</v>
      </c>
      <c r="D186" s="68">
        <f>'дод 3'!E235</f>
        <v>0</v>
      </c>
      <c r="E186" s="68">
        <f>'дод 3'!F235</f>
        <v>0</v>
      </c>
      <c r="F186" s="68">
        <f>'дод 3'!G235</f>
        <v>0</v>
      </c>
      <c r="G186" s="68">
        <f>'дод 3'!H235</f>
        <v>0</v>
      </c>
      <c r="H186" s="68">
        <f>'дод 3'!I235</f>
        <v>0</v>
      </c>
      <c r="I186" s="68">
        <f>'дод 3'!J235</f>
        <v>209249640</v>
      </c>
      <c r="J186" s="68">
        <f>'дод 3'!K235</f>
        <v>209249640</v>
      </c>
      <c r="K186" s="68">
        <f>'дод 3'!L235</f>
        <v>0</v>
      </c>
      <c r="L186" s="68">
        <f>'дод 3'!M235</f>
        <v>0</v>
      </c>
      <c r="M186" s="68">
        <f>'дод 3'!N235</f>
        <v>0</v>
      </c>
      <c r="N186" s="68">
        <f>'дод 3'!O235</f>
        <v>209249640</v>
      </c>
      <c r="O186" s="68">
        <f>'дод 3'!P235</f>
        <v>209249640</v>
      </c>
      <c r="P186" s="162"/>
    </row>
    <row r="187" spans="1:16" s="92" customFormat="1" ht="52.15" customHeight="1" x14ac:dyDescent="0.45">
      <c r="A187" s="67"/>
      <c r="B187" s="67"/>
      <c r="C187" s="39" t="s">
        <v>462</v>
      </c>
      <c r="D187" s="68">
        <f>'дод 3'!E236</f>
        <v>0</v>
      </c>
      <c r="E187" s="68">
        <f>'дод 3'!F236</f>
        <v>0</v>
      </c>
      <c r="F187" s="68">
        <f>'дод 3'!G236</f>
        <v>0</v>
      </c>
      <c r="G187" s="68">
        <f>'дод 3'!H236</f>
        <v>0</v>
      </c>
      <c r="H187" s="68">
        <f>'дод 3'!I236</f>
        <v>0</v>
      </c>
      <c r="I187" s="68">
        <f>'дод 3'!J236</f>
        <v>42813357.390000001</v>
      </c>
      <c r="J187" s="68">
        <f>'дод 3'!K236</f>
        <v>42813357.390000001</v>
      </c>
      <c r="K187" s="68">
        <f>'дод 3'!L236</f>
        <v>0</v>
      </c>
      <c r="L187" s="68">
        <f>'дод 3'!M236</f>
        <v>0</v>
      </c>
      <c r="M187" s="68">
        <f>'дод 3'!N236</f>
        <v>0</v>
      </c>
      <c r="N187" s="68">
        <f>'дод 3'!O236</f>
        <v>42813357.390000001</v>
      </c>
      <c r="O187" s="68">
        <f>'дод 3'!P236</f>
        <v>42813357.390000001</v>
      </c>
      <c r="P187" s="162"/>
    </row>
    <row r="188" spans="1:16" ht="33.75" customHeight="1" x14ac:dyDescent="0.45">
      <c r="A188" s="61" t="s">
        <v>217</v>
      </c>
      <c r="B188" s="61" t="s">
        <v>70</v>
      </c>
      <c r="C188" s="40" t="s">
        <v>269</v>
      </c>
      <c r="D188" s="63">
        <f>'дод 3'!E253</f>
        <v>0</v>
      </c>
      <c r="E188" s="63">
        <f>'дод 3'!F253</f>
        <v>0</v>
      </c>
      <c r="F188" s="63">
        <f>'дод 3'!G253</f>
        <v>0</v>
      </c>
      <c r="G188" s="63">
        <f>'дод 3'!H253</f>
        <v>0</v>
      </c>
      <c r="H188" s="63">
        <f>'дод 3'!I253</f>
        <v>0</v>
      </c>
      <c r="I188" s="63">
        <f>'дод 3'!J253</f>
        <v>30000</v>
      </c>
      <c r="J188" s="63">
        <f>'дод 3'!K253</f>
        <v>30000</v>
      </c>
      <c r="K188" s="63">
        <f>'дод 3'!L253</f>
        <v>0</v>
      </c>
      <c r="L188" s="63">
        <f>'дод 3'!M253</f>
        <v>0</v>
      </c>
      <c r="M188" s="63">
        <f>'дод 3'!N253</f>
        <v>0</v>
      </c>
      <c r="N188" s="63">
        <f>'дод 3'!O253</f>
        <v>30000</v>
      </c>
      <c r="O188" s="63">
        <f>'дод 3'!P253</f>
        <v>30000</v>
      </c>
      <c r="P188" s="162"/>
    </row>
    <row r="189" spans="1:16" ht="58.5" customHeight="1" x14ac:dyDescent="0.45">
      <c r="A189" s="61" t="s">
        <v>218</v>
      </c>
      <c r="B189" s="61" t="s">
        <v>70</v>
      </c>
      <c r="C189" s="40" t="s">
        <v>219</v>
      </c>
      <c r="D189" s="63">
        <f>'дод 3'!E254</f>
        <v>0</v>
      </c>
      <c r="E189" s="63">
        <f>'дод 3'!F254</f>
        <v>0</v>
      </c>
      <c r="F189" s="63">
        <f>'дод 3'!G254</f>
        <v>0</v>
      </c>
      <c r="G189" s="63">
        <f>'дод 3'!H254</f>
        <v>0</v>
      </c>
      <c r="H189" s="63">
        <f>'дод 3'!I254</f>
        <v>0</v>
      </c>
      <c r="I189" s="63">
        <f>'дод 3'!J254</f>
        <v>50000</v>
      </c>
      <c r="J189" s="63">
        <f>'дод 3'!K254</f>
        <v>50000</v>
      </c>
      <c r="K189" s="63">
        <f>'дод 3'!L254</f>
        <v>0</v>
      </c>
      <c r="L189" s="63">
        <f>'дод 3'!M254</f>
        <v>0</v>
      </c>
      <c r="M189" s="63">
        <f>'дод 3'!N254</f>
        <v>0</v>
      </c>
      <c r="N189" s="63">
        <f>'дод 3'!O254</f>
        <v>50000</v>
      </c>
      <c r="O189" s="63">
        <f>'дод 3'!P254</f>
        <v>50000</v>
      </c>
      <c r="P189" s="162"/>
    </row>
    <row r="190" spans="1:16" ht="24.75" customHeight="1" x14ac:dyDescent="0.45">
      <c r="A190" s="61" t="s">
        <v>3</v>
      </c>
      <c r="B190" s="61" t="s">
        <v>70</v>
      </c>
      <c r="C190" s="40" t="s">
        <v>336</v>
      </c>
      <c r="D190" s="63">
        <f>'дод 3'!E203</f>
        <v>0</v>
      </c>
      <c r="E190" s="63">
        <f>'дод 3'!F203</f>
        <v>0</v>
      </c>
      <c r="F190" s="63">
        <f>'дод 3'!G203</f>
        <v>0</v>
      </c>
      <c r="G190" s="63">
        <f>'дод 3'!H203</f>
        <v>0</v>
      </c>
      <c r="H190" s="63">
        <f>'дод 3'!I203</f>
        <v>0</v>
      </c>
      <c r="I190" s="63">
        <f>'дод 3'!J203</f>
        <v>15386089</v>
      </c>
      <c r="J190" s="63">
        <f>'дод 3'!K203</f>
        <v>15386089</v>
      </c>
      <c r="K190" s="63">
        <f>'дод 3'!L203</f>
        <v>0</v>
      </c>
      <c r="L190" s="63">
        <f>'дод 3'!M203</f>
        <v>0</v>
      </c>
      <c r="M190" s="63">
        <f>'дод 3'!N203</f>
        <v>0</v>
      </c>
      <c r="N190" s="63">
        <f>'дод 3'!O203</f>
        <v>15386089</v>
      </c>
      <c r="O190" s="63">
        <f>'дод 3'!P203</f>
        <v>15386089</v>
      </c>
      <c r="P190" s="162"/>
    </row>
    <row r="191" spans="1:16" ht="33.75" customHeight="1" x14ac:dyDescent="0.45">
      <c r="A191" s="61" t="s">
        <v>206</v>
      </c>
      <c r="B191" s="61" t="s">
        <v>70</v>
      </c>
      <c r="C191" s="40" t="s">
        <v>207</v>
      </c>
      <c r="D191" s="63">
        <f>'дод 3'!E33</f>
        <v>463094</v>
      </c>
      <c r="E191" s="63">
        <f>'дод 3'!F33</f>
        <v>463094</v>
      </c>
      <c r="F191" s="63">
        <f>'дод 3'!G33</f>
        <v>0</v>
      </c>
      <c r="G191" s="63">
        <f>'дод 3'!H33</f>
        <v>0</v>
      </c>
      <c r="H191" s="63">
        <f>'дод 3'!I33</f>
        <v>0</v>
      </c>
      <c r="I191" s="63">
        <f>'дод 3'!J33</f>
        <v>0</v>
      </c>
      <c r="J191" s="63">
        <f>'дод 3'!K33</f>
        <v>0</v>
      </c>
      <c r="K191" s="63">
        <f>'дод 3'!L33</f>
        <v>0</v>
      </c>
      <c r="L191" s="63">
        <f>'дод 3'!M33</f>
        <v>0</v>
      </c>
      <c r="M191" s="63">
        <f>'дод 3'!N33</f>
        <v>0</v>
      </c>
      <c r="N191" s="63">
        <f>'дод 3'!O33</f>
        <v>0</v>
      </c>
      <c r="O191" s="63">
        <f>'дод 3'!P33</f>
        <v>463094</v>
      </c>
      <c r="P191" s="132"/>
    </row>
    <row r="192" spans="1:16" s="92" customFormat="1" ht="100.9" customHeight="1" x14ac:dyDescent="0.45">
      <c r="A192" s="61" t="s">
        <v>233</v>
      </c>
      <c r="B192" s="61" t="s">
        <v>70</v>
      </c>
      <c r="C192" s="40" t="s">
        <v>244</v>
      </c>
      <c r="D192" s="63">
        <f>'дод 3'!E34+'дод 3'!E204+'дод 3'!E255</f>
        <v>0</v>
      </c>
      <c r="E192" s="63">
        <f>'дод 3'!F34+'дод 3'!F204+'дод 3'!F255</f>
        <v>0</v>
      </c>
      <c r="F192" s="63">
        <f>'дод 3'!G34+'дод 3'!G204+'дод 3'!G255</f>
        <v>0</v>
      </c>
      <c r="G192" s="63">
        <f>'дод 3'!H34+'дод 3'!H204+'дод 3'!H255</f>
        <v>0</v>
      </c>
      <c r="H192" s="63">
        <f>'дод 3'!I34+'дод 3'!I204+'дод 3'!I255</f>
        <v>0</v>
      </c>
      <c r="I192" s="63">
        <f>'дод 3'!J34+'дод 3'!J204+'дод 3'!J255</f>
        <v>1520463.6</v>
      </c>
      <c r="J192" s="63">
        <f>'дод 3'!K34+'дод 3'!K204+'дод 3'!K255</f>
        <v>0</v>
      </c>
      <c r="K192" s="63">
        <f>'дод 3'!L34+'дод 3'!L204+'дод 3'!L255</f>
        <v>1138587</v>
      </c>
      <c r="L192" s="63">
        <f>'дод 3'!M34+'дод 3'!M204+'дод 3'!M255</f>
        <v>0</v>
      </c>
      <c r="M192" s="63">
        <f>'дод 3'!N34+'дод 3'!N204+'дод 3'!N255</f>
        <v>0</v>
      </c>
      <c r="N192" s="63">
        <f>'дод 3'!O34+'дод 3'!O204+'дод 3'!O255</f>
        <v>381876.6</v>
      </c>
      <c r="O192" s="63">
        <f>'дод 3'!P34+'дод 3'!P204+'дод 3'!P255</f>
        <v>1520463.6</v>
      </c>
      <c r="P192" s="161">
        <v>9</v>
      </c>
    </row>
    <row r="193" spans="1:18" s="92" customFormat="1" ht="23.25" customHeight="1" x14ac:dyDescent="0.45">
      <c r="A193" s="61" t="s">
        <v>197</v>
      </c>
      <c r="B193" s="61" t="s">
        <v>70</v>
      </c>
      <c r="C193" s="40" t="s">
        <v>15</v>
      </c>
      <c r="D193" s="63">
        <f>'дод 3'!E35+'дод 3'!E261+'дод 3'!E247+'дод 3'!E256</f>
        <v>2855005</v>
      </c>
      <c r="E193" s="63">
        <f>'дод 3'!F35+'дод 3'!F261+'дод 3'!F247+'дод 3'!F256</f>
        <v>2855005</v>
      </c>
      <c r="F193" s="63">
        <f>'дод 3'!G35+'дод 3'!G261+'дод 3'!G247+'дод 3'!G256</f>
        <v>0</v>
      </c>
      <c r="G193" s="63">
        <f>'дод 3'!H35+'дод 3'!H261+'дод 3'!H247+'дод 3'!H256</f>
        <v>0</v>
      </c>
      <c r="H193" s="63">
        <f>'дод 3'!I35+'дод 3'!I261+'дод 3'!I247+'дод 3'!I256</f>
        <v>0</v>
      </c>
      <c r="I193" s="63">
        <f>'дод 3'!J35+'дод 3'!J261+'дод 3'!J247+'дод 3'!J256</f>
        <v>0</v>
      </c>
      <c r="J193" s="63">
        <f>'дод 3'!K35+'дод 3'!K261+'дод 3'!K247+'дод 3'!K256</f>
        <v>0</v>
      </c>
      <c r="K193" s="63">
        <f>'дод 3'!L35+'дод 3'!L261+'дод 3'!L247+'дод 3'!L256</f>
        <v>0</v>
      </c>
      <c r="L193" s="63">
        <f>'дод 3'!M35+'дод 3'!M261+'дод 3'!M247+'дод 3'!M256</f>
        <v>0</v>
      </c>
      <c r="M193" s="63">
        <f>'дод 3'!N35+'дод 3'!N261+'дод 3'!N247+'дод 3'!N256</f>
        <v>0</v>
      </c>
      <c r="N193" s="63">
        <f>'дод 3'!O35+'дод 3'!O261+'дод 3'!O247+'дод 3'!O256</f>
        <v>0</v>
      </c>
      <c r="O193" s="63">
        <f>'дод 3'!P35+'дод 3'!P261+'дод 3'!P247+'дод 3'!P256</f>
        <v>2855005</v>
      </c>
      <c r="P193" s="161"/>
    </row>
    <row r="194" spans="1:18" s="91" customFormat="1" ht="23.25" customHeight="1" x14ac:dyDescent="0.4">
      <c r="A194" s="64" t="s">
        <v>81</v>
      </c>
      <c r="B194" s="31"/>
      <c r="C194" s="75" t="s">
        <v>494</v>
      </c>
      <c r="D194" s="60">
        <f>D196+D201+D204+D207+D208</f>
        <v>435253475</v>
      </c>
      <c r="E194" s="60">
        <f t="shared" ref="E194:O194" si="40">E196+E201+E204+E207+E208</f>
        <v>62480143</v>
      </c>
      <c r="F194" s="60">
        <f t="shared" si="40"/>
        <v>3314000</v>
      </c>
      <c r="G194" s="60">
        <f t="shared" si="40"/>
        <v>5514100</v>
      </c>
      <c r="H194" s="60">
        <f t="shared" si="40"/>
        <v>0</v>
      </c>
      <c r="I194" s="60">
        <f t="shared" si="40"/>
        <v>3383800</v>
      </c>
      <c r="J194" s="60">
        <f t="shared" si="40"/>
        <v>920000</v>
      </c>
      <c r="K194" s="60">
        <f t="shared" si="40"/>
        <v>2453400</v>
      </c>
      <c r="L194" s="60">
        <f t="shared" si="40"/>
        <v>0</v>
      </c>
      <c r="M194" s="60">
        <f t="shared" si="40"/>
        <v>1500</v>
      </c>
      <c r="N194" s="60">
        <f t="shared" si="40"/>
        <v>930400</v>
      </c>
      <c r="O194" s="60">
        <f t="shared" si="40"/>
        <v>438637275</v>
      </c>
      <c r="P194" s="161"/>
      <c r="R194" s="94">
        <f>E194+D208</f>
        <v>435253475</v>
      </c>
    </row>
    <row r="195" spans="1:18" s="95" customFormat="1" ht="58.5" customHeight="1" x14ac:dyDescent="0.4">
      <c r="A195" s="65"/>
      <c r="B195" s="32"/>
      <c r="C195" s="76" t="str">
        <f>C197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D195" s="66">
        <f>D197</f>
        <v>514900</v>
      </c>
      <c r="E195" s="66">
        <f>E197</f>
        <v>514900</v>
      </c>
      <c r="F195" s="66">
        <f t="shared" ref="F195:O195" si="41">F197</f>
        <v>422100</v>
      </c>
      <c r="G195" s="66">
        <f t="shared" si="41"/>
        <v>0</v>
      </c>
      <c r="H195" s="66">
        <f t="shared" si="41"/>
        <v>0</v>
      </c>
      <c r="I195" s="66">
        <f t="shared" si="41"/>
        <v>0</v>
      </c>
      <c r="J195" s="66">
        <f t="shared" si="41"/>
        <v>0</v>
      </c>
      <c r="K195" s="66">
        <f t="shared" si="41"/>
        <v>0</v>
      </c>
      <c r="L195" s="66">
        <f t="shared" si="41"/>
        <v>0</v>
      </c>
      <c r="M195" s="66">
        <f t="shared" si="41"/>
        <v>0</v>
      </c>
      <c r="N195" s="66">
        <f t="shared" si="41"/>
        <v>0</v>
      </c>
      <c r="O195" s="66">
        <f t="shared" si="41"/>
        <v>514900</v>
      </c>
      <c r="P195" s="161"/>
      <c r="R195" s="110"/>
    </row>
    <row r="196" spans="1:18" s="91" customFormat="1" ht="45" customHeight="1" x14ac:dyDescent="0.4">
      <c r="A196" s="64" t="s">
        <v>83</v>
      </c>
      <c r="B196" s="31"/>
      <c r="C196" s="75" t="s">
        <v>502</v>
      </c>
      <c r="D196" s="60">
        <f t="shared" ref="D196:O196" si="42">D198+D199</f>
        <v>27851750</v>
      </c>
      <c r="E196" s="60">
        <f t="shared" si="42"/>
        <v>27851750</v>
      </c>
      <c r="F196" s="60">
        <f t="shared" si="42"/>
        <v>3314000</v>
      </c>
      <c r="G196" s="60">
        <f t="shared" si="42"/>
        <v>1200900</v>
      </c>
      <c r="H196" s="60">
        <f t="shared" si="42"/>
        <v>0</v>
      </c>
      <c r="I196" s="60">
        <f t="shared" si="42"/>
        <v>927100</v>
      </c>
      <c r="J196" s="60">
        <f t="shared" si="42"/>
        <v>920000</v>
      </c>
      <c r="K196" s="60">
        <f t="shared" si="42"/>
        <v>7100</v>
      </c>
      <c r="L196" s="60">
        <f t="shared" si="42"/>
        <v>0</v>
      </c>
      <c r="M196" s="60">
        <f t="shared" si="42"/>
        <v>1500</v>
      </c>
      <c r="N196" s="60">
        <f t="shared" si="42"/>
        <v>920000</v>
      </c>
      <c r="O196" s="60">
        <f t="shared" si="42"/>
        <v>28778850</v>
      </c>
      <c r="P196" s="161"/>
    </row>
    <row r="197" spans="1:18" s="95" customFormat="1" ht="66" customHeight="1" x14ac:dyDescent="0.4">
      <c r="A197" s="65"/>
      <c r="B197" s="32"/>
      <c r="C197" s="76" t="str">
        <f>C200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D197" s="66">
        <f>D200</f>
        <v>514900</v>
      </c>
      <c r="E197" s="66">
        <f t="shared" ref="E197:O197" si="43">E200</f>
        <v>514900</v>
      </c>
      <c r="F197" s="66">
        <f t="shared" si="43"/>
        <v>422100</v>
      </c>
      <c r="G197" s="66">
        <f t="shared" si="43"/>
        <v>0</v>
      </c>
      <c r="H197" s="66">
        <f t="shared" si="43"/>
        <v>0</v>
      </c>
      <c r="I197" s="66">
        <f t="shared" si="43"/>
        <v>0</v>
      </c>
      <c r="J197" s="66">
        <f t="shared" si="43"/>
        <v>0</v>
      </c>
      <c r="K197" s="66">
        <f t="shared" si="43"/>
        <v>0</v>
      </c>
      <c r="L197" s="66">
        <f t="shared" si="43"/>
        <v>0</v>
      </c>
      <c r="M197" s="66">
        <f t="shared" si="43"/>
        <v>0</v>
      </c>
      <c r="N197" s="66">
        <f t="shared" si="43"/>
        <v>0</v>
      </c>
      <c r="O197" s="66">
        <f t="shared" si="43"/>
        <v>514900</v>
      </c>
      <c r="P197" s="161"/>
    </row>
    <row r="198" spans="1:18" s="91" customFormat="1" ht="36.75" customHeight="1" x14ac:dyDescent="0.45">
      <c r="A198" s="61" t="s">
        <v>5</v>
      </c>
      <c r="B198" s="61" t="s">
        <v>77</v>
      </c>
      <c r="C198" s="40" t="s">
        <v>377</v>
      </c>
      <c r="D198" s="63">
        <f>'дод 3'!E36+'дод 3'!E205</f>
        <v>23371050</v>
      </c>
      <c r="E198" s="63">
        <f>'дод 3'!F36+'дод 3'!F205</f>
        <v>23371050</v>
      </c>
      <c r="F198" s="63">
        <f>'дод 3'!G36+'дод 3'!G205</f>
        <v>0</v>
      </c>
      <c r="G198" s="63">
        <f>'дод 3'!H36+'дод 3'!H205</f>
        <v>1082000</v>
      </c>
      <c r="H198" s="63">
        <f>'дод 3'!I36+'дод 3'!I205</f>
        <v>0</v>
      </c>
      <c r="I198" s="63">
        <f>'дод 3'!J36+'дод 3'!J205</f>
        <v>920000</v>
      </c>
      <c r="J198" s="63">
        <f>'дод 3'!K36+'дод 3'!K205</f>
        <v>920000</v>
      </c>
      <c r="K198" s="63">
        <f>'дод 3'!L36+'дод 3'!L205</f>
        <v>0</v>
      </c>
      <c r="L198" s="63">
        <f>'дод 3'!M36+'дод 3'!M205</f>
        <v>0</v>
      </c>
      <c r="M198" s="63">
        <f>'дод 3'!N36+'дод 3'!N205</f>
        <v>0</v>
      </c>
      <c r="N198" s="63">
        <f>'дод 3'!O36+'дод 3'!O205</f>
        <v>920000</v>
      </c>
      <c r="O198" s="63">
        <f>'дод 3'!P36+'дод 3'!P205</f>
        <v>24291050</v>
      </c>
      <c r="P198" s="161"/>
    </row>
    <row r="199" spans="1:18" ht="21" customHeight="1" x14ac:dyDescent="0.45">
      <c r="A199" s="61" t="s">
        <v>122</v>
      </c>
      <c r="B199" s="26" t="s">
        <v>77</v>
      </c>
      <c r="C199" s="40" t="s">
        <v>493</v>
      </c>
      <c r="D199" s="63">
        <f>'дод 3'!E37</f>
        <v>4480700</v>
      </c>
      <c r="E199" s="63">
        <f>'дод 3'!F37</f>
        <v>4480700</v>
      </c>
      <c r="F199" s="63">
        <f>'дод 3'!G37</f>
        <v>3314000</v>
      </c>
      <c r="G199" s="63">
        <f>'дод 3'!H37</f>
        <v>118900</v>
      </c>
      <c r="H199" s="63">
        <f>'дод 3'!I37</f>
        <v>0</v>
      </c>
      <c r="I199" s="63">
        <f>'дод 3'!J37</f>
        <v>7100</v>
      </c>
      <c r="J199" s="63">
        <f>'дод 3'!K37</f>
        <v>0</v>
      </c>
      <c r="K199" s="63">
        <f>'дод 3'!L37</f>
        <v>7100</v>
      </c>
      <c r="L199" s="63">
        <f>'дод 3'!M37</f>
        <v>0</v>
      </c>
      <c r="M199" s="63">
        <f>'дод 3'!N37</f>
        <v>1500</v>
      </c>
      <c r="N199" s="63">
        <f>'дод 3'!O37</f>
        <v>0</v>
      </c>
      <c r="O199" s="63">
        <f>'дод 3'!P37</f>
        <v>4487800</v>
      </c>
      <c r="P199" s="161"/>
    </row>
    <row r="200" spans="1:18" s="92" customFormat="1" ht="63.75" customHeight="1" x14ac:dyDescent="0.45">
      <c r="A200" s="67"/>
      <c r="B200" s="35"/>
      <c r="C200" s="77" t="s">
        <v>495</v>
      </c>
      <c r="D200" s="68">
        <f>'дод 3'!E38</f>
        <v>514900</v>
      </c>
      <c r="E200" s="68">
        <f>'дод 3'!F38</f>
        <v>514900</v>
      </c>
      <c r="F200" s="68">
        <f>'дод 3'!G38</f>
        <v>422100</v>
      </c>
      <c r="G200" s="68">
        <f>'дод 3'!H38</f>
        <v>0</v>
      </c>
      <c r="H200" s="68">
        <f>'дод 3'!I38</f>
        <v>0</v>
      </c>
      <c r="I200" s="68">
        <f>'дод 3'!J38</f>
        <v>0</v>
      </c>
      <c r="J200" s="68">
        <f>'дод 3'!K38</f>
        <v>0</v>
      </c>
      <c r="K200" s="68">
        <f>'дод 3'!L38</f>
        <v>0</v>
      </c>
      <c r="L200" s="68">
        <f>'дод 3'!M38</f>
        <v>0</v>
      </c>
      <c r="M200" s="68">
        <f>'дод 3'!N38</f>
        <v>0</v>
      </c>
      <c r="N200" s="68">
        <f>'дод 3'!O38</f>
        <v>0</v>
      </c>
      <c r="O200" s="68">
        <f>'дод 3'!P38</f>
        <v>514900</v>
      </c>
      <c r="P200" s="161"/>
    </row>
    <row r="201" spans="1:18" s="91" customFormat="1" ht="23.25" customHeight="1" x14ac:dyDescent="0.4">
      <c r="A201" s="64" t="s">
        <v>208</v>
      </c>
      <c r="B201" s="64"/>
      <c r="C201" s="81" t="s">
        <v>209</v>
      </c>
      <c r="D201" s="60">
        <f>D202+D203</f>
        <v>27760764</v>
      </c>
      <c r="E201" s="60">
        <f t="shared" ref="E201:O201" si="44">E202+E203</f>
        <v>27760764</v>
      </c>
      <c r="F201" s="60">
        <f t="shared" si="44"/>
        <v>0</v>
      </c>
      <c r="G201" s="60">
        <f t="shared" si="44"/>
        <v>4313200</v>
      </c>
      <c r="H201" s="60">
        <f t="shared" si="44"/>
        <v>0</v>
      </c>
      <c r="I201" s="60">
        <f t="shared" si="44"/>
        <v>0</v>
      </c>
      <c r="J201" s="60">
        <f t="shared" si="44"/>
        <v>0</v>
      </c>
      <c r="K201" s="60">
        <f t="shared" si="44"/>
        <v>0</v>
      </c>
      <c r="L201" s="60">
        <f t="shared" si="44"/>
        <v>0</v>
      </c>
      <c r="M201" s="60">
        <f t="shared" si="44"/>
        <v>0</v>
      </c>
      <c r="N201" s="60">
        <f t="shared" si="44"/>
        <v>0</v>
      </c>
      <c r="O201" s="60">
        <f t="shared" si="44"/>
        <v>27760764</v>
      </c>
      <c r="P201" s="161"/>
    </row>
    <row r="202" spans="1:18" ht="22.5" customHeight="1" x14ac:dyDescent="0.45">
      <c r="A202" s="61" t="s">
        <v>202</v>
      </c>
      <c r="B202" s="26" t="s">
        <v>203</v>
      </c>
      <c r="C202" s="40" t="s">
        <v>204</v>
      </c>
      <c r="D202" s="63">
        <f>'дод 3'!E39</f>
        <v>714500</v>
      </c>
      <c r="E202" s="63">
        <f>'дод 3'!F39</f>
        <v>714500</v>
      </c>
      <c r="F202" s="63">
        <f>'дод 3'!G39</f>
        <v>0</v>
      </c>
      <c r="G202" s="63">
        <f>'дод 3'!H39</f>
        <v>618200</v>
      </c>
      <c r="H202" s="63">
        <f>'дод 3'!I39</f>
        <v>0</v>
      </c>
      <c r="I202" s="63">
        <f>'дод 3'!J39</f>
        <v>0</v>
      </c>
      <c r="J202" s="63">
        <f>'дод 3'!K39</f>
        <v>0</v>
      </c>
      <c r="K202" s="63">
        <f>'дод 3'!L39</f>
        <v>0</v>
      </c>
      <c r="L202" s="63">
        <f>'дод 3'!M39</f>
        <v>0</v>
      </c>
      <c r="M202" s="63">
        <f>'дод 3'!N39</f>
        <v>0</v>
      </c>
      <c r="N202" s="63">
        <f>'дод 3'!O39</f>
        <v>0</v>
      </c>
      <c r="O202" s="63">
        <f>'дод 3'!P39</f>
        <v>714500</v>
      </c>
      <c r="P202" s="161"/>
    </row>
    <row r="203" spans="1:18" ht="22.5" customHeight="1" x14ac:dyDescent="0.45">
      <c r="A203" s="61">
        <v>8240</v>
      </c>
      <c r="B203" s="26" t="s">
        <v>203</v>
      </c>
      <c r="C203" s="40" t="s">
        <v>335</v>
      </c>
      <c r="D203" s="63">
        <f>'дод 3'!E40+'дод 3'!E206+'дод 3'!E103</f>
        <v>27046264</v>
      </c>
      <c r="E203" s="63">
        <f>'дод 3'!F40+'дод 3'!F206+'дод 3'!F103</f>
        <v>27046264</v>
      </c>
      <c r="F203" s="63">
        <f>'дод 3'!G40+'дод 3'!G206+'дод 3'!G103</f>
        <v>0</v>
      </c>
      <c r="G203" s="63">
        <f>'дод 3'!H40+'дод 3'!H206+'дод 3'!H103</f>
        <v>3695000</v>
      </c>
      <c r="H203" s="63">
        <f>'дод 3'!I40+'дод 3'!I206+'дод 3'!I103</f>
        <v>0</v>
      </c>
      <c r="I203" s="63">
        <f>'дод 3'!J40+'дод 3'!J206+'дод 3'!J103</f>
        <v>0</v>
      </c>
      <c r="J203" s="63">
        <f>'дод 3'!K40+'дод 3'!K206+'дод 3'!K103</f>
        <v>0</v>
      </c>
      <c r="K203" s="63">
        <f>'дод 3'!L40+'дод 3'!L206+'дод 3'!L103</f>
        <v>0</v>
      </c>
      <c r="L203" s="63">
        <f>'дод 3'!M40+'дод 3'!M206+'дод 3'!M103</f>
        <v>0</v>
      </c>
      <c r="M203" s="63">
        <f>'дод 3'!N40+'дод 3'!N206+'дод 3'!N103</f>
        <v>0</v>
      </c>
      <c r="N203" s="63">
        <f>'дод 3'!O40+'дод 3'!O206+'дод 3'!O103</f>
        <v>0</v>
      </c>
      <c r="O203" s="63">
        <f>'дод 3'!P40+'дод 3'!P206+'дод 3'!P103</f>
        <v>27046264</v>
      </c>
      <c r="P203" s="161"/>
    </row>
    <row r="204" spans="1:18" s="91" customFormat="1" ht="22.5" customHeight="1" x14ac:dyDescent="0.4">
      <c r="A204" s="64" t="s">
        <v>4</v>
      </c>
      <c r="B204" s="31"/>
      <c r="C204" s="75" t="s">
        <v>6</v>
      </c>
      <c r="D204" s="60">
        <f>D206+D205</f>
        <v>75000</v>
      </c>
      <c r="E204" s="60">
        <f t="shared" ref="E204:O204" si="45">E206+E205</f>
        <v>75000</v>
      </c>
      <c r="F204" s="60">
        <f t="shared" si="45"/>
        <v>0</v>
      </c>
      <c r="G204" s="60">
        <f t="shared" si="45"/>
        <v>0</v>
      </c>
      <c r="H204" s="60">
        <f t="shared" si="45"/>
        <v>0</v>
      </c>
      <c r="I204" s="60">
        <f t="shared" si="45"/>
        <v>2456700</v>
      </c>
      <c r="J204" s="60">
        <f t="shared" si="45"/>
        <v>0</v>
      </c>
      <c r="K204" s="60">
        <f t="shared" si="45"/>
        <v>2446300</v>
      </c>
      <c r="L204" s="60">
        <f t="shared" si="45"/>
        <v>0</v>
      </c>
      <c r="M204" s="60">
        <f t="shared" si="45"/>
        <v>0</v>
      </c>
      <c r="N204" s="60">
        <f t="shared" si="45"/>
        <v>10400</v>
      </c>
      <c r="O204" s="60">
        <f t="shared" si="45"/>
        <v>2531700</v>
      </c>
      <c r="P204" s="161"/>
    </row>
    <row r="205" spans="1:18" s="91" customFormat="1" ht="33.75" customHeight="1" x14ac:dyDescent="0.45">
      <c r="A205" s="61">
        <v>8330</v>
      </c>
      <c r="B205" s="80" t="s">
        <v>79</v>
      </c>
      <c r="C205" s="40" t="s">
        <v>271</v>
      </c>
      <c r="D205" s="63">
        <f>'дод 3'!E262</f>
        <v>75000</v>
      </c>
      <c r="E205" s="63">
        <f>'дод 3'!F262</f>
        <v>75000</v>
      </c>
      <c r="F205" s="63">
        <f>'дод 3'!G262</f>
        <v>0</v>
      </c>
      <c r="G205" s="63">
        <f>'дод 3'!H262</f>
        <v>0</v>
      </c>
      <c r="H205" s="63">
        <f>'дод 3'!I262</f>
        <v>0</v>
      </c>
      <c r="I205" s="63">
        <f>'дод 3'!J262</f>
        <v>0</v>
      </c>
      <c r="J205" s="63">
        <f>'дод 3'!K262</f>
        <v>0</v>
      </c>
      <c r="K205" s="63">
        <f>'дод 3'!L262</f>
        <v>0</v>
      </c>
      <c r="L205" s="63">
        <f>'дод 3'!M262</f>
        <v>0</v>
      </c>
      <c r="M205" s="63">
        <f>'дод 3'!N262</f>
        <v>0</v>
      </c>
      <c r="N205" s="63">
        <f>'дод 3'!O262</f>
        <v>0</v>
      </c>
      <c r="O205" s="63">
        <f>'дод 3'!P262</f>
        <v>75000</v>
      </c>
      <c r="P205" s="161"/>
    </row>
    <row r="206" spans="1:18" s="91" customFormat="1" ht="19.5" customHeight="1" x14ac:dyDescent="0.45">
      <c r="A206" s="61" t="s">
        <v>7</v>
      </c>
      <c r="B206" s="61" t="s">
        <v>79</v>
      </c>
      <c r="C206" s="40" t="s">
        <v>8</v>
      </c>
      <c r="D206" s="63">
        <f>'дод 3'!E41+'дод 3'!E104+'дод 3'!E207+'дод 3'!E263+'дод 3'!E169</f>
        <v>0</v>
      </c>
      <c r="E206" s="63">
        <f>'дод 3'!F41+'дод 3'!F104+'дод 3'!F207+'дод 3'!F263+'дод 3'!F169</f>
        <v>0</v>
      </c>
      <c r="F206" s="63">
        <f>'дод 3'!G41+'дод 3'!G104+'дод 3'!G207+'дод 3'!G263+'дод 3'!G169</f>
        <v>0</v>
      </c>
      <c r="G206" s="63">
        <f>'дод 3'!H41+'дод 3'!H104+'дод 3'!H207+'дод 3'!H263+'дод 3'!H169</f>
        <v>0</v>
      </c>
      <c r="H206" s="63">
        <f>'дод 3'!I41+'дод 3'!I104+'дод 3'!I207+'дод 3'!I263+'дод 3'!I169</f>
        <v>0</v>
      </c>
      <c r="I206" s="63">
        <f>'дод 3'!J41+'дод 3'!J104+'дод 3'!J207+'дод 3'!J263+'дод 3'!J169</f>
        <v>2456700</v>
      </c>
      <c r="J206" s="63">
        <f>'дод 3'!K41+'дод 3'!K104+'дод 3'!K207+'дод 3'!K263+'дод 3'!K169</f>
        <v>0</v>
      </c>
      <c r="K206" s="63">
        <f>'дод 3'!L41+'дод 3'!L104+'дод 3'!L207+'дод 3'!L263+'дод 3'!L169</f>
        <v>2446300</v>
      </c>
      <c r="L206" s="63">
        <f>'дод 3'!M41+'дод 3'!M104+'дод 3'!M207+'дод 3'!M263+'дод 3'!M169</f>
        <v>0</v>
      </c>
      <c r="M206" s="63">
        <f>'дод 3'!N41+'дод 3'!N104+'дод 3'!N207+'дод 3'!N263+'дод 3'!N169</f>
        <v>0</v>
      </c>
      <c r="N206" s="63">
        <f>'дод 3'!O41+'дод 3'!O104+'дод 3'!O207+'дод 3'!O263+'дод 3'!O169</f>
        <v>10400</v>
      </c>
      <c r="O206" s="63">
        <f>'дод 3'!P41+'дод 3'!P104+'дод 3'!P207+'дод 3'!P263+'дод 3'!P169</f>
        <v>2456700</v>
      </c>
      <c r="P206" s="161"/>
    </row>
    <row r="207" spans="1:18" s="91" customFormat="1" ht="21" customHeight="1" x14ac:dyDescent="0.4">
      <c r="A207" s="64" t="s">
        <v>82</v>
      </c>
      <c r="B207" s="64" t="s">
        <v>78</v>
      </c>
      <c r="C207" s="75" t="s">
        <v>9</v>
      </c>
      <c r="D207" s="60">
        <f>'дод 3'!E264</f>
        <v>6792629</v>
      </c>
      <c r="E207" s="60">
        <f>'дод 3'!F264</f>
        <v>6792629</v>
      </c>
      <c r="F207" s="60">
        <f>'дод 3'!G264</f>
        <v>0</v>
      </c>
      <c r="G207" s="60">
        <f>'дод 3'!H264</f>
        <v>0</v>
      </c>
      <c r="H207" s="60">
        <f>'дод 3'!I264</f>
        <v>0</v>
      </c>
      <c r="I207" s="60">
        <f>'дод 3'!J264</f>
        <v>0</v>
      </c>
      <c r="J207" s="60">
        <f>'дод 3'!K264</f>
        <v>0</v>
      </c>
      <c r="K207" s="60">
        <f>'дод 3'!L264</f>
        <v>0</v>
      </c>
      <c r="L207" s="60">
        <f>'дод 3'!M264</f>
        <v>0</v>
      </c>
      <c r="M207" s="60">
        <f>'дод 3'!N264</f>
        <v>0</v>
      </c>
      <c r="N207" s="60">
        <f>'дод 3'!O264</f>
        <v>0</v>
      </c>
      <c r="O207" s="60">
        <f>'дод 3'!P264</f>
        <v>6792629</v>
      </c>
      <c r="P207" s="161"/>
    </row>
    <row r="208" spans="1:18" s="91" customFormat="1" ht="21" customHeight="1" x14ac:dyDescent="0.4">
      <c r="A208" s="64">
        <v>8700</v>
      </c>
      <c r="B208" s="64"/>
      <c r="C208" s="75" t="s">
        <v>333</v>
      </c>
      <c r="D208" s="60">
        <f>D209</f>
        <v>372773332</v>
      </c>
      <c r="E208" s="60">
        <f t="shared" ref="E208:O208" si="46">E209</f>
        <v>0</v>
      </c>
      <c r="F208" s="60">
        <f t="shared" si="46"/>
        <v>0</v>
      </c>
      <c r="G208" s="60">
        <f t="shared" si="46"/>
        <v>0</v>
      </c>
      <c r="H208" s="60">
        <f t="shared" si="46"/>
        <v>0</v>
      </c>
      <c r="I208" s="60">
        <f t="shared" si="46"/>
        <v>0</v>
      </c>
      <c r="J208" s="60">
        <f t="shared" si="46"/>
        <v>0</v>
      </c>
      <c r="K208" s="60">
        <f t="shared" si="46"/>
        <v>0</v>
      </c>
      <c r="L208" s="60">
        <f t="shared" si="46"/>
        <v>0</v>
      </c>
      <c r="M208" s="60">
        <f t="shared" si="46"/>
        <v>0</v>
      </c>
      <c r="N208" s="60">
        <f t="shared" si="46"/>
        <v>0</v>
      </c>
      <c r="O208" s="60">
        <f t="shared" si="46"/>
        <v>372773332</v>
      </c>
      <c r="P208" s="161"/>
    </row>
    <row r="209" spans="1:16" ht="25.5" customHeight="1" x14ac:dyDescent="0.45">
      <c r="A209" s="61">
        <v>8710</v>
      </c>
      <c r="B209" s="61" t="s">
        <v>80</v>
      </c>
      <c r="C209" s="40" t="s">
        <v>319</v>
      </c>
      <c r="D209" s="63">
        <f>'дод 3'!E265</f>
        <v>372773332</v>
      </c>
      <c r="E209" s="63">
        <f>'дод 3'!F265</f>
        <v>0</v>
      </c>
      <c r="F209" s="63">
        <f>'дод 3'!G265</f>
        <v>0</v>
      </c>
      <c r="G209" s="63">
        <f>'дод 3'!H265</f>
        <v>0</v>
      </c>
      <c r="H209" s="63">
        <f>'дод 3'!I265</f>
        <v>0</v>
      </c>
      <c r="I209" s="63">
        <f>'дод 3'!J265</f>
        <v>0</v>
      </c>
      <c r="J209" s="63">
        <f>'дод 3'!K265</f>
        <v>0</v>
      </c>
      <c r="K209" s="63">
        <f>'дод 3'!L265</f>
        <v>0</v>
      </c>
      <c r="L209" s="63">
        <f>'дод 3'!M265</f>
        <v>0</v>
      </c>
      <c r="M209" s="63">
        <f>'дод 3'!N265</f>
        <v>0</v>
      </c>
      <c r="N209" s="63">
        <f>'дод 3'!O265</f>
        <v>0</v>
      </c>
      <c r="O209" s="63">
        <f>'дод 3'!P265</f>
        <v>372773332</v>
      </c>
      <c r="P209" s="161"/>
    </row>
    <row r="210" spans="1:16" s="91" customFormat="1" ht="24" customHeight="1" x14ac:dyDescent="0.4">
      <c r="A210" s="64" t="s">
        <v>10</v>
      </c>
      <c r="B210" s="64"/>
      <c r="C210" s="75" t="s">
        <v>376</v>
      </c>
      <c r="D210" s="60">
        <f>D211+D213</f>
        <v>27689814</v>
      </c>
      <c r="E210" s="60">
        <f t="shared" ref="E210:O210" si="47">E211+E213</f>
        <v>27689814</v>
      </c>
      <c r="F210" s="60">
        <f t="shared" si="47"/>
        <v>0</v>
      </c>
      <c r="G210" s="60">
        <f t="shared" si="47"/>
        <v>0</v>
      </c>
      <c r="H210" s="60">
        <f t="shared" si="47"/>
        <v>0</v>
      </c>
      <c r="I210" s="60">
        <f t="shared" si="47"/>
        <v>17600000</v>
      </c>
      <c r="J210" s="60">
        <f t="shared" si="47"/>
        <v>17600000</v>
      </c>
      <c r="K210" s="60">
        <f t="shared" si="47"/>
        <v>0</v>
      </c>
      <c r="L210" s="60">
        <f t="shared" si="47"/>
        <v>0</v>
      </c>
      <c r="M210" s="60">
        <f t="shared" si="47"/>
        <v>0</v>
      </c>
      <c r="N210" s="60">
        <f t="shared" si="47"/>
        <v>17600000</v>
      </c>
      <c r="O210" s="60">
        <f t="shared" si="47"/>
        <v>45289814</v>
      </c>
      <c r="P210" s="161"/>
    </row>
    <row r="211" spans="1:16" s="91" customFormat="1" ht="57" customHeight="1" x14ac:dyDescent="0.4">
      <c r="A211" s="64" t="s">
        <v>11</v>
      </c>
      <c r="B211" s="16"/>
      <c r="C211" s="75" t="s">
        <v>270</v>
      </c>
      <c r="D211" s="60">
        <f>D212</f>
        <v>13855650</v>
      </c>
      <c r="E211" s="60">
        <f t="shared" ref="E211:O211" si="48">E212</f>
        <v>13855650</v>
      </c>
      <c r="F211" s="60">
        <f t="shared" si="48"/>
        <v>0</v>
      </c>
      <c r="G211" s="60">
        <f t="shared" si="48"/>
        <v>0</v>
      </c>
      <c r="H211" s="60">
        <f t="shared" si="48"/>
        <v>0</v>
      </c>
      <c r="I211" s="60">
        <f t="shared" si="48"/>
        <v>5600000</v>
      </c>
      <c r="J211" s="60">
        <f t="shared" si="48"/>
        <v>5600000</v>
      </c>
      <c r="K211" s="60">
        <f t="shared" si="48"/>
        <v>0</v>
      </c>
      <c r="L211" s="60">
        <f t="shared" si="48"/>
        <v>0</v>
      </c>
      <c r="M211" s="60">
        <f t="shared" si="48"/>
        <v>0</v>
      </c>
      <c r="N211" s="60">
        <f t="shared" si="48"/>
        <v>5600000</v>
      </c>
      <c r="O211" s="60">
        <f t="shared" si="48"/>
        <v>19455650</v>
      </c>
      <c r="P211" s="161"/>
    </row>
    <row r="212" spans="1:16" s="91" customFormat="1" ht="24" customHeight="1" x14ac:dyDescent="0.45">
      <c r="A212" s="61" t="s">
        <v>12</v>
      </c>
      <c r="B212" s="26" t="s">
        <v>37</v>
      </c>
      <c r="C212" s="62" t="s">
        <v>275</v>
      </c>
      <c r="D212" s="63">
        <f>'дод 3'!E153+'дод 3'!E208+'дод 3'!E119</f>
        <v>13855650</v>
      </c>
      <c r="E212" s="63">
        <f>'дод 3'!F153+'дод 3'!F208+'дод 3'!F119</f>
        <v>13855650</v>
      </c>
      <c r="F212" s="63">
        <f>'дод 3'!G153+'дод 3'!G208+'дод 3'!G119</f>
        <v>0</v>
      </c>
      <c r="G212" s="63">
        <f>'дод 3'!H153+'дод 3'!H208+'дод 3'!H119</f>
        <v>0</v>
      </c>
      <c r="H212" s="63">
        <f>'дод 3'!I153+'дод 3'!I208+'дод 3'!I119</f>
        <v>0</v>
      </c>
      <c r="I212" s="63">
        <f>'дод 3'!J153+'дод 3'!J208+'дод 3'!J119</f>
        <v>5600000</v>
      </c>
      <c r="J212" s="63">
        <f>'дод 3'!K153+'дод 3'!K208+'дод 3'!K119</f>
        <v>5600000</v>
      </c>
      <c r="K212" s="63">
        <f>'дод 3'!L153+'дод 3'!L208+'дод 3'!L119</f>
        <v>0</v>
      </c>
      <c r="L212" s="63">
        <f>'дод 3'!M153+'дод 3'!M208+'дод 3'!M119</f>
        <v>0</v>
      </c>
      <c r="M212" s="63">
        <f>'дод 3'!N153+'дод 3'!N208+'дод 3'!N119</f>
        <v>0</v>
      </c>
      <c r="N212" s="63">
        <f>'дод 3'!O153+'дод 3'!O208+'дод 3'!O119</f>
        <v>5600000</v>
      </c>
      <c r="O212" s="63">
        <f>'дод 3'!P153+'дод 3'!P208+'дод 3'!P119</f>
        <v>19455650</v>
      </c>
      <c r="P212" s="161"/>
    </row>
    <row r="213" spans="1:16" s="91" customFormat="1" ht="63" customHeight="1" x14ac:dyDescent="0.4">
      <c r="A213" s="64">
        <v>9800</v>
      </c>
      <c r="B213" s="31" t="s">
        <v>37</v>
      </c>
      <c r="C213" s="59" t="s">
        <v>373</v>
      </c>
      <c r="D213" s="60">
        <f>'дод 3'!E42</f>
        <v>13834164</v>
      </c>
      <c r="E213" s="60">
        <f>'дод 3'!F42</f>
        <v>13834164</v>
      </c>
      <c r="F213" s="60">
        <f>'дод 3'!G42</f>
        <v>0</v>
      </c>
      <c r="G213" s="60">
        <f>'дод 3'!H42</f>
        <v>0</v>
      </c>
      <c r="H213" s="60">
        <f>'дод 3'!I42</f>
        <v>0</v>
      </c>
      <c r="I213" s="60">
        <f>'дод 3'!J42</f>
        <v>12000000</v>
      </c>
      <c r="J213" s="60">
        <f>'дод 3'!K42</f>
        <v>12000000</v>
      </c>
      <c r="K213" s="60">
        <f>'дод 3'!L42</f>
        <v>0</v>
      </c>
      <c r="L213" s="60">
        <f>'дод 3'!M42</f>
        <v>0</v>
      </c>
      <c r="M213" s="60">
        <f>'дод 3'!N42</f>
        <v>0</v>
      </c>
      <c r="N213" s="60">
        <f>'дод 3'!O42</f>
        <v>12000000</v>
      </c>
      <c r="O213" s="60">
        <f>'дод 3'!P42</f>
        <v>25834164</v>
      </c>
      <c r="P213" s="161"/>
    </row>
    <row r="214" spans="1:16" s="91" customFormat="1" ht="21" customHeight="1" x14ac:dyDescent="0.4">
      <c r="A214" s="57"/>
      <c r="B214" s="57"/>
      <c r="C214" s="17" t="s">
        <v>498</v>
      </c>
      <c r="D214" s="60">
        <f t="shared" ref="D214:O214" si="49">D16+D19+D82+D90+D127+D133+D140+D161+D194+D210</f>
        <v>3327806814.0900002</v>
      </c>
      <c r="E214" s="60">
        <f t="shared" si="49"/>
        <v>2793025073.0900002</v>
      </c>
      <c r="F214" s="60">
        <f t="shared" si="49"/>
        <v>1310716915</v>
      </c>
      <c r="G214" s="60">
        <f t="shared" si="49"/>
        <v>234420358</v>
      </c>
      <c r="H214" s="60">
        <f t="shared" si="49"/>
        <v>162008409</v>
      </c>
      <c r="I214" s="60">
        <f t="shared" si="49"/>
        <v>1067262014.3900001</v>
      </c>
      <c r="J214" s="60">
        <f t="shared" si="49"/>
        <v>859254207.33999991</v>
      </c>
      <c r="K214" s="60">
        <f t="shared" si="49"/>
        <v>95400787</v>
      </c>
      <c r="L214" s="60">
        <f t="shared" si="49"/>
        <v>13318380</v>
      </c>
      <c r="M214" s="60">
        <f t="shared" si="49"/>
        <v>7188778</v>
      </c>
      <c r="N214" s="60">
        <f t="shared" si="49"/>
        <v>971861227.3900001</v>
      </c>
      <c r="O214" s="60">
        <f t="shared" si="49"/>
        <v>4395068828.4800005</v>
      </c>
      <c r="P214" s="161"/>
    </row>
    <row r="215" spans="1:16" s="95" customFormat="1" ht="21" customHeight="1" x14ac:dyDescent="0.4">
      <c r="A215" s="100"/>
      <c r="B215" s="100"/>
      <c r="C215" s="22" t="s">
        <v>393</v>
      </c>
      <c r="D215" s="66">
        <f t="shared" ref="D215:O215" si="50">D92+D20+D21+D22+D23+D24+D27+D28+D93+D30+D29+D141+D25+D142+D26</f>
        <v>442162423.82999998</v>
      </c>
      <c r="E215" s="66">
        <f t="shared" si="50"/>
        <v>442162423.82999998</v>
      </c>
      <c r="F215" s="66">
        <f t="shared" si="50"/>
        <v>297223700</v>
      </c>
      <c r="G215" s="66">
        <f t="shared" si="50"/>
        <v>0</v>
      </c>
      <c r="H215" s="66">
        <f t="shared" si="50"/>
        <v>0</v>
      </c>
      <c r="I215" s="66">
        <f t="shared" si="50"/>
        <v>435637928.67000002</v>
      </c>
      <c r="J215" s="66">
        <f t="shared" si="50"/>
        <v>302461828.67000002</v>
      </c>
      <c r="K215" s="66">
        <f t="shared" si="50"/>
        <v>28319400</v>
      </c>
      <c r="L215" s="66">
        <f t="shared" si="50"/>
        <v>0</v>
      </c>
      <c r="M215" s="66">
        <f t="shared" si="50"/>
        <v>0</v>
      </c>
      <c r="N215" s="66">
        <f t="shared" si="50"/>
        <v>407318528.67000002</v>
      </c>
      <c r="O215" s="66">
        <f t="shared" si="50"/>
        <v>877800352.5</v>
      </c>
      <c r="P215" s="161"/>
    </row>
    <row r="216" spans="1:16" s="95" customFormat="1" ht="60" x14ac:dyDescent="0.4">
      <c r="A216" s="100"/>
      <c r="B216" s="100"/>
      <c r="C216" s="22" t="s">
        <v>397</v>
      </c>
      <c r="D216" s="66">
        <f t="shared" ref="D216:O216" si="51">D92+D142+D26</f>
        <v>71616360</v>
      </c>
      <c r="E216" s="66">
        <f t="shared" si="51"/>
        <v>71616360</v>
      </c>
      <c r="F216" s="66">
        <f t="shared" si="51"/>
        <v>0</v>
      </c>
      <c r="G216" s="66">
        <f t="shared" si="51"/>
        <v>0</v>
      </c>
      <c r="H216" s="66">
        <f t="shared" si="51"/>
        <v>0</v>
      </c>
      <c r="I216" s="66">
        <f t="shared" si="51"/>
        <v>32950000</v>
      </c>
      <c r="J216" s="66">
        <f t="shared" si="51"/>
        <v>32950000</v>
      </c>
      <c r="K216" s="66">
        <f t="shared" si="51"/>
        <v>0</v>
      </c>
      <c r="L216" s="66">
        <f t="shared" si="51"/>
        <v>0</v>
      </c>
      <c r="M216" s="66">
        <f t="shared" si="51"/>
        <v>0</v>
      </c>
      <c r="N216" s="66">
        <f t="shared" si="51"/>
        <v>32950000</v>
      </c>
      <c r="O216" s="66">
        <f t="shared" si="51"/>
        <v>104566360</v>
      </c>
      <c r="P216" s="161"/>
    </row>
    <row r="217" spans="1:16" s="95" customFormat="1" ht="30" x14ac:dyDescent="0.4">
      <c r="A217" s="100"/>
      <c r="B217" s="100"/>
      <c r="C217" s="22" t="s">
        <v>365</v>
      </c>
      <c r="D217" s="66">
        <f t="shared" ref="D217:O217" si="52">D31+D94+D162</f>
        <v>4546865.55</v>
      </c>
      <c r="E217" s="66">
        <f t="shared" si="52"/>
        <v>4546865.55</v>
      </c>
      <c r="F217" s="66">
        <f t="shared" si="52"/>
        <v>1620939</v>
      </c>
      <c r="G217" s="66">
        <f t="shared" si="52"/>
        <v>0</v>
      </c>
      <c r="H217" s="66">
        <f t="shared" si="52"/>
        <v>0</v>
      </c>
      <c r="I217" s="66">
        <f t="shared" si="52"/>
        <v>6564069.9000000004</v>
      </c>
      <c r="J217" s="66">
        <f t="shared" si="52"/>
        <v>0</v>
      </c>
      <c r="K217" s="66">
        <f t="shared" si="52"/>
        <v>0</v>
      </c>
      <c r="L217" s="66">
        <f t="shared" si="52"/>
        <v>0</v>
      </c>
      <c r="M217" s="66">
        <f t="shared" si="52"/>
        <v>0</v>
      </c>
      <c r="N217" s="66">
        <f t="shared" si="52"/>
        <v>6564069.9000000004</v>
      </c>
      <c r="O217" s="66">
        <f t="shared" si="52"/>
        <v>11110935.449999999</v>
      </c>
      <c r="P217" s="161"/>
    </row>
    <row r="218" spans="1:16" s="95" customFormat="1" ht="15" x14ac:dyDescent="0.4">
      <c r="A218" s="100"/>
      <c r="B218" s="100"/>
      <c r="C218" s="22" t="s">
        <v>366</v>
      </c>
      <c r="D218" s="66">
        <f t="shared" ref="D218:O218" si="53">D91+D32+D195+D143+D144</f>
        <v>1966451</v>
      </c>
      <c r="E218" s="66">
        <f t="shared" si="53"/>
        <v>1966451</v>
      </c>
      <c r="F218" s="66">
        <f t="shared" si="53"/>
        <v>446276</v>
      </c>
      <c r="G218" s="66">
        <f t="shared" si="53"/>
        <v>0</v>
      </c>
      <c r="H218" s="66">
        <f t="shared" si="53"/>
        <v>0</v>
      </c>
      <c r="I218" s="66">
        <f t="shared" si="53"/>
        <v>8948855</v>
      </c>
      <c r="J218" s="66">
        <f t="shared" si="53"/>
        <v>8948855</v>
      </c>
      <c r="K218" s="66">
        <f t="shared" si="53"/>
        <v>0</v>
      </c>
      <c r="L218" s="66">
        <f t="shared" si="53"/>
        <v>0</v>
      </c>
      <c r="M218" s="66">
        <f t="shared" si="53"/>
        <v>0</v>
      </c>
      <c r="N218" s="66">
        <f t="shared" si="53"/>
        <v>8948855</v>
      </c>
      <c r="O218" s="66">
        <f t="shared" si="53"/>
        <v>10915306</v>
      </c>
      <c r="P218" s="161"/>
    </row>
    <row r="219" spans="1:16" s="95" customFormat="1" ht="23.25" customHeight="1" x14ac:dyDescent="0.4">
      <c r="A219" s="65"/>
      <c r="B219" s="65"/>
      <c r="C219" s="22" t="s">
        <v>288</v>
      </c>
      <c r="D219" s="66">
        <f>D163+D164</f>
        <v>0</v>
      </c>
      <c r="E219" s="66">
        <f t="shared" ref="E219:O219" si="54">E163+E164</f>
        <v>0</v>
      </c>
      <c r="F219" s="66">
        <f t="shared" si="54"/>
        <v>0</v>
      </c>
      <c r="G219" s="66">
        <f t="shared" si="54"/>
        <v>0</v>
      </c>
      <c r="H219" s="66">
        <f t="shared" si="54"/>
        <v>0</v>
      </c>
      <c r="I219" s="66">
        <f t="shared" si="54"/>
        <v>252062997.38999999</v>
      </c>
      <c r="J219" s="66">
        <f t="shared" si="54"/>
        <v>252062997.38999999</v>
      </c>
      <c r="K219" s="66">
        <f t="shared" si="54"/>
        <v>0</v>
      </c>
      <c r="L219" s="66">
        <f t="shared" si="54"/>
        <v>0</v>
      </c>
      <c r="M219" s="66">
        <f t="shared" si="54"/>
        <v>0</v>
      </c>
      <c r="N219" s="66">
        <f t="shared" si="54"/>
        <v>252062997.38999999</v>
      </c>
      <c r="O219" s="66">
        <f t="shared" si="54"/>
        <v>252062997.38999999</v>
      </c>
      <c r="P219" s="161"/>
    </row>
    <row r="220" spans="1:16" s="95" customFormat="1" ht="15" x14ac:dyDescent="0.4">
      <c r="A220" s="82"/>
      <c r="B220" s="82"/>
      <c r="C220" s="83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161"/>
    </row>
    <row r="221" spans="1:16" s="101" customFormat="1" ht="66.75" customHeight="1" x14ac:dyDescent="0.9">
      <c r="A221" s="158" t="s">
        <v>507</v>
      </c>
      <c r="B221" s="158"/>
      <c r="C221" s="158"/>
      <c r="D221" s="158"/>
      <c r="E221" s="47"/>
      <c r="F221" s="47"/>
      <c r="G221" s="5"/>
      <c r="H221" s="5"/>
      <c r="I221" s="5"/>
      <c r="J221" s="5"/>
      <c r="K221" s="5"/>
      <c r="L221" s="159" t="s">
        <v>508</v>
      </c>
      <c r="M221" s="159"/>
      <c r="N221" s="159"/>
      <c r="O221" s="85"/>
      <c r="P221" s="161"/>
    </row>
    <row r="222" spans="1:16" x14ac:dyDescent="0.45">
      <c r="P222" s="131"/>
    </row>
    <row r="223" spans="1:16" x14ac:dyDescent="0.45">
      <c r="P223" s="131"/>
    </row>
    <row r="224" spans="1:16" x14ac:dyDescent="0.45">
      <c r="P224" s="131"/>
    </row>
    <row r="225" spans="16:16" x14ac:dyDescent="0.45">
      <c r="P225" s="131"/>
    </row>
    <row r="226" spans="16:16" x14ac:dyDescent="0.45">
      <c r="P226" s="131"/>
    </row>
    <row r="227" spans="16:16" x14ac:dyDescent="0.45">
      <c r="P227" s="131"/>
    </row>
    <row r="228" spans="16:16" x14ac:dyDescent="0.45">
      <c r="P228" s="131"/>
    </row>
    <row r="229" spans="16:16" x14ac:dyDescent="0.45">
      <c r="P229" s="131"/>
    </row>
    <row r="230" spans="16:16" x14ac:dyDescent="0.45">
      <c r="P230" s="131"/>
    </row>
    <row r="231" spans="16:16" x14ac:dyDescent="0.45">
      <c r="P231" s="131"/>
    </row>
    <row r="232" spans="16:16" x14ac:dyDescent="0.45">
      <c r="P232" s="131"/>
    </row>
    <row r="233" spans="16:16" x14ac:dyDescent="0.45">
      <c r="P233" s="131"/>
    </row>
    <row r="234" spans="16:16" x14ac:dyDescent="0.45">
      <c r="P234" s="131"/>
    </row>
    <row r="235" spans="16:16" x14ac:dyDescent="0.45">
      <c r="P235" s="131"/>
    </row>
    <row r="236" spans="16:16" x14ac:dyDescent="0.45">
      <c r="P236" s="131"/>
    </row>
    <row r="237" spans="16:16" x14ac:dyDescent="0.45">
      <c r="P237" s="131"/>
    </row>
    <row r="238" spans="16:16" x14ac:dyDescent="0.45">
      <c r="P238" s="131"/>
    </row>
    <row r="239" spans="16:16" x14ac:dyDescent="0.45">
      <c r="P239" s="131"/>
    </row>
    <row r="240" spans="16:16" x14ac:dyDescent="0.45">
      <c r="P240" s="131"/>
    </row>
    <row r="241" spans="16:16" x14ac:dyDescent="0.45">
      <c r="P241" s="131"/>
    </row>
    <row r="242" spans="16:16" x14ac:dyDescent="0.45">
      <c r="P242" s="131"/>
    </row>
    <row r="243" spans="16:16" x14ac:dyDescent="0.45">
      <c r="P243" s="131"/>
    </row>
    <row r="244" spans="16:16" x14ac:dyDescent="0.45">
      <c r="P244" s="131"/>
    </row>
    <row r="245" spans="16:16" x14ac:dyDescent="0.45">
      <c r="P245" s="131"/>
    </row>
    <row r="246" spans="16:16" x14ac:dyDescent="0.45">
      <c r="P246" s="131"/>
    </row>
    <row r="247" spans="16:16" x14ac:dyDescent="0.45">
      <c r="P247" s="131"/>
    </row>
    <row r="248" spans="16:16" x14ac:dyDescent="0.45">
      <c r="P248" s="131"/>
    </row>
    <row r="249" spans="16:16" x14ac:dyDescent="0.45">
      <c r="P249" s="131"/>
    </row>
  </sheetData>
  <mergeCells count="30">
    <mergeCell ref="Q1:Q86"/>
    <mergeCell ref="J4:O4"/>
    <mergeCell ref="N14:N15"/>
    <mergeCell ref="O13:O15"/>
    <mergeCell ref="A10:O10"/>
    <mergeCell ref="A11:O11"/>
    <mergeCell ref="A9:O9"/>
    <mergeCell ref="B13:B15"/>
    <mergeCell ref="C13:C15"/>
    <mergeCell ref="A13:A15"/>
    <mergeCell ref="D14:D15"/>
    <mergeCell ref="L14:M14"/>
    <mergeCell ref="E14:E15"/>
    <mergeCell ref="F14:G14"/>
    <mergeCell ref="D13:H13"/>
    <mergeCell ref="I13:N13"/>
    <mergeCell ref="A221:D221"/>
    <mergeCell ref="L221:N221"/>
    <mergeCell ref="H14:H15"/>
    <mergeCell ref="I14:I15"/>
    <mergeCell ref="P192:P221"/>
    <mergeCell ref="P90:P113"/>
    <mergeCell ref="P114:P139"/>
    <mergeCell ref="P140:P162"/>
    <mergeCell ref="P163:P190"/>
    <mergeCell ref="J14:J15"/>
    <mergeCell ref="P30:P51"/>
    <mergeCell ref="P52:P67"/>
    <mergeCell ref="P68:P89"/>
    <mergeCell ref="K14:K15"/>
  </mergeCells>
  <phoneticPr fontId="3" type="noConversion"/>
  <printOptions horizontalCentered="1"/>
  <pageMargins left="0" right="0" top="0.86614173228346458" bottom="0.23622047244094491" header="0.43307086614173229" footer="0.23622047244094491"/>
  <pageSetup paperSize="9" scale="42" fitToHeight="10000" orientation="landscape" horizontalDpi="360" verticalDpi="360" r:id="rId1"/>
  <headerFooter scaleWithDoc="0" alignWithMargins="0"/>
  <rowBreaks count="1" manualBreakCount="1">
    <brk id="13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 3</vt:lpstr>
      <vt:lpstr>дод 7</vt:lpstr>
      <vt:lpstr>'дод 3'!Заголовки_для_печати</vt:lpstr>
      <vt:lpstr>'дод 7'!Заголовки_для_печати</vt:lpstr>
      <vt:lpstr>'дод 3'!Область_печати</vt:lpstr>
      <vt:lpstr>'дод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Щелінська Юлія Миколаївна</cp:lastModifiedBy>
  <cp:lastPrinted>2025-05-22T05:23:04Z</cp:lastPrinted>
  <dcterms:created xsi:type="dcterms:W3CDTF">2014-01-17T10:52:16Z</dcterms:created>
  <dcterms:modified xsi:type="dcterms:W3CDTF">2025-05-23T05:20:31Z</dcterms:modified>
</cp:coreProperties>
</file>