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9300" windowHeight="4575" tabRatio="0" activeTab="1"/>
  </bookViews>
  <sheets>
    <sheet name="Диаграмма1" sheetId="1" r:id="rId1"/>
    <sheet name="Sheet1" sheetId="2" r:id="rId2"/>
  </sheets>
  <definedNames>
    <definedName name="_xlnm.Print_Area" localSheetId="1">'Sheet1'!$A$1:$P$705</definedName>
  </definedNames>
  <calcPr fullCalcOnLoad="1"/>
</workbook>
</file>

<file path=xl/sharedStrings.xml><?xml version="1.0" encoding="utf-8"?>
<sst xmlns="http://schemas.openxmlformats.org/spreadsheetml/2006/main" count="651" uniqueCount="412">
  <si>
    <t>Загальний фонд</t>
  </si>
  <si>
    <t>Спеціальний фонд</t>
  </si>
  <si>
    <t>4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</si>
  <si>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</si>
  <si>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</si>
  <si>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</si>
  <si>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</si>
  <si>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</si>
  <si>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</si>
  <si>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</si>
  <si>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</si>
  <si>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</si>
  <si>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</si>
  <si>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</si>
  <si>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</si>
  <si>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</si>
  <si>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</si>
  <si>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</si>
  <si>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</si>
  <si>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</si>
  <si>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</si>
  <si>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</si>
  <si>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</si>
  <si>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</si>
  <si>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</si>
  <si>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</si>
  <si>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 xml:space="preserve">    Показник: % електромереж зовнішнього освітлення з проведеним капітальним ремонтом від їх загальної довжини</t>
  </si>
  <si>
    <t xml:space="preserve">    Показник: кількість видалених дерев, од.</t>
  </si>
  <si>
    <t xml:space="preserve">    Показник: середня вартість видалення 1 дерева, грн.</t>
  </si>
  <si>
    <t xml:space="preserve">    Показник: площа території пляжу, кв. м</t>
  </si>
  <si>
    <t xml:space="preserve">    Показник: площа території пляжу, що підлягає прибираннюкв. м</t>
  </si>
  <si>
    <t xml:space="preserve">    Показник: середня вартість прибирання 1 кв. м пляжу, грн.</t>
  </si>
  <si>
    <t xml:space="preserve">    Показник: кількість стаціонарних туалетів на кладовищах, од.</t>
  </si>
  <si>
    <t xml:space="preserve">    Показник: кількість спецслужб, од.</t>
  </si>
  <si>
    <t xml:space="preserve">    Показник: загальна довжина залізобетонної огорожі, пог. м</t>
  </si>
  <si>
    <t xml:space="preserve">    Показник: загальна протяжність водопроводу, пог. м</t>
  </si>
  <si>
    <t xml:space="preserve">    Показник: кількість контейнерів на кладовищах, які підлягають поточному ремонту, од.</t>
  </si>
  <si>
    <t xml:space="preserve">    Показник: кількість контейнерів на кладовищах, од.</t>
  </si>
  <si>
    <t xml:space="preserve">    Показник: кількість кладовищ, од.</t>
  </si>
  <si>
    <t xml:space="preserve">    Показник: кількість дерев загального та спеціального призначення, од.</t>
  </si>
  <si>
    <t xml:space="preserve">    Показник: кількість похованих безрідних громадян, чол.</t>
  </si>
  <si>
    <t xml:space="preserve">    Показник: кількість встановлених додаткових контейнерів на кладовищах, од.</t>
  </si>
  <si>
    <t xml:space="preserve">    Показник: кількість відремонтованих контейнерів (поточний ремонт), од.</t>
  </si>
  <si>
    <t xml:space="preserve">    Показник: кількість визовів на проведення робіт спецслужбою, од.</t>
  </si>
  <si>
    <t xml:space="preserve">    Показник: кількість виготовлених та встановлених стаціонарних туалетів, од.</t>
  </si>
  <si>
    <t xml:space="preserve">    Показник: довжина відновленого водопроводу на кладовищі, пог. м</t>
  </si>
  <si>
    <t xml:space="preserve">    Показник: середня вартість 1 визову спецслужби, грн.</t>
  </si>
  <si>
    <t xml:space="preserve">    Показник: середня вартість встановлення 1 додаткового контейнера на кладовищах, грн</t>
  </si>
  <si>
    <t xml:space="preserve">    Показник: середня вартість встановлення 1 стаціонарного туалету, грн.</t>
  </si>
  <si>
    <t xml:space="preserve">    Показник: середня вартість монтажу та демонтажу  1 пог.м водопроводу, грн.</t>
  </si>
  <si>
    <t xml:space="preserve">    Показник: середня вартість поточного ремонту 1 контейнера, грн.</t>
  </si>
  <si>
    <t xml:space="preserve">    Показник: кількість вивезених ТПВ з озера Чеха, куб. м</t>
  </si>
  <si>
    <t xml:space="preserve">    Показник: % зменшення скарг населення, пов"язаних з бродячими тваринами в порівнянні з минулим роком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</si>
  <si>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</si>
  <si>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</si>
  <si>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</si>
  <si>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</si>
  <si>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  Показник: середня вартість поточного ремонту 1 пог.м залазобетонної (сітчастої) огорожі, грн.</t>
  </si>
  <si>
    <t xml:space="preserve">    Показник: довжина поточного ремонту залізобетонної (сітчастої) огорожі, пог.м.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</si>
  <si>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</si>
  <si>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</si>
  <si>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</si>
  <si>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</si>
  <si>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</si>
  <si>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 xml:space="preserve">  Завдання: 7. Забезпечення проведення ремонту та утримання зелених насаджень</t>
  </si>
  <si>
    <t xml:space="preserve">  Завдання: 9. Забезпечення проведення утримання кладовищта  об"єктів благоустрою міста </t>
  </si>
  <si>
    <t xml:space="preserve">  Завдання: 10. Забезпечення санітарного стану місць загального користування громадян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</si>
  <si>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</si>
  <si>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</si>
  <si>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</si>
  <si>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кількість обладнання, встановленого на пляжі, од.</t>
  </si>
  <si>
    <t xml:space="preserve">    Показник: кількість відновленого обладнання (поточний ремонт), од</t>
  </si>
  <si>
    <t xml:space="preserve">    Показник: середня вартість поточного ремонту одиниці обладнання, грн.</t>
  </si>
  <si>
    <t xml:space="preserve">    Показник: середня вартість вивезення 1 куб. м ТПВ з озера Чеха, грн.</t>
  </si>
  <si>
    <t xml:space="preserve">    Показник: кількість шахтних колодязів, що підлягають капітального  ремонту </t>
  </si>
  <si>
    <t xml:space="preserve">    Показник: середня вартість капітального ремонту 1 шахтного колодязя, грн.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</si>
  <si>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</si>
  <si>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</si>
  <si>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</si>
  <si>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</si>
  <si>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</si>
  <si>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</si>
  <si>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</si>
  <si>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 xml:space="preserve">    Показник: кількість підприємств водопровідно-каналізаційного господарства, яким планується надання фінансової підтримки, од.</t>
  </si>
  <si>
    <t xml:space="preserve">    Показник: загальна кількість святкових днів</t>
  </si>
  <si>
    <t xml:space="preserve">    Показник: кількість святкових днів, які підлягають оформленню до свят</t>
  </si>
  <si>
    <t xml:space="preserve">    Показник: середня вартість святкового оформлення одного дня, грн.</t>
  </si>
  <si>
    <t>В т.ч:</t>
  </si>
  <si>
    <t xml:space="preserve">    Показник: кількість незаконно встановлених тимчасових споруд, які підлягають демонтажу</t>
  </si>
  <si>
    <t xml:space="preserve">    Показник: середня вартість демонтажу однієї незаконно встановленої тимчасової споруди, грн.</t>
  </si>
  <si>
    <t xml:space="preserve">    Показник: середній обсяг спожитої електроенергії на одну світлоточку в рік, кВт/год.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</si>
  <si>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</si>
  <si>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</si>
  <si>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</si>
  <si>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Виконавчий комітет Сумської міської ради</t>
  </si>
  <si>
    <t>Департамент інфраструктури міста  Сумської міської ради</t>
  </si>
  <si>
    <t>Департамент містобудування та земельних відносин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</si>
  <si>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</si>
  <si>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</si>
  <si>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   Показник: середня вартість 1 заходу в рік, який буде виконуватися  з проведенням оплачуваних громадських робіт, грн.</t>
  </si>
  <si>
    <t xml:space="preserve">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</si>
  <si>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</si>
  <si>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>до рішення Сумської міської ради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</si>
  <si>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</si>
  <si>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</si>
  <si>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</si>
  <si>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</si>
  <si>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>ДМтаЗВ СМР</t>
  </si>
  <si>
    <t>240900 ДМтаЗВ СМР</t>
  </si>
  <si>
    <t xml:space="preserve">комунального господарства міста Суми </t>
  </si>
  <si>
    <t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на 2015-2017 роки</t>
  </si>
  <si>
    <t>2015 рік</t>
  </si>
  <si>
    <t>2016 рік</t>
  </si>
  <si>
    <t>2017 рік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</si>
  <si>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</si>
  <si>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Завдання: 3.  Забезпечення проведення утримання вулично-дорожньої мережі та штучних споруд</t>
  </si>
  <si>
    <t xml:space="preserve">  Завдання: 4. Забезпечення проведення поточного ремонту проїздів, тротуарів, внутрішньоквартальних проїзних доріг</t>
  </si>
  <si>
    <t xml:space="preserve">  Завдання: 5. Забезпечення проведення капітального ремонту проїздів, тротуарів, внутрішньоквартальних проїзних доріг</t>
  </si>
  <si>
    <t>Показник: загальна площа проїздів, тротуарів і внутрішньоквартальних доріг,  що потребує поточного ремонту, кв. м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</si>
  <si>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</si>
  <si>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</si>
  <si>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</si>
  <si>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</si>
  <si>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</si>
  <si>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обсяг видатків на будівництво, грн.</t>
  </si>
  <si>
    <t>Показник: кількість об'єктів, які планується побудувати, од.</t>
  </si>
  <si>
    <t xml:space="preserve"> Показник: середні витрати на будівництво одного  об'єкту, грн.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</si>
  <si>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</si>
  <si>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</si>
  <si>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</si>
  <si>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</si>
  <si>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</si>
  <si>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</si>
  <si>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</si>
  <si>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</si>
  <si>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</si>
  <si>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</si>
  <si>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</si>
  <si>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</si>
  <si>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</si>
  <si>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</si>
  <si>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</si>
  <si>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</si>
  <si>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</si>
  <si>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</si>
  <si>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</si>
  <si>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</si>
  <si>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</si>
  <si>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середня вартість 1 кВт/год електроенергії необхідної для безперебійної роботи вуличного освітлення, кВт/год.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</si>
  <si>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</si>
  <si>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</si>
  <si>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</si>
  <si>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</si>
  <si>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</si>
  <si>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</si>
  <si>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</si>
  <si>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</si>
  <si>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</si>
  <si>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</si>
  <si>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</si>
  <si>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кількість заходів із санітарної очистки території, од.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</si>
  <si>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</si>
  <si>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</si>
  <si>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</si>
  <si>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</si>
  <si>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</si>
  <si>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середня вартість одного заходу із санітарної очистки території,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</si>
  <si>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</si>
  <si>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</si>
  <si>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</si>
  <si>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Питома вага площі газонів, яка утримується до загальної площі газонів, яку необхідно утримувати, %</t>
  </si>
  <si>
    <t xml:space="preserve">    Показник: Питома вага кількості висадженої квіткової розсади до кількості квіткової розсади, яку потрібно було висадити,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</si>
  <si>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</si>
  <si>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</si>
  <si>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штатних працівників спецслужби, чол.</t>
  </si>
  <si>
    <t xml:space="preserve"> Показник: кількість громадських вбиралень, од.</t>
  </si>
  <si>
    <t>Показник: загальна площа кладовищ, що потребує благоустрою, га</t>
  </si>
  <si>
    <t xml:space="preserve">    Показник: площа кладовищ, благоустрій яких планується здійснюваати, га</t>
  </si>
  <si>
    <t xml:space="preserve">    Показник: кількість громадських вбиралень, які планується утримувати, од.</t>
  </si>
  <si>
    <t xml:space="preserve">    Показник: середньорічні витрати на благоустрій 1 га кладовища, грн.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</si>
  <si>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</si>
  <si>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</si>
  <si>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</si>
  <si>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</si>
  <si>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</si>
  <si>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</si>
  <si>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</si>
  <si>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</si>
  <si>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 xml:space="preserve">    Показник: обсяг сміття, несанкціонованих звалищ, який планується ліквідувати на об'єктах благоустрою загального користування, м3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</si>
  <si>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</si>
  <si>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середні витрати на прибирання, ліквідацію             1 м3 сміття на об'єктах благоустрою загального користування, грн.</t>
  </si>
  <si>
    <t>Показник: темп зростання середніх витрат на прибирання, ліквідацію 1 м3 сміття на об'єктах благоустрою загального користування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</si>
  <si>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</si>
  <si>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</si>
  <si>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</si>
  <si>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</si>
  <si>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</si>
  <si>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</si>
  <si>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</si>
  <si>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</si>
  <si>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</si>
  <si>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</si>
  <si>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</si>
  <si>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</si>
  <si>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</si>
  <si>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</si>
  <si>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Показник: кількість ліфтів, що потребують заміни, грн.</t>
  </si>
  <si>
    <t>Показник: кількість ліфтів, що потребують капітального ремонту та модернізації, грн.</t>
  </si>
  <si>
    <t>Показник: кількість ліфтів, що потребують капітального ремонту  системи ОДС, грн.</t>
  </si>
  <si>
    <t>Показник: кількість ліфтів, що потребують експертного обстеження (технічного діагностування), грн.</t>
  </si>
  <si>
    <t>Показник: кількість ліфтів, що планується заміни, грн.</t>
  </si>
  <si>
    <t>Показник: кількість ліфтів, системи ОДС яких планується капітально відремонтувати , грн.</t>
  </si>
  <si>
    <t>Показник: кількість ліфтів, на яких планується провести експертне обстеження (технічне діагностування), грн.</t>
  </si>
  <si>
    <t>Показник: середня вартість проведення заміни одного ліфта, грн.</t>
  </si>
  <si>
    <t>Показник: середня вартість проведення капітального ремонту та модернізації одного ліфта, грн.</t>
  </si>
  <si>
    <t>Показник: середня вартість проведення капітального ремонту системи ОДС одного ліфта, грн.</t>
  </si>
  <si>
    <t>Показник: середня вартість проведення експертного обстеження (технічне діагностування) одного ліфта, грн.</t>
  </si>
  <si>
    <t>Показник: кількість ліфтів, що планується  капітально відремонтувати та провести  модернізацію, грн.</t>
  </si>
  <si>
    <t xml:space="preserve">    Показник: Питома вага кількості ліфтів, які планується замінити, до кількості ліфтів, що потребують заміни, %</t>
  </si>
  <si>
    <t xml:space="preserve">    Показник: Питома вага кількості ліфтів, які планується капітально відремонтувати та модернізувати  до кількості ліфтів, що потребують капітального ремонту та модернізації , %</t>
  </si>
  <si>
    <t xml:space="preserve">    Показник: Питома вага кількості ліфтів, які на яких планується  проведення капітального ремонту системи ОДС  до кількості ліфтів, що потребують капітального ремонту системи ОДС , %</t>
  </si>
  <si>
    <t xml:space="preserve">    Показник: Питома вага кількості ліфтів, які на яких планується  проведення експертного обстеження (технічного діагностування)  до кількості ліфтів, що потребують експертного обстеження (технічного діагностування) , %</t>
  </si>
  <si>
    <t>Підпрограма 2. Капітальний ремонт житлового фонду об'єднань співвласників багатоквартирних будинків</t>
  </si>
  <si>
    <t>КТКВК 100102, 100106</t>
  </si>
  <si>
    <t>Підпрограма 1. Капітальний ремонт житлового фонду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</si>
  <si>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ремонту, %</t>
  </si>
  <si>
    <t>КТКВК 250404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</si>
  <si>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</si>
  <si>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загальна кількість святкових заходів, які підлягають святковому оформленню </t>
  </si>
  <si>
    <t xml:space="preserve">    Показник: середня вартість 1 святкового заходу, грн.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</si>
  <si>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</si>
  <si>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</si>
  <si>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</si>
  <si>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Показник: кількість рекламних засобів, що підлягають демонтажу, од. всього;</t>
  </si>
  <si>
    <t>Рекламні засоби, розміщені на висоті до 3 м (сіті-лайт, штендер, щит)</t>
  </si>
  <si>
    <t>Рекламні засоби, розміщені на висоті більше 3 м (біг-борд, банер на фасаді, перетяг, вказівник)</t>
  </si>
  <si>
    <t xml:space="preserve">   Показник: середня вартість демонтажу одного рекламного засобу, розміщеного самовільно та з порушенням порядку розміщення зовнішньої реклами, грн.</t>
  </si>
  <si>
    <t xml:space="preserve">    Показник: кількість законно встановлених тимчасових споруд</t>
  </si>
  <si>
    <t xml:space="preserve">    Показник: % демонтованих тимчасових споруд до законно встановлених споруд, %</t>
  </si>
  <si>
    <t xml:space="preserve">    Показник: загальна площа території для зберігання демонтованих тимчасових споруд та рекламних засобів, кв.м</t>
  </si>
  <si>
    <t xml:space="preserve">    Показник: загальні витрати на зберігання демонтованих тимчасових споруд та рекламних засобів, грн.</t>
  </si>
  <si>
    <t xml:space="preserve">    Мета:  Забезпечення належної та безперебійної роботи об'єктів комунального господарства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</si>
  <si>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</si>
  <si>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</si>
  <si>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середня сума  підпримки  одного підприємства,  грн.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</si>
  <si>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</si>
  <si>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зелених насаджень, що потребують заміни, од.</t>
  </si>
  <si>
    <t xml:space="preserve">    Показник: кількість зелених насаджень, що планується висадити, од.</t>
  </si>
  <si>
    <t xml:space="preserve">    Показник: середні витрати на  висадження одного дерева, грн.</t>
  </si>
  <si>
    <t xml:space="preserve">    Показник: Питома вага відновлених зелених насаджень у загальній кількості зелених насаджень, що потребують оновлення, %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</si>
  <si>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</si>
  <si>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</si>
  <si>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>виконавчий комітет</t>
  </si>
  <si>
    <t>КТКВК 100203, 170703</t>
  </si>
  <si>
    <t xml:space="preserve">РАЗОМ </t>
  </si>
  <si>
    <t xml:space="preserve">    Мета:  Підвищення рівня благоустрою, забезпечення проведення ремонту доріг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</si>
  <si>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</si>
  <si>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</si>
  <si>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</si>
  <si>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</si>
  <si>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</si>
  <si>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</si>
  <si>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</si>
  <si>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</si>
  <si>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</si>
  <si>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</si>
  <si>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</si>
  <si>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 xml:space="preserve">Міський голова </t>
  </si>
  <si>
    <t>О.М.Лисенко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</si>
  <si>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</si>
  <si>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</si>
  <si>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</si>
  <si>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</si>
  <si>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підприємств, яким планується надання фінансової підтримки, од.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</si>
  <si>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</si>
  <si>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</si>
  <si>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</si>
  <si>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</si>
  <si>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«Про внесення змін до  Комплексної цільової </t>
  </si>
  <si>
    <t xml:space="preserve">    Мета: Забезпечення виконання заходів із землеустрою міста Суми</t>
  </si>
  <si>
    <t xml:space="preserve">    Показник: середня вартість обслуговування одного місяця,  грн.</t>
  </si>
  <si>
    <t xml:space="preserve">    Показник: кількість місяців обслуговування каналізаційно-насосної станції, шт.</t>
  </si>
  <si>
    <t>Програма  реформування і розвиткужитлово-комунального господарства м. Суми на 2015-2017 роки</t>
  </si>
  <si>
    <t xml:space="preserve">    Показник: вартість розробки 1  проекту відведення земельної ділянки,  грн.</t>
  </si>
  <si>
    <t xml:space="preserve">    Показник: кількість проектів відведення земельної ділянки , од.</t>
  </si>
  <si>
    <t>на 2015 - 2017 роки» (зі змінами)</t>
  </si>
  <si>
    <t xml:space="preserve">  Завдання: 6. Забезпечення проведення обстеження об'єктів транспортної інфраструктури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</si>
  <si>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</si>
  <si>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</si>
  <si>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</si>
  <si>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Завдання: 7. Будівництво об'єктів транспортної інфраструктури</t>
  </si>
  <si>
    <t xml:space="preserve">  Завдання: 8. Забезпечення проведення ремонту та обслуговування технічних засобів регулювання дорожнім рухом</t>
  </si>
  <si>
    <t xml:space="preserve">  Завдання: 9. Забезпечення функціонування мереж зовнішнього освітлення </t>
  </si>
  <si>
    <t xml:space="preserve">  Завдання:10. Збереження та утримання на належному рівні зеленої зони міста Суми та поліпшення його екологічних умов </t>
  </si>
  <si>
    <t xml:space="preserve">  Завдання: 11. Забезпечення благоустрою кладовищ, діяльності спецслужби, поховання безрідних та функціонування громадських вбиралень</t>
  </si>
  <si>
    <t xml:space="preserve"> Показник: кількість камер відеоспостереження, якими необхідно облаштувати Алею Почесних громадян на Центральному кладовищі, од.</t>
  </si>
  <si>
    <t>Показник: середня вартість облаштування Алеї Почесних громадян на Центральному кладовищі 1 камерою відеоспостереження, грн.</t>
  </si>
  <si>
    <t>Показник: кількість об'єктів житлового фонду (будинків), що потребують ремонту покрівель, грн.</t>
  </si>
  <si>
    <t xml:space="preserve">    Показник: кількість об'єктів житлового фонду (будинків), що планується відремонтувати покрівлю,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</si>
  <si>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</si>
  <si>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</si>
  <si>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</si>
  <si>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>Виконавець: Яременко Г.І.</t>
  </si>
  <si>
    <t xml:space="preserve">    Показник: кількість проектів землеустрою щодо відведення земельних ділянок, од.</t>
  </si>
  <si>
    <t xml:space="preserve">  Показник: вартість розробки 1  проекту землеустрою щодо відведення земельних ділянок,  грн.</t>
  </si>
  <si>
    <t xml:space="preserve">    Показник: обсяг видатків, передбачений на надання фінансової підтримки підприємствам, грн.</t>
  </si>
  <si>
    <t xml:space="preserve"> 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</si>
  <si>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</si>
  <si>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Підпрограма 3. Капітальний ремонт житлового фонду </t>
  </si>
  <si>
    <t xml:space="preserve">  Завдання: 16.5. Встановлення індивідуального опалення в квартирах житлового будинку №110 по вул.Роменській</t>
  </si>
  <si>
    <t>Показник: кількість квартир житлового будинку, що потребують встановлення індивідуального  опалення, грн.</t>
  </si>
  <si>
    <t xml:space="preserve">    Показник: середня вартість встановлення індивідуального  опалення в одній квартирі, грн.</t>
  </si>
  <si>
    <t xml:space="preserve">    Показник: Питома вага кількості квартир житлового будинку, на яких планується встановити індивідуальне опалення, до кількості квартир, що потребують встановлення індивідуального опалення, %</t>
  </si>
  <si>
    <t xml:space="preserve">    Показник: кількість квартир у житловому будинку, в яких планується встановити індивідуальне  опалення, грн.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</si>
  <si>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</si>
  <si>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</si>
  <si>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</si>
  <si>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Мета:Встановлення лічильників теплової енергії в житлових будинках</t>
  </si>
  <si>
    <t xml:space="preserve">    Показник: кількість лічильників, які планується встановити, шт.</t>
  </si>
  <si>
    <t xml:space="preserve">    Показник: середня вартість встановлення одного лічильника,  грн.</t>
  </si>
  <si>
    <t xml:space="preserve">    Показник:кількість схем, шт.</t>
  </si>
  <si>
    <t xml:space="preserve">    Показник: вартість розробки схеми,  грн.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</si>
  <si>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</si>
  <si>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</si>
  <si>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</si>
  <si>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</si>
  <si>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</si>
  <si>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кількість нових урн які планується придбати і встановити  по місту Суми, од.</t>
  </si>
  <si>
    <t xml:space="preserve">    Показник: середня вартість однієї нової урни яку планується придбати і встановити по місту Суми на рік, грн.</t>
  </si>
  <si>
    <t xml:space="preserve">    Показник: кількість заходів з реконструкції об'єктів благоустрою, од.</t>
  </si>
  <si>
    <t xml:space="preserve">    Показник: середня вартість одного заходу з реконструкції об'єктів благоустрою, грн.</t>
  </si>
  <si>
    <t>Показник: кількість місяців, за які сплачується орендна плата за землю по вул.Боженко (майданчик для складування рослинних відходів, деревини та опалого листя), од</t>
  </si>
  <si>
    <t xml:space="preserve">    Показник: середня вартість 1 місяця оплати орендної плати за землю по вул.Боженко (майданчик для складування рослинних відходів, деревини та опалого листя), грн.</t>
  </si>
  <si>
    <t>Показник: кількість місяців, за які сплачується податку на земельну ділянку за адресою: м.Суми, вул.Привокзальна, 4/13 (каналізаційно-насосна станція), од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</si>
  <si>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</si>
  <si>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</si>
  <si>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</si>
  <si>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кількість виготовлених технічних документацій на земельну ділянку, од.</t>
  </si>
  <si>
    <t xml:space="preserve">  Показник: вартість виготовлення 1  технічної документації на земельну ділянку,  грн.</t>
  </si>
  <si>
    <t xml:space="preserve">    Показник: кількість науково-технічної продукції, шт.</t>
  </si>
  <si>
    <t xml:space="preserve">    Показник: середня вартість однієї науково-технічної продукції,  грн.</t>
  </si>
  <si>
    <t xml:space="preserve">    Мета: Розробка ткхнічних паспортів на багатоквартирні житлові будинки</t>
  </si>
  <si>
    <t xml:space="preserve">    Мета: Розробка схеми теплопостачання м.Суми </t>
  </si>
  <si>
    <t xml:space="preserve">    Показник: кількість безпритульних тварин, які планується регулювати, од.</t>
  </si>
  <si>
    <t xml:space="preserve">    Показник: середні витрати на проведення регулювання тварини,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</si>
  <si>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</si>
  <si>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</si>
  <si>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пунктів приймання тварин (центрів гуманного поводження з тваринами), які планується провести облаштування, од.</t>
  </si>
  <si>
    <t xml:space="preserve">    Показник: середні витрати на проведення облаштування пункту приймання тварин (центрів гуманного поводження з тваринами), грн.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</si>
  <si>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</si>
  <si>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вартість розробки Комплексної схеми і зонування розміщення рекламних засобів на території м. Суми</t>
  </si>
  <si>
    <t xml:space="preserve">    Показник: середня вартість розробки однієї Комплексної схеми і зонування розміщення рекламних засобів на території м. Суми, грн.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</si>
  <si>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</si>
  <si>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</si>
  <si>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 xml:space="preserve">    Показник: загальна кількість підприємств, яким надається бюджетна позичка, шт.</t>
  </si>
  <si>
    <t xml:space="preserve">    Показник: середня вартість однієї бюджетної позички,  грн.</t>
  </si>
  <si>
    <t>090501</t>
  </si>
  <si>
    <t xml:space="preserve">    Мета:  Забезпечення демонтажу та зберігання незаконно встановлених тимчасових споруд та рекламних засобів; виготовлення та розміщення рекламних матеріалів до святкових та урочистих подій; збереження стилю, притаманного урочистому упорядженню об'єктів забудови історичної частини міста, упорядкування розміщення тимчасових споруд та зовнішньої реклами на території м. Суми</t>
  </si>
  <si>
    <t>Тип показника: Продукту</t>
  </si>
  <si>
    <t>Показник: кількість комплексних схем розміщення тимчасових споруд для провадження підприємницької діяльності у місті Суми</t>
  </si>
  <si>
    <t>Тип показника: Витрати</t>
  </si>
  <si>
    <t>Показник: вартість розробки Комплексної схеми розміщення тимчасових споруд для провадження підприємницької діяльності у місті Суми</t>
  </si>
  <si>
    <t xml:space="preserve">Тип показника: Ефективності </t>
  </si>
  <si>
    <t>Показник: середня вартість розробки однієї Комплексної схеми розміщення тимчасових споруд для провадження підприємницької діяльності у місті Суми</t>
  </si>
  <si>
    <t>Показник: кількість об'єктів, що планується відремонтувати, грн.</t>
  </si>
  <si>
    <t xml:space="preserve">    Мета: Забезпечення підготовки житлових будинків до опалювального періоду,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 та погашення заборгованості перед міським бюджетом</t>
  </si>
  <si>
    <t>Показник: кількість виїздів спецслужби за викликами, од.</t>
  </si>
  <si>
    <t xml:space="preserve">  Завдання: 12. Забезпечення проведення ремонту та утримання кладовищ міста</t>
  </si>
  <si>
    <t xml:space="preserve">  Завдання: 13. Забезпечення санітарної очистки території</t>
  </si>
  <si>
    <t xml:space="preserve">  Завдання: 14. Поточний ремонт та утримання в належному стані об'єктів благоустрою</t>
  </si>
  <si>
    <t>Показник: середня вартість однієї нової лавки яку планується придбати і встановити по місту Суми на рік, грн.</t>
  </si>
  <si>
    <t xml:space="preserve">  Завдання: 15. Забезпечення сприятливих умов для співіснування людей та тварин</t>
  </si>
  <si>
    <t xml:space="preserve">  Завдання: 16. Капітальний ремонт та утримання в належному стані об'єктів благоустрою </t>
  </si>
  <si>
    <t xml:space="preserve">  Завдання: 17. 1 Проведення капітального ремонту житлових будинків</t>
  </si>
  <si>
    <t xml:space="preserve">  Завдання: 17.2. Проведення капітального ремонту покрівель житлових будинків</t>
  </si>
  <si>
    <t xml:space="preserve">  Завдання: 17.3. Проведення капітального ремонту, модернізації, заміни, експертного обстеження (технічного діагностування) ліфтів</t>
  </si>
  <si>
    <t xml:space="preserve">  Завдання: 17.4. Встановлення індивідуального опалення в квартирах житлового будинку №110 по вул.Роменській</t>
  </si>
  <si>
    <t xml:space="preserve">  Завдання: 17.5. Проведення капітального ремонту житлових будинків об'єднань співвласників багатоквартирних будинків</t>
  </si>
  <si>
    <t xml:space="preserve">  Завдання: 18. Забезпечення святкового оформлення міста</t>
  </si>
  <si>
    <t xml:space="preserve">  Завдання: 19. Придбання та монтаж покажчиків вулиць</t>
  </si>
  <si>
    <t xml:space="preserve">  Завдання: 20. Виготовлення та розміщення рекламних матеріалів до святкових та урочистих подій </t>
  </si>
  <si>
    <t xml:space="preserve">  Завдання: 21. Демонтаж  рекламних засобів, розміщених самовільно та з порушенням порядку розміщення зовнішньої реклами</t>
  </si>
  <si>
    <t xml:space="preserve">  Завдання: 22. Забезпечення постачання природного газу монументу "Вічна Слава"</t>
  </si>
  <si>
    <t xml:space="preserve">  Завдання: 23. Орендна плата за землю по вул.Боженко (майданчик для складування рослинних відходів, деревини та опалого листя)</t>
  </si>
  <si>
    <t xml:space="preserve">  Завдання: 24. Оплата податку на земельну ділянку за адресою: м.Суми, вул.Привокзальна, 4/13 (каналізаційно-насосна станція)</t>
  </si>
  <si>
    <t xml:space="preserve">  Завдання: 25. Демонтаж незаконно встановлених тимчасових споруд</t>
  </si>
  <si>
    <t xml:space="preserve">  Завдання: 26. Зберігання демонтованих тимчасових споруд та рекламних засобів</t>
  </si>
  <si>
    <t xml:space="preserve">  Завдання:27. Виготовлення та розміщення рекламних матеріалів до святкових та урочистих подій </t>
  </si>
  <si>
    <t xml:space="preserve">Показник: кількість комплексних схем і зонування розміщення рекламних засобів на території 
м. Суми
</t>
  </si>
  <si>
    <t xml:space="preserve">  Завдання: 28. Розроблення  Комплексної схеми і зонування розміщення рекламних засобів на території м. Суми </t>
  </si>
  <si>
    <t>Завдання: 29. Розроблення  Комплексної схеми розміщення тимчасових споруд для провадження підприємницької діяльності у місті Суми</t>
  </si>
  <si>
    <t xml:space="preserve">  Завдання: 30. Забезпечення функціонування об'єктів комунального господарства</t>
  </si>
  <si>
    <t xml:space="preserve">  Завдання: 31. Запобігання знищення чи пошкодження Алеї Почесних громадян на Центральному кладовищі</t>
  </si>
  <si>
    <t xml:space="preserve">  Завдання: 32. Забезпечення функціонування водопровідно-каналізаційного господарства</t>
  </si>
  <si>
    <t xml:space="preserve">  Завдання: 33. Розробка нормативів питного водопостачання для населення м. Суми </t>
  </si>
  <si>
    <t xml:space="preserve">  Завдання: 34. Вимоги пожежної безпеки</t>
  </si>
  <si>
    <t>Завдання: 35. Забезпечення належного облуговування каналізаційно-насосної станції за адресою: м. Суми, вул. Привокзальна,4/13</t>
  </si>
  <si>
    <t>Завдання: 36. Придбання водопровідних та каналізаційних люків</t>
  </si>
  <si>
    <t>Завдання: 37. Розрахунок допустимих  концентрацій (ДК) забруднюючих речовин в скидах стічних вод споживачів у каналізаційну мережу м.Суми</t>
  </si>
  <si>
    <t>Завдання: 38. Коригування Правил приймання стічних вод в систему каналізації м.Суми</t>
  </si>
  <si>
    <t>Завдання: 39. Проведення капітального ремонту колекторів та каналізаційних мереж"</t>
  </si>
  <si>
    <t xml:space="preserve">  Завдання: 40. Заходи із землеутрою міста Суми</t>
  </si>
  <si>
    <t xml:space="preserve">  Завдання: 41. Забезпечення належного утримання житлового фонду та забезпечення населення якісними послугами з утримання будинків, споруд та прибудинкових територій,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доріг, погашення заборгованості перед міським бюджетом</t>
  </si>
  <si>
    <t xml:space="preserve">  Завдання: 42. Впровадження енергозберігаючих заходів</t>
  </si>
  <si>
    <t xml:space="preserve">  Завдання: 43.  Встановлення лічильників теплової енергії</t>
  </si>
  <si>
    <t xml:space="preserve">  Завдання: 44. Розробка схем та проектних рішень масового застосування міста Суми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</si>
  <si>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</si>
  <si>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</si>
  <si>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 Завдання: 47. Забезпечення надійного та безперебійного функціонування житлово-експлуатаційного господарства</t>
  </si>
  <si>
    <t xml:space="preserve">  Завдання: 48. Організація та проведення громадських робіт</t>
  </si>
  <si>
    <t>від                             року №               -МР</t>
  </si>
  <si>
    <t xml:space="preserve">                     Додаток 5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</si>
</sst>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60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1"/>
      <name val="Times New Roman"/>
      <family val="1"/>
    </font>
    <font>
      <sz val="8"/>
      <color indexed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i/>
      <sz val="8"/>
      <color indexed="10"/>
      <name val="Times New Roman"/>
      <family val="1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4" fontId="1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/>
    </xf>
    <xf numFmtId="0" fontId="5" fillId="34" borderId="11" xfId="0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198" fontId="8" fillId="34" borderId="11" xfId="0" applyNumberFormat="1" applyFont="1" applyFill="1" applyBorder="1" applyAlignment="1">
      <alignment horizontal="center" vertical="center"/>
    </xf>
    <xf numFmtId="198" fontId="5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4" fontId="1" fillId="3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2" fontId="1" fillId="34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wrapText="1"/>
    </xf>
    <xf numFmtId="2" fontId="5" fillId="38" borderId="11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wrapText="1"/>
    </xf>
    <xf numFmtId="4" fontId="11" fillId="38" borderId="11" xfId="0" applyNumberFormat="1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180" fontId="4" fillId="38" borderId="11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180" fontId="3" fillId="37" borderId="10" xfId="0" applyNumberFormat="1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84" fontId="1" fillId="37" borderId="10" xfId="0" applyNumberFormat="1" applyFont="1" applyFill="1" applyBorder="1" applyAlignment="1">
      <alignment horizontal="center" vertical="center" wrapText="1"/>
    </xf>
    <xf numFmtId="184" fontId="3" fillId="37" borderId="10" xfId="0" applyNumberFormat="1" applyFont="1" applyFill="1" applyBorder="1" applyAlignment="1">
      <alignment horizontal="center" vertical="center" wrapText="1"/>
    </xf>
    <xf numFmtId="3" fontId="1" fillId="37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01" fontId="1" fillId="37" borderId="10" xfId="0" applyNumberFormat="1" applyFont="1" applyFill="1" applyBorder="1" applyAlignment="1">
      <alignment horizontal="center" vertical="center" wrapText="1"/>
    </xf>
    <xf numFmtId="201" fontId="3" fillId="37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183" fontId="1" fillId="37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2" fontId="8" fillId="34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8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84" fontId="1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2" fontId="1" fillId="37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4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center" vertical="center"/>
    </xf>
    <xf numFmtId="200" fontId="8" fillId="34" borderId="11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9" borderId="10" xfId="0" applyFont="1" applyFill="1" applyBorder="1" applyAlignment="1">
      <alignment horizontal="center" vertical="center" wrapText="1"/>
    </xf>
    <xf numFmtId="4" fontId="1" fillId="39" borderId="10" xfId="0" applyNumberFormat="1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24" fillId="39" borderId="10" xfId="0" applyNumberFormat="1" applyFont="1" applyFill="1" applyBorder="1" applyAlignment="1">
      <alignment horizontal="center" vertical="center" wrapText="1"/>
    </xf>
    <xf numFmtId="2" fontId="1" fillId="39" borderId="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1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4" fontId="5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 wrapText="1"/>
    </xf>
    <xf numFmtId="0" fontId="5" fillId="39" borderId="0" xfId="0" applyFont="1" applyFill="1" applyAlignment="1">
      <alignment/>
    </xf>
    <xf numFmtId="0" fontId="25" fillId="39" borderId="0" xfId="0" applyFont="1" applyFill="1" applyAlignment="1">
      <alignment/>
    </xf>
    <xf numFmtId="0" fontId="1" fillId="37" borderId="10" xfId="0" applyFont="1" applyFill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" fontId="4" fillId="39" borderId="10" xfId="0" applyNumberFormat="1" applyFont="1" applyFill="1" applyBorder="1" applyAlignment="1">
      <alignment horizontal="center" vertical="center" wrapText="1"/>
    </xf>
    <xf numFmtId="180" fontId="4" fillId="39" borderId="10" xfId="0" applyNumberFormat="1" applyFont="1" applyFill="1" applyBorder="1" applyAlignment="1">
      <alignment horizontal="center" vertical="center" wrapText="1"/>
    </xf>
    <xf numFmtId="180" fontId="5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left" wrapText="1"/>
    </xf>
    <xf numFmtId="2" fontId="5" fillId="41" borderId="14" xfId="0" applyNumberFormat="1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2" fontId="5" fillId="41" borderId="11" xfId="0" applyNumberFormat="1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left" wrapText="1"/>
    </xf>
    <xf numFmtId="2" fontId="5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wrapText="1"/>
    </xf>
    <xf numFmtId="4" fontId="5" fillId="41" borderId="11" xfId="0" applyNumberFormat="1" applyFont="1" applyFill="1" applyBorder="1" applyAlignment="1">
      <alignment horizontal="center" vertical="center"/>
    </xf>
    <xf numFmtId="0" fontId="26" fillId="39" borderId="0" xfId="0" applyFont="1" applyFill="1" applyAlignment="1">
      <alignment/>
    </xf>
    <xf numFmtId="0" fontId="27" fillId="39" borderId="0" xfId="0" applyFont="1" applyFill="1" applyAlignment="1">
      <alignment/>
    </xf>
    <xf numFmtId="1" fontId="5" fillId="39" borderId="10" xfId="0" applyNumberFormat="1" applyFont="1" applyFill="1" applyBorder="1" applyAlignment="1">
      <alignment horizontal="center" vertical="center" wrapText="1"/>
    </xf>
    <xf numFmtId="2" fontId="5" fillId="40" borderId="11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4" fontId="5" fillId="40" borderId="11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wrapText="1"/>
    </xf>
    <xf numFmtId="4" fontId="5" fillId="41" borderId="10" xfId="0" applyNumberFormat="1" applyFont="1" applyFill="1" applyBorder="1" applyAlignment="1">
      <alignment horizontal="center" vertical="center"/>
    </xf>
    <xf numFmtId="2" fontId="5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2" fontId="5" fillId="39" borderId="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375"/>
          <c:h val="0.96575"/>
        </c:manualLayout>
      </c:layout>
      <c:barChart>
        <c:barDir val="col"/>
        <c:grouping val="clustered"/>
        <c:varyColors val="0"/>
        <c:axId val="52346834"/>
        <c:axId val="1359459"/>
      </c:bar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 val="autoZero"/>
        <c:auto val="1"/>
        <c:lblOffset val="100"/>
        <c:tickLblSkip val="1"/>
        <c:noMultiLvlLbl val="0"/>
      </c:catAx>
      <c:valAx>
        <c:axId val="1359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6834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02"/>
  <sheetViews>
    <sheetView tabSelected="1" view="pageBreakPreview" zoomScaleNormal="85" zoomScaleSheetLayoutView="100" workbookViewId="0" topLeftCell="A1">
      <selection activeCell="M2" sqref="M2:O2"/>
    </sheetView>
  </sheetViews>
  <sheetFormatPr defaultColWidth="9.33203125" defaultRowHeight="11.25"/>
  <cols>
    <col min="1" max="1" width="45.33203125" style="1" customWidth="1"/>
    <col min="2" max="2" width="9.5" style="1" hidden="1" customWidth="1"/>
    <col min="3" max="3" width="9.66015625" style="1" hidden="1" customWidth="1"/>
    <col min="4" max="4" width="17.16015625" style="1" customWidth="1"/>
    <col min="5" max="5" width="16.66015625" style="1" customWidth="1"/>
    <col min="6" max="6" width="17.66015625" style="1" customWidth="1"/>
    <col min="7" max="7" width="17.5" style="1" customWidth="1"/>
    <col min="8" max="8" width="16.16015625" style="1" customWidth="1"/>
    <col min="9" max="9" width="17.16015625" style="1" customWidth="1"/>
    <col min="10" max="12" width="16" style="1" hidden="1" customWidth="1"/>
    <col min="13" max="13" width="15.83203125" style="1" customWidth="1"/>
    <col min="14" max="14" width="17.5" style="1" customWidth="1"/>
    <col min="15" max="15" width="16.16015625" style="1" customWidth="1"/>
    <col min="16" max="16" width="0.328125" style="1" customWidth="1"/>
    <col min="17" max="234" width="10.33203125" style="1" customWidth="1"/>
  </cols>
  <sheetData>
    <row r="1" spans="13:15" ht="12.75">
      <c r="M1" s="226" t="s">
        <v>411</v>
      </c>
      <c r="N1" s="226"/>
      <c r="O1" s="226"/>
    </row>
    <row r="2" spans="13:15" ht="12.75">
      <c r="M2" s="226" t="s">
        <v>102</v>
      </c>
      <c r="N2" s="226"/>
      <c r="O2" s="226"/>
    </row>
    <row r="3" spans="13:15" ht="12.75">
      <c r="M3" s="226" t="s">
        <v>278</v>
      </c>
      <c r="N3" s="226"/>
      <c r="O3" s="226"/>
    </row>
    <row r="4" spans="13:15" ht="12.75">
      <c r="M4" s="226" t="s">
        <v>81</v>
      </c>
      <c r="N4" s="226"/>
      <c r="O4" s="226"/>
    </row>
    <row r="5" spans="13:15" ht="12.75">
      <c r="M5" s="226" t="s">
        <v>109</v>
      </c>
      <c r="N5" s="226"/>
      <c r="O5" s="226"/>
    </row>
    <row r="6" spans="13:15" ht="12.75">
      <c r="M6" s="226" t="s">
        <v>285</v>
      </c>
      <c r="N6" s="226"/>
      <c r="O6" s="226"/>
    </row>
    <row r="7" spans="8:16" ht="15.75">
      <c r="H7" s="164"/>
      <c r="M7" s="226" t="s">
        <v>410</v>
      </c>
      <c r="N7" s="226"/>
      <c r="O7" s="226"/>
      <c r="P7" s="42"/>
    </row>
    <row r="8" spans="8:16" ht="15.75">
      <c r="H8" s="73"/>
      <c r="M8" s="149"/>
      <c r="N8" s="149"/>
      <c r="O8" s="149"/>
      <c r="P8" s="42"/>
    </row>
    <row r="10" spans="1:15" ht="31.5" customHeight="1">
      <c r="A10" s="227" t="s">
        <v>110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</row>
    <row r="11" spans="1:15" ht="16.5" customHeight="1">
      <c r="A11" s="4"/>
      <c r="B11" s="4"/>
      <c r="C11" s="4"/>
      <c r="D11" s="4"/>
      <c r="E11" s="4"/>
      <c r="F11" s="163"/>
      <c r="G11" s="163"/>
      <c r="H11" s="163"/>
      <c r="I11" s="73"/>
      <c r="J11" s="4"/>
      <c r="M11" s="73"/>
      <c r="O11" s="4" t="s">
        <v>78</v>
      </c>
    </row>
    <row r="12" spans="1:240" ht="11.25" customHeight="1">
      <c r="A12" s="236"/>
      <c r="B12" s="239" t="s">
        <v>67</v>
      </c>
      <c r="C12" s="239" t="s">
        <v>68</v>
      </c>
      <c r="D12" s="229" t="s">
        <v>111</v>
      </c>
      <c r="E12" s="230"/>
      <c r="F12" s="231"/>
      <c r="G12" s="229" t="s">
        <v>112</v>
      </c>
      <c r="H12" s="230"/>
      <c r="I12" s="231"/>
      <c r="J12" s="3"/>
      <c r="K12" s="3"/>
      <c r="L12" s="3"/>
      <c r="M12" s="229" t="s">
        <v>113</v>
      </c>
      <c r="N12" s="230"/>
      <c r="O12" s="231"/>
      <c r="IA12" s="1"/>
      <c r="IB12" s="1"/>
      <c r="IC12" s="1"/>
      <c r="ID12" s="1"/>
      <c r="IE12" s="1"/>
      <c r="IF12" s="1"/>
    </row>
    <row r="13" spans="1:240" ht="12" customHeight="1">
      <c r="A13" s="237"/>
      <c r="B13" s="240"/>
      <c r="C13" s="240"/>
      <c r="D13" s="232" t="s">
        <v>69</v>
      </c>
      <c r="E13" s="233"/>
      <c r="F13" s="234" t="s">
        <v>54</v>
      </c>
      <c r="G13" s="232" t="s">
        <v>69</v>
      </c>
      <c r="H13" s="233"/>
      <c r="I13" s="234" t="s">
        <v>54</v>
      </c>
      <c r="J13" s="229" t="s">
        <v>53</v>
      </c>
      <c r="K13" s="230"/>
      <c r="L13" s="231"/>
      <c r="M13" s="232" t="s">
        <v>69</v>
      </c>
      <c r="N13" s="233"/>
      <c r="O13" s="234" t="s">
        <v>54</v>
      </c>
      <c r="IA13" s="1"/>
      <c r="IB13" s="1"/>
      <c r="IC13" s="1"/>
      <c r="ID13" s="1"/>
      <c r="IE13" s="1"/>
      <c r="IF13" s="1"/>
    </row>
    <row r="14" spans="1:240" ht="24.75" customHeight="1">
      <c r="A14" s="238"/>
      <c r="B14" s="241"/>
      <c r="C14" s="241"/>
      <c r="D14" s="3" t="s">
        <v>0</v>
      </c>
      <c r="E14" s="3" t="s">
        <v>1</v>
      </c>
      <c r="F14" s="235"/>
      <c r="G14" s="3" t="s">
        <v>0</v>
      </c>
      <c r="H14" s="3" t="s">
        <v>1</v>
      </c>
      <c r="I14" s="235"/>
      <c r="J14" s="3" t="s">
        <v>0</v>
      </c>
      <c r="K14" s="3" t="s">
        <v>1</v>
      </c>
      <c r="L14" s="3" t="s">
        <v>54</v>
      </c>
      <c r="M14" s="3" t="s">
        <v>0</v>
      </c>
      <c r="N14" s="3" t="s">
        <v>1</v>
      </c>
      <c r="O14" s="235"/>
      <c r="IA14" s="1"/>
      <c r="IB14" s="1"/>
      <c r="IC14" s="1"/>
      <c r="ID14" s="1"/>
      <c r="IE14" s="1"/>
      <c r="IF14" s="1"/>
    </row>
    <row r="15" spans="1:240" ht="11.25">
      <c r="A15" s="3">
        <v>1</v>
      </c>
      <c r="B15" s="3"/>
      <c r="C15" s="3"/>
      <c r="D15" s="3" t="s">
        <v>3</v>
      </c>
      <c r="E15" s="3" t="s">
        <v>4</v>
      </c>
      <c r="F15" s="3">
        <v>7</v>
      </c>
      <c r="G15" s="3">
        <v>8</v>
      </c>
      <c r="H15" s="3">
        <v>9</v>
      </c>
      <c r="I15" s="3">
        <v>10</v>
      </c>
      <c r="J15" s="3" t="s">
        <v>3</v>
      </c>
      <c r="K15" s="3" t="s">
        <v>4</v>
      </c>
      <c r="L15" s="3" t="s">
        <v>2</v>
      </c>
      <c r="M15" s="3">
        <v>11</v>
      </c>
      <c r="N15" s="3">
        <v>12</v>
      </c>
      <c r="O15" s="3">
        <v>13</v>
      </c>
      <c r="IA15" s="1"/>
      <c r="IB15" s="1"/>
      <c r="IC15" s="1"/>
      <c r="ID15" s="1"/>
      <c r="IE15" s="1"/>
      <c r="IF15" s="1"/>
    </row>
    <row r="16" spans="1:15" s="1" customFormat="1" ht="28.5" customHeight="1">
      <c r="A16" s="105" t="s">
        <v>95</v>
      </c>
      <c r="B16" s="105"/>
      <c r="C16" s="105"/>
      <c r="D16" s="106">
        <f>D23+D310+D388+D480+D496+D556+D570+D582+D597</f>
        <v>42115300.002</v>
      </c>
      <c r="E16" s="106">
        <f>E23+E310+E388+E480+E496+E556+E600</f>
        <v>42792920</v>
      </c>
      <c r="F16" s="106">
        <f>F23+F310+F388+F480+F496+F556+F570+F582+F600</f>
        <v>84908220.002</v>
      </c>
      <c r="G16" s="106">
        <f>G23+G310+G388+G480+G496+G582+G609+G643+G556+G652+G670</f>
        <v>69099949.99813</v>
      </c>
      <c r="H16" s="106">
        <f>H23+H310+H388+H480+H496+H597+H627+H643-12000000</f>
        <v>185150183</v>
      </c>
      <c r="I16" s="106">
        <f>G16+H16</f>
        <v>254250132.99813</v>
      </c>
      <c r="J16" s="106" t="e">
        <f>J23+J310+J388+J480+J496</f>
        <v>#REF!</v>
      </c>
      <c r="K16" s="106" t="e">
        <f>K23+K310+K388+K480+K496</f>
        <v>#REF!</v>
      </c>
      <c r="L16" s="106" t="e">
        <f>L23+L310+L388+L480+L496</f>
        <v>#REF!</v>
      </c>
      <c r="M16" s="106">
        <f>M23+M310+M388+M480+M496+M582+M556</f>
        <v>54506000</v>
      </c>
      <c r="N16" s="106">
        <f>N23+N310+N388+N480+N496</f>
        <v>43812500</v>
      </c>
      <c r="O16" s="106">
        <f>M16+N16</f>
        <v>98318500</v>
      </c>
    </row>
    <row r="17" spans="1:15" s="1" customFormat="1" ht="41.25" customHeight="1">
      <c r="A17" s="105" t="s">
        <v>80</v>
      </c>
      <c r="B17" s="105"/>
      <c r="C17" s="105"/>
      <c r="D17" s="106">
        <f>D24</f>
        <v>50736000</v>
      </c>
      <c r="E17" s="106">
        <f>E24</f>
        <v>58817800</v>
      </c>
      <c r="F17" s="106">
        <f>D17+E17</f>
        <v>109553800</v>
      </c>
      <c r="G17" s="106">
        <f>G24+G570</f>
        <v>69000639.78999999</v>
      </c>
      <c r="H17" s="106">
        <f>H24+12000000</f>
        <v>130625000</v>
      </c>
      <c r="I17" s="106">
        <f>G17+H17</f>
        <v>199625639.79</v>
      </c>
      <c r="J17" s="106">
        <f>J24</f>
        <v>0</v>
      </c>
      <c r="K17" s="106">
        <f>K24</f>
        <v>0</v>
      </c>
      <c r="L17" s="106">
        <f>L24</f>
        <v>0</v>
      </c>
      <c r="M17" s="106">
        <f>M24</f>
        <v>73060000</v>
      </c>
      <c r="N17" s="106">
        <f>N24</f>
        <v>78512500</v>
      </c>
      <c r="O17" s="106">
        <f>M17+N17</f>
        <v>151572500</v>
      </c>
    </row>
    <row r="18" spans="1:16" ht="41.25" customHeight="1">
      <c r="A18" s="105" t="s">
        <v>96</v>
      </c>
      <c r="B18" s="105"/>
      <c r="C18" s="105"/>
      <c r="D18" s="106">
        <f>D389+D444</f>
        <v>353680</v>
      </c>
      <c r="E18" s="106">
        <f>E389+E444</f>
        <v>534080</v>
      </c>
      <c r="F18" s="106">
        <f>D18+E18</f>
        <v>887760</v>
      </c>
      <c r="G18" s="106">
        <f>G389+G444</f>
        <v>220000</v>
      </c>
      <c r="H18" s="106">
        <f>H389+H444</f>
        <v>1183080</v>
      </c>
      <c r="I18" s="106">
        <f>G18+H18</f>
        <v>1403080</v>
      </c>
      <c r="J18" s="106">
        <f>J389+J444</f>
        <v>0</v>
      </c>
      <c r="K18" s="106">
        <f>K389+K444</f>
        <v>0</v>
      </c>
      <c r="L18" s="106">
        <f>L389+L444</f>
        <v>0</v>
      </c>
      <c r="M18" s="106">
        <f>M389+M444</f>
        <v>413680</v>
      </c>
      <c r="N18" s="106">
        <f>N389+N444</f>
        <v>474080</v>
      </c>
      <c r="O18" s="106">
        <f>M18+N18</f>
        <v>887760</v>
      </c>
      <c r="P18" s="73"/>
    </row>
    <row r="19" spans="1:16" ht="29.25" customHeight="1">
      <c r="A19" s="105" t="s">
        <v>94</v>
      </c>
      <c r="B19" s="105"/>
      <c r="C19" s="105"/>
      <c r="D19" s="106">
        <f>D26</f>
        <v>132300</v>
      </c>
      <c r="E19" s="106">
        <f>E26</f>
        <v>0</v>
      </c>
      <c r="F19" s="106">
        <f>D19+E19</f>
        <v>132300</v>
      </c>
      <c r="G19" s="106">
        <f>G26</f>
        <v>135000</v>
      </c>
      <c r="H19" s="106">
        <f>H26</f>
        <v>0</v>
      </c>
      <c r="I19" s="106">
        <f>G19+H19</f>
        <v>135000</v>
      </c>
      <c r="J19" s="106">
        <f>J26</f>
        <v>0</v>
      </c>
      <c r="K19" s="106">
        <f>K26</f>
        <v>0</v>
      </c>
      <c r="L19" s="106">
        <f>L26</f>
        <v>0</v>
      </c>
      <c r="M19" s="106">
        <f>M26</f>
        <v>165000</v>
      </c>
      <c r="N19" s="106">
        <f>N26</f>
        <v>0</v>
      </c>
      <c r="O19" s="106">
        <f>M19+N19</f>
        <v>165000</v>
      </c>
      <c r="P19" s="73"/>
    </row>
    <row r="20" spans="1:16" ht="20.25" customHeight="1">
      <c r="A20" s="105" t="s">
        <v>254</v>
      </c>
      <c r="B20" s="105"/>
      <c r="C20" s="105"/>
      <c r="D20" s="106">
        <f>D16+D17+D18+D19</f>
        <v>93337280.002</v>
      </c>
      <c r="E20" s="106">
        <f>E16+E17+E18+E19</f>
        <v>102144800</v>
      </c>
      <c r="F20" s="106">
        <f>F16+F17+F18+F19</f>
        <v>195482080.002</v>
      </c>
      <c r="G20" s="106">
        <f aca="true" t="shared" si="0" ref="G20:O20">G16+G17+G18+G19</f>
        <v>138455589.78813</v>
      </c>
      <c r="H20" s="106">
        <f>H16+H17+H18+H19</f>
        <v>316958263</v>
      </c>
      <c r="I20" s="106">
        <f t="shared" si="0"/>
        <v>455413852.78813</v>
      </c>
      <c r="J20" s="106" t="e">
        <f t="shared" si="0"/>
        <v>#REF!</v>
      </c>
      <c r="K20" s="106" t="e">
        <f t="shared" si="0"/>
        <v>#REF!</v>
      </c>
      <c r="L20" s="106" t="e">
        <f t="shared" si="0"/>
        <v>#REF!</v>
      </c>
      <c r="M20" s="106">
        <f t="shared" si="0"/>
        <v>128144680</v>
      </c>
      <c r="N20" s="106">
        <f t="shared" si="0"/>
        <v>122799080</v>
      </c>
      <c r="O20" s="106">
        <f t="shared" si="0"/>
        <v>250943760</v>
      </c>
      <c r="P20" s="73"/>
    </row>
    <row r="21" spans="1:16" ht="18.75" customHeight="1">
      <c r="A21" s="104" t="s">
        <v>253</v>
      </c>
      <c r="B21" s="37"/>
      <c r="C21" s="37"/>
      <c r="D21" s="102">
        <f>D23+D24+D26</f>
        <v>85352300</v>
      </c>
      <c r="E21" s="102">
        <f aca="true" t="shared" si="1" ref="E21:O21">E23+E24+E26</f>
        <v>73485300</v>
      </c>
      <c r="F21" s="102">
        <f>F23+F24+F26</f>
        <v>158837600</v>
      </c>
      <c r="G21" s="102">
        <f>G23+G24+G26</f>
        <v>113998889.78999999</v>
      </c>
      <c r="H21" s="102">
        <f>H23+H24+H26</f>
        <v>147776300</v>
      </c>
      <c r="I21" s="102">
        <f t="shared" si="1"/>
        <v>261775189.79</v>
      </c>
      <c r="J21" s="102">
        <f t="shared" si="1"/>
        <v>-1039.33</v>
      </c>
      <c r="K21" s="102">
        <f t="shared" si="1"/>
        <v>-1039.33</v>
      </c>
      <c r="L21" s="102">
        <f t="shared" si="1"/>
        <v>-1039.33</v>
      </c>
      <c r="M21" s="102">
        <f t="shared" si="1"/>
        <v>124841000</v>
      </c>
      <c r="N21" s="102">
        <f t="shared" si="1"/>
        <v>96595000</v>
      </c>
      <c r="O21" s="102">
        <f t="shared" si="1"/>
        <v>221436000</v>
      </c>
      <c r="P21" s="73"/>
    </row>
    <row r="22" spans="1:16" ht="27" customHeight="1">
      <c r="A22" s="29" t="s">
        <v>255</v>
      </c>
      <c r="B22" s="9"/>
      <c r="C22" s="9"/>
      <c r="D22" s="13"/>
      <c r="E22" s="12"/>
      <c r="F22" s="13"/>
      <c r="G22" s="13"/>
      <c r="H22" s="13"/>
      <c r="I22" s="13"/>
      <c r="J22" s="14"/>
      <c r="K22" s="14"/>
      <c r="L22" s="15"/>
      <c r="M22" s="13"/>
      <c r="N22" s="12"/>
      <c r="O22" s="13"/>
      <c r="P22" s="73"/>
    </row>
    <row r="23" spans="1:15" ht="15" customHeight="1">
      <c r="A23" s="24" t="s">
        <v>122</v>
      </c>
      <c r="B23" s="16"/>
      <c r="C23" s="16"/>
      <c r="D23" s="102">
        <f>D64+(D79*D82)+D128+D156+D205+D259+D271+D291+D301+D86</f>
        <v>34484000</v>
      </c>
      <c r="E23" s="102">
        <f>E64+(E79*E82)+E128+E156+E205+E259+E271+E291+E301</f>
        <v>14667500</v>
      </c>
      <c r="F23" s="102">
        <f>D23+E23</f>
        <v>49151500</v>
      </c>
      <c r="G23" s="102">
        <f>G64+(G79*G82)+G128+G156+G205+G259+G271+G291+G301+G86-49950</f>
        <v>52943250</v>
      </c>
      <c r="H23" s="102">
        <f>H64+(H79*H82)+H128+H156+H205+H259+H271+H291+H301-300-H307+3000000</f>
        <v>29151300</v>
      </c>
      <c r="I23" s="102">
        <f>G23+H23</f>
        <v>82094550</v>
      </c>
      <c r="J23" s="102">
        <f>J64+(J79*J82)+J128+J156+J205+J259+J271+J291+J301</f>
        <v>-1039.33</v>
      </c>
      <c r="K23" s="102">
        <f>K64+(K79*K82)+K128+K156+K205+K259+K271+K291+K301</f>
        <v>-1039.33</v>
      </c>
      <c r="L23" s="102">
        <f>L64+(L79*L82)+L128+L156+L205+L259+L271+L291+L301</f>
        <v>-1039.33</v>
      </c>
      <c r="M23" s="102">
        <f>M64+(M79*M82)+M128+M156+M205+M259+M271+M291+M301</f>
        <v>51616000</v>
      </c>
      <c r="N23" s="102">
        <f>N64+(N79*N82)+N128+N156+N205+N259+N271+N291+N301</f>
        <v>18082500</v>
      </c>
      <c r="O23" s="102">
        <f>M23+N23</f>
        <v>69698500</v>
      </c>
    </row>
    <row r="24" spans="1:15" ht="13.5" customHeight="1">
      <c r="A24" s="24" t="s">
        <v>123</v>
      </c>
      <c r="B24" s="16"/>
      <c r="C24" s="16"/>
      <c r="D24" s="102">
        <f>D27+D37+D46+D93+D100-D26</f>
        <v>50736000</v>
      </c>
      <c r="E24" s="102">
        <f>E27+E37+E46+E93+E100-E26+(E78*E81)</f>
        <v>58817800</v>
      </c>
      <c r="F24" s="102">
        <f>D24+E24</f>
        <v>109553800</v>
      </c>
      <c r="G24" s="102">
        <f>G27+G37+G46+G93+G100-G26</f>
        <v>60920639.79</v>
      </c>
      <c r="H24" s="102">
        <f>H27+H37+H46+H93+H100-H26+(I78*I81)+150+H307-2925000</f>
        <v>118625000</v>
      </c>
      <c r="I24" s="102">
        <f>G24+H24</f>
        <v>179545639.79</v>
      </c>
      <c r="J24" s="102">
        <f>J27+J37+J46+J93+J100-J26+(K78*K81)</f>
        <v>0</v>
      </c>
      <c r="K24" s="102">
        <f>K27+K37+K46+K93+K100-K26+(L78*L81)</f>
        <v>0</v>
      </c>
      <c r="L24" s="102">
        <f>L27+L37+L46+L93+L100-L26+(M78*M81)</f>
        <v>0</v>
      </c>
      <c r="M24" s="102">
        <f>M27+M37+M46+M93+M100-M26</f>
        <v>73060000</v>
      </c>
      <c r="N24" s="102">
        <f>N27+N37+N46+N93+N100-N26+(O78*O81)-737500</f>
        <v>78512500</v>
      </c>
      <c r="O24" s="102">
        <f>M24+N24</f>
        <v>151572500</v>
      </c>
    </row>
    <row r="25" spans="1:15" ht="30.75" customHeight="1" hidden="1">
      <c r="A25" s="24"/>
      <c r="B25" s="16"/>
      <c r="C25" s="16"/>
      <c r="D25" s="102">
        <f aca="true" t="shared" si="2" ref="D25:M25">D27+D37+D64+D46+D100</f>
        <v>57221000</v>
      </c>
      <c r="E25" s="102">
        <f t="shared" si="2"/>
        <v>25700000</v>
      </c>
      <c r="F25" s="102">
        <f>D25+E25</f>
        <v>82921000</v>
      </c>
      <c r="G25" s="102">
        <f t="shared" si="2"/>
        <v>73655639.79</v>
      </c>
      <c r="H25" s="102">
        <f t="shared" si="2"/>
        <v>72700000</v>
      </c>
      <c r="I25" s="102">
        <f>G25+H25</f>
        <v>146355639.79000002</v>
      </c>
      <c r="J25" s="102">
        <f t="shared" si="2"/>
        <v>0</v>
      </c>
      <c r="K25" s="102">
        <f t="shared" si="2"/>
        <v>0</v>
      </c>
      <c r="L25" s="102">
        <f t="shared" si="2"/>
        <v>0</v>
      </c>
      <c r="M25" s="102">
        <f t="shared" si="2"/>
        <v>84725000</v>
      </c>
      <c r="N25" s="102" t="e">
        <f>N28+N38+#REF!+#REF!</f>
        <v>#REF!</v>
      </c>
      <c r="O25" s="102" t="e">
        <f>M25+N25</f>
        <v>#REF!</v>
      </c>
    </row>
    <row r="26" spans="1:15" ht="13.5" customHeight="1">
      <c r="A26" s="24" t="s">
        <v>252</v>
      </c>
      <c r="B26" s="16"/>
      <c r="C26" s="16"/>
      <c r="D26" s="102">
        <v>132300</v>
      </c>
      <c r="E26" s="102"/>
      <c r="F26" s="102">
        <f>D26+E26</f>
        <v>132300</v>
      </c>
      <c r="G26" s="102">
        <v>135000</v>
      </c>
      <c r="H26" s="102"/>
      <c r="I26" s="102">
        <f>G26+H26</f>
        <v>135000</v>
      </c>
      <c r="J26" s="102"/>
      <c r="K26" s="102"/>
      <c r="L26" s="102"/>
      <c r="M26" s="102">
        <v>165000</v>
      </c>
      <c r="N26" s="102"/>
      <c r="O26" s="102">
        <f>M26+N26</f>
        <v>165000</v>
      </c>
    </row>
    <row r="27" spans="1:234" s="214" customFormat="1" ht="33.75">
      <c r="A27" s="182" t="s">
        <v>59</v>
      </c>
      <c r="B27" s="191"/>
      <c r="C27" s="191"/>
      <c r="D27" s="192"/>
      <c r="E27" s="192">
        <f>E33*E31</f>
        <v>22500000</v>
      </c>
      <c r="F27" s="192">
        <f>F33*F31</f>
        <v>22500000</v>
      </c>
      <c r="G27" s="192"/>
      <c r="H27" s="192">
        <v>71500000</v>
      </c>
      <c r="I27" s="192">
        <f>H27</f>
        <v>71500000</v>
      </c>
      <c r="J27" s="199"/>
      <c r="K27" s="199"/>
      <c r="L27" s="200"/>
      <c r="M27" s="192"/>
      <c r="N27" s="192">
        <f>(N33*N31)</f>
        <v>32400000</v>
      </c>
      <c r="O27" s="192">
        <f>(O33*O31)</f>
        <v>32400000</v>
      </c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3"/>
      <c r="FK27" s="213"/>
      <c r="FL27" s="213"/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13"/>
      <c r="FY27" s="213"/>
      <c r="FZ27" s="213"/>
      <c r="GA27" s="213"/>
      <c r="GB27" s="213"/>
      <c r="GC27" s="213"/>
      <c r="GD27" s="213"/>
      <c r="GE27" s="213"/>
      <c r="GF27" s="213"/>
      <c r="GG27" s="213"/>
      <c r="GH27" s="213"/>
      <c r="GI27" s="213"/>
      <c r="GJ27" s="213"/>
      <c r="GK27" s="213"/>
      <c r="GL27" s="213"/>
      <c r="GM27" s="213"/>
      <c r="GN27" s="213"/>
      <c r="GO27" s="213"/>
      <c r="GP27" s="213"/>
      <c r="GQ27" s="213"/>
      <c r="GR27" s="213"/>
      <c r="GS27" s="213"/>
      <c r="GT27" s="213"/>
      <c r="GU27" s="213"/>
      <c r="GV27" s="213"/>
      <c r="GW27" s="213"/>
      <c r="GX27" s="213"/>
      <c r="GY27" s="213"/>
      <c r="GZ27" s="213"/>
      <c r="HA27" s="213"/>
      <c r="HB27" s="213"/>
      <c r="HC27" s="213"/>
      <c r="HD27" s="213"/>
      <c r="HE27" s="213"/>
      <c r="HF27" s="213"/>
      <c r="HG27" s="213"/>
      <c r="HH27" s="213"/>
      <c r="HI27" s="213"/>
      <c r="HJ27" s="213"/>
      <c r="HK27" s="213"/>
      <c r="HL27" s="213"/>
      <c r="HM27" s="213"/>
      <c r="HN27" s="213"/>
      <c r="HO27" s="213"/>
      <c r="HP27" s="213"/>
      <c r="HQ27" s="213"/>
      <c r="HR27" s="213"/>
      <c r="HS27" s="213"/>
      <c r="HT27" s="213"/>
      <c r="HU27" s="213"/>
      <c r="HV27" s="213"/>
      <c r="HW27" s="213"/>
      <c r="HX27" s="213"/>
      <c r="HY27" s="213"/>
      <c r="HZ27" s="213"/>
    </row>
    <row r="28" spans="1:234" s="82" customFormat="1" ht="12">
      <c r="A28" s="91" t="s">
        <v>5</v>
      </c>
      <c r="B28" s="113"/>
      <c r="C28" s="113"/>
      <c r="D28" s="127"/>
      <c r="E28" s="111"/>
      <c r="F28" s="127"/>
      <c r="G28" s="127"/>
      <c r="H28" s="111"/>
      <c r="I28" s="127"/>
      <c r="J28" s="116"/>
      <c r="K28" s="116"/>
      <c r="L28" s="117"/>
      <c r="M28" s="127"/>
      <c r="N28" s="111"/>
      <c r="O28" s="127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</row>
    <row r="29" spans="1:234" s="82" customFormat="1" ht="27" customHeight="1">
      <c r="A29" s="92" t="s">
        <v>10</v>
      </c>
      <c r="B29" s="107"/>
      <c r="C29" s="107"/>
      <c r="D29" s="107"/>
      <c r="E29" s="115">
        <v>270000</v>
      </c>
      <c r="F29" s="115">
        <f>E29</f>
        <v>270000</v>
      </c>
      <c r="G29" s="107"/>
      <c r="H29" s="115">
        <v>270000</v>
      </c>
      <c r="I29" s="115">
        <f>H29</f>
        <v>270000</v>
      </c>
      <c r="J29" s="116"/>
      <c r="K29" s="116"/>
      <c r="L29" s="117"/>
      <c r="M29" s="107"/>
      <c r="N29" s="115">
        <v>300000</v>
      </c>
      <c r="O29" s="115">
        <f>N29</f>
        <v>300000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</row>
    <row r="30" spans="1:234" s="82" customFormat="1" ht="12">
      <c r="A30" s="91" t="s">
        <v>6</v>
      </c>
      <c r="B30" s="113"/>
      <c r="C30" s="113"/>
      <c r="D30" s="107"/>
      <c r="E30" s="127"/>
      <c r="F30" s="127"/>
      <c r="G30" s="107"/>
      <c r="H30" s="127"/>
      <c r="I30" s="127"/>
      <c r="J30" s="116"/>
      <c r="K30" s="116"/>
      <c r="L30" s="117"/>
      <c r="M30" s="107"/>
      <c r="N30" s="127"/>
      <c r="O30" s="127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</row>
    <row r="31" spans="1:234" s="82" customFormat="1" ht="22.5">
      <c r="A31" s="92" t="s">
        <v>13</v>
      </c>
      <c r="B31" s="107"/>
      <c r="C31" s="107"/>
      <c r="D31" s="107"/>
      <c r="E31" s="115">
        <f>50000+25000</f>
        <v>75000</v>
      </c>
      <c r="F31" s="115">
        <f>E31</f>
        <v>75000</v>
      </c>
      <c r="G31" s="107"/>
      <c r="H31" s="110">
        <f>50000+25000+103750</f>
        <v>178750</v>
      </c>
      <c r="I31" s="115">
        <f>H31</f>
        <v>178750</v>
      </c>
      <c r="J31" s="116"/>
      <c r="K31" s="116"/>
      <c r="L31" s="117"/>
      <c r="M31" s="107"/>
      <c r="N31" s="115">
        <f>54000+27000</f>
        <v>81000</v>
      </c>
      <c r="O31" s="115">
        <f>N31</f>
        <v>81000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</row>
    <row r="32" spans="1:234" s="82" customFormat="1" ht="12">
      <c r="A32" s="91" t="s">
        <v>8</v>
      </c>
      <c r="B32" s="113"/>
      <c r="C32" s="113"/>
      <c r="D32" s="107"/>
      <c r="E32" s="127"/>
      <c r="F32" s="127"/>
      <c r="G32" s="107"/>
      <c r="H32" s="112"/>
      <c r="I32" s="127"/>
      <c r="J32" s="116"/>
      <c r="K32" s="116"/>
      <c r="L32" s="117"/>
      <c r="M32" s="107"/>
      <c r="N32" s="127"/>
      <c r="O32" s="127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</row>
    <row r="33" spans="1:234" s="82" customFormat="1" ht="22.5">
      <c r="A33" s="92" t="s">
        <v>18</v>
      </c>
      <c r="B33" s="107"/>
      <c r="C33" s="107"/>
      <c r="D33" s="107"/>
      <c r="E33" s="110">
        <v>300</v>
      </c>
      <c r="F33" s="110">
        <f>E33</f>
        <v>300</v>
      </c>
      <c r="G33" s="107"/>
      <c r="H33" s="110">
        <v>400</v>
      </c>
      <c r="I33" s="110">
        <f>H33</f>
        <v>400</v>
      </c>
      <c r="J33" s="116"/>
      <c r="K33" s="116"/>
      <c r="L33" s="117"/>
      <c r="M33" s="107"/>
      <c r="N33" s="110">
        <v>400</v>
      </c>
      <c r="O33" s="110">
        <f>N33</f>
        <v>400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</row>
    <row r="34" spans="1:234" s="82" customFormat="1" ht="12">
      <c r="A34" s="91" t="s">
        <v>7</v>
      </c>
      <c r="B34" s="113"/>
      <c r="C34" s="113"/>
      <c r="D34" s="107"/>
      <c r="E34" s="127"/>
      <c r="F34" s="127"/>
      <c r="G34" s="107"/>
      <c r="H34" s="112"/>
      <c r="I34" s="127"/>
      <c r="J34" s="116"/>
      <c r="K34" s="116"/>
      <c r="L34" s="117"/>
      <c r="M34" s="107"/>
      <c r="N34" s="127"/>
      <c r="O34" s="127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</row>
    <row r="35" spans="1:234" s="82" customFormat="1" ht="22.5">
      <c r="A35" s="92" t="s">
        <v>24</v>
      </c>
      <c r="B35" s="107"/>
      <c r="C35" s="107"/>
      <c r="D35" s="107"/>
      <c r="E35" s="110">
        <f>E31/E29*100</f>
        <v>27.77777777777778</v>
      </c>
      <c r="F35" s="110">
        <f>F31/F29*100</f>
        <v>27.77777777777778</v>
      </c>
      <c r="G35" s="107"/>
      <c r="H35" s="110">
        <f>H31/H29*100</f>
        <v>66.20370370370371</v>
      </c>
      <c r="I35" s="110">
        <f>I31/I29*100</f>
        <v>66.20370370370371</v>
      </c>
      <c r="J35" s="116"/>
      <c r="K35" s="116"/>
      <c r="L35" s="117"/>
      <c r="M35" s="107"/>
      <c r="N35" s="110">
        <f>N31/N29*100</f>
        <v>27</v>
      </c>
      <c r="O35" s="110">
        <f>O31/O29*100</f>
        <v>27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</row>
    <row r="36" spans="1:234" s="82" customFormat="1" ht="15.75" customHeight="1">
      <c r="A36" s="24" t="s">
        <v>253</v>
      </c>
      <c r="B36" s="41"/>
      <c r="C36" s="41"/>
      <c r="D36" s="41"/>
      <c r="E36" s="86"/>
      <c r="F36" s="86"/>
      <c r="G36" s="41"/>
      <c r="H36" s="86"/>
      <c r="I36" s="86"/>
      <c r="J36" s="39"/>
      <c r="K36" s="39"/>
      <c r="L36" s="40"/>
      <c r="M36" s="41"/>
      <c r="N36" s="86"/>
      <c r="O36" s="86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</row>
    <row r="37" spans="1:234" s="214" customFormat="1" ht="35.25" customHeight="1">
      <c r="A37" s="182" t="s">
        <v>114</v>
      </c>
      <c r="B37" s="191"/>
      <c r="C37" s="191"/>
      <c r="D37" s="193">
        <f>D43*D41+100</f>
        <v>29500000</v>
      </c>
      <c r="E37" s="193"/>
      <c r="F37" s="193">
        <f>F43*F41+100</f>
        <v>29500000</v>
      </c>
      <c r="G37" s="193">
        <f>G41*G43+120</f>
        <v>35400000</v>
      </c>
      <c r="H37" s="193"/>
      <c r="I37" s="193">
        <f>G37</f>
        <v>35400000</v>
      </c>
      <c r="J37" s="199"/>
      <c r="K37" s="199"/>
      <c r="L37" s="200"/>
      <c r="M37" s="193">
        <f>M41*M43</f>
        <v>42480000</v>
      </c>
      <c r="N37" s="193"/>
      <c r="O37" s="193">
        <f>M37</f>
        <v>42480000</v>
      </c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213"/>
      <c r="FK37" s="213"/>
      <c r="FL37" s="213"/>
      <c r="FM37" s="213"/>
      <c r="FN37" s="213"/>
      <c r="FO37" s="213"/>
      <c r="FP37" s="213"/>
      <c r="FQ37" s="213"/>
      <c r="FR37" s="213"/>
      <c r="FS37" s="213"/>
      <c r="FT37" s="213"/>
      <c r="FU37" s="213"/>
      <c r="FV37" s="213"/>
      <c r="FW37" s="213"/>
      <c r="FX37" s="213"/>
      <c r="FY37" s="213"/>
      <c r="FZ37" s="213"/>
      <c r="GA37" s="213"/>
      <c r="GB37" s="213"/>
      <c r="GC37" s="213"/>
      <c r="GD37" s="213"/>
      <c r="GE37" s="213"/>
      <c r="GF37" s="213"/>
      <c r="GG37" s="213"/>
      <c r="GH37" s="213"/>
      <c r="GI37" s="213"/>
      <c r="GJ37" s="213"/>
      <c r="GK37" s="213"/>
      <c r="GL37" s="213"/>
      <c r="GM37" s="213"/>
      <c r="GN37" s="213"/>
      <c r="GO37" s="213"/>
      <c r="GP37" s="213"/>
      <c r="GQ37" s="213"/>
      <c r="GR37" s="213"/>
      <c r="GS37" s="213"/>
      <c r="GT37" s="213"/>
      <c r="GU37" s="213"/>
      <c r="GV37" s="213"/>
      <c r="GW37" s="213"/>
      <c r="GX37" s="213"/>
      <c r="GY37" s="213"/>
      <c r="GZ37" s="213"/>
      <c r="HA37" s="213"/>
      <c r="HB37" s="213"/>
      <c r="HC37" s="213"/>
      <c r="HD37" s="213"/>
      <c r="HE37" s="213"/>
      <c r="HF37" s="213"/>
      <c r="HG37" s="213"/>
      <c r="HH37" s="213"/>
      <c r="HI37" s="213"/>
      <c r="HJ37" s="213"/>
      <c r="HK37" s="213"/>
      <c r="HL37" s="213"/>
      <c r="HM37" s="213"/>
      <c r="HN37" s="213"/>
      <c r="HO37" s="213"/>
      <c r="HP37" s="213"/>
      <c r="HQ37" s="213"/>
      <c r="HR37" s="213"/>
      <c r="HS37" s="213"/>
      <c r="HT37" s="213"/>
      <c r="HU37" s="213"/>
      <c r="HV37" s="213"/>
      <c r="HW37" s="213"/>
      <c r="HX37" s="213"/>
      <c r="HY37" s="213"/>
      <c r="HZ37" s="213"/>
    </row>
    <row r="38" spans="1:234" s="82" customFormat="1" ht="12">
      <c r="A38" s="91" t="s">
        <v>5</v>
      </c>
      <c r="B38" s="113"/>
      <c r="C38" s="113"/>
      <c r="D38" s="110"/>
      <c r="E38" s="107"/>
      <c r="F38" s="110"/>
      <c r="G38" s="110"/>
      <c r="H38" s="107"/>
      <c r="I38" s="110"/>
      <c r="J38" s="116"/>
      <c r="K38" s="116"/>
      <c r="L38" s="117"/>
      <c r="M38" s="110"/>
      <c r="N38" s="107"/>
      <c r="O38" s="110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</row>
    <row r="39" spans="1:234" s="82" customFormat="1" ht="22.5">
      <c r="A39" s="92" t="s">
        <v>11</v>
      </c>
      <c r="B39" s="107"/>
      <c r="C39" s="107"/>
      <c r="D39" s="115">
        <v>292000</v>
      </c>
      <c r="E39" s="107"/>
      <c r="F39" s="115">
        <f>D39</f>
        <v>292000</v>
      </c>
      <c r="G39" s="115">
        <v>292000</v>
      </c>
      <c r="H39" s="107"/>
      <c r="I39" s="115">
        <f>G39</f>
        <v>292000</v>
      </c>
      <c r="J39" s="116"/>
      <c r="K39" s="116"/>
      <c r="L39" s="117"/>
      <c r="M39" s="115">
        <v>300000</v>
      </c>
      <c r="N39" s="107"/>
      <c r="O39" s="115">
        <f>M39</f>
        <v>300000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</row>
    <row r="40" spans="1:234" s="82" customFormat="1" ht="12">
      <c r="A40" s="91" t="s">
        <v>6</v>
      </c>
      <c r="B40" s="113"/>
      <c r="C40" s="113"/>
      <c r="D40" s="110"/>
      <c r="E40" s="107"/>
      <c r="F40" s="110"/>
      <c r="G40" s="110"/>
      <c r="H40" s="107"/>
      <c r="I40" s="110"/>
      <c r="J40" s="116"/>
      <c r="K40" s="116"/>
      <c r="L40" s="117"/>
      <c r="M40" s="110"/>
      <c r="N40" s="107"/>
      <c r="O40" s="110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</row>
    <row r="41" spans="1:234" s="82" customFormat="1" ht="22.5">
      <c r="A41" s="92" t="s">
        <v>12</v>
      </c>
      <c r="B41" s="107"/>
      <c r="C41" s="107"/>
      <c r="D41" s="115">
        <f>73333+25000</f>
        <v>98333</v>
      </c>
      <c r="E41" s="107"/>
      <c r="F41" s="115">
        <f>D41</f>
        <v>98333</v>
      </c>
      <c r="G41" s="115">
        <f>73333+25000</f>
        <v>98333</v>
      </c>
      <c r="H41" s="107"/>
      <c r="I41" s="115">
        <f>G41</f>
        <v>98333</v>
      </c>
      <c r="J41" s="116"/>
      <c r="K41" s="116"/>
      <c r="L41" s="117"/>
      <c r="M41" s="115">
        <f>79200+27000</f>
        <v>106200</v>
      </c>
      <c r="N41" s="107"/>
      <c r="O41" s="115">
        <f>M41</f>
        <v>106200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</row>
    <row r="42" spans="1:234" s="82" customFormat="1" ht="12">
      <c r="A42" s="91" t="s">
        <v>8</v>
      </c>
      <c r="B42" s="113"/>
      <c r="C42" s="113"/>
      <c r="D42" s="110"/>
      <c r="E42" s="107"/>
      <c r="F42" s="110"/>
      <c r="G42" s="110"/>
      <c r="H42" s="107"/>
      <c r="I42" s="110"/>
      <c r="J42" s="116"/>
      <c r="K42" s="116"/>
      <c r="L42" s="117"/>
      <c r="M42" s="110"/>
      <c r="N42" s="107"/>
      <c r="O42" s="110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</row>
    <row r="43" spans="1:234" s="82" customFormat="1" ht="24" customHeight="1">
      <c r="A43" s="92" t="s">
        <v>21</v>
      </c>
      <c r="B43" s="107"/>
      <c r="C43" s="107"/>
      <c r="D43" s="110">
        <v>300</v>
      </c>
      <c r="E43" s="107"/>
      <c r="F43" s="110">
        <f>D43</f>
        <v>300</v>
      </c>
      <c r="G43" s="110">
        <v>360</v>
      </c>
      <c r="H43" s="107"/>
      <c r="I43" s="110">
        <f>G43</f>
        <v>360</v>
      </c>
      <c r="J43" s="116"/>
      <c r="K43" s="116"/>
      <c r="L43" s="117"/>
      <c r="M43" s="110">
        <v>400</v>
      </c>
      <c r="N43" s="107"/>
      <c r="O43" s="110">
        <f>M43</f>
        <v>400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</row>
    <row r="44" spans="1:234" s="82" customFormat="1" ht="12">
      <c r="A44" s="91" t="s">
        <v>7</v>
      </c>
      <c r="B44" s="113"/>
      <c r="C44" s="113"/>
      <c r="D44" s="110"/>
      <c r="E44" s="107"/>
      <c r="F44" s="110"/>
      <c r="G44" s="110"/>
      <c r="H44" s="107"/>
      <c r="I44" s="110"/>
      <c r="J44" s="116"/>
      <c r="K44" s="116"/>
      <c r="L44" s="117"/>
      <c r="M44" s="110"/>
      <c r="N44" s="107"/>
      <c r="O44" s="110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</row>
    <row r="45" spans="1:234" s="82" customFormat="1" ht="21.75" customHeight="1">
      <c r="A45" s="92" t="s">
        <v>23</v>
      </c>
      <c r="B45" s="107"/>
      <c r="C45" s="107"/>
      <c r="D45" s="110">
        <f aca="true" t="shared" si="3" ref="D45:I45">D41/D39*100</f>
        <v>33.67568493150685</v>
      </c>
      <c r="E45" s="110"/>
      <c r="F45" s="110">
        <f t="shared" si="3"/>
        <v>33.67568493150685</v>
      </c>
      <c r="G45" s="110">
        <f t="shared" si="3"/>
        <v>33.67568493150685</v>
      </c>
      <c r="H45" s="110"/>
      <c r="I45" s="110">
        <f t="shared" si="3"/>
        <v>33.67568493150685</v>
      </c>
      <c r="J45" s="116"/>
      <c r="K45" s="116"/>
      <c r="L45" s="117"/>
      <c r="M45" s="110">
        <f>M41/M39*100</f>
        <v>35.4</v>
      </c>
      <c r="N45" s="110"/>
      <c r="O45" s="110">
        <f>O41/O39*100</f>
        <v>35.4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</row>
    <row r="46" spans="1:234" s="214" customFormat="1" ht="28.5" customHeight="1">
      <c r="A46" s="182" t="s">
        <v>115</v>
      </c>
      <c r="B46" s="191"/>
      <c r="C46" s="191"/>
      <c r="D46" s="193">
        <f>(D50*D52)+0.4</f>
        <v>19000000</v>
      </c>
      <c r="E46" s="193"/>
      <c r="F46" s="193">
        <f>(F50*F52)+0.4</f>
        <v>19000000</v>
      </c>
      <c r="G46" s="193">
        <f>G50*G52+0.48</f>
        <v>22800000</v>
      </c>
      <c r="H46" s="193"/>
      <c r="I46" s="193">
        <f>G46</f>
        <v>22800000</v>
      </c>
      <c r="J46" s="199"/>
      <c r="K46" s="199"/>
      <c r="L46" s="200"/>
      <c r="M46" s="193">
        <f>M50*M52</f>
        <v>27360000</v>
      </c>
      <c r="N46" s="193"/>
      <c r="O46" s="193">
        <f>M46</f>
        <v>27360000</v>
      </c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3"/>
      <c r="DE46" s="213"/>
      <c r="DF46" s="213"/>
      <c r="DG46" s="213"/>
      <c r="DH46" s="213"/>
      <c r="DI46" s="213"/>
      <c r="DJ46" s="213"/>
      <c r="DK46" s="213"/>
      <c r="DL46" s="213"/>
      <c r="DM46" s="213"/>
      <c r="DN46" s="213"/>
      <c r="DO46" s="213"/>
      <c r="DP46" s="213"/>
      <c r="DQ46" s="213"/>
      <c r="DR46" s="213"/>
      <c r="DS46" s="213"/>
      <c r="DT46" s="213"/>
      <c r="DU46" s="213"/>
      <c r="DV46" s="213"/>
      <c r="DW46" s="213"/>
      <c r="DX46" s="213"/>
      <c r="DY46" s="213"/>
      <c r="DZ46" s="213"/>
      <c r="EA46" s="213"/>
      <c r="EB46" s="213"/>
      <c r="EC46" s="213"/>
      <c r="ED46" s="213"/>
      <c r="EE46" s="213"/>
      <c r="EF46" s="213"/>
      <c r="EG46" s="213"/>
      <c r="EH46" s="213"/>
      <c r="EI46" s="213"/>
      <c r="EJ46" s="213"/>
      <c r="EK46" s="213"/>
      <c r="EL46" s="213"/>
      <c r="EM46" s="213"/>
      <c r="EN46" s="213"/>
      <c r="EO46" s="213"/>
      <c r="EP46" s="213"/>
      <c r="EQ46" s="213"/>
      <c r="ER46" s="213"/>
      <c r="ES46" s="213"/>
      <c r="ET46" s="213"/>
      <c r="EU46" s="213"/>
      <c r="EV46" s="213"/>
      <c r="EW46" s="213"/>
      <c r="EX46" s="213"/>
      <c r="EY46" s="213"/>
      <c r="EZ46" s="213"/>
      <c r="FA46" s="213"/>
      <c r="FB46" s="213"/>
      <c r="FC46" s="213"/>
      <c r="FD46" s="213"/>
      <c r="FE46" s="213"/>
      <c r="FF46" s="213"/>
      <c r="FG46" s="213"/>
      <c r="FH46" s="213"/>
      <c r="FI46" s="213"/>
      <c r="FJ46" s="213"/>
      <c r="FK46" s="213"/>
      <c r="FL46" s="213"/>
      <c r="FM46" s="213"/>
      <c r="FN46" s="213"/>
      <c r="FO46" s="213"/>
      <c r="FP46" s="213"/>
      <c r="FQ46" s="213"/>
      <c r="FR46" s="213"/>
      <c r="FS46" s="213"/>
      <c r="FT46" s="213"/>
      <c r="FU46" s="213"/>
      <c r="FV46" s="213"/>
      <c r="FW46" s="213"/>
      <c r="FX46" s="213"/>
      <c r="FY46" s="213"/>
      <c r="FZ46" s="213"/>
      <c r="GA46" s="213"/>
      <c r="GB46" s="213"/>
      <c r="GC46" s="213"/>
      <c r="GD46" s="213"/>
      <c r="GE46" s="213"/>
      <c r="GF46" s="213"/>
      <c r="GG46" s="213"/>
      <c r="GH46" s="213"/>
      <c r="GI46" s="213"/>
      <c r="GJ46" s="213"/>
      <c r="GK46" s="213"/>
      <c r="GL46" s="213"/>
      <c r="GM46" s="213"/>
      <c r="GN46" s="213"/>
      <c r="GO46" s="213"/>
      <c r="GP46" s="213"/>
      <c r="GQ46" s="213"/>
      <c r="GR46" s="213"/>
      <c r="GS46" s="213"/>
      <c r="GT46" s="213"/>
      <c r="GU46" s="213"/>
      <c r="GV46" s="213"/>
      <c r="GW46" s="213"/>
      <c r="GX46" s="213"/>
      <c r="GY46" s="213"/>
      <c r="GZ46" s="213"/>
      <c r="HA46" s="213"/>
      <c r="HB46" s="213"/>
      <c r="HC46" s="213"/>
      <c r="HD46" s="213"/>
      <c r="HE46" s="213"/>
      <c r="HF46" s="213"/>
      <c r="HG46" s="213"/>
      <c r="HH46" s="213"/>
      <c r="HI46" s="213"/>
      <c r="HJ46" s="213"/>
      <c r="HK46" s="213"/>
      <c r="HL46" s="213"/>
      <c r="HM46" s="213"/>
      <c r="HN46" s="213"/>
      <c r="HO46" s="213"/>
      <c r="HP46" s="213"/>
      <c r="HQ46" s="213"/>
      <c r="HR46" s="213"/>
      <c r="HS46" s="213"/>
      <c r="HT46" s="213"/>
      <c r="HU46" s="213"/>
      <c r="HV46" s="213"/>
      <c r="HW46" s="213"/>
      <c r="HX46" s="213"/>
      <c r="HY46" s="213"/>
      <c r="HZ46" s="213"/>
    </row>
    <row r="47" spans="1:234" s="82" customFormat="1" ht="12">
      <c r="A47" s="91" t="s">
        <v>5</v>
      </c>
      <c r="B47" s="113"/>
      <c r="C47" s="113"/>
      <c r="D47" s="110"/>
      <c r="E47" s="107"/>
      <c r="F47" s="110"/>
      <c r="G47" s="110"/>
      <c r="H47" s="107"/>
      <c r="I47" s="110"/>
      <c r="J47" s="116"/>
      <c r="K47" s="116"/>
      <c r="L47" s="117"/>
      <c r="M47" s="110"/>
      <c r="N47" s="107"/>
      <c r="O47" s="110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</row>
    <row r="48" spans="1:234" s="82" customFormat="1" ht="22.5">
      <c r="A48" s="92" t="s">
        <v>103</v>
      </c>
      <c r="B48" s="107"/>
      <c r="C48" s="107"/>
      <c r="D48" s="115">
        <v>3372600</v>
      </c>
      <c r="E48" s="107"/>
      <c r="F48" s="115">
        <f>D48</f>
        <v>3372600</v>
      </c>
      <c r="G48" s="115">
        <v>3372600</v>
      </c>
      <c r="H48" s="107"/>
      <c r="I48" s="115">
        <f>G48</f>
        <v>3372600</v>
      </c>
      <c r="J48" s="116"/>
      <c r="K48" s="116"/>
      <c r="L48" s="117"/>
      <c r="M48" s="115">
        <v>3372600</v>
      </c>
      <c r="N48" s="107"/>
      <c r="O48" s="115">
        <f>M48</f>
        <v>3372600</v>
      </c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</row>
    <row r="49" spans="1:234" s="82" customFormat="1" ht="12">
      <c r="A49" s="91" t="s">
        <v>6</v>
      </c>
      <c r="B49" s="113"/>
      <c r="C49" s="113"/>
      <c r="D49" s="110"/>
      <c r="E49" s="107"/>
      <c r="F49" s="110"/>
      <c r="G49" s="110"/>
      <c r="H49" s="107"/>
      <c r="I49" s="110"/>
      <c r="J49" s="116"/>
      <c r="K49" s="116"/>
      <c r="L49" s="117"/>
      <c r="M49" s="110"/>
      <c r="N49" s="107"/>
      <c r="O49" s="110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</row>
    <row r="50" spans="1:234" s="82" customFormat="1" ht="21.75" customHeight="1">
      <c r="A50" s="92" t="s">
        <v>104</v>
      </c>
      <c r="B50" s="107"/>
      <c r="C50" s="107"/>
      <c r="D50" s="115">
        <v>1310344.8</v>
      </c>
      <c r="E50" s="107"/>
      <c r="F50" s="115">
        <f>D50</f>
        <v>1310344.8</v>
      </c>
      <c r="G50" s="115">
        <v>1310344.8</v>
      </c>
      <c r="H50" s="107"/>
      <c r="I50" s="115">
        <f>G50</f>
        <v>1310344.8</v>
      </c>
      <c r="J50" s="116"/>
      <c r="K50" s="116"/>
      <c r="L50" s="117"/>
      <c r="M50" s="115">
        <v>1425000</v>
      </c>
      <c r="N50" s="107"/>
      <c r="O50" s="115">
        <f>M50</f>
        <v>1425000</v>
      </c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</row>
    <row r="51" spans="1:234" s="82" customFormat="1" ht="12">
      <c r="A51" s="91" t="s">
        <v>8</v>
      </c>
      <c r="B51" s="113"/>
      <c r="C51" s="113"/>
      <c r="D51" s="110"/>
      <c r="E51" s="107"/>
      <c r="F51" s="110"/>
      <c r="G51" s="110"/>
      <c r="H51" s="107"/>
      <c r="I51" s="110"/>
      <c r="J51" s="116"/>
      <c r="K51" s="116"/>
      <c r="L51" s="117"/>
      <c r="M51" s="110"/>
      <c r="N51" s="107"/>
      <c r="O51" s="11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</row>
    <row r="52" spans="1:234" s="82" customFormat="1" ht="21.75" customHeight="1">
      <c r="A52" s="92" t="s">
        <v>19</v>
      </c>
      <c r="B52" s="107"/>
      <c r="C52" s="107"/>
      <c r="D52" s="110">
        <v>14.5</v>
      </c>
      <c r="E52" s="107"/>
      <c r="F52" s="110">
        <f>D52</f>
        <v>14.5</v>
      </c>
      <c r="G52" s="110">
        <v>17.4</v>
      </c>
      <c r="H52" s="107"/>
      <c r="I52" s="110">
        <f>G52</f>
        <v>17.4</v>
      </c>
      <c r="J52" s="116"/>
      <c r="K52" s="116"/>
      <c r="L52" s="117"/>
      <c r="M52" s="110">
        <v>19.2</v>
      </c>
      <c r="N52" s="107"/>
      <c r="O52" s="110">
        <f>M52</f>
        <v>19.2</v>
      </c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</row>
    <row r="53" spans="1:234" s="82" customFormat="1" ht="12">
      <c r="A53" s="91" t="s">
        <v>7</v>
      </c>
      <c r="B53" s="113"/>
      <c r="C53" s="113"/>
      <c r="D53" s="110"/>
      <c r="E53" s="107"/>
      <c r="F53" s="110"/>
      <c r="G53" s="110"/>
      <c r="H53" s="107"/>
      <c r="I53" s="110"/>
      <c r="J53" s="116"/>
      <c r="K53" s="116"/>
      <c r="L53" s="117"/>
      <c r="M53" s="110"/>
      <c r="N53" s="107"/>
      <c r="O53" s="11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</row>
    <row r="54" spans="1:234" s="82" customFormat="1" ht="26.25" customHeight="1">
      <c r="A54" s="92" t="s">
        <v>105</v>
      </c>
      <c r="B54" s="107"/>
      <c r="C54" s="107"/>
      <c r="D54" s="110">
        <f>D50/D48*100</f>
        <v>38.852659669098024</v>
      </c>
      <c r="E54" s="110"/>
      <c r="F54" s="110">
        <f>F50/F48*100</f>
        <v>38.852659669098024</v>
      </c>
      <c r="G54" s="110">
        <f>G50/G48*100</f>
        <v>38.852659669098024</v>
      </c>
      <c r="H54" s="110"/>
      <c r="I54" s="110">
        <f>I50/I48*100</f>
        <v>38.852659669098024</v>
      </c>
      <c r="J54" s="116"/>
      <c r="K54" s="116"/>
      <c r="L54" s="117"/>
      <c r="M54" s="110">
        <f>M50/M48*100</f>
        <v>42.252268279665536</v>
      </c>
      <c r="N54" s="110"/>
      <c r="O54" s="110">
        <f>O50/O48*100</f>
        <v>42.252268279665536</v>
      </c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</row>
    <row r="55" spans="1:234" s="82" customFormat="1" ht="0.75" customHeight="1" hidden="1">
      <c r="A55" s="92"/>
      <c r="B55" s="107"/>
      <c r="C55" s="107"/>
      <c r="D55" s="110"/>
      <c r="E55" s="110"/>
      <c r="F55" s="110"/>
      <c r="G55" s="110"/>
      <c r="H55" s="110"/>
      <c r="I55" s="110"/>
      <c r="J55" s="116"/>
      <c r="K55" s="116"/>
      <c r="L55" s="117"/>
      <c r="M55" s="110"/>
      <c r="N55" s="110"/>
      <c r="O55" s="110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</row>
    <row r="56" spans="1:234" s="82" customFormat="1" ht="21.75" customHeight="1" hidden="1">
      <c r="A56" s="92"/>
      <c r="B56" s="107"/>
      <c r="C56" s="107"/>
      <c r="D56" s="110"/>
      <c r="E56" s="110"/>
      <c r="F56" s="110"/>
      <c r="G56" s="110"/>
      <c r="H56" s="110"/>
      <c r="I56" s="110"/>
      <c r="J56" s="116"/>
      <c r="K56" s="116"/>
      <c r="L56" s="117"/>
      <c r="M56" s="110"/>
      <c r="N56" s="110"/>
      <c r="O56" s="110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</row>
    <row r="57" spans="1:234" s="82" customFormat="1" ht="21.75" customHeight="1" hidden="1">
      <c r="A57" s="92"/>
      <c r="B57" s="107"/>
      <c r="C57" s="107"/>
      <c r="D57" s="110"/>
      <c r="E57" s="110"/>
      <c r="F57" s="110"/>
      <c r="G57" s="110"/>
      <c r="H57" s="110"/>
      <c r="I57" s="110"/>
      <c r="J57" s="116"/>
      <c r="K57" s="116"/>
      <c r="L57" s="117"/>
      <c r="M57" s="110"/>
      <c r="N57" s="110"/>
      <c r="O57" s="110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</row>
    <row r="58" spans="1:234" s="82" customFormat="1" ht="1.5" customHeight="1" hidden="1">
      <c r="A58" s="92"/>
      <c r="B58" s="107"/>
      <c r="C58" s="107"/>
      <c r="D58" s="110"/>
      <c r="E58" s="110"/>
      <c r="F58" s="110"/>
      <c r="G58" s="110"/>
      <c r="H58" s="110"/>
      <c r="I58" s="110"/>
      <c r="J58" s="116"/>
      <c r="K58" s="116"/>
      <c r="L58" s="117"/>
      <c r="M58" s="110"/>
      <c r="N58" s="110"/>
      <c r="O58" s="110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</row>
    <row r="59" spans="1:234" s="82" customFormat="1" ht="21.75" customHeight="1" hidden="1">
      <c r="A59" s="92"/>
      <c r="B59" s="107"/>
      <c r="C59" s="107"/>
      <c r="D59" s="110"/>
      <c r="E59" s="110"/>
      <c r="F59" s="110"/>
      <c r="G59" s="110"/>
      <c r="H59" s="110"/>
      <c r="I59" s="110"/>
      <c r="J59" s="116"/>
      <c r="K59" s="116"/>
      <c r="L59" s="117"/>
      <c r="M59" s="110"/>
      <c r="N59" s="110"/>
      <c r="O59" s="110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</row>
    <row r="60" spans="1:234" s="82" customFormat="1" ht="21.75" customHeight="1" hidden="1">
      <c r="A60" s="92"/>
      <c r="B60" s="107"/>
      <c r="C60" s="107"/>
      <c r="D60" s="110"/>
      <c r="E60" s="110"/>
      <c r="F60" s="110"/>
      <c r="G60" s="110"/>
      <c r="H60" s="110"/>
      <c r="I60" s="110"/>
      <c r="J60" s="116"/>
      <c r="K60" s="116"/>
      <c r="L60" s="117"/>
      <c r="M60" s="110"/>
      <c r="N60" s="110"/>
      <c r="O60" s="110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</row>
    <row r="61" spans="1:234" s="82" customFormat="1" ht="21.75" customHeight="1" hidden="1">
      <c r="A61" s="92"/>
      <c r="B61" s="107"/>
      <c r="C61" s="107"/>
      <c r="D61" s="110"/>
      <c r="E61" s="110"/>
      <c r="F61" s="110"/>
      <c r="G61" s="110"/>
      <c r="H61" s="110"/>
      <c r="I61" s="110"/>
      <c r="J61" s="116"/>
      <c r="K61" s="116"/>
      <c r="L61" s="117"/>
      <c r="M61" s="110"/>
      <c r="N61" s="110"/>
      <c r="O61" s="110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</row>
    <row r="62" spans="1:234" s="82" customFormat="1" ht="21.75" customHeight="1" hidden="1">
      <c r="A62" s="92"/>
      <c r="B62" s="107"/>
      <c r="C62" s="107"/>
      <c r="D62" s="110"/>
      <c r="E62" s="110"/>
      <c r="F62" s="110"/>
      <c r="G62" s="110"/>
      <c r="H62" s="110"/>
      <c r="I62" s="110"/>
      <c r="J62" s="116"/>
      <c r="K62" s="116"/>
      <c r="L62" s="117"/>
      <c r="M62" s="110"/>
      <c r="N62" s="110"/>
      <c r="O62" s="110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</row>
    <row r="63" spans="1:234" s="82" customFormat="1" ht="0.75" customHeight="1" hidden="1">
      <c r="A63" s="92"/>
      <c r="B63" s="107"/>
      <c r="C63" s="107"/>
      <c r="D63" s="110"/>
      <c r="E63" s="110"/>
      <c r="F63" s="110"/>
      <c r="G63" s="110"/>
      <c r="H63" s="110"/>
      <c r="I63" s="110"/>
      <c r="J63" s="116"/>
      <c r="K63" s="116"/>
      <c r="L63" s="117"/>
      <c r="M63" s="110"/>
      <c r="N63" s="110"/>
      <c r="O63" s="110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</row>
    <row r="64" spans="1:234" s="195" customFormat="1" ht="38.25" customHeight="1">
      <c r="A64" s="182" t="s">
        <v>116</v>
      </c>
      <c r="B64" s="191"/>
      <c r="C64" s="191"/>
      <c r="D64" s="193">
        <f>(D68*D70)</f>
        <v>6352700</v>
      </c>
      <c r="E64" s="193"/>
      <c r="F64" s="193">
        <f>(F70*F68)</f>
        <v>6352700</v>
      </c>
      <c r="G64" s="193">
        <f>(G70*G68)+150+3000000</f>
        <v>12600000</v>
      </c>
      <c r="H64" s="193"/>
      <c r="I64" s="193">
        <f>G64+H64</f>
        <v>12600000</v>
      </c>
      <c r="J64" s="199"/>
      <c r="K64" s="199"/>
      <c r="L64" s="200"/>
      <c r="M64" s="193">
        <f>(M68*M70)</f>
        <v>11500000</v>
      </c>
      <c r="N64" s="193"/>
      <c r="O64" s="193">
        <f>(O68*O70)</f>
        <v>11500000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  <c r="EO64" s="194"/>
      <c r="EP64" s="194"/>
      <c r="EQ64" s="194"/>
      <c r="ER64" s="194"/>
      <c r="ES64" s="194"/>
      <c r="ET64" s="19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194"/>
      <c r="FJ64" s="194"/>
      <c r="FK64" s="194"/>
      <c r="FL64" s="194"/>
      <c r="FM64" s="194"/>
      <c r="FN64" s="194"/>
      <c r="FO64" s="194"/>
      <c r="FP64" s="194"/>
      <c r="FQ64" s="194"/>
      <c r="FR64" s="194"/>
      <c r="FS64" s="194"/>
      <c r="FT64" s="194"/>
      <c r="FU64" s="194"/>
      <c r="FV64" s="194"/>
      <c r="FW64" s="194"/>
      <c r="FX64" s="194"/>
      <c r="FY64" s="194"/>
      <c r="FZ64" s="194"/>
      <c r="GA64" s="194"/>
      <c r="GB64" s="194"/>
      <c r="GC64" s="194"/>
      <c r="GD64" s="194"/>
      <c r="GE64" s="194"/>
      <c r="GF64" s="194"/>
      <c r="GG64" s="194"/>
      <c r="GH64" s="194"/>
      <c r="GI64" s="194"/>
      <c r="GJ64" s="194"/>
      <c r="GK64" s="194"/>
      <c r="GL64" s="194"/>
      <c r="GM64" s="194"/>
      <c r="GN64" s="194"/>
      <c r="GO64" s="194"/>
      <c r="GP64" s="194"/>
      <c r="GQ64" s="194"/>
      <c r="GR64" s="194"/>
      <c r="GS64" s="194"/>
      <c r="GT64" s="194"/>
      <c r="GU64" s="194"/>
      <c r="GV64" s="194"/>
      <c r="GW64" s="194"/>
      <c r="GX64" s="194"/>
      <c r="GY64" s="194"/>
      <c r="GZ64" s="194"/>
      <c r="HA64" s="194"/>
      <c r="HB64" s="194"/>
      <c r="HC64" s="194"/>
      <c r="HD64" s="194"/>
      <c r="HE64" s="194"/>
      <c r="HF64" s="194"/>
      <c r="HG64" s="194"/>
      <c r="HH64" s="194"/>
      <c r="HI64" s="194"/>
      <c r="HJ64" s="194"/>
      <c r="HK64" s="194"/>
      <c r="HL64" s="194"/>
      <c r="HM64" s="194"/>
      <c r="HN64" s="194"/>
      <c r="HO64" s="194"/>
      <c r="HP64" s="194"/>
      <c r="HQ64" s="194"/>
      <c r="HR64" s="194"/>
      <c r="HS64" s="194"/>
      <c r="HT64" s="194"/>
      <c r="HU64" s="194"/>
      <c r="HV64" s="194"/>
      <c r="HW64" s="194"/>
      <c r="HX64" s="194"/>
      <c r="HY64" s="194"/>
      <c r="HZ64" s="194"/>
    </row>
    <row r="65" spans="1:15" ht="12">
      <c r="A65" s="91" t="s">
        <v>5</v>
      </c>
      <c r="B65" s="113"/>
      <c r="C65" s="113"/>
      <c r="D65" s="110"/>
      <c r="E65" s="107"/>
      <c r="F65" s="110"/>
      <c r="G65" s="110"/>
      <c r="H65" s="107"/>
      <c r="I65" s="110"/>
      <c r="J65" s="116"/>
      <c r="K65" s="116"/>
      <c r="L65" s="117"/>
      <c r="M65" s="110"/>
      <c r="N65" s="107"/>
      <c r="O65" s="110"/>
    </row>
    <row r="66" spans="1:15" ht="33" customHeight="1">
      <c r="A66" s="92" t="s">
        <v>118</v>
      </c>
      <c r="B66" s="107"/>
      <c r="C66" s="107"/>
      <c r="D66" s="115">
        <v>500000</v>
      </c>
      <c r="E66" s="107"/>
      <c r="F66" s="115">
        <f>D66</f>
        <v>500000</v>
      </c>
      <c r="G66" s="115">
        <f>D66</f>
        <v>500000</v>
      </c>
      <c r="H66" s="107"/>
      <c r="I66" s="115">
        <f>G66</f>
        <v>500000</v>
      </c>
      <c r="J66" s="116"/>
      <c r="K66" s="116"/>
      <c r="L66" s="117"/>
      <c r="M66" s="115">
        <f>D66</f>
        <v>500000</v>
      </c>
      <c r="N66" s="107"/>
      <c r="O66" s="115">
        <f>M66</f>
        <v>500000</v>
      </c>
    </row>
    <row r="67" spans="1:15" ht="12">
      <c r="A67" s="91" t="s">
        <v>6</v>
      </c>
      <c r="B67" s="113"/>
      <c r="C67" s="113"/>
      <c r="D67" s="110"/>
      <c r="E67" s="107"/>
      <c r="F67" s="110"/>
      <c r="G67" s="110"/>
      <c r="H67" s="107"/>
      <c r="I67" s="110"/>
      <c r="J67" s="116"/>
      <c r="K67" s="116"/>
      <c r="L67" s="117"/>
      <c r="M67" s="110"/>
      <c r="N67" s="107"/>
      <c r="O67" s="110"/>
    </row>
    <row r="68" spans="1:15" ht="34.5" customHeight="1">
      <c r="A68" s="92" t="s">
        <v>119</v>
      </c>
      <c r="B68" s="107"/>
      <c r="C68" s="107"/>
      <c r="D68" s="19">
        <v>15881.75</v>
      </c>
      <c r="E68" s="107"/>
      <c r="F68" s="115">
        <f>D68</f>
        <v>15881.75</v>
      </c>
      <c r="G68" s="115">
        <v>21333</v>
      </c>
      <c r="H68" s="107"/>
      <c r="I68" s="115">
        <f>G68</f>
        <v>21333</v>
      </c>
      <c r="J68" s="116"/>
      <c r="K68" s="116"/>
      <c r="L68" s="117"/>
      <c r="M68" s="115">
        <v>23000</v>
      </c>
      <c r="N68" s="107"/>
      <c r="O68" s="115">
        <f>M68</f>
        <v>23000</v>
      </c>
    </row>
    <row r="69" spans="1:15" ht="12">
      <c r="A69" s="91" t="s">
        <v>8</v>
      </c>
      <c r="B69" s="113"/>
      <c r="C69" s="113"/>
      <c r="D69" s="110"/>
      <c r="E69" s="107"/>
      <c r="F69" s="110"/>
      <c r="G69" s="110"/>
      <c r="H69" s="107"/>
      <c r="I69" s="110"/>
      <c r="J69" s="116"/>
      <c r="K69" s="116"/>
      <c r="L69" s="117"/>
      <c r="M69" s="110"/>
      <c r="N69" s="107"/>
      <c r="O69" s="110"/>
    </row>
    <row r="70" spans="1:15" ht="33.75">
      <c r="A70" s="92" t="s">
        <v>120</v>
      </c>
      <c r="B70" s="107"/>
      <c r="C70" s="107"/>
      <c r="D70" s="110">
        <v>400</v>
      </c>
      <c r="E70" s="107"/>
      <c r="F70" s="110">
        <f>D70</f>
        <v>400</v>
      </c>
      <c r="G70" s="110">
        <v>450</v>
      </c>
      <c r="H70" s="107"/>
      <c r="I70" s="110">
        <f>G70</f>
        <v>450</v>
      </c>
      <c r="J70" s="116"/>
      <c r="K70" s="116"/>
      <c r="L70" s="117"/>
      <c r="M70" s="110">
        <v>500</v>
      </c>
      <c r="N70" s="107"/>
      <c r="O70" s="110">
        <f>M70</f>
        <v>500</v>
      </c>
    </row>
    <row r="71" spans="1:15" ht="12">
      <c r="A71" s="91" t="s">
        <v>7</v>
      </c>
      <c r="B71" s="113"/>
      <c r="C71" s="113"/>
      <c r="D71" s="110"/>
      <c r="E71" s="107"/>
      <c r="F71" s="110"/>
      <c r="G71" s="110"/>
      <c r="H71" s="107"/>
      <c r="I71" s="110"/>
      <c r="J71" s="116"/>
      <c r="K71" s="116"/>
      <c r="L71" s="117"/>
      <c r="M71" s="110"/>
      <c r="N71" s="107"/>
      <c r="O71" s="110"/>
    </row>
    <row r="72" spans="1:15" ht="45">
      <c r="A72" s="92" t="s">
        <v>121</v>
      </c>
      <c r="B72" s="107"/>
      <c r="C72" s="107"/>
      <c r="D72" s="110">
        <f>D68/D66*100</f>
        <v>3.1763500000000002</v>
      </c>
      <c r="E72" s="110"/>
      <c r="F72" s="110">
        <f>F68/F66*100</f>
        <v>3.1763500000000002</v>
      </c>
      <c r="G72" s="110">
        <f>G68/G66*100</f>
        <v>4.2666</v>
      </c>
      <c r="H72" s="110"/>
      <c r="I72" s="110">
        <f>I68/I66*100</f>
        <v>4.2666</v>
      </c>
      <c r="J72" s="116"/>
      <c r="K72" s="116"/>
      <c r="L72" s="117"/>
      <c r="M72" s="110">
        <f>M68/M66*100</f>
        <v>4.6</v>
      </c>
      <c r="N72" s="110"/>
      <c r="O72" s="110">
        <f>O68/O66*100</f>
        <v>4.6</v>
      </c>
    </row>
    <row r="73" spans="1:234" s="195" customFormat="1" ht="39" customHeight="1">
      <c r="A73" s="182" t="s">
        <v>117</v>
      </c>
      <c r="B73" s="191"/>
      <c r="C73" s="191"/>
      <c r="D73" s="193"/>
      <c r="E73" s="193">
        <f>(E78*E81)+(E79*E82)</f>
        <v>32417800</v>
      </c>
      <c r="F73" s="193">
        <f>E73</f>
        <v>32417800</v>
      </c>
      <c r="G73" s="193"/>
      <c r="H73" s="193">
        <f>(H78*H81)+(H79*H82)-150+150000</f>
        <v>43200000</v>
      </c>
      <c r="I73" s="193">
        <f>H73</f>
        <v>43200000</v>
      </c>
      <c r="J73" s="193">
        <f aca="true" t="shared" si="4" ref="J73:O73">(J78*J81)+(J79*J82)</f>
        <v>0</v>
      </c>
      <c r="K73" s="193">
        <f t="shared" si="4"/>
        <v>0</v>
      </c>
      <c r="L73" s="193">
        <f t="shared" si="4"/>
        <v>0</v>
      </c>
      <c r="M73" s="193"/>
      <c r="N73" s="193">
        <f>(N78*N81)+(N79*N82)</f>
        <v>44600000</v>
      </c>
      <c r="O73" s="193">
        <f t="shared" si="4"/>
        <v>44600000</v>
      </c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4"/>
      <c r="FS73" s="194"/>
      <c r="FT73" s="194"/>
      <c r="FU73" s="194"/>
      <c r="FV73" s="194"/>
      <c r="FW73" s="194"/>
      <c r="FX73" s="194"/>
      <c r="FY73" s="194"/>
      <c r="FZ73" s="194"/>
      <c r="GA73" s="194"/>
      <c r="GB73" s="194"/>
      <c r="GC73" s="194"/>
      <c r="GD73" s="194"/>
      <c r="GE73" s="194"/>
      <c r="GF73" s="194"/>
      <c r="GG73" s="194"/>
      <c r="GH73" s="194"/>
      <c r="GI73" s="194"/>
      <c r="GJ73" s="194"/>
      <c r="GK73" s="194"/>
      <c r="GL73" s="194"/>
      <c r="GM73" s="194"/>
      <c r="GN73" s="194"/>
      <c r="GO73" s="194"/>
      <c r="GP73" s="194"/>
      <c r="GQ73" s="194"/>
      <c r="GR73" s="194"/>
      <c r="GS73" s="194"/>
      <c r="GT73" s="194"/>
      <c r="GU73" s="194"/>
      <c r="GV73" s="194"/>
      <c r="GW73" s="194"/>
      <c r="GX73" s="194"/>
      <c r="GY73" s="194"/>
      <c r="GZ73" s="194"/>
      <c r="HA73" s="194"/>
      <c r="HB73" s="194"/>
      <c r="HC73" s="194"/>
      <c r="HD73" s="194"/>
      <c r="HE73" s="194"/>
      <c r="HF73" s="194"/>
      <c r="HG73" s="194"/>
      <c r="HH73" s="194"/>
      <c r="HI73" s="194"/>
      <c r="HJ73" s="194"/>
      <c r="HK73" s="194"/>
      <c r="HL73" s="194"/>
      <c r="HM73" s="194"/>
      <c r="HN73" s="194"/>
      <c r="HO73" s="194"/>
      <c r="HP73" s="194"/>
      <c r="HQ73" s="194"/>
      <c r="HR73" s="194"/>
      <c r="HS73" s="194"/>
      <c r="HT73" s="194"/>
      <c r="HU73" s="194"/>
      <c r="HV73" s="194"/>
      <c r="HW73" s="194"/>
      <c r="HX73" s="194"/>
      <c r="HY73" s="194"/>
      <c r="HZ73" s="194"/>
    </row>
    <row r="74" spans="1:15" ht="12">
      <c r="A74" s="91" t="s">
        <v>5</v>
      </c>
      <c r="B74" s="107"/>
      <c r="C74" s="107"/>
      <c r="D74" s="110"/>
      <c r="E74" s="110"/>
      <c r="F74" s="110"/>
      <c r="G74" s="110"/>
      <c r="H74" s="110"/>
      <c r="I74" s="112"/>
      <c r="J74" s="116"/>
      <c r="K74" s="116"/>
      <c r="L74" s="117"/>
      <c r="M74" s="110"/>
      <c r="N74" s="110"/>
      <c r="O74" s="110"/>
    </row>
    <row r="75" spans="1:15" ht="30" customHeight="1">
      <c r="A75" s="92" t="s">
        <v>256</v>
      </c>
      <c r="B75" s="107"/>
      <c r="C75" s="107"/>
      <c r="D75" s="110"/>
      <c r="E75" s="110">
        <v>380000</v>
      </c>
      <c r="F75" s="110">
        <f>E75</f>
        <v>380000</v>
      </c>
      <c r="G75" s="110"/>
      <c r="H75" s="110">
        <f>E75</f>
        <v>380000</v>
      </c>
      <c r="I75" s="112">
        <f aca="true" t="shared" si="5" ref="I75:I81">H75</f>
        <v>380000</v>
      </c>
      <c r="J75" s="116"/>
      <c r="K75" s="116"/>
      <c r="L75" s="117"/>
      <c r="M75" s="110"/>
      <c r="N75" s="110">
        <f>H75</f>
        <v>380000</v>
      </c>
      <c r="O75" s="112">
        <f>N75</f>
        <v>380000</v>
      </c>
    </row>
    <row r="76" spans="1:15" ht="29.25" customHeight="1">
      <c r="A76" s="92" t="s">
        <v>257</v>
      </c>
      <c r="B76" s="107"/>
      <c r="C76" s="107"/>
      <c r="D76" s="110"/>
      <c r="E76" s="110">
        <v>76000</v>
      </c>
      <c r="F76" s="110">
        <f>E76</f>
        <v>76000</v>
      </c>
      <c r="G76" s="110"/>
      <c r="H76" s="110">
        <f>E76</f>
        <v>76000</v>
      </c>
      <c r="I76" s="112">
        <f>H76</f>
        <v>76000</v>
      </c>
      <c r="J76" s="116"/>
      <c r="K76" s="116"/>
      <c r="L76" s="117"/>
      <c r="M76" s="110"/>
      <c r="N76" s="110">
        <f>H76</f>
        <v>76000</v>
      </c>
      <c r="O76" s="112">
        <f>N76</f>
        <v>76000</v>
      </c>
    </row>
    <row r="77" spans="1:15" ht="12">
      <c r="A77" s="91" t="s">
        <v>6</v>
      </c>
      <c r="B77" s="107"/>
      <c r="C77" s="107"/>
      <c r="D77" s="110"/>
      <c r="E77" s="110"/>
      <c r="F77" s="110"/>
      <c r="G77" s="110"/>
      <c r="H77" s="110"/>
      <c r="I77" s="112"/>
      <c r="J77" s="116"/>
      <c r="K77" s="116"/>
      <c r="L77" s="117"/>
      <c r="M77" s="110"/>
      <c r="N77" s="110"/>
      <c r="O77" s="110"/>
    </row>
    <row r="78" spans="1:15" ht="34.5" customHeight="1">
      <c r="A78" s="92" t="s">
        <v>258</v>
      </c>
      <c r="B78" s="107"/>
      <c r="C78" s="107"/>
      <c r="D78" s="110"/>
      <c r="E78" s="110">
        <f>65000+5294.5</f>
        <v>70294.5</v>
      </c>
      <c r="F78" s="110">
        <f>E78</f>
        <v>70294.5</v>
      </c>
      <c r="G78" s="110"/>
      <c r="H78" s="110">
        <v>80333</v>
      </c>
      <c r="I78" s="112">
        <f t="shared" si="5"/>
        <v>80333</v>
      </c>
      <c r="J78" s="116"/>
      <c r="K78" s="116"/>
      <c r="L78" s="117"/>
      <c r="M78" s="110"/>
      <c r="N78" s="110">
        <v>74800</v>
      </c>
      <c r="O78" s="112">
        <f>N78</f>
        <v>74800</v>
      </c>
    </row>
    <row r="79" spans="1:15" ht="26.25" customHeight="1">
      <c r="A79" s="92" t="s">
        <v>259</v>
      </c>
      <c r="B79" s="107"/>
      <c r="C79" s="107"/>
      <c r="D79" s="110"/>
      <c r="E79" s="7">
        <v>10750</v>
      </c>
      <c r="F79" s="110">
        <f>E79</f>
        <v>10750</v>
      </c>
      <c r="G79" s="110"/>
      <c r="H79" s="110">
        <v>15334</v>
      </c>
      <c r="I79" s="112">
        <f>H79</f>
        <v>15334</v>
      </c>
      <c r="J79" s="116"/>
      <c r="K79" s="116"/>
      <c r="L79" s="117"/>
      <c r="M79" s="110"/>
      <c r="N79" s="110">
        <v>14400</v>
      </c>
      <c r="O79" s="112">
        <f>N79</f>
        <v>14400</v>
      </c>
    </row>
    <row r="80" spans="1:15" ht="12">
      <c r="A80" s="91" t="s">
        <v>8</v>
      </c>
      <c r="B80" s="107"/>
      <c r="C80" s="107"/>
      <c r="D80" s="110"/>
      <c r="E80" s="110"/>
      <c r="F80" s="110"/>
      <c r="G80" s="110"/>
      <c r="H80" s="110"/>
      <c r="I80" s="112"/>
      <c r="J80" s="116"/>
      <c r="K80" s="116"/>
      <c r="L80" s="117"/>
      <c r="M80" s="110"/>
      <c r="N80" s="110"/>
      <c r="O80" s="110"/>
    </row>
    <row r="81" spans="1:15" ht="22.5" customHeight="1">
      <c r="A81" s="92" t="s">
        <v>262</v>
      </c>
      <c r="B81" s="107"/>
      <c r="C81" s="107"/>
      <c r="D81" s="110"/>
      <c r="E81" s="110">
        <v>400</v>
      </c>
      <c r="F81" s="110">
        <f>E81</f>
        <v>400</v>
      </c>
      <c r="G81" s="110"/>
      <c r="H81" s="110">
        <v>450</v>
      </c>
      <c r="I81" s="112">
        <f t="shared" si="5"/>
        <v>450</v>
      </c>
      <c r="J81" s="116"/>
      <c r="K81" s="116"/>
      <c r="L81" s="117"/>
      <c r="M81" s="110"/>
      <c r="N81" s="110">
        <v>500</v>
      </c>
      <c r="O81" s="112">
        <v>500</v>
      </c>
    </row>
    <row r="82" spans="1:15" ht="22.5" customHeight="1">
      <c r="A82" s="92" t="s">
        <v>263</v>
      </c>
      <c r="B82" s="107"/>
      <c r="C82" s="107"/>
      <c r="D82" s="110"/>
      <c r="E82" s="110">
        <v>400</v>
      </c>
      <c r="F82" s="110">
        <f>E82</f>
        <v>400</v>
      </c>
      <c r="G82" s="110"/>
      <c r="H82" s="110">
        <v>450</v>
      </c>
      <c r="I82" s="112">
        <f>H82</f>
        <v>450</v>
      </c>
      <c r="J82" s="116"/>
      <c r="K82" s="116"/>
      <c r="L82" s="117"/>
      <c r="M82" s="110"/>
      <c r="N82" s="110">
        <v>500</v>
      </c>
      <c r="O82" s="112">
        <f>N82</f>
        <v>500</v>
      </c>
    </row>
    <row r="83" spans="1:15" ht="12">
      <c r="A83" s="91" t="s">
        <v>7</v>
      </c>
      <c r="B83" s="107"/>
      <c r="C83" s="107"/>
      <c r="D83" s="110"/>
      <c r="E83" s="110"/>
      <c r="F83" s="110"/>
      <c r="G83" s="110"/>
      <c r="H83" s="110"/>
      <c r="I83" s="112"/>
      <c r="J83" s="116"/>
      <c r="K83" s="116"/>
      <c r="L83" s="117"/>
      <c r="M83" s="110"/>
      <c r="N83" s="110"/>
      <c r="O83" s="110"/>
    </row>
    <row r="84" spans="1:15" ht="38.25" customHeight="1">
      <c r="A84" s="92" t="s">
        <v>260</v>
      </c>
      <c r="B84" s="107"/>
      <c r="C84" s="107"/>
      <c r="D84" s="110"/>
      <c r="E84" s="108">
        <f>E78/E75*100</f>
        <v>18.498552631578946</v>
      </c>
      <c r="F84" s="108">
        <f aca="true" t="shared" si="6" ref="F84:O84">F78/F75*100</f>
        <v>18.498552631578946</v>
      </c>
      <c r="G84" s="108"/>
      <c r="H84" s="108">
        <f t="shared" si="6"/>
        <v>21.140263157894736</v>
      </c>
      <c r="I84" s="108">
        <f t="shared" si="6"/>
        <v>21.140263157894736</v>
      </c>
      <c r="J84" s="108" t="e">
        <f t="shared" si="6"/>
        <v>#DIV/0!</v>
      </c>
      <c r="K84" s="108" t="e">
        <f t="shared" si="6"/>
        <v>#DIV/0!</v>
      </c>
      <c r="L84" s="108" t="e">
        <f t="shared" si="6"/>
        <v>#DIV/0!</v>
      </c>
      <c r="M84" s="108"/>
      <c r="N84" s="108">
        <f t="shared" si="6"/>
        <v>19.68421052631579</v>
      </c>
      <c r="O84" s="108">
        <f t="shared" si="6"/>
        <v>19.68421052631579</v>
      </c>
    </row>
    <row r="85" spans="1:15" ht="38.25" customHeight="1">
      <c r="A85" s="92" t="s">
        <v>261</v>
      </c>
      <c r="B85" s="107"/>
      <c r="C85" s="107"/>
      <c r="D85" s="110"/>
      <c r="E85" s="108">
        <f>E79/E76*100</f>
        <v>14.144736842105262</v>
      </c>
      <c r="F85" s="108">
        <f aca="true" t="shared" si="7" ref="F85:O85">F79/F76*100</f>
        <v>14.144736842105262</v>
      </c>
      <c r="G85" s="108"/>
      <c r="H85" s="108">
        <f t="shared" si="7"/>
        <v>20.176315789473684</v>
      </c>
      <c r="I85" s="108">
        <f t="shared" si="7"/>
        <v>20.176315789473684</v>
      </c>
      <c r="J85" s="108" t="e">
        <f t="shared" si="7"/>
        <v>#DIV/0!</v>
      </c>
      <c r="K85" s="108" t="e">
        <f t="shared" si="7"/>
        <v>#DIV/0!</v>
      </c>
      <c r="L85" s="108" t="e">
        <f t="shared" si="7"/>
        <v>#DIV/0!</v>
      </c>
      <c r="M85" s="108"/>
      <c r="N85" s="108">
        <f t="shared" si="7"/>
        <v>18.947368421052634</v>
      </c>
      <c r="O85" s="108">
        <f t="shared" si="7"/>
        <v>18.947368421052634</v>
      </c>
    </row>
    <row r="86" spans="1:234" s="195" customFormat="1" ht="33.75">
      <c r="A86" s="182" t="s">
        <v>286</v>
      </c>
      <c r="B86" s="191"/>
      <c r="C86" s="191"/>
      <c r="D86" s="193">
        <f>D88</f>
        <v>37000</v>
      </c>
      <c r="E86" s="215"/>
      <c r="F86" s="193">
        <f>D86</f>
        <v>37000</v>
      </c>
      <c r="G86" s="193">
        <f>G88</f>
        <v>200000</v>
      </c>
      <c r="H86" s="215"/>
      <c r="I86" s="193">
        <f>G86</f>
        <v>200000</v>
      </c>
      <c r="J86" s="215"/>
      <c r="K86" s="215"/>
      <c r="L86" s="215"/>
      <c r="M86" s="215"/>
      <c r="N86" s="215"/>
      <c r="O86" s="215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  <c r="GF86" s="194"/>
      <c r="GG86" s="194"/>
      <c r="GH86" s="194"/>
      <c r="GI86" s="194"/>
      <c r="GJ86" s="194"/>
      <c r="GK86" s="194"/>
      <c r="GL86" s="194"/>
      <c r="GM86" s="194"/>
      <c r="GN86" s="194"/>
      <c r="GO86" s="194"/>
      <c r="GP86" s="194"/>
      <c r="GQ86" s="194"/>
      <c r="GR86" s="194"/>
      <c r="GS86" s="194"/>
      <c r="GT86" s="194"/>
      <c r="GU86" s="194"/>
      <c r="GV86" s="194"/>
      <c r="GW86" s="194"/>
      <c r="GX86" s="194"/>
      <c r="GY86" s="194"/>
      <c r="GZ86" s="194"/>
      <c r="HA86" s="194"/>
      <c r="HB86" s="194"/>
      <c r="HC86" s="194"/>
      <c r="HD86" s="194"/>
      <c r="HE86" s="194"/>
      <c r="HF86" s="194"/>
      <c r="HG86" s="194"/>
      <c r="HH86" s="194"/>
      <c r="HI86" s="194"/>
      <c r="HJ86" s="194"/>
      <c r="HK86" s="194"/>
      <c r="HL86" s="194"/>
      <c r="HM86" s="194"/>
      <c r="HN86" s="194"/>
      <c r="HO86" s="194"/>
      <c r="HP86" s="194"/>
      <c r="HQ86" s="194"/>
      <c r="HR86" s="194"/>
      <c r="HS86" s="194"/>
      <c r="HT86" s="194"/>
      <c r="HU86" s="194"/>
      <c r="HV86" s="194"/>
      <c r="HW86" s="194"/>
      <c r="HX86" s="194"/>
      <c r="HY86" s="194"/>
      <c r="HZ86" s="194"/>
    </row>
    <row r="87" spans="1:15" ht="11.25">
      <c r="A87" s="91" t="s">
        <v>5</v>
      </c>
      <c r="B87" s="107"/>
      <c r="C87" s="107"/>
      <c r="D87" s="110"/>
      <c r="E87" s="108"/>
      <c r="F87" s="110"/>
      <c r="G87" s="110"/>
      <c r="H87" s="108"/>
      <c r="I87" s="110"/>
      <c r="J87" s="108"/>
      <c r="K87" s="108"/>
      <c r="L87" s="108"/>
      <c r="M87" s="108"/>
      <c r="N87" s="108"/>
      <c r="O87" s="108"/>
    </row>
    <row r="88" spans="1:15" ht="27" customHeight="1">
      <c r="A88" s="92" t="s">
        <v>287</v>
      </c>
      <c r="B88" s="107"/>
      <c r="C88" s="107"/>
      <c r="D88" s="7">
        <v>37000</v>
      </c>
      <c r="E88" s="108"/>
      <c r="F88" s="110">
        <f>D88</f>
        <v>37000</v>
      </c>
      <c r="G88" s="7">
        <v>200000</v>
      </c>
      <c r="H88" s="108"/>
      <c r="I88" s="110">
        <f>G88</f>
        <v>200000</v>
      </c>
      <c r="J88" s="108"/>
      <c r="K88" s="108"/>
      <c r="L88" s="108"/>
      <c r="M88" s="108"/>
      <c r="N88" s="108"/>
      <c r="O88" s="108"/>
    </row>
    <row r="89" spans="1:15" ht="11.25">
      <c r="A89" s="91" t="s">
        <v>6</v>
      </c>
      <c r="B89" s="107"/>
      <c r="C89" s="107"/>
      <c r="D89" s="110"/>
      <c r="E89" s="108"/>
      <c r="F89" s="110"/>
      <c r="G89" s="110"/>
      <c r="H89" s="108"/>
      <c r="I89" s="110"/>
      <c r="J89" s="108"/>
      <c r="K89" s="108"/>
      <c r="L89" s="108"/>
      <c r="M89" s="108"/>
      <c r="N89" s="108"/>
      <c r="O89" s="108"/>
    </row>
    <row r="90" spans="1:15" ht="25.5" customHeight="1">
      <c r="A90" s="92" t="s">
        <v>288</v>
      </c>
      <c r="B90" s="107"/>
      <c r="C90" s="107"/>
      <c r="D90" s="110">
        <v>1</v>
      </c>
      <c r="E90" s="108"/>
      <c r="F90" s="110">
        <f>D90</f>
        <v>1</v>
      </c>
      <c r="G90" s="110">
        <v>3</v>
      </c>
      <c r="H90" s="108"/>
      <c r="I90" s="110">
        <f>G90</f>
        <v>3</v>
      </c>
      <c r="J90" s="108"/>
      <c r="K90" s="108"/>
      <c r="L90" s="108"/>
      <c r="M90" s="108"/>
      <c r="N90" s="108"/>
      <c r="O90" s="108"/>
    </row>
    <row r="91" spans="1:15" ht="11.25">
      <c r="A91" s="91" t="s">
        <v>8</v>
      </c>
      <c r="B91" s="107"/>
      <c r="C91" s="107"/>
      <c r="D91" s="110"/>
      <c r="E91" s="108"/>
      <c r="F91" s="110"/>
      <c r="G91" s="110"/>
      <c r="H91" s="108"/>
      <c r="I91" s="110"/>
      <c r="J91" s="108"/>
      <c r="K91" s="108"/>
      <c r="L91" s="108"/>
      <c r="M91" s="108"/>
      <c r="N91" s="108"/>
      <c r="O91" s="108"/>
    </row>
    <row r="92" spans="1:15" ht="23.25" customHeight="1">
      <c r="A92" s="92" t="s">
        <v>289</v>
      </c>
      <c r="B92" s="107"/>
      <c r="C92" s="107"/>
      <c r="D92" s="110">
        <f>D88/D90</f>
        <v>37000</v>
      </c>
      <c r="E92" s="108"/>
      <c r="F92" s="110">
        <f>D92</f>
        <v>37000</v>
      </c>
      <c r="G92" s="110">
        <f>G88/G90</f>
        <v>66666.66666666667</v>
      </c>
      <c r="H92" s="108"/>
      <c r="I92" s="110">
        <f>G92</f>
        <v>66666.66666666667</v>
      </c>
      <c r="J92" s="108"/>
      <c r="K92" s="108"/>
      <c r="L92" s="108"/>
      <c r="M92" s="108"/>
      <c r="N92" s="108"/>
      <c r="O92" s="108"/>
    </row>
    <row r="93" spans="1:234" s="195" customFormat="1" ht="31.5" customHeight="1">
      <c r="A93" s="182" t="s">
        <v>290</v>
      </c>
      <c r="B93" s="191"/>
      <c r="C93" s="191"/>
      <c r="D93" s="193"/>
      <c r="E93" s="193">
        <f>E97*E99</f>
        <v>5000000</v>
      </c>
      <c r="F93" s="193">
        <f>E93</f>
        <v>5000000</v>
      </c>
      <c r="G93" s="193"/>
      <c r="H93" s="193">
        <f>H97*H99</f>
        <v>10000000</v>
      </c>
      <c r="I93" s="193">
        <f>H93</f>
        <v>10000000</v>
      </c>
      <c r="J93" s="199"/>
      <c r="K93" s="199"/>
      <c r="L93" s="200"/>
      <c r="M93" s="193"/>
      <c r="N93" s="193">
        <f>N97*N99</f>
        <v>7200000</v>
      </c>
      <c r="O93" s="193">
        <f>N93</f>
        <v>7200000</v>
      </c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  <c r="GF93" s="194"/>
      <c r="GG93" s="194"/>
      <c r="GH93" s="194"/>
      <c r="GI93" s="194"/>
      <c r="GJ93" s="194"/>
      <c r="GK93" s="194"/>
      <c r="GL93" s="194"/>
      <c r="GM93" s="194"/>
      <c r="GN93" s="194"/>
      <c r="GO93" s="194"/>
      <c r="GP93" s="194"/>
      <c r="GQ93" s="194"/>
      <c r="GR93" s="194"/>
      <c r="GS93" s="194"/>
      <c r="GT93" s="194"/>
      <c r="GU93" s="194"/>
      <c r="GV93" s="194"/>
      <c r="GW93" s="194"/>
      <c r="GX93" s="194"/>
      <c r="GY93" s="194"/>
      <c r="GZ93" s="194"/>
      <c r="HA93" s="194"/>
      <c r="HB93" s="194"/>
      <c r="HC93" s="194"/>
      <c r="HD93" s="194"/>
      <c r="HE93" s="194"/>
      <c r="HF93" s="194"/>
      <c r="HG93" s="194"/>
      <c r="HH93" s="194"/>
      <c r="HI93" s="194"/>
      <c r="HJ93" s="194"/>
      <c r="HK93" s="194"/>
      <c r="HL93" s="194"/>
      <c r="HM93" s="194"/>
      <c r="HN93" s="194"/>
      <c r="HO93" s="194"/>
      <c r="HP93" s="194"/>
      <c r="HQ93" s="194"/>
      <c r="HR93" s="194"/>
      <c r="HS93" s="194"/>
      <c r="HT93" s="194"/>
      <c r="HU93" s="194"/>
      <c r="HV93" s="194"/>
      <c r="HW93" s="194"/>
      <c r="HX93" s="194"/>
      <c r="HY93" s="194"/>
      <c r="HZ93" s="194"/>
    </row>
    <row r="94" spans="1:15" ht="12">
      <c r="A94" s="91" t="s">
        <v>5</v>
      </c>
      <c r="B94" s="107"/>
      <c r="C94" s="107"/>
      <c r="D94" s="110"/>
      <c r="E94" s="110"/>
      <c r="F94" s="110"/>
      <c r="G94" s="110"/>
      <c r="H94" s="110"/>
      <c r="I94" s="112"/>
      <c r="J94" s="116"/>
      <c r="K94" s="116"/>
      <c r="L94" s="117"/>
      <c r="M94" s="110"/>
      <c r="N94" s="110"/>
      <c r="O94" s="110"/>
    </row>
    <row r="95" spans="1:15" ht="20.25" customHeight="1">
      <c r="A95" s="92" t="s">
        <v>124</v>
      </c>
      <c r="B95" s="107"/>
      <c r="C95" s="107"/>
      <c r="D95" s="110"/>
      <c r="E95" s="110">
        <v>5000000</v>
      </c>
      <c r="F95" s="112">
        <f>E95</f>
        <v>5000000</v>
      </c>
      <c r="G95" s="110"/>
      <c r="H95" s="110">
        <v>10000000</v>
      </c>
      <c r="I95" s="112">
        <f>H95</f>
        <v>10000000</v>
      </c>
      <c r="J95" s="116"/>
      <c r="K95" s="116"/>
      <c r="L95" s="117"/>
      <c r="M95" s="110"/>
      <c r="N95" s="110">
        <v>7200000</v>
      </c>
      <c r="O95" s="112">
        <f>N95</f>
        <v>7200000</v>
      </c>
    </row>
    <row r="96" spans="1:15" ht="12">
      <c r="A96" s="91" t="s">
        <v>6</v>
      </c>
      <c r="B96" s="107"/>
      <c r="C96" s="107"/>
      <c r="D96" s="110"/>
      <c r="E96" s="110"/>
      <c r="F96" s="112"/>
      <c r="G96" s="110"/>
      <c r="H96" s="110"/>
      <c r="I96" s="112"/>
      <c r="J96" s="116"/>
      <c r="K96" s="116"/>
      <c r="L96" s="117"/>
      <c r="M96" s="110"/>
      <c r="N96" s="110"/>
      <c r="O96" s="112"/>
    </row>
    <row r="97" spans="1:15" ht="21" customHeight="1">
      <c r="A97" s="92" t="s">
        <v>125</v>
      </c>
      <c r="B97" s="107"/>
      <c r="C97" s="107"/>
      <c r="D97" s="110"/>
      <c r="E97" s="108">
        <v>1</v>
      </c>
      <c r="F97" s="114">
        <f>E97</f>
        <v>1</v>
      </c>
      <c r="G97" s="110"/>
      <c r="H97" s="108">
        <v>2</v>
      </c>
      <c r="I97" s="114">
        <v>2</v>
      </c>
      <c r="J97" s="116"/>
      <c r="K97" s="116"/>
      <c r="L97" s="117"/>
      <c r="M97" s="110"/>
      <c r="N97" s="108">
        <v>1</v>
      </c>
      <c r="O97" s="114">
        <f>N97</f>
        <v>1</v>
      </c>
    </row>
    <row r="98" spans="1:15" ht="12">
      <c r="A98" s="91" t="s">
        <v>8</v>
      </c>
      <c r="B98" s="107"/>
      <c r="C98" s="107"/>
      <c r="D98" s="110"/>
      <c r="E98" s="110"/>
      <c r="F98" s="112"/>
      <c r="G98" s="110"/>
      <c r="H98" s="110"/>
      <c r="I98" s="112"/>
      <c r="J98" s="116"/>
      <c r="K98" s="116"/>
      <c r="L98" s="117"/>
      <c r="M98" s="110"/>
      <c r="N98" s="110"/>
      <c r="O98" s="112"/>
    </row>
    <row r="99" spans="1:15" ht="27" customHeight="1">
      <c r="A99" s="92" t="s">
        <v>126</v>
      </c>
      <c r="B99" s="107"/>
      <c r="C99" s="107"/>
      <c r="D99" s="110"/>
      <c r="E99" s="110">
        <f>E95/E97</f>
        <v>5000000</v>
      </c>
      <c r="F99" s="112">
        <f>E99</f>
        <v>5000000</v>
      </c>
      <c r="G99" s="110"/>
      <c r="H99" s="110">
        <f>H95/H97</f>
        <v>5000000</v>
      </c>
      <c r="I99" s="112">
        <f>H99</f>
        <v>5000000</v>
      </c>
      <c r="J99" s="116"/>
      <c r="K99" s="116"/>
      <c r="L99" s="117"/>
      <c r="M99" s="110"/>
      <c r="N99" s="110">
        <f>N95/N97</f>
        <v>7200000</v>
      </c>
      <c r="O99" s="112">
        <f>O95/O97</f>
        <v>7200000</v>
      </c>
    </row>
    <row r="100" spans="1:234" s="195" customFormat="1" ht="34.5" customHeight="1">
      <c r="A100" s="182" t="s">
        <v>291</v>
      </c>
      <c r="B100" s="191"/>
      <c r="C100" s="191"/>
      <c r="D100" s="193">
        <f>(D108*D115)+(D109*D116)+(D110*D117)+(D111*D118)+(D112*D119)+(D120*D109*D121)</f>
        <v>2368300</v>
      </c>
      <c r="E100" s="193">
        <f aca="true" t="shared" si="8" ref="E100:N100">(E108*E115)+(E109*E116)+(E110*E117)+(E111*E118)+(E112*E119)+(E120*E109*E121)</f>
        <v>3200000</v>
      </c>
      <c r="F100" s="193">
        <f>D100+E100</f>
        <v>5568300</v>
      </c>
      <c r="G100" s="193">
        <f>(G108*G115)+(G109*G116)+(G110*G117)+(G111*G118)+(G112*G119)+(G120*G109*G121)+148.8+37439.79</f>
        <v>2855639.79</v>
      </c>
      <c r="H100" s="193">
        <f t="shared" si="8"/>
        <v>1200000</v>
      </c>
      <c r="I100" s="193">
        <f>G100+H100</f>
        <v>4055639.79</v>
      </c>
      <c r="J100" s="193">
        <f t="shared" si="8"/>
        <v>0</v>
      </c>
      <c r="K100" s="193">
        <f t="shared" si="8"/>
        <v>0</v>
      </c>
      <c r="L100" s="193">
        <f t="shared" si="8"/>
        <v>0</v>
      </c>
      <c r="M100" s="193">
        <f>(M108*M115)+(M109*M116)+(M110*M117)+(M111*M118)+(M112*M119)+(M120*M109*M121)+452.4-0.02</f>
        <v>3385000</v>
      </c>
      <c r="N100" s="193">
        <f t="shared" si="8"/>
        <v>2250000</v>
      </c>
      <c r="O100" s="193">
        <f>M100+N100</f>
        <v>5635000</v>
      </c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  <c r="EO100" s="194"/>
      <c r="EP100" s="194"/>
      <c r="EQ100" s="194"/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4"/>
      <c r="FD100" s="194"/>
      <c r="FE100" s="194"/>
      <c r="FF100" s="194"/>
      <c r="FG100" s="194"/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4"/>
      <c r="FS100" s="194"/>
      <c r="FT100" s="194"/>
      <c r="FU100" s="194"/>
      <c r="FV100" s="194"/>
      <c r="FW100" s="194"/>
      <c r="FX100" s="194"/>
      <c r="FY100" s="194"/>
      <c r="FZ100" s="194"/>
      <c r="GA100" s="194"/>
      <c r="GB100" s="194"/>
      <c r="GC100" s="194"/>
      <c r="GD100" s="194"/>
      <c r="GE100" s="194"/>
      <c r="GF100" s="194"/>
      <c r="GG100" s="194"/>
      <c r="GH100" s="194"/>
      <c r="GI100" s="194"/>
      <c r="GJ100" s="194"/>
      <c r="GK100" s="194"/>
      <c r="GL100" s="194"/>
      <c r="GM100" s="194"/>
      <c r="GN100" s="194"/>
      <c r="GO100" s="194"/>
      <c r="GP100" s="194"/>
      <c r="GQ100" s="194"/>
      <c r="GR100" s="194"/>
      <c r="GS100" s="194"/>
      <c r="GT100" s="194"/>
      <c r="GU100" s="194"/>
      <c r="GV100" s="194"/>
      <c r="GW100" s="194"/>
      <c r="GX100" s="194"/>
      <c r="GY100" s="194"/>
      <c r="GZ100" s="194"/>
      <c r="HA100" s="194"/>
      <c r="HB100" s="194"/>
      <c r="HC100" s="194"/>
      <c r="HD100" s="194"/>
      <c r="HE100" s="194"/>
      <c r="HF100" s="194"/>
      <c r="HG100" s="194"/>
      <c r="HH100" s="194"/>
      <c r="HI100" s="194"/>
      <c r="HJ100" s="194"/>
      <c r="HK100" s="194"/>
      <c r="HL100" s="194"/>
      <c r="HM100" s="194"/>
      <c r="HN100" s="194"/>
      <c r="HO100" s="194"/>
      <c r="HP100" s="194"/>
      <c r="HQ100" s="194"/>
      <c r="HR100" s="194"/>
      <c r="HS100" s="194"/>
      <c r="HT100" s="194"/>
      <c r="HU100" s="194"/>
      <c r="HV100" s="194"/>
      <c r="HW100" s="194"/>
      <c r="HX100" s="194"/>
      <c r="HY100" s="194"/>
      <c r="HZ100" s="194"/>
    </row>
    <row r="101" spans="1:234" s="82" customFormat="1" ht="12">
      <c r="A101" s="91" t="s">
        <v>5</v>
      </c>
      <c r="B101" s="113"/>
      <c r="C101" s="113"/>
      <c r="D101" s="110"/>
      <c r="E101" s="107"/>
      <c r="F101" s="110"/>
      <c r="G101" s="110"/>
      <c r="H101" s="107"/>
      <c r="I101" s="110"/>
      <c r="J101" s="116"/>
      <c r="K101" s="116"/>
      <c r="L101" s="117"/>
      <c r="M101" s="110"/>
      <c r="N101" s="107"/>
      <c r="O101" s="110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</row>
    <row r="102" spans="1:234" s="82" customFormat="1" ht="12">
      <c r="A102" s="92" t="s">
        <v>127</v>
      </c>
      <c r="B102" s="107"/>
      <c r="C102" s="107"/>
      <c r="D102" s="108">
        <v>56</v>
      </c>
      <c r="E102" s="108"/>
      <c r="F102" s="108">
        <f>D102</f>
        <v>56</v>
      </c>
      <c r="G102" s="108">
        <v>64</v>
      </c>
      <c r="H102" s="108"/>
      <c r="I102" s="108">
        <f>G102</f>
        <v>64</v>
      </c>
      <c r="J102" s="118"/>
      <c r="K102" s="118"/>
      <c r="L102" s="118"/>
      <c r="M102" s="108">
        <v>67</v>
      </c>
      <c r="N102" s="108"/>
      <c r="O102" s="108">
        <f>M102</f>
        <v>67</v>
      </c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</row>
    <row r="103" spans="1:234" s="82" customFormat="1" ht="12">
      <c r="A103" s="92" t="s">
        <v>9</v>
      </c>
      <c r="B103" s="107"/>
      <c r="C103" s="107"/>
      <c r="D103" s="115">
        <v>37000</v>
      </c>
      <c r="E103" s="107"/>
      <c r="F103" s="115">
        <f>D103</f>
        <v>37000</v>
      </c>
      <c r="G103" s="115">
        <v>37400</v>
      </c>
      <c r="H103" s="107"/>
      <c r="I103" s="115">
        <f>G103</f>
        <v>37400</v>
      </c>
      <c r="J103" s="116"/>
      <c r="K103" s="116"/>
      <c r="L103" s="117"/>
      <c r="M103" s="115">
        <v>37400</v>
      </c>
      <c r="N103" s="107"/>
      <c r="O103" s="115">
        <f>M103</f>
        <v>37400</v>
      </c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</row>
    <row r="104" spans="1:234" s="82" customFormat="1" ht="33.75">
      <c r="A104" s="92" t="s">
        <v>133</v>
      </c>
      <c r="B104" s="107"/>
      <c r="C104" s="107"/>
      <c r="D104" s="115">
        <v>37400</v>
      </c>
      <c r="E104" s="107"/>
      <c r="F104" s="115">
        <v>37400</v>
      </c>
      <c r="G104" s="115">
        <v>37400</v>
      </c>
      <c r="H104" s="107"/>
      <c r="I104" s="115">
        <v>37400</v>
      </c>
      <c r="J104" s="116"/>
      <c r="K104" s="116"/>
      <c r="L104" s="117"/>
      <c r="M104" s="115">
        <v>37400</v>
      </c>
      <c r="N104" s="107"/>
      <c r="O104" s="115">
        <v>37400</v>
      </c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</row>
    <row r="105" spans="1:234" s="84" customFormat="1" ht="22.5">
      <c r="A105" s="32" t="s">
        <v>91</v>
      </c>
      <c r="B105" s="8"/>
      <c r="C105" s="8"/>
      <c r="D105" s="10">
        <v>73500</v>
      </c>
      <c r="E105" s="10"/>
      <c r="F105" s="10">
        <f>D105</f>
        <v>73500</v>
      </c>
      <c r="G105" s="10">
        <v>81756</v>
      </c>
      <c r="H105" s="10"/>
      <c r="I105" s="10">
        <f>G105</f>
        <v>81756</v>
      </c>
      <c r="J105" s="134"/>
      <c r="K105" s="134"/>
      <c r="L105" s="134"/>
      <c r="M105" s="10">
        <v>89932</v>
      </c>
      <c r="N105" s="10"/>
      <c r="O105" s="10">
        <f>M105</f>
        <v>89932</v>
      </c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3"/>
      <c r="FP105" s="83"/>
      <c r="FQ105" s="83"/>
      <c r="FR105" s="83"/>
      <c r="FS105" s="83"/>
      <c r="FT105" s="83"/>
      <c r="FU105" s="83"/>
      <c r="FV105" s="83"/>
      <c r="FW105" s="83"/>
      <c r="FX105" s="83"/>
      <c r="FY105" s="83"/>
      <c r="FZ105" s="83"/>
      <c r="GA105" s="83"/>
      <c r="GB105" s="83"/>
      <c r="GC105" s="83"/>
      <c r="GD105" s="83"/>
      <c r="GE105" s="83"/>
      <c r="GF105" s="83"/>
      <c r="GG105" s="83"/>
      <c r="GH105" s="83"/>
      <c r="GI105" s="83"/>
      <c r="GJ105" s="83"/>
      <c r="GK105" s="83"/>
      <c r="GL105" s="83"/>
      <c r="GM105" s="83"/>
      <c r="GN105" s="83"/>
      <c r="GO105" s="83"/>
      <c r="GP105" s="83"/>
      <c r="GQ105" s="83"/>
      <c r="GR105" s="83"/>
      <c r="GS105" s="83"/>
      <c r="GT105" s="83"/>
      <c r="GU105" s="83"/>
      <c r="GV105" s="83"/>
      <c r="GW105" s="83"/>
      <c r="GX105" s="83"/>
      <c r="GY105" s="83"/>
      <c r="GZ105" s="83"/>
      <c r="HA105" s="83"/>
      <c r="HB105" s="83"/>
      <c r="HC105" s="83"/>
      <c r="HD105" s="83"/>
      <c r="HE105" s="83"/>
      <c r="HF105" s="83"/>
      <c r="HG105" s="83"/>
      <c r="HH105" s="83"/>
      <c r="HI105" s="83"/>
      <c r="HJ105" s="83"/>
      <c r="HK105" s="83"/>
      <c r="HL105" s="83"/>
      <c r="HM105" s="83"/>
      <c r="HN105" s="83"/>
      <c r="HO105" s="83"/>
      <c r="HP105" s="83"/>
      <c r="HQ105" s="83"/>
      <c r="HR105" s="83"/>
      <c r="HS105" s="83"/>
      <c r="HT105" s="83"/>
      <c r="HU105" s="83"/>
      <c r="HV105" s="83"/>
      <c r="HW105" s="83"/>
      <c r="HX105" s="83"/>
      <c r="HY105" s="83"/>
      <c r="HZ105" s="83"/>
    </row>
    <row r="106" spans="1:240" s="81" customFormat="1" ht="12" customHeight="1">
      <c r="A106" s="91" t="s">
        <v>6</v>
      </c>
      <c r="B106" s="113"/>
      <c r="C106" s="113"/>
      <c r="D106" s="107"/>
      <c r="E106" s="107"/>
      <c r="F106" s="107"/>
      <c r="G106" s="107"/>
      <c r="H106" s="107"/>
      <c r="I106" s="107"/>
      <c r="J106" s="116"/>
      <c r="K106" s="116"/>
      <c r="L106" s="117"/>
      <c r="M106" s="107"/>
      <c r="N106" s="107"/>
      <c r="O106" s="107"/>
      <c r="IA106" s="82"/>
      <c r="IB106" s="82"/>
      <c r="IC106" s="82"/>
      <c r="ID106" s="82"/>
      <c r="IE106" s="82"/>
      <c r="IF106" s="82"/>
    </row>
    <row r="107" spans="1:240" s="81" customFormat="1" ht="22.5">
      <c r="A107" s="92" t="s">
        <v>15</v>
      </c>
      <c r="B107" s="107"/>
      <c r="C107" s="107"/>
      <c r="D107" s="110"/>
      <c r="E107" s="107"/>
      <c r="F107" s="115">
        <f>D107</f>
        <v>0</v>
      </c>
      <c r="G107" s="110"/>
      <c r="H107" s="107"/>
      <c r="I107" s="115">
        <f>G107</f>
        <v>0</v>
      </c>
      <c r="J107" s="116"/>
      <c r="K107" s="116"/>
      <c r="L107" s="117"/>
      <c r="M107" s="110"/>
      <c r="N107" s="107"/>
      <c r="O107" s="115">
        <f>M107</f>
        <v>0</v>
      </c>
      <c r="IA107" s="82"/>
      <c r="IB107" s="82"/>
      <c r="IC107" s="82"/>
      <c r="ID107" s="82"/>
      <c r="IE107" s="82"/>
      <c r="IF107" s="82"/>
    </row>
    <row r="108" spans="1:240" s="81" customFormat="1" ht="27.75" customHeight="1">
      <c r="A108" s="92" t="s">
        <v>128</v>
      </c>
      <c r="B108" s="107"/>
      <c r="C108" s="113"/>
      <c r="D108" s="110"/>
      <c r="E108" s="107">
        <v>8</v>
      </c>
      <c r="F108" s="122">
        <f>E108</f>
        <v>8</v>
      </c>
      <c r="G108" s="107"/>
      <c r="H108" s="108">
        <v>3</v>
      </c>
      <c r="I108" s="108">
        <v>3</v>
      </c>
      <c r="J108" s="116"/>
      <c r="K108" s="116"/>
      <c r="L108" s="117"/>
      <c r="M108" s="107"/>
      <c r="N108" s="108">
        <v>5</v>
      </c>
      <c r="O108" s="108">
        <f>N108</f>
        <v>5</v>
      </c>
      <c r="IA108" s="82"/>
      <c r="IB108" s="82"/>
      <c r="IC108" s="82"/>
      <c r="ID108" s="82"/>
      <c r="IE108" s="82"/>
      <c r="IF108" s="82"/>
    </row>
    <row r="109" spans="1:240" s="81" customFormat="1" ht="27" customHeight="1">
      <c r="A109" s="92" t="s">
        <v>129</v>
      </c>
      <c r="B109" s="107"/>
      <c r="C109" s="113"/>
      <c r="D109" s="108">
        <v>56</v>
      </c>
      <c r="E109" s="108"/>
      <c r="F109" s="108">
        <f>D109</f>
        <v>56</v>
      </c>
      <c r="G109" s="108">
        <v>64</v>
      </c>
      <c r="H109" s="108"/>
      <c r="I109" s="108">
        <f>G109</f>
        <v>64</v>
      </c>
      <c r="J109" s="118"/>
      <c r="K109" s="118"/>
      <c r="L109" s="118"/>
      <c r="M109" s="108">
        <v>67</v>
      </c>
      <c r="N109" s="108"/>
      <c r="O109" s="108">
        <f>M109</f>
        <v>67</v>
      </c>
      <c r="IA109" s="82"/>
      <c r="IB109" s="82"/>
      <c r="IC109" s="82"/>
      <c r="ID109" s="82"/>
      <c r="IE109" s="82"/>
      <c r="IF109" s="82"/>
    </row>
    <row r="110" spans="1:240" s="81" customFormat="1" ht="16.5" customHeight="1">
      <c r="A110" s="92" t="s">
        <v>55</v>
      </c>
      <c r="B110" s="107"/>
      <c r="C110" s="113"/>
      <c r="D110" s="107">
        <v>300</v>
      </c>
      <c r="E110" s="108"/>
      <c r="F110" s="115">
        <f>D110</f>
        <v>300</v>
      </c>
      <c r="G110" s="107">
        <v>300</v>
      </c>
      <c r="H110" s="108"/>
      <c r="I110" s="115">
        <f>G110</f>
        <v>300</v>
      </c>
      <c r="J110" s="116"/>
      <c r="K110" s="116"/>
      <c r="L110" s="117"/>
      <c r="M110" s="107">
        <v>300</v>
      </c>
      <c r="N110" s="108"/>
      <c r="O110" s="115">
        <v>300</v>
      </c>
      <c r="IA110" s="82"/>
      <c r="IB110" s="82"/>
      <c r="IC110" s="82"/>
      <c r="ID110" s="82"/>
      <c r="IE110" s="82"/>
      <c r="IF110" s="82"/>
    </row>
    <row r="111" spans="1:240" s="81" customFormat="1" ht="22.5">
      <c r="A111" s="92" t="s">
        <v>61</v>
      </c>
      <c r="B111" s="107"/>
      <c r="C111" s="113"/>
      <c r="D111" s="108">
        <v>300</v>
      </c>
      <c r="E111" s="108"/>
      <c r="F111" s="108">
        <f>D111</f>
        <v>300</v>
      </c>
      <c r="G111" s="108">
        <v>300</v>
      </c>
      <c r="H111" s="108"/>
      <c r="I111" s="108">
        <v>300</v>
      </c>
      <c r="J111" s="118"/>
      <c r="K111" s="118"/>
      <c r="L111" s="118"/>
      <c r="M111" s="108">
        <v>300</v>
      </c>
      <c r="N111" s="108"/>
      <c r="O111" s="108">
        <f>M111</f>
        <v>300</v>
      </c>
      <c r="IA111" s="82"/>
      <c r="IB111" s="82"/>
      <c r="IC111" s="82"/>
      <c r="ID111" s="82"/>
      <c r="IE111" s="82"/>
      <c r="IF111" s="82"/>
    </row>
    <row r="112" spans="1:240" s="81" customFormat="1" ht="22.5">
      <c r="A112" s="92" t="s">
        <v>14</v>
      </c>
      <c r="B112" s="107"/>
      <c r="C112" s="113"/>
      <c r="D112" s="115">
        <v>37400</v>
      </c>
      <c r="E112" s="107"/>
      <c r="F112" s="115">
        <f aca="true" t="shared" si="9" ref="F112:F127">D112</f>
        <v>37400</v>
      </c>
      <c r="G112" s="115">
        <v>37400</v>
      </c>
      <c r="H112" s="107"/>
      <c r="I112" s="115">
        <f>G112</f>
        <v>37400</v>
      </c>
      <c r="J112" s="116"/>
      <c r="K112" s="116"/>
      <c r="L112" s="117"/>
      <c r="M112" s="115">
        <v>37400</v>
      </c>
      <c r="N112" s="107"/>
      <c r="O112" s="115">
        <f>M112</f>
        <v>37400</v>
      </c>
      <c r="IA112" s="82"/>
      <c r="IB112" s="82"/>
      <c r="IC112" s="82"/>
      <c r="ID112" s="82"/>
      <c r="IE112" s="82"/>
      <c r="IF112" s="82"/>
    </row>
    <row r="113" spans="1:240" s="81" customFormat="1" ht="12">
      <c r="A113" s="91" t="s">
        <v>8</v>
      </c>
      <c r="B113" s="113"/>
      <c r="C113" s="113"/>
      <c r="D113" s="110"/>
      <c r="E113" s="107"/>
      <c r="F113" s="115">
        <f t="shared" si="9"/>
        <v>0</v>
      </c>
      <c r="G113" s="110"/>
      <c r="H113" s="107"/>
      <c r="I113" s="115"/>
      <c r="J113" s="116"/>
      <c r="K113" s="116"/>
      <c r="L113" s="117"/>
      <c r="M113" s="110"/>
      <c r="N113" s="107"/>
      <c r="O113" s="115"/>
      <c r="IA113" s="82"/>
      <c r="IB113" s="82"/>
      <c r="IC113" s="82"/>
      <c r="ID113" s="82"/>
      <c r="IE113" s="82"/>
      <c r="IF113" s="82"/>
    </row>
    <row r="114" spans="1:240" s="81" customFormat="1" ht="22.5" customHeight="1">
      <c r="A114" s="92" t="s">
        <v>17</v>
      </c>
      <c r="B114" s="107"/>
      <c r="C114" s="107"/>
      <c r="D114" s="115"/>
      <c r="E114" s="107"/>
      <c r="F114" s="115">
        <f t="shared" si="9"/>
        <v>0</v>
      </c>
      <c r="G114" s="115"/>
      <c r="H114" s="107"/>
      <c r="I114" s="110">
        <f>G114</f>
        <v>0</v>
      </c>
      <c r="J114" s="116"/>
      <c r="K114" s="116"/>
      <c r="L114" s="117"/>
      <c r="M114" s="115"/>
      <c r="N114" s="107"/>
      <c r="O114" s="110">
        <f>M114</f>
        <v>0</v>
      </c>
      <c r="IA114" s="82"/>
      <c r="IB114" s="82"/>
      <c r="IC114" s="82"/>
      <c r="ID114" s="82"/>
      <c r="IE114" s="82"/>
      <c r="IF114" s="82"/>
    </row>
    <row r="115" spans="1:240" s="81" customFormat="1" ht="27" customHeight="1">
      <c r="A115" s="32" t="s">
        <v>130</v>
      </c>
      <c r="B115" s="8"/>
      <c r="C115" s="8"/>
      <c r="D115" s="8"/>
      <c r="E115" s="19">
        <v>400000</v>
      </c>
      <c r="F115" s="19">
        <f>E115</f>
        <v>400000</v>
      </c>
      <c r="G115" s="8"/>
      <c r="H115" s="19">
        <v>400000</v>
      </c>
      <c r="I115" s="7">
        <f>H115</f>
        <v>400000</v>
      </c>
      <c r="J115" s="21"/>
      <c r="K115" s="21"/>
      <c r="L115" s="22"/>
      <c r="M115" s="19"/>
      <c r="N115" s="19">
        <v>450000</v>
      </c>
      <c r="O115" s="7">
        <f>N115</f>
        <v>450000</v>
      </c>
      <c r="IA115" s="82"/>
      <c r="IB115" s="82"/>
      <c r="IC115" s="82"/>
      <c r="ID115" s="82"/>
      <c r="IE115" s="82"/>
      <c r="IF115" s="82"/>
    </row>
    <row r="116" spans="1:240" s="81" customFormat="1" ht="22.5">
      <c r="A116" s="92" t="s">
        <v>131</v>
      </c>
      <c r="B116" s="107"/>
      <c r="C116" s="107"/>
      <c r="D116" s="110">
        <v>10000</v>
      </c>
      <c r="E116" s="107"/>
      <c r="F116" s="115">
        <f t="shared" si="9"/>
        <v>10000</v>
      </c>
      <c r="G116" s="115">
        <v>15737.5</v>
      </c>
      <c r="H116" s="107"/>
      <c r="I116" s="110">
        <f aca="true" t="shared" si="10" ref="I116:I121">G116</f>
        <v>15737.5</v>
      </c>
      <c r="J116" s="116"/>
      <c r="K116" s="116"/>
      <c r="L116" s="117"/>
      <c r="M116" s="115">
        <v>17015</v>
      </c>
      <c r="N116" s="107"/>
      <c r="O116" s="110">
        <f aca="true" t="shared" si="11" ref="O116:O121">M116</f>
        <v>17015</v>
      </c>
      <c r="IA116" s="82"/>
      <c r="IB116" s="82"/>
      <c r="IC116" s="82"/>
      <c r="ID116" s="82"/>
      <c r="IE116" s="82"/>
      <c r="IF116" s="82"/>
    </row>
    <row r="117" spans="1:240" s="81" customFormat="1" ht="27" customHeight="1">
      <c r="A117" s="92" t="s">
        <v>56</v>
      </c>
      <c r="B117" s="107"/>
      <c r="C117" s="107"/>
      <c r="D117" s="110">
        <v>300</v>
      </c>
      <c r="E117" s="110"/>
      <c r="F117" s="110">
        <f>D117</f>
        <v>300</v>
      </c>
      <c r="G117" s="110">
        <v>300</v>
      </c>
      <c r="H117" s="110"/>
      <c r="I117" s="110">
        <f t="shared" si="10"/>
        <v>300</v>
      </c>
      <c r="J117" s="116"/>
      <c r="K117" s="116"/>
      <c r="L117" s="117"/>
      <c r="M117" s="110">
        <v>350</v>
      </c>
      <c r="N117" s="110"/>
      <c r="O117" s="110">
        <f t="shared" si="11"/>
        <v>350</v>
      </c>
      <c r="IA117" s="82"/>
      <c r="IB117" s="82"/>
      <c r="IC117" s="82"/>
      <c r="ID117" s="82"/>
      <c r="IE117" s="82"/>
      <c r="IF117" s="82"/>
    </row>
    <row r="118" spans="1:240" s="81" customFormat="1" ht="27" customHeight="1">
      <c r="A118" s="92" t="s">
        <v>20</v>
      </c>
      <c r="B118" s="107"/>
      <c r="C118" s="107"/>
      <c r="D118" s="110">
        <v>300</v>
      </c>
      <c r="E118" s="107"/>
      <c r="F118" s="115">
        <f t="shared" si="9"/>
        <v>300</v>
      </c>
      <c r="G118" s="110">
        <v>300</v>
      </c>
      <c r="H118" s="107"/>
      <c r="I118" s="110">
        <f t="shared" si="10"/>
        <v>300</v>
      </c>
      <c r="J118" s="116"/>
      <c r="K118" s="116"/>
      <c r="L118" s="117"/>
      <c r="M118" s="110">
        <v>350</v>
      </c>
      <c r="N118" s="107"/>
      <c r="O118" s="110">
        <f t="shared" si="11"/>
        <v>350</v>
      </c>
      <c r="IA118" s="82"/>
      <c r="IB118" s="82"/>
      <c r="IC118" s="82"/>
      <c r="ID118" s="82"/>
      <c r="IE118" s="82"/>
      <c r="IF118" s="82"/>
    </row>
    <row r="119" spans="1:240" s="81" customFormat="1" ht="22.5">
      <c r="A119" s="92" t="s">
        <v>16</v>
      </c>
      <c r="B119" s="107"/>
      <c r="C119" s="107"/>
      <c r="D119" s="110">
        <v>40</v>
      </c>
      <c r="E119" s="107"/>
      <c r="F119" s="115">
        <f t="shared" si="9"/>
        <v>40</v>
      </c>
      <c r="G119" s="110">
        <v>40</v>
      </c>
      <c r="H119" s="107"/>
      <c r="I119" s="110">
        <f t="shared" si="10"/>
        <v>40</v>
      </c>
      <c r="J119" s="116"/>
      <c r="K119" s="116"/>
      <c r="L119" s="117"/>
      <c r="M119" s="110">
        <v>50</v>
      </c>
      <c r="N119" s="107"/>
      <c r="O119" s="110">
        <f t="shared" si="11"/>
        <v>50</v>
      </c>
      <c r="R119" s="81">
        <f>1277*64*1.65</f>
        <v>134851.19999999998</v>
      </c>
      <c r="IA119" s="82"/>
      <c r="IB119" s="82"/>
      <c r="IC119" s="82"/>
      <c r="ID119" s="82"/>
      <c r="IE119" s="82"/>
      <c r="IF119" s="82"/>
    </row>
    <row r="120" spans="1:240" s="81" customFormat="1" ht="22.5">
      <c r="A120" s="92" t="s">
        <v>92</v>
      </c>
      <c r="B120" s="107"/>
      <c r="C120" s="107"/>
      <c r="D120" s="108">
        <v>1312.5</v>
      </c>
      <c r="E120" s="108"/>
      <c r="F120" s="108">
        <f>D120</f>
        <v>1312.5</v>
      </c>
      <c r="G120" s="108">
        <v>1277</v>
      </c>
      <c r="H120" s="108"/>
      <c r="I120" s="108">
        <f t="shared" si="10"/>
        <v>1277</v>
      </c>
      <c r="J120" s="118"/>
      <c r="K120" s="118"/>
      <c r="L120" s="118"/>
      <c r="M120" s="108">
        <v>1342</v>
      </c>
      <c r="N120" s="108"/>
      <c r="O120" s="108">
        <f t="shared" si="11"/>
        <v>1342</v>
      </c>
      <c r="R120" s="81">
        <f>21572/4</f>
        <v>5393</v>
      </c>
      <c r="IA120" s="82"/>
      <c r="IB120" s="82"/>
      <c r="IC120" s="82"/>
      <c r="ID120" s="82"/>
      <c r="IE120" s="82"/>
      <c r="IF120" s="82"/>
    </row>
    <row r="121" spans="1:240" s="81" customFormat="1" ht="22.5">
      <c r="A121" s="32" t="s">
        <v>93</v>
      </c>
      <c r="B121" s="8"/>
      <c r="C121" s="8"/>
      <c r="D121" s="7">
        <v>1.8</v>
      </c>
      <c r="E121" s="7"/>
      <c r="F121" s="7">
        <f>D121</f>
        <v>1.8</v>
      </c>
      <c r="G121" s="7">
        <v>1.65</v>
      </c>
      <c r="H121" s="7"/>
      <c r="I121" s="7">
        <f t="shared" si="10"/>
        <v>1.65</v>
      </c>
      <c r="J121" s="135"/>
      <c r="K121" s="135"/>
      <c r="L121" s="135"/>
      <c r="M121" s="7">
        <v>1.83</v>
      </c>
      <c r="N121" s="7"/>
      <c r="O121" s="7">
        <f t="shared" si="11"/>
        <v>1.83</v>
      </c>
      <c r="IA121" s="82"/>
      <c r="IB121" s="82"/>
      <c r="IC121" s="82"/>
      <c r="ID121" s="82"/>
      <c r="IE121" s="82"/>
      <c r="IF121" s="82"/>
    </row>
    <row r="122" spans="1:240" s="81" customFormat="1" ht="12">
      <c r="A122" s="91" t="s">
        <v>7</v>
      </c>
      <c r="B122" s="113"/>
      <c r="C122" s="113"/>
      <c r="D122" s="110"/>
      <c r="E122" s="107"/>
      <c r="F122" s="115"/>
      <c r="G122" s="110"/>
      <c r="H122" s="107"/>
      <c r="I122" s="110"/>
      <c r="J122" s="116"/>
      <c r="K122" s="116"/>
      <c r="L122" s="117"/>
      <c r="M122" s="110"/>
      <c r="N122" s="107"/>
      <c r="O122" s="110"/>
      <c r="IA122" s="82"/>
      <c r="IB122" s="82"/>
      <c r="IC122" s="82"/>
      <c r="ID122" s="82"/>
      <c r="IE122" s="82"/>
      <c r="IF122" s="82"/>
    </row>
    <row r="123" spans="1:240" s="81" customFormat="1" ht="22.5" customHeight="1">
      <c r="A123" s="92" t="s">
        <v>60</v>
      </c>
      <c r="B123" s="107"/>
      <c r="C123" s="107"/>
      <c r="D123" s="110"/>
      <c r="E123" s="107"/>
      <c r="F123" s="115">
        <f t="shared" si="9"/>
        <v>0</v>
      </c>
      <c r="G123" s="110"/>
      <c r="H123" s="107"/>
      <c r="I123" s="110"/>
      <c r="J123" s="116"/>
      <c r="K123" s="116"/>
      <c r="L123" s="117"/>
      <c r="M123" s="110"/>
      <c r="N123" s="107"/>
      <c r="O123" s="110"/>
      <c r="IA123" s="82"/>
      <c r="IB123" s="82"/>
      <c r="IC123" s="82"/>
      <c r="ID123" s="82"/>
      <c r="IE123" s="82"/>
      <c r="IF123" s="82"/>
    </row>
    <row r="124" spans="1:240" s="81" customFormat="1" ht="30.75" customHeight="1">
      <c r="A124" s="92" t="s">
        <v>132</v>
      </c>
      <c r="B124" s="107"/>
      <c r="C124" s="107"/>
      <c r="D124" s="108">
        <v>100</v>
      </c>
      <c r="E124" s="108"/>
      <c r="F124" s="108">
        <f t="shared" si="9"/>
        <v>100</v>
      </c>
      <c r="G124" s="108">
        <v>100</v>
      </c>
      <c r="H124" s="108"/>
      <c r="I124" s="108">
        <v>100</v>
      </c>
      <c r="J124" s="118"/>
      <c r="K124" s="118"/>
      <c r="L124" s="118"/>
      <c r="M124" s="108">
        <v>100</v>
      </c>
      <c r="N124" s="108"/>
      <c r="O124" s="108">
        <v>100</v>
      </c>
      <c r="IA124" s="82"/>
      <c r="IB124" s="82"/>
      <c r="IC124" s="82"/>
      <c r="ID124" s="82"/>
      <c r="IE124" s="82"/>
      <c r="IF124" s="82"/>
    </row>
    <row r="125" spans="1:240" s="81" customFormat="1" ht="22.5" customHeight="1">
      <c r="A125" s="92" t="s">
        <v>62</v>
      </c>
      <c r="B125" s="107"/>
      <c r="C125" s="107"/>
      <c r="D125" s="108"/>
      <c r="E125" s="108"/>
      <c r="F125" s="108">
        <f t="shared" si="9"/>
        <v>0</v>
      </c>
      <c r="G125" s="108"/>
      <c r="H125" s="108"/>
      <c r="I125" s="108"/>
      <c r="J125" s="118"/>
      <c r="K125" s="118"/>
      <c r="L125" s="118"/>
      <c r="M125" s="108"/>
      <c r="N125" s="108"/>
      <c r="O125" s="108"/>
      <c r="IA125" s="82"/>
      <c r="IB125" s="82"/>
      <c r="IC125" s="82"/>
      <c r="ID125" s="82"/>
      <c r="IE125" s="82"/>
      <c r="IF125" s="82"/>
    </row>
    <row r="126" spans="1:240" s="81" customFormat="1" ht="23.25" customHeight="1">
      <c r="A126" s="92" t="s">
        <v>22</v>
      </c>
      <c r="B126" s="107"/>
      <c r="C126" s="107"/>
      <c r="D126" s="108">
        <v>100</v>
      </c>
      <c r="E126" s="108"/>
      <c r="F126" s="108">
        <f t="shared" si="9"/>
        <v>100</v>
      </c>
      <c r="G126" s="108">
        <v>100</v>
      </c>
      <c r="H126" s="108"/>
      <c r="I126" s="108">
        <v>100</v>
      </c>
      <c r="J126" s="118"/>
      <c r="K126" s="118"/>
      <c r="L126" s="118"/>
      <c r="M126" s="108">
        <v>100</v>
      </c>
      <c r="N126" s="108"/>
      <c r="O126" s="108">
        <v>100</v>
      </c>
      <c r="IA126" s="82"/>
      <c r="IB126" s="82"/>
      <c r="IC126" s="82"/>
      <c r="ID126" s="82"/>
      <c r="IE126" s="82"/>
      <c r="IF126" s="82"/>
    </row>
    <row r="127" spans="1:240" s="81" customFormat="1" ht="30" customHeight="1">
      <c r="A127" s="92" t="s">
        <v>76</v>
      </c>
      <c r="B127" s="107"/>
      <c r="C127" s="107"/>
      <c r="D127" s="108">
        <v>100</v>
      </c>
      <c r="E127" s="108"/>
      <c r="F127" s="108">
        <f t="shared" si="9"/>
        <v>100</v>
      </c>
      <c r="G127" s="108">
        <f>G112/G104*100</f>
        <v>100</v>
      </c>
      <c r="H127" s="108"/>
      <c r="I127" s="108">
        <f>I112/I104*100</f>
        <v>100</v>
      </c>
      <c r="J127" s="118"/>
      <c r="K127" s="118"/>
      <c r="L127" s="118"/>
      <c r="M127" s="108">
        <f>M112/M104*100</f>
        <v>100</v>
      </c>
      <c r="N127" s="108"/>
      <c r="O127" s="108">
        <f>O112/O104*100</f>
        <v>100</v>
      </c>
      <c r="IA127" s="82"/>
      <c r="IB127" s="82"/>
      <c r="IC127" s="82"/>
      <c r="ID127" s="82"/>
      <c r="IE127" s="82"/>
      <c r="IF127" s="82"/>
    </row>
    <row r="128" spans="1:240" s="194" customFormat="1" ht="24" customHeight="1">
      <c r="A128" s="182" t="s">
        <v>292</v>
      </c>
      <c r="B128" s="191"/>
      <c r="C128" s="191"/>
      <c r="D128" s="193">
        <f>(D139*D145)+(D140*D146)+(D142*D148)+(D141*D147)+(D143*D150)+100</f>
        <v>10575000</v>
      </c>
      <c r="E128" s="193">
        <f>(E139*E145)+(E140*E146)+(E142*E148)+(E141*E147)+(E143*E150)+4.4</f>
        <v>6200000.000000001</v>
      </c>
      <c r="F128" s="193">
        <f>D128+E128</f>
        <v>16775000</v>
      </c>
      <c r="G128" s="193">
        <f>(G139*G145)+(G140*G146)+(G142*G148)+(G141*G147)+(G143*G150)-364.8+3000000</f>
        <v>15600000</v>
      </c>
      <c r="H128" s="193">
        <f>(H139*H145)+(H140*H146)+(H142*H148)+(H141*H147)+(H143*H150)+6.2-774.52+1800</f>
        <v>10001800</v>
      </c>
      <c r="I128" s="193">
        <f>G128+H128</f>
        <v>25601800</v>
      </c>
      <c r="J128" s="193">
        <f>(J139*J145)+(J140*J146)+(J142*J148)+(J141*J147)+(J143*J150)+100</f>
        <v>100</v>
      </c>
      <c r="K128" s="193">
        <f>(K139*K145)+(K140*K146)+(K142*K148)+(K141*K147)+(K143*K150)+100</f>
        <v>100</v>
      </c>
      <c r="L128" s="193">
        <f>(L139*L145)+(L140*L146)+(L142*L148)+(L141*L147)+(L143*L150)+100</f>
        <v>100</v>
      </c>
      <c r="M128" s="193">
        <f>(M139*M145)+(M140*M146)+(M142*M148)+(M141*M147)+(M143*M150)-189</f>
        <v>15100000</v>
      </c>
      <c r="N128" s="193">
        <f>(N139*N145)+(N140*N146)+(N142*N148)+(N141*N147)+(N143*N150)-26</f>
        <v>8800000</v>
      </c>
      <c r="O128" s="193">
        <f>M128+N128</f>
        <v>23900000</v>
      </c>
      <c r="IA128" s="195"/>
      <c r="IB128" s="195"/>
      <c r="IC128" s="195"/>
      <c r="ID128" s="195"/>
      <c r="IE128" s="195"/>
      <c r="IF128" s="195"/>
    </row>
    <row r="129" spans="1:240" s="1" customFormat="1" ht="0.75" customHeight="1">
      <c r="A129" s="34" t="s">
        <v>63</v>
      </c>
      <c r="B129" s="20"/>
      <c r="C129" s="20"/>
      <c r="D129" s="8" t="e">
        <f>#REF!*D145+D142*D147+D141*D148</f>
        <v>#REF!</v>
      </c>
      <c r="E129" s="8" t="e">
        <f>#REF!*E145+E142*E147+E141*E148</f>
        <v>#REF!</v>
      </c>
      <c r="F129" s="8" t="e">
        <f>#REF!*F145+F142*F147+F141*F148</f>
        <v>#REF!</v>
      </c>
      <c r="G129" s="8" t="e">
        <f>#REF!*G145+G142*G147+G141*G148</f>
        <v>#REF!</v>
      </c>
      <c r="H129" s="8"/>
      <c r="I129" s="8" t="e">
        <f>#REF!*I145+I142*I147+I141*I148</f>
        <v>#REF!</v>
      </c>
      <c r="J129" s="14"/>
      <c r="K129" s="14"/>
      <c r="L129" s="15"/>
      <c r="M129" s="8" t="e">
        <f>#REF!*M145+M142*M147+M141*M148</f>
        <v>#REF!</v>
      </c>
      <c r="N129" s="8"/>
      <c r="O129" s="8" t="e">
        <f>#REF!*O145+O142*O147+O141*O148</f>
        <v>#REF!</v>
      </c>
      <c r="IA129"/>
      <c r="IB129"/>
      <c r="IC129"/>
      <c r="ID129"/>
      <c r="IE129"/>
      <c r="IF129"/>
    </row>
    <row r="130" spans="1:240" s="1" customFormat="1" ht="12">
      <c r="A130" s="91" t="s">
        <v>5</v>
      </c>
      <c r="B130" s="113"/>
      <c r="C130" s="113"/>
      <c r="D130" s="113"/>
      <c r="E130" s="113"/>
      <c r="F130" s="113"/>
      <c r="G130" s="113"/>
      <c r="H130" s="113"/>
      <c r="I130" s="113"/>
      <c r="J130" s="116"/>
      <c r="K130" s="116"/>
      <c r="L130" s="117"/>
      <c r="M130" s="113"/>
      <c r="N130" s="113"/>
      <c r="O130" s="113"/>
      <c r="IA130"/>
      <c r="IB130"/>
      <c r="IC130"/>
      <c r="ID130"/>
      <c r="IE130"/>
      <c r="IF130"/>
    </row>
    <row r="131" spans="1:240" s="1" customFormat="1" ht="21" customHeight="1">
      <c r="A131" s="92" t="s">
        <v>134</v>
      </c>
      <c r="B131" s="107"/>
      <c r="C131" s="107"/>
      <c r="D131" s="125">
        <v>600.663</v>
      </c>
      <c r="E131" s="125"/>
      <c r="F131" s="125">
        <f>D131</f>
        <v>600.663</v>
      </c>
      <c r="G131" s="125">
        <f>D131</f>
        <v>600.663</v>
      </c>
      <c r="H131" s="125"/>
      <c r="I131" s="125">
        <f>G131</f>
        <v>600.663</v>
      </c>
      <c r="J131" s="126"/>
      <c r="K131" s="126"/>
      <c r="L131" s="126"/>
      <c r="M131" s="125">
        <f>I131</f>
        <v>600.663</v>
      </c>
      <c r="N131" s="125"/>
      <c r="O131" s="125">
        <f>M131</f>
        <v>600.663</v>
      </c>
      <c r="IA131"/>
      <c r="IB131"/>
      <c r="IC131"/>
      <c r="ID131"/>
      <c r="IE131"/>
      <c r="IF131"/>
    </row>
    <row r="132" spans="1:240" s="1" customFormat="1" ht="27" customHeight="1">
      <c r="A132" s="92" t="s">
        <v>135</v>
      </c>
      <c r="B132" s="107"/>
      <c r="C132" s="107"/>
      <c r="D132" s="107"/>
      <c r="E132" s="110">
        <v>427.5</v>
      </c>
      <c r="F132" s="110">
        <f>E132</f>
        <v>427.5</v>
      </c>
      <c r="G132" s="107"/>
      <c r="H132" s="110">
        <v>427.5</v>
      </c>
      <c r="I132" s="110">
        <f>H132</f>
        <v>427.5</v>
      </c>
      <c r="J132" s="116"/>
      <c r="K132" s="116"/>
      <c r="L132" s="117"/>
      <c r="M132" s="107"/>
      <c r="N132" s="110">
        <v>427.5</v>
      </c>
      <c r="O132" s="110">
        <f>N132</f>
        <v>427.5</v>
      </c>
      <c r="IA132"/>
      <c r="IB132"/>
      <c r="IC132"/>
      <c r="ID132"/>
      <c r="IE132"/>
      <c r="IF132"/>
    </row>
    <row r="133" spans="1:240" s="1" customFormat="1" ht="30.75" customHeight="1">
      <c r="A133" s="92" t="s">
        <v>136</v>
      </c>
      <c r="B133" s="107"/>
      <c r="C133" s="107"/>
      <c r="D133" s="110">
        <v>97.9</v>
      </c>
      <c r="E133" s="107"/>
      <c r="F133" s="110">
        <f>D133</f>
        <v>97.9</v>
      </c>
      <c r="G133" s="110">
        <v>97.9</v>
      </c>
      <c r="H133" s="107"/>
      <c r="I133" s="110">
        <f>G133</f>
        <v>97.9</v>
      </c>
      <c r="J133" s="116"/>
      <c r="K133" s="116"/>
      <c r="L133" s="117"/>
      <c r="M133" s="110">
        <v>97.9</v>
      </c>
      <c r="N133" s="107"/>
      <c r="O133" s="110">
        <f>M133</f>
        <v>97.9</v>
      </c>
      <c r="IA133"/>
      <c r="IB133"/>
      <c r="IC133"/>
      <c r="ID133"/>
      <c r="IE133"/>
      <c r="IF133"/>
    </row>
    <row r="134" spans="1:240" s="1" customFormat="1" ht="25.5" customHeight="1">
      <c r="A134" s="92" t="s">
        <v>137</v>
      </c>
      <c r="B134" s="107"/>
      <c r="C134" s="107"/>
      <c r="D134" s="115">
        <v>15870</v>
      </c>
      <c r="E134" s="107"/>
      <c r="F134" s="110">
        <f>D134</f>
        <v>15870</v>
      </c>
      <c r="G134" s="115">
        <v>15920</v>
      </c>
      <c r="H134" s="107"/>
      <c r="I134" s="110">
        <f aca="true" t="shared" si="12" ref="I134:I152">G134</f>
        <v>15920</v>
      </c>
      <c r="J134" s="116"/>
      <c r="K134" s="116"/>
      <c r="L134" s="117"/>
      <c r="M134" s="115">
        <v>15970</v>
      </c>
      <c r="N134" s="107"/>
      <c r="O134" s="110">
        <f aca="true" t="shared" si="13" ref="O134:O152">M134</f>
        <v>15970</v>
      </c>
      <c r="IA134"/>
      <c r="IB134"/>
      <c r="IC134"/>
      <c r="ID134"/>
      <c r="IE134"/>
      <c r="IF134"/>
    </row>
    <row r="135" spans="1:240" s="1" customFormat="1" ht="16.5" customHeight="1">
      <c r="A135" s="92" t="s">
        <v>138</v>
      </c>
      <c r="B135" s="107"/>
      <c r="C135" s="107"/>
      <c r="D135" s="115">
        <v>8286</v>
      </c>
      <c r="E135" s="107"/>
      <c r="F135" s="110">
        <f>D135</f>
        <v>8286</v>
      </c>
      <c r="G135" s="115">
        <f>F135</f>
        <v>8286</v>
      </c>
      <c r="H135" s="107"/>
      <c r="I135" s="110">
        <f t="shared" si="12"/>
        <v>8286</v>
      </c>
      <c r="J135" s="116"/>
      <c r="K135" s="116"/>
      <c r="L135" s="117"/>
      <c r="M135" s="115">
        <f>G135</f>
        <v>8286</v>
      </c>
      <c r="N135" s="107"/>
      <c r="O135" s="110">
        <f t="shared" si="13"/>
        <v>8286</v>
      </c>
      <c r="IA135"/>
      <c r="IB135"/>
      <c r="IC135"/>
      <c r="ID135"/>
      <c r="IE135"/>
      <c r="IF135"/>
    </row>
    <row r="136" spans="1:240" s="1" customFormat="1" ht="29.25" customHeight="1">
      <c r="A136" s="92" t="s">
        <v>139</v>
      </c>
      <c r="B136" s="107"/>
      <c r="C136" s="107"/>
      <c r="D136" s="115">
        <v>7800</v>
      </c>
      <c r="E136" s="107"/>
      <c r="F136" s="110">
        <f>D136</f>
        <v>7800</v>
      </c>
      <c r="G136" s="115">
        <f>F136</f>
        <v>7800</v>
      </c>
      <c r="H136" s="107"/>
      <c r="I136" s="110">
        <f>G136</f>
        <v>7800</v>
      </c>
      <c r="J136" s="116"/>
      <c r="K136" s="116"/>
      <c r="L136" s="117"/>
      <c r="M136" s="115">
        <f>I136</f>
        <v>7800</v>
      </c>
      <c r="N136" s="107"/>
      <c r="O136" s="110">
        <f>M136</f>
        <v>7800</v>
      </c>
      <c r="IA136"/>
      <c r="IB136"/>
      <c r="IC136"/>
      <c r="ID136"/>
      <c r="IE136"/>
      <c r="IF136"/>
    </row>
    <row r="137" spans="1:240" s="1" customFormat="1" ht="12">
      <c r="A137" s="91" t="s">
        <v>6</v>
      </c>
      <c r="B137" s="113"/>
      <c r="C137" s="113"/>
      <c r="D137" s="113"/>
      <c r="E137" s="113"/>
      <c r="F137" s="110"/>
      <c r="G137" s="113"/>
      <c r="H137" s="113"/>
      <c r="I137" s="110">
        <f t="shared" si="12"/>
        <v>0</v>
      </c>
      <c r="J137" s="116"/>
      <c r="K137" s="116"/>
      <c r="L137" s="117"/>
      <c r="M137" s="113"/>
      <c r="N137" s="113"/>
      <c r="O137" s="110">
        <f t="shared" si="13"/>
        <v>0</v>
      </c>
      <c r="IA137"/>
      <c r="IB137"/>
      <c r="IC137"/>
      <c r="ID137"/>
      <c r="IE137"/>
      <c r="IF137"/>
    </row>
    <row r="138" spans="1:240" s="1" customFormat="1" ht="22.5" customHeight="1">
      <c r="A138" s="92" t="s">
        <v>25</v>
      </c>
      <c r="B138" s="107"/>
      <c r="C138" s="107"/>
      <c r="D138" s="110"/>
      <c r="E138" s="107"/>
      <c r="F138" s="110"/>
      <c r="G138" s="110"/>
      <c r="H138" s="107"/>
      <c r="I138" s="110">
        <f t="shared" si="12"/>
        <v>0</v>
      </c>
      <c r="J138" s="116"/>
      <c r="K138" s="116"/>
      <c r="L138" s="117"/>
      <c r="M138" s="110"/>
      <c r="N138" s="107"/>
      <c r="O138" s="110">
        <f t="shared" si="13"/>
        <v>0</v>
      </c>
      <c r="IA138"/>
      <c r="IB138"/>
      <c r="IC138"/>
      <c r="ID138"/>
      <c r="IE138"/>
      <c r="IF138"/>
    </row>
    <row r="139" spans="1:240" s="1" customFormat="1" ht="29.25" customHeight="1">
      <c r="A139" s="92" t="s">
        <v>140</v>
      </c>
      <c r="B139" s="107"/>
      <c r="C139" s="107"/>
      <c r="D139" s="108">
        <v>3</v>
      </c>
      <c r="E139" s="108"/>
      <c r="F139" s="108">
        <f>D139</f>
        <v>3</v>
      </c>
      <c r="G139" s="108">
        <v>4</v>
      </c>
      <c r="H139" s="108"/>
      <c r="I139" s="108">
        <f>G139</f>
        <v>4</v>
      </c>
      <c r="J139" s="118"/>
      <c r="K139" s="118"/>
      <c r="L139" s="118"/>
      <c r="M139" s="120">
        <v>5</v>
      </c>
      <c r="N139" s="120"/>
      <c r="O139" s="120">
        <f>M139</f>
        <v>5</v>
      </c>
      <c r="IA139"/>
      <c r="IB139"/>
      <c r="IC139"/>
      <c r="ID139"/>
      <c r="IE139"/>
      <c r="IF139"/>
    </row>
    <row r="140" spans="1:240" s="1" customFormat="1" ht="30" customHeight="1">
      <c r="A140" s="92" t="s">
        <v>141</v>
      </c>
      <c r="B140" s="107"/>
      <c r="C140" s="107"/>
      <c r="D140" s="107"/>
      <c r="E140" s="110">
        <v>18.8</v>
      </c>
      <c r="F140" s="110">
        <f>E140</f>
        <v>18.8</v>
      </c>
      <c r="G140" s="107"/>
      <c r="H140" s="110">
        <v>27.84</v>
      </c>
      <c r="I140" s="110">
        <f>H140</f>
        <v>27.84</v>
      </c>
      <c r="J140" s="116"/>
      <c r="K140" s="116"/>
      <c r="L140" s="117"/>
      <c r="M140" s="107"/>
      <c r="N140" s="110">
        <v>22.3</v>
      </c>
      <c r="O140" s="110">
        <f>N140</f>
        <v>22.3</v>
      </c>
      <c r="IA140"/>
      <c r="IB140"/>
      <c r="IC140"/>
      <c r="ID140"/>
      <c r="IE140"/>
      <c r="IF140"/>
    </row>
    <row r="141" spans="1:240" s="1" customFormat="1" ht="26.25" customHeight="1">
      <c r="A141" s="92" t="s">
        <v>185</v>
      </c>
      <c r="B141" s="107"/>
      <c r="C141" s="107"/>
      <c r="D141" s="110">
        <v>15870</v>
      </c>
      <c r="E141" s="107"/>
      <c r="F141" s="110">
        <f>D141</f>
        <v>15870</v>
      </c>
      <c r="G141" s="110">
        <f>G134</f>
        <v>15920</v>
      </c>
      <c r="H141" s="107"/>
      <c r="I141" s="110">
        <f>G141</f>
        <v>15920</v>
      </c>
      <c r="J141" s="116"/>
      <c r="K141" s="116"/>
      <c r="L141" s="117"/>
      <c r="M141" s="110">
        <f>M134</f>
        <v>15970</v>
      </c>
      <c r="N141" s="107"/>
      <c r="O141" s="110">
        <f>M141</f>
        <v>15970</v>
      </c>
      <c r="IA141"/>
      <c r="IB141"/>
      <c r="IC141"/>
      <c r="ID141"/>
      <c r="IE141"/>
      <c r="IF141"/>
    </row>
    <row r="142" spans="1:240" s="1" customFormat="1" ht="24.75" customHeight="1">
      <c r="A142" s="92" t="s">
        <v>142</v>
      </c>
      <c r="B142" s="107"/>
      <c r="C142" s="107"/>
      <c r="D142" s="110">
        <v>800</v>
      </c>
      <c r="E142" s="107"/>
      <c r="F142" s="110">
        <f aca="true" t="shared" si="14" ref="F142:F152">D142</f>
        <v>800</v>
      </c>
      <c r="G142" s="110">
        <v>900</v>
      </c>
      <c r="H142" s="107"/>
      <c r="I142" s="110">
        <f t="shared" si="12"/>
        <v>900</v>
      </c>
      <c r="J142" s="116"/>
      <c r="K142" s="116"/>
      <c r="L142" s="117"/>
      <c r="M142" s="110">
        <v>1000</v>
      </c>
      <c r="N142" s="107"/>
      <c r="O142" s="110">
        <f t="shared" si="13"/>
        <v>1000</v>
      </c>
      <c r="IA142"/>
      <c r="IB142"/>
      <c r="IC142"/>
      <c r="ID142"/>
      <c r="IE142"/>
      <c r="IF142"/>
    </row>
    <row r="143" spans="1:240" s="1" customFormat="1" ht="24.75" customHeight="1">
      <c r="A143" s="92" t="s">
        <v>143</v>
      </c>
      <c r="B143" s="107"/>
      <c r="C143" s="107"/>
      <c r="D143" s="115">
        <v>7800000</v>
      </c>
      <c r="E143" s="107"/>
      <c r="F143" s="110">
        <f>D143</f>
        <v>7800000</v>
      </c>
      <c r="G143" s="110">
        <v>7816720</v>
      </c>
      <c r="H143" s="107"/>
      <c r="I143" s="110">
        <f>G143</f>
        <v>7816720</v>
      </c>
      <c r="J143" s="116"/>
      <c r="K143" s="116"/>
      <c r="L143" s="117"/>
      <c r="M143" s="115">
        <v>7841270</v>
      </c>
      <c r="N143" s="107"/>
      <c r="O143" s="110">
        <f>M143</f>
        <v>7841270</v>
      </c>
      <c r="IA143"/>
      <c r="IB143"/>
      <c r="IC143"/>
      <c r="ID143"/>
      <c r="IE143"/>
      <c r="IF143"/>
    </row>
    <row r="144" spans="1:240" s="1" customFormat="1" ht="12">
      <c r="A144" s="91" t="s">
        <v>8</v>
      </c>
      <c r="B144" s="113"/>
      <c r="C144" s="113"/>
      <c r="D144" s="113"/>
      <c r="E144" s="113"/>
      <c r="F144" s="110">
        <f t="shared" si="14"/>
        <v>0</v>
      </c>
      <c r="G144" s="113"/>
      <c r="H144" s="113"/>
      <c r="I144" s="110">
        <f t="shared" si="12"/>
        <v>0</v>
      </c>
      <c r="J144" s="116"/>
      <c r="K144" s="116"/>
      <c r="L144" s="117"/>
      <c r="M144" s="113"/>
      <c r="N144" s="113"/>
      <c r="O144" s="110">
        <f t="shared" si="13"/>
        <v>0</v>
      </c>
      <c r="IA144"/>
      <c r="IB144"/>
      <c r="IC144"/>
      <c r="ID144"/>
      <c r="IE144"/>
      <c r="IF144"/>
    </row>
    <row r="145" spans="1:240" s="1" customFormat="1" ht="27" customHeight="1">
      <c r="A145" s="92" t="s">
        <v>144</v>
      </c>
      <c r="B145" s="107"/>
      <c r="C145" s="107"/>
      <c r="D145" s="115">
        <v>74500</v>
      </c>
      <c r="E145" s="107"/>
      <c r="F145" s="110">
        <f>D145</f>
        <v>74500</v>
      </c>
      <c r="G145" s="115">
        <v>83000</v>
      </c>
      <c r="H145" s="107"/>
      <c r="I145" s="110">
        <f>G145</f>
        <v>83000</v>
      </c>
      <c r="J145" s="116"/>
      <c r="K145" s="116"/>
      <c r="L145" s="117"/>
      <c r="M145" s="115">
        <v>96000</v>
      </c>
      <c r="N145" s="107"/>
      <c r="O145" s="110">
        <f>M145</f>
        <v>96000</v>
      </c>
      <c r="IA145"/>
      <c r="IB145"/>
      <c r="IC145"/>
      <c r="ID145"/>
      <c r="IE145"/>
      <c r="IF145"/>
    </row>
    <row r="146" spans="1:240" s="1" customFormat="1" ht="27.75" customHeight="1">
      <c r="A146" s="92" t="s">
        <v>145</v>
      </c>
      <c r="B146" s="107"/>
      <c r="C146" s="107"/>
      <c r="D146" s="107"/>
      <c r="E146" s="115">
        <v>329787</v>
      </c>
      <c r="F146" s="110">
        <f>E146</f>
        <v>329787</v>
      </c>
      <c r="G146" s="107"/>
      <c r="H146" s="115">
        <v>359223</v>
      </c>
      <c r="I146" s="110">
        <f>H146</f>
        <v>359223</v>
      </c>
      <c r="J146" s="116"/>
      <c r="K146" s="116"/>
      <c r="L146" s="117"/>
      <c r="M146" s="107"/>
      <c r="N146" s="115">
        <v>394620</v>
      </c>
      <c r="O146" s="110">
        <f>N146</f>
        <v>394620</v>
      </c>
      <c r="IA146"/>
      <c r="IB146"/>
      <c r="IC146"/>
      <c r="ID146"/>
      <c r="IE146"/>
      <c r="IF146"/>
    </row>
    <row r="147" spans="1:240" s="1" customFormat="1" ht="23.25" customHeight="1">
      <c r="A147" s="92" t="s">
        <v>146</v>
      </c>
      <c r="B147" s="107"/>
      <c r="C147" s="107"/>
      <c r="D147" s="115">
        <v>220</v>
      </c>
      <c r="E147" s="107"/>
      <c r="F147" s="110">
        <f>D147</f>
        <v>220</v>
      </c>
      <c r="G147" s="115">
        <v>250</v>
      </c>
      <c r="H147" s="107"/>
      <c r="I147" s="110">
        <f>G147</f>
        <v>250</v>
      </c>
      <c r="J147" s="116"/>
      <c r="K147" s="116"/>
      <c r="L147" s="117"/>
      <c r="M147" s="115">
        <v>290</v>
      </c>
      <c r="N147" s="107"/>
      <c r="O147" s="110">
        <f>M147</f>
        <v>290</v>
      </c>
      <c r="IA147"/>
      <c r="IB147"/>
      <c r="IC147"/>
      <c r="ID147"/>
      <c r="IE147"/>
      <c r="IF147"/>
    </row>
    <row r="148" spans="1:240" s="1" customFormat="1" ht="22.5">
      <c r="A148" s="92" t="s">
        <v>147</v>
      </c>
      <c r="B148" s="107"/>
      <c r="C148" s="107"/>
      <c r="D148" s="115">
        <v>3700</v>
      </c>
      <c r="E148" s="107"/>
      <c r="F148" s="110">
        <f t="shared" si="14"/>
        <v>3700</v>
      </c>
      <c r="G148" s="115">
        <v>4085</v>
      </c>
      <c r="H148" s="107"/>
      <c r="I148" s="110">
        <f t="shared" si="12"/>
        <v>4085</v>
      </c>
      <c r="J148" s="116"/>
      <c r="K148" s="116"/>
      <c r="L148" s="117"/>
      <c r="M148" s="115">
        <v>4500</v>
      </c>
      <c r="N148" s="107"/>
      <c r="O148" s="110">
        <f t="shared" si="13"/>
        <v>4500</v>
      </c>
      <c r="IA148"/>
      <c r="IB148"/>
      <c r="IC148"/>
      <c r="ID148"/>
      <c r="IE148"/>
      <c r="IF148"/>
    </row>
    <row r="149" spans="1:240" s="1" customFormat="1" ht="22.5">
      <c r="A149" s="92" t="s">
        <v>90</v>
      </c>
      <c r="B149" s="107"/>
      <c r="C149" s="107"/>
      <c r="D149" s="115">
        <f>D143/D141-0.49</f>
        <v>491.0033837429111</v>
      </c>
      <c r="E149" s="107"/>
      <c r="F149" s="110">
        <f>D149</f>
        <v>491.0033837429111</v>
      </c>
      <c r="G149" s="115">
        <f>G143/G141</f>
        <v>491</v>
      </c>
      <c r="H149" s="107"/>
      <c r="I149" s="110">
        <f>G149</f>
        <v>491</v>
      </c>
      <c r="J149" s="116"/>
      <c r="K149" s="116"/>
      <c r="L149" s="117"/>
      <c r="M149" s="115">
        <f>M143/M141</f>
        <v>491</v>
      </c>
      <c r="N149" s="107"/>
      <c r="O149" s="110">
        <f>M149</f>
        <v>491</v>
      </c>
      <c r="IA149"/>
      <c r="IB149"/>
      <c r="IC149"/>
      <c r="ID149"/>
      <c r="IE149"/>
      <c r="IF149"/>
    </row>
    <row r="150" spans="1:240" s="1" customFormat="1" ht="33.75">
      <c r="A150" s="92" t="s">
        <v>148</v>
      </c>
      <c r="B150" s="107"/>
      <c r="C150" s="107"/>
      <c r="D150" s="115">
        <v>0.5</v>
      </c>
      <c r="E150" s="107"/>
      <c r="F150" s="110">
        <f>D150</f>
        <v>0.5</v>
      </c>
      <c r="G150" s="115">
        <v>0.59</v>
      </c>
      <c r="H150" s="107"/>
      <c r="I150" s="110">
        <f>G150</f>
        <v>0.59</v>
      </c>
      <c r="J150" s="116"/>
      <c r="K150" s="116"/>
      <c r="L150" s="117"/>
      <c r="M150" s="115">
        <v>0.7</v>
      </c>
      <c r="N150" s="107"/>
      <c r="O150" s="110">
        <f>M150</f>
        <v>0.7</v>
      </c>
      <c r="IA150"/>
      <c r="IB150"/>
      <c r="IC150"/>
      <c r="ID150"/>
      <c r="IE150"/>
      <c r="IF150"/>
    </row>
    <row r="151" spans="1:240" s="1" customFormat="1" ht="12">
      <c r="A151" s="91" t="s">
        <v>7</v>
      </c>
      <c r="B151" s="113"/>
      <c r="C151" s="113"/>
      <c r="D151" s="113"/>
      <c r="E151" s="113"/>
      <c r="F151" s="110">
        <f t="shared" si="14"/>
        <v>0</v>
      </c>
      <c r="G151" s="113"/>
      <c r="H151" s="113"/>
      <c r="I151" s="110">
        <f t="shared" si="12"/>
        <v>0</v>
      </c>
      <c r="J151" s="116"/>
      <c r="K151" s="116"/>
      <c r="L151" s="117"/>
      <c r="M151" s="113"/>
      <c r="N151" s="113"/>
      <c r="O151" s="110">
        <f t="shared" si="13"/>
        <v>0</v>
      </c>
      <c r="IA151"/>
      <c r="IB151"/>
      <c r="IC151"/>
      <c r="ID151"/>
      <c r="IE151"/>
      <c r="IF151"/>
    </row>
    <row r="152" spans="1:240" s="1" customFormat="1" ht="33.75" customHeight="1">
      <c r="A152" s="92" t="s">
        <v>26</v>
      </c>
      <c r="B152" s="107"/>
      <c r="C152" s="107"/>
      <c r="D152" s="110"/>
      <c r="E152" s="107"/>
      <c r="F152" s="110">
        <f t="shared" si="14"/>
        <v>0</v>
      </c>
      <c r="G152" s="110"/>
      <c r="H152" s="107"/>
      <c r="I152" s="110">
        <f t="shared" si="12"/>
        <v>0</v>
      </c>
      <c r="J152" s="116"/>
      <c r="K152" s="116"/>
      <c r="L152" s="117"/>
      <c r="M152" s="110"/>
      <c r="N152" s="107"/>
      <c r="O152" s="110">
        <f t="shared" si="13"/>
        <v>0</v>
      </c>
      <c r="IA152"/>
      <c r="IB152"/>
      <c r="IC152"/>
      <c r="ID152"/>
      <c r="IE152"/>
      <c r="IF152"/>
    </row>
    <row r="153" spans="1:240" s="1" customFormat="1" ht="33.75">
      <c r="A153" s="92" t="s">
        <v>150</v>
      </c>
      <c r="B153" s="107"/>
      <c r="C153" s="107"/>
      <c r="D153" s="120"/>
      <c r="E153" s="120">
        <f>E140/E132*100</f>
        <v>4.39766081871345</v>
      </c>
      <c r="F153" s="120">
        <f>E153</f>
        <v>4.39766081871345</v>
      </c>
      <c r="G153" s="120"/>
      <c r="H153" s="120">
        <f>H140/H132*100</f>
        <v>6.512280701754386</v>
      </c>
      <c r="I153" s="120">
        <f>H153</f>
        <v>6.512280701754386</v>
      </c>
      <c r="J153" s="121"/>
      <c r="K153" s="121"/>
      <c r="L153" s="121"/>
      <c r="M153" s="120"/>
      <c r="N153" s="120">
        <f>N140/N132*100</f>
        <v>5.216374269005848</v>
      </c>
      <c r="O153" s="120">
        <f>N153</f>
        <v>5.216374269005848</v>
      </c>
      <c r="IA153"/>
      <c r="IB153"/>
      <c r="IC153"/>
      <c r="ID153"/>
      <c r="IE153"/>
      <c r="IF153"/>
    </row>
    <row r="154" spans="1:240" s="1" customFormat="1" ht="36" customHeight="1">
      <c r="A154" s="92" t="s">
        <v>149</v>
      </c>
      <c r="B154" s="107"/>
      <c r="C154" s="107"/>
      <c r="D154" s="120">
        <f>D139/D133*100</f>
        <v>3.0643513789581203</v>
      </c>
      <c r="E154" s="120"/>
      <c r="F154" s="120">
        <f>D154</f>
        <v>3.0643513789581203</v>
      </c>
      <c r="G154" s="120">
        <f>G139/G133*100</f>
        <v>4.085801838610827</v>
      </c>
      <c r="H154" s="120"/>
      <c r="I154" s="120">
        <f>G154</f>
        <v>4.085801838610827</v>
      </c>
      <c r="J154" s="121"/>
      <c r="K154" s="121"/>
      <c r="L154" s="121"/>
      <c r="M154" s="120">
        <f>M139/M133*100</f>
        <v>5.107252298263534</v>
      </c>
      <c r="N154" s="120"/>
      <c r="O154" s="120">
        <f>M154</f>
        <v>5.107252298263534</v>
      </c>
      <c r="IA154"/>
      <c r="IB154"/>
      <c r="IC154"/>
      <c r="ID154"/>
      <c r="IE154"/>
      <c r="IF154"/>
    </row>
    <row r="155" spans="1:240" s="1" customFormat="1" ht="24" customHeight="1">
      <c r="A155" s="92" t="s">
        <v>151</v>
      </c>
      <c r="B155" s="107"/>
      <c r="C155" s="107"/>
      <c r="D155" s="120">
        <f>D142/D135*100</f>
        <v>9.654839488293506</v>
      </c>
      <c r="E155" s="120"/>
      <c r="F155" s="120">
        <f>D155</f>
        <v>9.654839488293506</v>
      </c>
      <c r="G155" s="120">
        <f>G142/G135*100</f>
        <v>10.861694424330196</v>
      </c>
      <c r="H155" s="120"/>
      <c r="I155" s="120">
        <f>G155</f>
        <v>10.861694424330196</v>
      </c>
      <c r="J155" s="121"/>
      <c r="K155" s="121"/>
      <c r="L155" s="121"/>
      <c r="M155" s="120">
        <f>M142/M135*100</f>
        <v>12.068549360366884</v>
      </c>
      <c r="N155" s="120"/>
      <c r="O155" s="120">
        <f>M155</f>
        <v>12.068549360366884</v>
      </c>
      <c r="IA155"/>
      <c r="IB155"/>
      <c r="IC155"/>
      <c r="ID155"/>
      <c r="IE155"/>
      <c r="IF155"/>
    </row>
    <row r="156" spans="1:240" s="194" customFormat="1" ht="38.25" customHeight="1">
      <c r="A156" s="182" t="s">
        <v>293</v>
      </c>
      <c r="B156" s="191"/>
      <c r="C156" s="191"/>
      <c r="D156" s="192">
        <f>(D168*D179)+(D169*D180)+(D170*D181)+(D172*D183)+(D173*D184)+(D185*D174)+(D176*D187)+1079.17+(D175*D186)+(D177*D188)+396.52</f>
        <v>7377800</v>
      </c>
      <c r="E156" s="192">
        <f>E171*E182+200</f>
        <v>102500</v>
      </c>
      <c r="F156" s="192">
        <f>D156+E156</f>
        <v>7480300</v>
      </c>
      <c r="G156" s="192">
        <f>(G168*G179)+(G169*G180)+(G170*G181)+(G172*G183)+(G173*G184)+(G185*G174)+(G176*G187)-1036.73+300+1174300-300000</f>
        <v>9232700</v>
      </c>
      <c r="H156" s="192">
        <f>H171*H182</f>
        <v>82500</v>
      </c>
      <c r="I156" s="192">
        <f>G156+H156</f>
        <v>9315200</v>
      </c>
      <c r="J156" s="192">
        <f>(J168*J179)+(J169*J180)+(J170*J181)+(J172*J183)+(J173*J184)+(J185*J174)+(J176*J187)-1036.73</f>
        <v>-1036.73</v>
      </c>
      <c r="K156" s="192">
        <f>(K168*K179)+(K169*K180)+(K170*K181)+(K172*K183)+(K173*K184)+(K185*K174)+(K176*K187)-1036.73</f>
        <v>-1036.73</v>
      </c>
      <c r="L156" s="192">
        <f>(L168*L179)+(L169*L180)+(L170*L181)+(L172*L183)+(L173*L184)+(L185*L174)+(L176*L187)-1036.73</f>
        <v>-1036.73</v>
      </c>
      <c r="M156" s="192">
        <f>(M168*M179)+(M169*M180)+(M170*M181)+(M172*M183)+(M173*M184)+(M185*M174)+(M176*M187)+1714.29-600</f>
        <v>10023500</v>
      </c>
      <c r="N156" s="192">
        <f>N171*N182</f>
        <v>82500</v>
      </c>
      <c r="O156" s="192">
        <f>M156+N156</f>
        <v>10106000</v>
      </c>
      <c r="IA156" s="195"/>
      <c r="IB156" s="195"/>
      <c r="IC156" s="195"/>
      <c r="ID156" s="195"/>
      <c r="IE156" s="195"/>
      <c r="IF156" s="195"/>
    </row>
    <row r="157" spans="1:240" s="1" customFormat="1" ht="30.75" customHeight="1" hidden="1">
      <c r="A157" s="33" t="s">
        <v>64</v>
      </c>
      <c r="B157" s="17"/>
      <c r="C157" s="17"/>
      <c r="D157" s="17" t="e">
        <f>D168*D181+E169*#REF!+D172*#REF!+#REF!*#REF!+#REF!*E183+#REF!*D185+#REF!*D180+E173*E184</f>
        <v>#REF!</v>
      </c>
      <c r="E157" s="17" t="e">
        <f>E168*E181+#REF!*#REF!+E172*#REF!+#REF!*#REF!+#REF!*#REF!+#REF!*E185+#REF!*E180+#REF!*#REF!</f>
        <v>#REF!</v>
      </c>
      <c r="F157" s="17" t="e">
        <f>F168*F181+F169*#REF!+F172*#REF!+#REF!*#REF!+#REF!*F183+#REF!*F185+#REF!*F180+F173*F184</f>
        <v>#REF!</v>
      </c>
      <c r="G157" s="17" t="e">
        <f>G168*G181+H169*#REF!+G172*#REF!+#REF!*#REF!+#REF!*H183+#REF!*G185+#REF!*G180+H173*H184</f>
        <v>#REF!</v>
      </c>
      <c r="H157" s="17" t="e">
        <f>H168*H181+#REF!*#REF!+H172*#REF!+#REF!*#REF!+#REF!*#REF!+#REF!*H185+#REF!*H180+#REF!*#REF!</f>
        <v>#REF!</v>
      </c>
      <c r="I157" s="17" t="e">
        <f>I168*I181+I169*#REF!+I172*#REF!+#REF!*#REF!+#REF!*I183+#REF!*I185+#REF!*I180+I173*I184</f>
        <v>#REF!</v>
      </c>
      <c r="J157" s="21"/>
      <c r="K157" s="21"/>
      <c r="L157" s="22"/>
      <c r="M157" s="17" t="e">
        <f>M168*M181+N169*#REF!+M172*#REF!+#REF!*#REF!+#REF!*N183+#REF!*M185+#REF!*M180+N173*M184</f>
        <v>#REF!</v>
      </c>
      <c r="N157" s="17" t="e">
        <f>N168*N181+#REF!*#REF!+N172*#REF!+#REF!*#REF!+#REF!*#REF!+#REF!*N185+#REF!*N180+#REF!*N184</f>
        <v>#REF!</v>
      </c>
      <c r="O157" s="17" t="e">
        <f>O168*O181+O169*#REF!+O172*#REF!+#REF!*#REF!+#REF!*O183+#REF!*O185+#REF!*O180+O173*O184</f>
        <v>#REF!</v>
      </c>
      <c r="IA157"/>
      <c r="IB157"/>
      <c r="IC157"/>
      <c r="ID157"/>
      <c r="IE157"/>
      <c r="IF157"/>
    </row>
    <row r="158" spans="1:240" s="1" customFormat="1" ht="12">
      <c r="A158" s="91" t="s">
        <v>5</v>
      </c>
      <c r="B158" s="113"/>
      <c r="C158" s="113"/>
      <c r="D158" s="113"/>
      <c r="E158" s="113"/>
      <c r="F158" s="113"/>
      <c r="G158" s="113"/>
      <c r="H158" s="113"/>
      <c r="I158" s="113"/>
      <c r="J158" s="116"/>
      <c r="K158" s="116"/>
      <c r="L158" s="117"/>
      <c r="M158" s="113"/>
      <c r="N158" s="113"/>
      <c r="O158" s="113"/>
      <c r="IA158"/>
      <c r="IB158"/>
      <c r="IC158"/>
      <c r="ID158"/>
      <c r="IE158"/>
      <c r="IF158"/>
    </row>
    <row r="159" spans="1:240" s="1" customFormat="1" ht="34.5" customHeight="1">
      <c r="A159" s="92" t="s">
        <v>152</v>
      </c>
      <c r="B159" s="107"/>
      <c r="C159" s="107"/>
      <c r="D159" s="115">
        <v>76.23</v>
      </c>
      <c r="E159" s="107"/>
      <c r="F159" s="115">
        <f aca="true" t="shared" si="15" ref="F159:F166">D159</f>
        <v>76.23</v>
      </c>
      <c r="G159" s="115">
        <f>F159</f>
        <v>76.23</v>
      </c>
      <c r="H159" s="107"/>
      <c r="I159" s="110">
        <f>G159</f>
        <v>76.23</v>
      </c>
      <c r="J159" s="116"/>
      <c r="K159" s="116"/>
      <c r="L159" s="117"/>
      <c r="M159" s="115">
        <f>G159</f>
        <v>76.23</v>
      </c>
      <c r="N159" s="110"/>
      <c r="O159" s="110">
        <f>M159</f>
        <v>76.23</v>
      </c>
      <c r="IA159"/>
      <c r="IB159"/>
      <c r="IC159"/>
      <c r="ID159"/>
      <c r="IE159"/>
      <c r="IF159"/>
    </row>
    <row r="160" spans="1:240" s="1" customFormat="1" ht="22.5">
      <c r="A160" s="92" t="s">
        <v>153</v>
      </c>
      <c r="B160" s="107"/>
      <c r="C160" s="107"/>
      <c r="D160" s="108">
        <v>4850</v>
      </c>
      <c r="E160" s="108"/>
      <c r="F160" s="108">
        <f t="shared" si="15"/>
        <v>4850</v>
      </c>
      <c r="G160" s="108">
        <f>F160</f>
        <v>4850</v>
      </c>
      <c r="H160" s="108"/>
      <c r="I160" s="108">
        <f>G160</f>
        <v>4850</v>
      </c>
      <c r="J160" s="118"/>
      <c r="K160" s="118"/>
      <c r="L160" s="118"/>
      <c r="M160" s="108">
        <v>4850</v>
      </c>
      <c r="N160" s="108"/>
      <c r="O160" s="108">
        <f>M160</f>
        <v>4850</v>
      </c>
      <c r="IA160"/>
      <c r="IB160"/>
      <c r="IC160"/>
      <c r="ID160"/>
      <c r="IE160"/>
      <c r="IF160"/>
    </row>
    <row r="161" spans="1:240" s="1" customFormat="1" ht="19.5" customHeight="1">
      <c r="A161" s="92" t="s">
        <v>154</v>
      </c>
      <c r="B161" s="107"/>
      <c r="C161" s="107"/>
      <c r="D161" s="108">
        <v>2005</v>
      </c>
      <c r="E161" s="108"/>
      <c r="F161" s="108">
        <f t="shared" si="15"/>
        <v>2005</v>
      </c>
      <c r="G161" s="108">
        <f>F161</f>
        <v>2005</v>
      </c>
      <c r="H161" s="108"/>
      <c r="I161" s="108">
        <f>G161</f>
        <v>2005</v>
      </c>
      <c r="J161" s="118"/>
      <c r="K161" s="118"/>
      <c r="L161" s="118"/>
      <c r="M161" s="108">
        <v>2005</v>
      </c>
      <c r="N161" s="108"/>
      <c r="O161" s="108">
        <f>M161</f>
        <v>2005</v>
      </c>
      <c r="IA161"/>
      <c r="IB161"/>
      <c r="IC161"/>
      <c r="ID161"/>
      <c r="IE161"/>
      <c r="IF161"/>
    </row>
    <row r="162" spans="1:240" s="1" customFormat="1" ht="24.75" customHeight="1">
      <c r="A162" s="92" t="s">
        <v>246</v>
      </c>
      <c r="B162" s="107"/>
      <c r="C162" s="107"/>
      <c r="D162" s="115"/>
      <c r="E162" s="109">
        <v>5396</v>
      </c>
      <c r="F162" s="109">
        <f>E162</f>
        <v>5396</v>
      </c>
      <c r="G162" s="109"/>
      <c r="H162" s="109">
        <f>E162</f>
        <v>5396</v>
      </c>
      <c r="I162" s="109">
        <f>H162</f>
        <v>5396</v>
      </c>
      <c r="J162" s="123"/>
      <c r="K162" s="123"/>
      <c r="L162" s="123"/>
      <c r="M162" s="109"/>
      <c r="N162" s="109">
        <f>H162</f>
        <v>5396</v>
      </c>
      <c r="O162" s="109">
        <f>N162</f>
        <v>5396</v>
      </c>
      <c r="IA162"/>
      <c r="IB162"/>
      <c r="IC162"/>
      <c r="ID162"/>
      <c r="IE162"/>
      <c r="IF162"/>
    </row>
    <row r="163" spans="1:240" s="1" customFormat="1" ht="25.5" customHeight="1">
      <c r="A163" s="92" t="s">
        <v>173</v>
      </c>
      <c r="B163" s="107"/>
      <c r="C163" s="107"/>
      <c r="D163" s="115">
        <v>230</v>
      </c>
      <c r="E163" s="107"/>
      <c r="F163" s="115">
        <f t="shared" si="15"/>
        <v>230</v>
      </c>
      <c r="G163" s="115">
        <v>250</v>
      </c>
      <c r="H163" s="107"/>
      <c r="I163" s="110">
        <f>G163</f>
        <v>250</v>
      </c>
      <c r="J163" s="116"/>
      <c r="K163" s="116"/>
      <c r="L163" s="117"/>
      <c r="M163" s="115">
        <v>270</v>
      </c>
      <c r="N163" s="107"/>
      <c r="O163" s="110">
        <f>M163</f>
        <v>270</v>
      </c>
      <c r="IA163"/>
      <c r="IB163"/>
      <c r="IC163"/>
      <c r="ID163"/>
      <c r="IE163"/>
      <c r="IF163"/>
    </row>
    <row r="164" spans="1:240" s="1" customFormat="1" ht="29.25" customHeight="1">
      <c r="A164" s="92" t="s">
        <v>155</v>
      </c>
      <c r="B164" s="107"/>
      <c r="C164" s="107"/>
      <c r="D164" s="115">
        <v>76.26</v>
      </c>
      <c r="E164" s="107"/>
      <c r="F164" s="115">
        <f t="shared" si="15"/>
        <v>76.26</v>
      </c>
      <c r="G164" s="115">
        <f>F164</f>
        <v>76.26</v>
      </c>
      <c r="H164" s="107"/>
      <c r="I164" s="110">
        <f>G164</f>
        <v>76.26</v>
      </c>
      <c r="J164" s="116"/>
      <c r="K164" s="116"/>
      <c r="L164" s="117"/>
      <c r="M164" s="115">
        <f>I164</f>
        <v>76.26</v>
      </c>
      <c r="N164" s="107"/>
      <c r="O164" s="110">
        <f>M164</f>
        <v>76.26</v>
      </c>
      <c r="IA164"/>
      <c r="IB164"/>
      <c r="IC164"/>
      <c r="ID164"/>
      <c r="IE164"/>
      <c r="IF164"/>
    </row>
    <row r="165" spans="1:240" s="1" customFormat="1" ht="31.5" customHeight="1">
      <c r="A165" s="92" t="s">
        <v>98</v>
      </c>
      <c r="B165" s="107"/>
      <c r="C165" s="107"/>
      <c r="D165" s="115">
        <v>280000</v>
      </c>
      <c r="E165" s="107"/>
      <c r="F165" s="115">
        <f t="shared" si="15"/>
        <v>280000</v>
      </c>
      <c r="G165" s="115">
        <f>300000-300000</f>
        <v>0</v>
      </c>
      <c r="H165" s="107"/>
      <c r="I165" s="110">
        <f>G165</f>
        <v>0</v>
      </c>
      <c r="J165" s="116"/>
      <c r="K165" s="116"/>
      <c r="L165" s="117"/>
      <c r="M165" s="115"/>
      <c r="N165" s="107"/>
      <c r="O165" s="110"/>
      <c r="IA165"/>
      <c r="IB165"/>
      <c r="IC165"/>
      <c r="ID165"/>
      <c r="IE165"/>
      <c r="IF165"/>
    </row>
    <row r="166" spans="1:240" s="1" customFormat="1" ht="29.25" customHeight="1">
      <c r="A166" s="92" t="s">
        <v>264</v>
      </c>
      <c r="B166" s="107"/>
      <c r="C166" s="107"/>
      <c r="D166" s="128">
        <v>11.549</v>
      </c>
      <c r="E166" s="128"/>
      <c r="F166" s="128">
        <f t="shared" si="15"/>
        <v>11.549</v>
      </c>
      <c r="G166" s="115"/>
      <c r="H166" s="107"/>
      <c r="I166" s="110"/>
      <c r="J166" s="116"/>
      <c r="K166" s="116"/>
      <c r="L166" s="117"/>
      <c r="M166" s="115"/>
      <c r="N166" s="107"/>
      <c r="O166" s="110"/>
      <c r="IA166"/>
      <c r="IB166"/>
      <c r="IC166"/>
      <c r="ID166"/>
      <c r="IE166"/>
      <c r="IF166"/>
    </row>
    <row r="167" spans="1:240" s="1" customFormat="1" ht="12">
      <c r="A167" s="91" t="s">
        <v>6</v>
      </c>
      <c r="B167" s="113"/>
      <c r="C167" s="113"/>
      <c r="D167" s="113"/>
      <c r="E167" s="113"/>
      <c r="F167" s="113"/>
      <c r="G167" s="113"/>
      <c r="H167" s="113"/>
      <c r="I167" s="110"/>
      <c r="J167" s="116"/>
      <c r="K167" s="116"/>
      <c r="L167" s="117"/>
      <c r="M167" s="113"/>
      <c r="N167" s="113"/>
      <c r="O167" s="110"/>
      <c r="IA167"/>
      <c r="IB167"/>
      <c r="IC167"/>
      <c r="ID167"/>
      <c r="IE167"/>
      <c r="IF167"/>
    </row>
    <row r="168" spans="1:240" s="1" customFormat="1" ht="28.5" customHeight="1">
      <c r="A168" s="92" t="s">
        <v>156</v>
      </c>
      <c r="B168" s="107"/>
      <c r="C168" s="107"/>
      <c r="D168" s="110">
        <v>76.23</v>
      </c>
      <c r="E168" s="107"/>
      <c r="F168" s="110">
        <f>D168</f>
        <v>76.23</v>
      </c>
      <c r="G168" s="110">
        <f>F168</f>
        <v>76.23</v>
      </c>
      <c r="H168" s="107"/>
      <c r="I168" s="110">
        <f aca="true" t="shared" si="16" ref="I168:I174">G168</f>
        <v>76.23</v>
      </c>
      <c r="J168" s="116"/>
      <c r="K168" s="116"/>
      <c r="L168" s="117"/>
      <c r="M168" s="110">
        <f>I168</f>
        <v>76.23</v>
      </c>
      <c r="N168" s="107"/>
      <c r="O168" s="110">
        <f aca="true" t="shared" si="17" ref="O168:O174">M168</f>
        <v>76.23</v>
      </c>
      <c r="IA168"/>
      <c r="IB168"/>
      <c r="IC168"/>
      <c r="ID168"/>
      <c r="IE168"/>
      <c r="IF168"/>
    </row>
    <row r="169" spans="1:240" s="1" customFormat="1" ht="22.5">
      <c r="A169" s="92" t="s">
        <v>157</v>
      </c>
      <c r="B169" s="107"/>
      <c r="C169" s="107"/>
      <c r="D169" s="108">
        <f>520+17</f>
        <v>537</v>
      </c>
      <c r="E169" s="108"/>
      <c r="F169" s="108">
        <f aca="true" t="shared" si="18" ref="F169:F177">D169</f>
        <v>537</v>
      </c>
      <c r="G169" s="108">
        <f>565+18</f>
        <v>583</v>
      </c>
      <c r="H169" s="108"/>
      <c r="I169" s="108">
        <f t="shared" si="16"/>
        <v>583</v>
      </c>
      <c r="J169" s="118"/>
      <c r="K169" s="118"/>
      <c r="L169" s="118"/>
      <c r="M169" s="108">
        <f>622+17</f>
        <v>639</v>
      </c>
      <c r="N169" s="108"/>
      <c r="O169" s="108">
        <f t="shared" si="17"/>
        <v>639</v>
      </c>
      <c r="IA169"/>
      <c r="IB169"/>
      <c r="IC169"/>
      <c r="ID169"/>
      <c r="IE169"/>
      <c r="IF169"/>
    </row>
    <row r="170" spans="1:240" s="1" customFormat="1" ht="26.25" customHeight="1">
      <c r="A170" s="92" t="s">
        <v>158</v>
      </c>
      <c r="B170" s="107"/>
      <c r="C170" s="107"/>
      <c r="D170" s="108">
        <v>366</v>
      </c>
      <c r="E170" s="108"/>
      <c r="F170" s="108">
        <f t="shared" si="18"/>
        <v>366</v>
      </c>
      <c r="G170" s="108">
        <v>403</v>
      </c>
      <c r="H170" s="108"/>
      <c r="I170" s="108">
        <f t="shared" si="16"/>
        <v>403</v>
      </c>
      <c r="J170" s="118"/>
      <c r="K170" s="118"/>
      <c r="L170" s="118"/>
      <c r="M170" s="108">
        <v>444</v>
      </c>
      <c r="N170" s="108"/>
      <c r="O170" s="108">
        <f t="shared" si="17"/>
        <v>444</v>
      </c>
      <c r="IA170"/>
      <c r="IB170"/>
      <c r="IC170"/>
      <c r="ID170"/>
      <c r="IE170"/>
      <c r="IF170"/>
    </row>
    <row r="171" spans="1:240" s="1" customFormat="1" ht="26.25" customHeight="1">
      <c r="A171" s="92" t="s">
        <v>247</v>
      </c>
      <c r="B171" s="107"/>
      <c r="C171" s="107"/>
      <c r="D171" s="108"/>
      <c r="E171" s="108">
        <f>150+36</f>
        <v>186</v>
      </c>
      <c r="F171" s="108">
        <f>E171</f>
        <v>186</v>
      </c>
      <c r="G171" s="108"/>
      <c r="H171" s="108">
        <v>150</v>
      </c>
      <c r="I171" s="108">
        <f>H171</f>
        <v>150</v>
      </c>
      <c r="J171" s="118"/>
      <c r="K171" s="118"/>
      <c r="L171" s="118"/>
      <c r="M171" s="108"/>
      <c r="N171" s="108">
        <v>150</v>
      </c>
      <c r="O171" s="108">
        <f>N171</f>
        <v>150</v>
      </c>
      <c r="IA171"/>
      <c r="IB171"/>
      <c r="IC171"/>
      <c r="ID171"/>
      <c r="IE171"/>
      <c r="IF171"/>
    </row>
    <row r="172" spans="1:240" s="1" customFormat="1" ht="22.5">
      <c r="A172" s="92" t="s">
        <v>172</v>
      </c>
      <c r="B172" s="107"/>
      <c r="C172" s="107"/>
      <c r="D172" s="108">
        <v>222</v>
      </c>
      <c r="E172" s="108"/>
      <c r="F172" s="108">
        <f t="shared" si="18"/>
        <v>222</v>
      </c>
      <c r="G172" s="108">
        <v>243</v>
      </c>
      <c r="H172" s="108"/>
      <c r="I172" s="108">
        <f t="shared" si="16"/>
        <v>243</v>
      </c>
      <c r="J172" s="118"/>
      <c r="K172" s="118"/>
      <c r="L172" s="118"/>
      <c r="M172" s="108">
        <v>267</v>
      </c>
      <c r="N172" s="108"/>
      <c r="O172" s="108">
        <f t="shared" si="17"/>
        <v>267</v>
      </c>
      <c r="IA172"/>
      <c r="IB172"/>
      <c r="IC172"/>
      <c r="ID172"/>
      <c r="IE172"/>
      <c r="IF172"/>
    </row>
    <row r="173" spans="1:240" s="1" customFormat="1" ht="22.5">
      <c r="A173" s="92" t="s">
        <v>159</v>
      </c>
      <c r="B173" s="107"/>
      <c r="C173" s="107"/>
      <c r="D173" s="107">
        <v>76.26</v>
      </c>
      <c r="E173" s="115"/>
      <c r="F173" s="110">
        <f t="shared" si="18"/>
        <v>76.26</v>
      </c>
      <c r="G173" s="107">
        <v>76.26</v>
      </c>
      <c r="H173" s="115"/>
      <c r="I173" s="110">
        <f t="shared" si="16"/>
        <v>76.26</v>
      </c>
      <c r="J173" s="116"/>
      <c r="K173" s="116"/>
      <c r="L173" s="117"/>
      <c r="M173" s="110">
        <f>I173</f>
        <v>76.26</v>
      </c>
      <c r="N173" s="115"/>
      <c r="O173" s="110">
        <f t="shared" si="17"/>
        <v>76.26</v>
      </c>
      <c r="IA173"/>
      <c r="IB173"/>
      <c r="IC173"/>
      <c r="ID173"/>
      <c r="IE173"/>
      <c r="IF173"/>
    </row>
    <row r="174" spans="1:240" s="1" customFormat="1" ht="24" customHeight="1">
      <c r="A174" s="92" t="s">
        <v>160</v>
      </c>
      <c r="B174" s="107"/>
      <c r="C174" s="107"/>
      <c r="D174" s="108">
        <v>49006</v>
      </c>
      <c r="E174" s="108"/>
      <c r="F174" s="110">
        <f t="shared" si="18"/>
        <v>49006</v>
      </c>
      <c r="G174" s="108">
        <f>F174</f>
        <v>49006</v>
      </c>
      <c r="H174" s="108"/>
      <c r="I174" s="108">
        <f t="shared" si="16"/>
        <v>49006</v>
      </c>
      <c r="J174" s="118"/>
      <c r="K174" s="118"/>
      <c r="L174" s="118"/>
      <c r="M174" s="108">
        <f>I174</f>
        <v>49006</v>
      </c>
      <c r="N174" s="108"/>
      <c r="O174" s="108">
        <f t="shared" si="17"/>
        <v>49006</v>
      </c>
      <c r="IA174"/>
      <c r="IB174"/>
      <c r="IC174"/>
      <c r="ID174"/>
      <c r="IE174"/>
      <c r="IF174"/>
    </row>
    <row r="175" spans="1:240" s="1" customFormat="1" ht="24" customHeight="1">
      <c r="A175" s="92" t="s">
        <v>250</v>
      </c>
      <c r="B175" s="107"/>
      <c r="C175" s="107"/>
      <c r="D175" s="108">
        <v>25</v>
      </c>
      <c r="E175" s="108"/>
      <c r="F175" s="108">
        <f t="shared" si="18"/>
        <v>25</v>
      </c>
      <c r="G175" s="108"/>
      <c r="H175" s="108"/>
      <c r="I175" s="108"/>
      <c r="J175" s="118"/>
      <c r="K175" s="118"/>
      <c r="L175" s="118"/>
      <c r="M175" s="108"/>
      <c r="N175" s="108"/>
      <c r="O175" s="108"/>
      <c r="IA175"/>
      <c r="IB175"/>
      <c r="IC175"/>
      <c r="ID175"/>
      <c r="IE175"/>
      <c r="IF175"/>
    </row>
    <row r="176" spans="1:240" s="1" customFormat="1" ht="28.5" customHeight="1">
      <c r="A176" s="92" t="s">
        <v>97</v>
      </c>
      <c r="B176" s="107"/>
      <c r="C176" s="107"/>
      <c r="D176" s="108">
        <v>4</v>
      </c>
      <c r="E176" s="108"/>
      <c r="F176" s="108">
        <f t="shared" si="18"/>
        <v>4</v>
      </c>
      <c r="G176" s="108"/>
      <c r="H176" s="108"/>
      <c r="I176" s="108"/>
      <c r="J176" s="118"/>
      <c r="K176" s="118"/>
      <c r="L176" s="118"/>
      <c r="M176" s="108"/>
      <c r="N176" s="108"/>
      <c r="O176" s="108"/>
      <c r="IA176"/>
      <c r="IB176"/>
      <c r="IC176"/>
      <c r="ID176"/>
      <c r="IE176"/>
      <c r="IF176"/>
    </row>
    <row r="177" spans="1:240" s="1" customFormat="1" ht="28.5" customHeight="1">
      <c r="A177" s="92" t="s">
        <v>265</v>
      </c>
      <c r="B177" s="107"/>
      <c r="C177" s="107"/>
      <c r="D177" s="128">
        <v>11.549</v>
      </c>
      <c r="E177" s="128"/>
      <c r="F177" s="128">
        <f t="shared" si="18"/>
        <v>11.549</v>
      </c>
      <c r="G177" s="108"/>
      <c r="H177" s="108"/>
      <c r="I177" s="108"/>
      <c r="J177" s="118"/>
      <c r="K177" s="118"/>
      <c r="L177" s="118"/>
      <c r="M177" s="108"/>
      <c r="N177" s="108"/>
      <c r="O177" s="108"/>
      <c r="IA177"/>
      <c r="IB177"/>
      <c r="IC177"/>
      <c r="ID177"/>
      <c r="IE177"/>
      <c r="IF177"/>
    </row>
    <row r="178" spans="1:240" s="1" customFormat="1" ht="12">
      <c r="A178" s="91" t="s">
        <v>8</v>
      </c>
      <c r="B178" s="113"/>
      <c r="C178" s="113"/>
      <c r="D178" s="113"/>
      <c r="E178" s="113"/>
      <c r="F178" s="110"/>
      <c r="G178" s="113"/>
      <c r="H178" s="113"/>
      <c r="I178" s="110"/>
      <c r="J178" s="116"/>
      <c r="K178" s="116"/>
      <c r="L178" s="117"/>
      <c r="M178" s="113"/>
      <c r="N178" s="113"/>
      <c r="O178" s="110"/>
      <c r="IA178"/>
      <c r="IB178"/>
      <c r="IC178"/>
      <c r="ID178"/>
      <c r="IE178"/>
      <c r="IF178"/>
    </row>
    <row r="179" spans="1:240" s="1" customFormat="1" ht="33.75">
      <c r="A179" s="92" t="s">
        <v>161</v>
      </c>
      <c r="B179" s="113"/>
      <c r="C179" s="113"/>
      <c r="D179" s="110">
        <v>34763</v>
      </c>
      <c r="E179" s="124"/>
      <c r="F179" s="110">
        <f>D179</f>
        <v>34763</v>
      </c>
      <c r="G179" s="110">
        <v>41725</v>
      </c>
      <c r="H179" s="124"/>
      <c r="I179" s="110">
        <f aca="true" t="shared" si="19" ref="I179:I185">G179</f>
        <v>41725</v>
      </c>
      <c r="J179" s="119"/>
      <c r="K179" s="119"/>
      <c r="L179" s="119"/>
      <c r="M179" s="110">
        <v>50067</v>
      </c>
      <c r="N179" s="124"/>
      <c r="O179" s="110">
        <f aca="true" t="shared" si="20" ref="O179:O185">M179</f>
        <v>50067</v>
      </c>
      <c r="IA179"/>
      <c r="IB179"/>
      <c r="IC179"/>
      <c r="ID179"/>
      <c r="IE179"/>
      <c r="IF179"/>
    </row>
    <row r="180" spans="1:240" s="1" customFormat="1" ht="22.5">
      <c r="A180" s="92" t="s">
        <v>162</v>
      </c>
      <c r="B180" s="107"/>
      <c r="C180" s="107"/>
      <c r="D180" s="110">
        <v>1500</v>
      </c>
      <c r="E180" s="107"/>
      <c r="F180" s="110">
        <f>D180</f>
        <v>1500</v>
      </c>
      <c r="G180" s="110">
        <v>1650</v>
      </c>
      <c r="H180" s="107"/>
      <c r="I180" s="110">
        <f t="shared" si="19"/>
        <v>1650</v>
      </c>
      <c r="J180" s="116"/>
      <c r="K180" s="116"/>
      <c r="L180" s="117"/>
      <c r="M180" s="110">
        <v>1800</v>
      </c>
      <c r="N180" s="107"/>
      <c r="O180" s="110">
        <f t="shared" si="20"/>
        <v>1800</v>
      </c>
      <c r="IA180"/>
      <c r="IB180"/>
      <c r="IC180"/>
      <c r="ID180"/>
      <c r="IE180"/>
      <c r="IF180"/>
    </row>
    <row r="181" spans="1:240" s="1" customFormat="1" ht="22.5">
      <c r="A181" s="92" t="s">
        <v>163</v>
      </c>
      <c r="B181" s="107"/>
      <c r="C181" s="107"/>
      <c r="D181" s="110">
        <v>320</v>
      </c>
      <c r="E181" s="107"/>
      <c r="F181" s="110">
        <f aca="true" t="shared" si="21" ref="F181:F201">D181</f>
        <v>320</v>
      </c>
      <c r="G181" s="110">
        <v>350</v>
      </c>
      <c r="H181" s="107"/>
      <c r="I181" s="110">
        <f t="shared" si="19"/>
        <v>350</v>
      </c>
      <c r="J181" s="116"/>
      <c r="K181" s="116"/>
      <c r="L181" s="117"/>
      <c r="M181" s="110">
        <v>380</v>
      </c>
      <c r="N181" s="107"/>
      <c r="O181" s="110">
        <f t="shared" si="20"/>
        <v>380</v>
      </c>
      <c r="IA181"/>
      <c r="IB181"/>
      <c r="IC181"/>
      <c r="ID181"/>
      <c r="IE181"/>
      <c r="IF181"/>
    </row>
    <row r="182" spans="1:240" s="1" customFormat="1" ht="27" customHeight="1">
      <c r="A182" s="92" t="s">
        <v>248</v>
      </c>
      <c r="B182" s="107"/>
      <c r="C182" s="107"/>
      <c r="D182" s="110"/>
      <c r="E182" s="107">
        <v>550</v>
      </c>
      <c r="F182" s="110">
        <f>E182</f>
        <v>550</v>
      </c>
      <c r="G182" s="110"/>
      <c r="H182" s="107">
        <v>550</v>
      </c>
      <c r="I182" s="110">
        <f>H182</f>
        <v>550</v>
      </c>
      <c r="J182" s="116"/>
      <c r="K182" s="116"/>
      <c r="L182" s="117"/>
      <c r="M182" s="110"/>
      <c r="N182" s="107">
        <v>550</v>
      </c>
      <c r="O182" s="110">
        <f>N182</f>
        <v>550</v>
      </c>
      <c r="IA182"/>
      <c r="IB182"/>
      <c r="IC182"/>
      <c r="ID182"/>
      <c r="IE182"/>
      <c r="IF182"/>
    </row>
    <row r="183" spans="1:240" s="1" customFormat="1" ht="22.5">
      <c r="A183" s="92" t="s">
        <v>164</v>
      </c>
      <c r="B183" s="107"/>
      <c r="C183" s="107"/>
      <c r="D183" s="110">
        <v>5100</v>
      </c>
      <c r="E183" s="110"/>
      <c r="F183" s="110">
        <f t="shared" si="21"/>
        <v>5100</v>
      </c>
      <c r="G183" s="110">
        <v>5600</v>
      </c>
      <c r="H183" s="110"/>
      <c r="I183" s="110">
        <f t="shared" si="19"/>
        <v>5600</v>
      </c>
      <c r="J183" s="119"/>
      <c r="K183" s="119"/>
      <c r="L183" s="119"/>
      <c r="M183" s="110">
        <v>6100</v>
      </c>
      <c r="N183" s="110"/>
      <c r="O183" s="110">
        <f t="shared" si="20"/>
        <v>6100</v>
      </c>
      <c r="IA183"/>
      <c r="IB183"/>
      <c r="IC183"/>
      <c r="ID183"/>
      <c r="IE183"/>
      <c r="IF183"/>
    </row>
    <row r="184" spans="1:240" s="1" customFormat="1" ht="22.5">
      <c r="A184" s="92" t="s">
        <v>165</v>
      </c>
      <c r="B184" s="107"/>
      <c r="C184" s="107"/>
      <c r="D184" s="110">
        <v>26850</v>
      </c>
      <c r="E184" s="110"/>
      <c r="F184" s="110">
        <f t="shared" si="21"/>
        <v>26850</v>
      </c>
      <c r="G184" s="110">
        <v>32217</v>
      </c>
      <c r="H184" s="110"/>
      <c r="I184" s="110">
        <f t="shared" si="19"/>
        <v>32217</v>
      </c>
      <c r="J184" s="119"/>
      <c r="K184" s="119"/>
      <c r="L184" s="119"/>
      <c r="M184" s="110">
        <v>38663</v>
      </c>
      <c r="N184" s="110"/>
      <c r="O184" s="110">
        <f t="shared" si="20"/>
        <v>38663</v>
      </c>
      <c r="IA184"/>
      <c r="IB184"/>
      <c r="IC184"/>
      <c r="ID184"/>
      <c r="IE184"/>
      <c r="IF184"/>
    </row>
    <row r="185" spans="1:240" s="1" customFormat="1" ht="22.5">
      <c r="A185" s="92" t="s">
        <v>166</v>
      </c>
      <c r="B185" s="107"/>
      <c r="C185" s="107"/>
      <c r="D185" s="110">
        <v>4.39</v>
      </c>
      <c r="E185" s="107"/>
      <c r="F185" s="110">
        <f t="shared" si="21"/>
        <v>4.39</v>
      </c>
      <c r="G185" s="110">
        <v>5.26</v>
      </c>
      <c r="H185" s="107"/>
      <c r="I185" s="110">
        <f t="shared" si="19"/>
        <v>5.26</v>
      </c>
      <c r="J185" s="116"/>
      <c r="K185" s="116"/>
      <c r="L185" s="117"/>
      <c r="M185" s="110">
        <v>6.32</v>
      </c>
      <c r="N185" s="107"/>
      <c r="O185" s="110">
        <f t="shared" si="20"/>
        <v>6.32</v>
      </c>
      <c r="IA185"/>
      <c r="IB185"/>
      <c r="IC185"/>
      <c r="ID185"/>
      <c r="IE185"/>
      <c r="IF185"/>
    </row>
    <row r="186" spans="1:240" s="1" customFormat="1" ht="27" customHeight="1">
      <c r="A186" s="92" t="s">
        <v>251</v>
      </c>
      <c r="B186" s="107"/>
      <c r="C186" s="107"/>
      <c r="D186" s="110">
        <v>3988</v>
      </c>
      <c r="E186" s="107"/>
      <c r="F186" s="110">
        <f t="shared" si="21"/>
        <v>3988</v>
      </c>
      <c r="G186" s="110"/>
      <c r="H186" s="107"/>
      <c r="I186" s="110"/>
      <c r="J186" s="116"/>
      <c r="K186" s="116"/>
      <c r="L186" s="117"/>
      <c r="M186" s="110"/>
      <c r="N186" s="107"/>
      <c r="O186" s="110"/>
      <c r="IA186"/>
      <c r="IB186"/>
      <c r="IC186"/>
      <c r="ID186"/>
      <c r="IE186"/>
      <c r="IF186"/>
    </row>
    <row r="187" spans="1:240" s="1" customFormat="1" ht="33.75" customHeight="1">
      <c r="A187" s="92" t="s">
        <v>99</v>
      </c>
      <c r="B187" s="107"/>
      <c r="C187" s="107"/>
      <c r="D187" s="110">
        <v>70000</v>
      </c>
      <c r="E187" s="110"/>
      <c r="F187" s="110">
        <f t="shared" si="21"/>
        <v>70000</v>
      </c>
      <c r="G187" s="107"/>
      <c r="H187" s="110"/>
      <c r="I187" s="110"/>
      <c r="J187" s="116"/>
      <c r="K187" s="116"/>
      <c r="L187" s="117"/>
      <c r="M187" s="107"/>
      <c r="N187" s="110"/>
      <c r="O187" s="110"/>
      <c r="IA187"/>
      <c r="IB187"/>
      <c r="IC187"/>
      <c r="ID187"/>
      <c r="IE187"/>
      <c r="IF187"/>
    </row>
    <row r="188" spans="1:240" s="1" customFormat="1" ht="33.75" customHeight="1">
      <c r="A188" s="92" t="s">
        <v>266</v>
      </c>
      <c r="B188" s="107"/>
      <c r="C188" s="107"/>
      <c r="D188" s="110">
        <v>2520</v>
      </c>
      <c r="E188" s="110"/>
      <c r="F188" s="110">
        <f t="shared" si="21"/>
        <v>2520</v>
      </c>
      <c r="G188" s="107"/>
      <c r="H188" s="110"/>
      <c r="I188" s="110"/>
      <c r="J188" s="116"/>
      <c r="K188" s="116"/>
      <c r="L188" s="117"/>
      <c r="M188" s="107"/>
      <c r="N188" s="110"/>
      <c r="O188" s="110"/>
      <c r="IA188"/>
      <c r="IB188"/>
      <c r="IC188"/>
      <c r="ID188"/>
      <c r="IE188"/>
      <c r="IF188"/>
    </row>
    <row r="189" spans="1:240" s="1" customFormat="1" ht="12">
      <c r="A189" s="91" t="s">
        <v>7</v>
      </c>
      <c r="B189" s="113"/>
      <c r="C189" s="113"/>
      <c r="D189" s="113"/>
      <c r="E189" s="113"/>
      <c r="F189" s="110"/>
      <c r="G189" s="113"/>
      <c r="H189" s="113"/>
      <c r="I189" s="110"/>
      <c r="J189" s="116"/>
      <c r="K189" s="116"/>
      <c r="L189" s="117"/>
      <c r="M189" s="113"/>
      <c r="N189" s="113"/>
      <c r="O189" s="110"/>
      <c r="IA189"/>
      <c r="IB189"/>
      <c r="IC189"/>
      <c r="ID189"/>
      <c r="IE189"/>
      <c r="IF189"/>
    </row>
    <row r="190" spans="1:240" s="1" customFormat="1" ht="23.25" customHeight="1">
      <c r="A190" s="92" t="s">
        <v>167</v>
      </c>
      <c r="B190" s="107"/>
      <c r="C190" s="107"/>
      <c r="D190" s="110">
        <f>D168/D159*100</f>
        <v>100</v>
      </c>
      <c r="E190" s="110"/>
      <c r="F190" s="110">
        <f aca="true" t="shared" si="22" ref="F190:O190">F168/F159*100</f>
        <v>100</v>
      </c>
      <c r="G190" s="110">
        <f t="shared" si="22"/>
        <v>100</v>
      </c>
      <c r="H190" s="110"/>
      <c r="I190" s="110">
        <f t="shared" si="22"/>
        <v>100</v>
      </c>
      <c r="J190" s="110" t="e">
        <f t="shared" si="22"/>
        <v>#DIV/0!</v>
      </c>
      <c r="K190" s="110" t="e">
        <f t="shared" si="22"/>
        <v>#DIV/0!</v>
      </c>
      <c r="L190" s="110" t="e">
        <f t="shared" si="22"/>
        <v>#DIV/0!</v>
      </c>
      <c r="M190" s="110">
        <f t="shared" si="22"/>
        <v>100</v>
      </c>
      <c r="N190" s="110"/>
      <c r="O190" s="110">
        <f t="shared" si="22"/>
        <v>100</v>
      </c>
      <c r="IA190"/>
      <c r="IB190"/>
      <c r="IC190"/>
      <c r="ID190"/>
      <c r="IE190"/>
      <c r="IF190"/>
    </row>
    <row r="191" spans="1:240" s="1" customFormat="1" ht="41.25" customHeight="1">
      <c r="A191" s="92" t="s">
        <v>168</v>
      </c>
      <c r="B191" s="107"/>
      <c r="C191" s="107"/>
      <c r="D191" s="120">
        <f>D169/D160*100</f>
        <v>11.072164948453608</v>
      </c>
      <c r="E191" s="120"/>
      <c r="F191" s="120">
        <f aca="true" t="shared" si="23" ref="F191:O191">F169/F160*100</f>
        <v>11.072164948453608</v>
      </c>
      <c r="G191" s="120">
        <f t="shared" si="23"/>
        <v>12.02061855670103</v>
      </c>
      <c r="H191" s="120"/>
      <c r="I191" s="120">
        <f t="shared" si="23"/>
        <v>12.02061855670103</v>
      </c>
      <c r="J191" s="120" t="e">
        <f t="shared" si="23"/>
        <v>#DIV/0!</v>
      </c>
      <c r="K191" s="120" t="e">
        <f t="shared" si="23"/>
        <v>#DIV/0!</v>
      </c>
      <c r="L191" s="120" t="e">
        <f t="shared" si="23"/>
        <v>#DIV/0!</v>
      </c>
      <c r="M191" s="120">
        <f t="shared" si="23"/>
        <v>13.175257731958762</v>
      </c>
      <c r="N191" s="120"/>
      <c r="O191" s="120">
        <f t="shared" si="23"/>
        <v>13.175257731958762</v>
      </c>
      <c r="IA191"/>
      <c r="IB191"/>
      <c r="IC191"/>
      <c r="ID191"/>
      <c r="IE191"/>
      <c r="IF191"/>
    </row>
    <row r="192" spans="1:240" s="1" customFormat="1" ht="35.25" customHeight="1">
      <c r="A192" s="92" t="s">
        <v>169</v>
      </c>
      <c r="B192" s="107"/>
      <c r="C192" s="107"/>
      <c r="D192" s="120">
        <f>D170/D161*100</f>
        <v>18.25436408977556</v>
      </c>
      <c r="E192" s="120"/>
      <c r="F192" s="120">
        <f aca="true" t="shared" si="24" ref="F192:O192">F170/F161*100</f>
        <v>18.25436408977556</v>
      </c>
      <c r="G192" s="120">
        <f t="shared" si="24"/>
        <v>20.099750623441395</v>
      </c>
      <c r="H192" s="120"/>
      <c r="I192" s="120">
        <f t="shared" si="24"/>
        <v>20.099750623441395</v>
      </c>
      <c r="J192" s="120" t="e">
        <f t="shared" si="24"/>
        <v>#DIV/0!</v>
      </c>
      <c r="K192" s="120" t="e">
        <f t="shared" si="24"/>
        <v>#DIV/0!</v>
      </c>
      <c r="L192" s="120" t="e">
        <f t="shared" si="24"/>
        <v>#DIV/0!</v>
      </c>
      <c r="M192" s="120">
        <f t="shared" si="24"/>
        <v>22.144638403990026</v>
      </c>
      <c r="N192" s="120"/>
      <c r="O192" s="120">
        <f t="shared" si="24"/>
        <v>22.144638403990026</v>
      </c>
      <c r="IA192"/>
      <c r="IB192"/>
      <c r="IC192"/>
      <c r="ID192"/>
      <c r="IE192"/>
      <c r="IF192"/>
    </row>
    <row r="193" spans="1:240" s="1" customFormat="1" ht="12" customHeight="1">
      <c r="A193" s="91" t="s">
        <v>5</v>
      </c>
      <c r="B193" s="113"/>
      <c r="C193" s="113"/>
      <c r="D193" s="113"/>
      <c r="E193" s="113"/>
      <c r="F193" s="110">
        <f t="shared" si="21"/>
        <v>0</v>
      </c>
      <c r="G193" s="113"/>
      <c r="H193" s="113"/>
      <c r="I193" s="115"/>
      <c r="J193" s="116"/>
      <c r="K193" s="116"/>
      <c r="L193" s="117"/>
      <c r="M193" s="113"/>
      <c r="N193" s="113"/>
      <c r="O193" s="115"/>
      <c r="IA193"/>
      <c r="IB193"/>
      <c r="IC193"/>
      <c r="ID193"/>
      <c r="IE193"/>
      <c r="IF193"/>
    </row>
    <row r="194" spans="1:240" s="1" customFormat="1" ht="12" customHeight="1">
      <c r="A194" s="92" t="s">
        <v>29</v>
      </c>
      <c r="B194" s="107"/>
      <c r="C194" s="107"/>
      <c r="D194" s="115">
        <v>21600</v>
      </c>
      <c r="E194" s="107"/>
      <c r="F194" s="110">
        <f t="shared" si="21"/>
        <v>21600</v>
      </c>
      <c r="G194" s="115">
        <v>21600</v>
      </c>
      <c r="H194" s="107"/>
      <c r="I194" s="115">
        <f>G194</f>
        <v>21600</v>
      </c>
      <c r="J194" s="116"/>
      <c r="K194" s="116"/>
      <c r="L194" s="117"/>
      <c r="M194" s="115">
        <v>21600</v>
      </c>
      <c r="N194" s="107"/>
      <c r="O194" s="115">
        <f>M194</f>
        <v>21600</v>
      </c>
      <c r="IA194"/>
      <c r="IB194"/>
      <c r="IC194"/>
      <c r="ID194"/>
      <c r="IE194"/>
      <c r="IF194"/>
    </row>
    <row r="195" spans="1:240" s="1" customFormat="1" ht="22.5" customHeight="1">
      <c r="A195" s="92" t="s">
        <v>70</v>
      </c>
      <c r="B195" s="107"/>
      <c r="C195" s="107"/>
      <c r="D195" s="115">
        <v>39</v>
      </c>
      <c r="E195" s="107"/>
      <c r="F195" s="110">
        <v>39</v>
      </c>
      <c r="G195" s="115">
        <v>39</v>
      </c>
      <c r="H195" s="107"/>
      <c r="I195" s="115">
        <v>39</v>
      </c>
      <c r="J195" s="116"/>
      <c r="K195" s="116"/>
      <c r="L195" s="117"/>
      <c r="M195" s="115">
        <v>39</v>
      </c>
      <c r="N195" s="107"/>
      <c r="O195" s="115">
        <v>39</v>
      </c>
      <c r="IA195"/>
      <c r="IB195"/>
      <c r="IC195"/>
      <c r="ID195"/>
      <c r="IE195"/>
      <c r="IF195"/>
    </row>
    <row r="196" spans="1:240" s="1" customFormat="1" ht="12" customHeight="1">
      <c r="A196" s="91" t="s">
        <v>6</v>
      </c>
      <c r="B196" s="113"/>
      <c r="C196" s="113"/>
      <c r="D196" s="113"/>
      <c r="E196" s="113"/>
      <c r="F196" s="110">
        <f t="shared" si="21"/>
        <v>0</v>
      </c>
      <c r="G196" s="113"/>
      <c r="H196" s="113"/>
      <c r="I196" s="115"/>
      <c r="J196" s="116"/>
      <c r="K196" s="116"/>
      <c r="L196" s="117"/>
      <c r="M196" s="113"/>
      <c r="N196" s="113"/>
      <c r="O196" s="115"/>
      <c r="IA196"/>
      <c r="IB196"/>
      <c r="IC196"/>
      <c r="ID196"/>
      <c r="IE196"/>
      <c r="IF196"/>
    </row>
    <row r="197" spans="1:240" s="1" customFormat="1" ht="22.5" customHeight="1">
      <c r="A197" s="92" t="s">
        <v>71</v>
      </c>
      <c r="B197" s="113"/>
      <c r="C197" s="113"/>
      <c r="D197" s="107">
        <v>39</v>
      </c>
      <c r="E197" s="113"/>
      <c r="F197" s="110">
        <v>39</v>
      </c>
      <c r="G197" s="107">
        <v>39</v>
      </c>
      <c r="H197" s="113"/>
      <c r="I197" s="115">
        <v>39</v>
      </c>
      <c r="J197" s="116"/>
      <c r="K197" s="116"/>
      <c r="L197" s="117"/>
      <c r="M197" s="107">
        <v>39</v>
      </c>
      <c r="N197" s="113"/>
      <c r="O197" s="115">
        <v>39</v>
      </c>
      <c r="IA197"/>
      <c r="IB197"/>
      <c r="IC197"/>
      <c r="ID197"/>
      <c r="IE197"/>
      <c r="IF197"/>
    </row>
    <row r="198" spans="1:240" s="1" customFormat="1" ht="22.5" customHeight="1">
      <c r="A198" s="92" t="s">
        <v>30</v>
      </c>
      <c r="B198" s="107"/>
      <c r="C198" s="107"/>
      <c r="D198" s="115">
        <v>11600</v>
      </c>
      <c r="E198" s="107"/>
      <c r="F198" s="110">
        <f t="shared" si="21"/>
        <v>11600</v>
      </c>
      <c r="G198" s="115">
        <v>11600</v>
      </c>
      <c r="H198" s="107"/>
      <c r="I198" s="115">
        <f>G198</f>
        <v>11600</v>
      </c>
      <c r="J198" s="116"/>
      <c r="K198" s="116"/>
      <c r="L198" s="117"/>
      <c r="M198" s="115">
        <v>11600</v>
      </c>
      <c r="N198" s="107"/>
      <c r="O198" s="115">
        <f>M198</f>
        <v>11600</v>
      </c>
      <c r="IA198"/>
      <c r="IB198"/>
      <c r="IC198"/>
      <c r="ID198"/>
      <c r="IE198"/>
      <c r="IF198"/>
    </row>
    <row r="199" spans="1:240" s="1" customFormat="1" ht="12" customHeight="1">
      <c r="A199" s="91" t="s">
        <v>8</v>
      </c>
      <c r="B199" s="113"/>
      <c r="C199" s="113"/>
      <c r="D199" s="113"/>
      <c r="E199" s="113"/>
      <c r="F199" s="110">
        <f t="shared" si="21"/>
        <v>0</v>
      </c>
      <c r="G199" s="113"/>
      <c r="H199" s="113"/>
      <c r="I199" s="115"/>
      <c r="J199" s="116"/>
      <c r="K199" s="116"/>
      <c r="L199" s="117"/>
      <c r="M199" s="113"/>
      <c r="N199" s="113"/>
      <c r="O199" s="115"/>
      <c r="IA199"/>
      <c r="IB199"/>
      <c r="IC199"/>
      <c r="ID199"/>
      <c r="IE199"/>
      <c r="IF199"/>
    </row>
    <row r="200" spans="1:240" s="1" customFormat="1" ht="22.5" customHeight="1">
      <c r="A200" s="92" t="s">
        <v>72</v>
      </c>
      <c r="B200" s="113"/>
      <c r="C200" s="113"/>
      <c r="D200" s="110">
        <v>1530</v>
      </c>
      <c r="E200" s="113"/>
      <c r="F200" s="110">
        <v>1530</v>
      </c>
      <c r="G200" s="110">
        <v>1530</v>
      </c>
      <c r="H200" s="113"/>
      <c r="I200" s="115">
        <v>1530</v>
      </c>
      <c r="J200" s="116"/>
      <c r="K200" s="116"/>
      <c r="L200" s="117"/>
      <c r="M200" s="110">
        <v>1530</v>
      </c>
      <c r="N200" s="113"/>
      <c r="O200" s="115">
        <v>1530</v>
      </c>
      <c r="IA200"/>
      <c r="IB200"/>
      <c r="IC200"/>
      <c r="ID200"/>
      <c r="IE200"/>
      <c r="IF200"/>
    </row>
    <row r="201" spans="1:240" s="1" customFormat="1" ht="22.5" customHeight="1">
      <c r="A201" s="92" t="s">
        <v>31</v>
      </c>
      <c r="B201" s="107"/>
      <c r="C201" s="107"/>
      <c r="D201" s="110">
        <v>1.3</v>
      </c>
      <c r="E201" s="107"/>
      <c r="F201" s="110">
        <f t="shared" si="21"/>
        <v>1.3</v>
      </c>
      <c r="G201" s="110">
        <v>1.35</v>
      </c>
      <c r="H201" s="107"/>
      <c r="I201" s="115">
        <f>G201</f>
        <v>1.35</v>
      </c>
      <c r="J201" s="116"/>
      <c r="K201" s="116"/>
      <c r="L201" s="117"/>
      <c r="M201" s="110">
        <v>1.35</v>
      </c>
      <c r="N201" s="107"/>
      <c r="O201" s="115">
        <f>M201</f>
        <v>1.35</v>
      </c>
      <c r="IA201"/>
      <c r="IB201"/>
      <c r="IC201"/>
      <c r="ID201"/>
      <c r="IE201"/>
      <c r="IF201"/>
    </row>
    <row r="202" spans="1:240" s="1" customFormat="1" ht="33.75">
      <c r="A202" s="92" t="s">
        <v>249</v>
      </c>
      <c r="B202" s="107"/>
      <c r="C202" s="107"/>
      <c r="D202" s="108"/>
      <c r="E202" s="108">
        <v>3</v>
      </c>
      <c r="F202" s="108">
        <f>E202</f>
        <v>3</v>
      </c>
      <c r="G202" s="108"/>
      <c r="H202" s="108">
        <v>3</v>
      </c>
      <c r="I202" s="108">
        <v>3</v>
      </c>
      <c r="J202" s="118"/>
      <c r="K202" s="118"/>
      <c r="L202" s="118"/>
      <c r="M202" s="108"/>
      <c r="N202" s="108">
        <v>3</v>
      </c>
      <c r="O202" s="108">
        <v>3</v>
      </c>
      <c r="IA202"/>
      <c r="IB202"/>
      <c r="IC202"/>
      <c r="ID202"/>
      <c r="IE202"/>
      <c r="IF202"/>
    </row>
    <row r="203" spans="1:240" s="1" customFormat="1" ht="28.5" customHeight="1">
      <c r="A203" s="92" t="s">
        <v>170</v>
      </c>
      <c r="B203" s="107"/>
      <c r="C203" s="107"/>
      <c r="D203" s="120">
        <f>D173/D164*100</f>
        <v>100</v>
      </c>
      <c r="E203" s="120"/>
      <c r="F203" s="120">
        <f aca="true" t="shared" si="25" ref="F203:O203">F173/F164*100</f>
        <v>100</v>
      </c>
      <c r="G203" s="120">
        <f t="shared" si="25"/>
        <v>100</v>
      </c>
      <c r="H203" s="120"/>
      <c r="I203" s="120">
        <f t="shared" si="25"/>
        <v>100</v>
      </c>
      <c r="J203" s="120" t="e">
        <f t="shared" si="25"/>
        <v>#DIV/0!</v>
      </c>
      <c r="K203" s="120" t="e">
        <f t="shared" si="25"/>
        <v>#DIV/0!</v>
      </c>
      <c r="L203" s="120" t="e">
        <f t="shared" si="25"/>
        <v>#DIV/0!</v>
      </c>
      <c r="M203" s="120">
        <f t="shared" si="25"/>
        <v>100</v>
      </c>
      <c r="N203" s="120"/>
      <c r="O203" s="120">
        <f t="shared" si="25"/>
        <v>100</v>
      </c>
      <c r="IA203"/>
      <c r="IB203"/>
      <c r="IC203"/>
      <c r="ID203"/>
      <c r="IE203"/>
      <c r="IF203"/>
    </row>
    <row r="204" spans="1:240" s="1" customFormat="1" ht="34.5" customHeight="1">
      <c r="A204" s="92" t="s">
        <v>171</v>
      </c>
      <c r="B204" s="107"/>
      <c r="C204" s="107"/>
      <c r="D204" s="120">
        <f>D172/D163*100</f>
        <v>96.52173913043478</v>
      </c>
      <c r="E204" s="120"/>
      <c r="F204" s="120">
        <f aca="true" t="shared" si="26" ref="F204:O204">F172/F163*100</f>
        <v>96.52173913043478</v>
      </c>
      <c r="G204" s="120">
        <f t="shared" si="26"/>
        <v>97.2</v>
      </c>
      <c r="H204" s="120"/>
      <c r="I204" s="120">
        <f t="shared" si="26"/>
        <v>97.2</v>
      </c>
      <c r="J204" s="120" t="e">
        <f t="shared" si="26"/>
        <v>#DIV/0!</v>
      </c>
      <c r="K204" s="120" t="e">
        <f t="shared" si="26"/>
        <v>#DIV/0!</v>
      </c>
      <c r="L204" s="120" t="e">
        <f t="shared" si="26"/>
        <v>#DIV/0!</v>
      </c>
      <c r="M204" s="120">
        <f t="shared" si="26"/>
        <v>98.88888888888889</v>
      </c>
      <c r="N204" s="120"/>
      <c r="O204" s="120">
        <f t="shared" si="26"/>
        <v>98.88888888888889</v>
      </c>
      <c r="IA204"/>
      <c r="IB204"/>
      <c r="IC204"/>
      <c r="ID204"/>
      <c r="IE204"/>
      <c r="IF204"/>
    </row>
    <row r="205" spans="1:240" s="194" customFormat="1" ht="41.25" customHeight="1">
      <c r="A205" s="182" t="s">
        <v>294</v>
      </c>
      <c r="B205" s="191"/>
      <c r="C205" s="191"/>
      <c r="D205" s="193">
        <f>(D208*D221)+(D216*D223)+(D217*D224)+(D218*D254)+11.5</f>
        <v>6400000</v>
      </c>
      <c r="E205" s="193"/>
      <c r="F205" s="193">
        <f aca="true" t="shared" si="27" ref="F205:L205">(F208*F221)+(F216*F223)+(F217*F224)+(F218*F254)+11.5</f>
        <v>6400000</v>
      </c>
      <c r="G205" s="193">
        <f>(G208*G221)+(G216*G223)+(G217*G224)+(G218*G254)-75.6+2381500</f>
        <v>10111500</v>
      </c>
      <c r="H205" s="193">
        <v>120000</v>
      </c>
      <c r="I205" s="193">
        <f>G205+H205</f>
        <v>10231500</v>
      </c>
      <c r="J205" s="193">
        <f t="shared" si="27"/>
        <v>11.5</v>
      </c>
      <c r="K205" s="193">
        <f t="shared" si="27"/>
        <v>11.5</v>
      </c>
      <c r="L205" s="193">
        <f t="shared" si="27"/>
        <v>11.5</v>
      </c>
      <c r="M205" s="193">
        <f>(M208*M221)+(M216*M223)+(M217*M224)+(M218*M254)-39.3</f>
        <v>9150000</v>
      </c>
      <c r="N205" s="193"/>
      <c r="O205" s="193">
        <f>M205</f>
        <v>9150000</v>
      </c>
      <c r="IA205" s="195"/>
      <c r="IB205" s="195"/>
      <c r="IC205" s="195"/>
      <c r="ID205" s="195"/>
      <c r="IE205" s="195"/>
      <c r="IF205" s="195"/>
    </row>
    <row r="206" spans="1:240" s="1" customFormat="1" ht="30.75" customHeight="1" hidden="1">
      <c r="A206" s="33" t="s">
        <v>65</v>
      </c>
      <c r="B206" s="17"/>
      <c r="C206" s="17"/>
      <c r="D206" s="23" t="e">
        <f>D217*#REF!*12+#REF!*D224*12+D216*D223+D215*D221+#REF!*#REF!</f>
        <v>#REF!</v>
      </c>
      <c r="E206" s="17"/>
      <c r="F206" s="23" t="e">
        <f>F217*#REF!*12+#REF!*F224*12+F216*F223+F215*F221+#REF!*#REF!</f>
        <v>#REF!</v>
      </c>
      <c r="G206" s="23" t="e">
        <f>G217*#REF!*12+#REF!*G224*12+G216*G223+G215*G221+#REF!*#REF!</f>
        <v>#REF!</v>
      </c>
      <c r="H206" s="23" t="e">
        <f>H217*#REF!*12+#REF!*H224*12+H216*H223+H215*H221+#REF!*#REF!</f>
        <v>#REF!</v>
      </c>
      <c r="I206" s="23" t="e">
        <f>I217*#REF!*12+#REF!*I224*12+I216*I223+I215*I221+#REF!*#REF!</f>
        <v>#REF!</v>
      </c>
      <c r="J206" s="21"/>
      <c r="K206" s="21"/>
      <c r="L206" s="22"/>
      <c r="M206" s="23" t="e">
        <f>M217*#REF!*12+#REF!*M224*12+M216*M223+M215*M221+#REF!*#REF!</f>
        <v>#REF!</v>
      </c>
      <c r="N206" s="23" t="e">
        <f>N217*#REF!*12+#REF!*N224*12+N216*N223+N215*N221+#REF!*#REF!</f>
        <v>#REF!</v>
      </c>
      <c r="O206" s="23" t="e">
        <f>O217*#REF!*12+#REF!*O224*12+O216*O223+O215*O221+#REF!*#REF!</f>
        <v>#REF!</v>
      </c>
      <c r="IA206"/>
      <c r="IB206"/>
      <c r="IC206"/>
      <c r="ID206"/>
      <c r="IE206"/>
      <c r="IF206"/>
    </row>
    <row r="207" spans="1:240" s="1" customFormat="1" ht="12">
      <c r="A207" s="91" t="s">
        <v>5</v>
      </c>
      <c r="B207" s="113"/>
      <c r="C207" s="113"/>
      <c r="D207" s="113"/>
      <c r="E207" s="113"/>
      <c r="F207" s="113"/>
      <c r="G207" s="113"/>
      <c r="H207" s="113"/>
      <c r="I207" s="115"/>
      <c r="J207" s="116"/>
      <c r="K207" s="116"/>
      <c r="L207" s="117"/>
      <c r="M207" s="113"/>
      <c r="N207" s="113"/>
      <c r="O207" s="115"/>
      <c r="IA207"/>
      <c r="IB207"/>
      <c r="IC207"/>
      <c r="ID207"/>
      <c r="IE207"/>
      <c r="IF207"/>
    </row>
    <row r="208" spans="1:240" s="1" customFormat="1" ht="22.5">
      <c r="A208" s="92" t="s">
        <v>176</v>
      </c>
      <c r="B208" s="107"/>
      <c r="C208" s="107"/>
      <c r="D208" s="120">
        <v>93.1</v>
      </c>
      <c r="E208" s="120"/>
      <c r="F208" s="120">
        <f>D208</f>
        <v>93.1</v>
      </c>
      <c r="G208" s="120">
        <f>F208</f>
        <v>93.1</v>
      </c>
      <c r="H208" s="120"/>
      <c r="I208" s="120">
        <f>G208</f>
        <v>93.1</v>
      </c>
      <c r="J208" s="121"/>
      <c r="K208" s="121"/>
      <c r="L208" s="121"/>
      <c r="M208" s="120">
        <f>I208</f>
        <v>93.1</v>
      </c>
      <c r="N208" s="120"/>
      <c r="O208" s="120">
        <f>M208</f>
        <v>93.1</v>
      </c>
      <c r="IA208"/>
      <c r="IB208"/>
      <c r="IC208"/>
      <c r="ID208"/>
      <c r="IE208"/>
      <c r="IF208"/>
    </row>
    <row r="209" spans="1:240" s="1" customFormat="1" ht="21" customHeight="1">
      <c r="A209" s="92" t="s">
        <v>174</v>
      </c>
      <c r="B209" s="107"/>
      <c r="C209" s="107"/>
      <c r="D209" s="108">
        <v>16</v>
      </c>
      <c r="E209" s="108"/>
      <c r="F209" s="108">
        <f>D209</f>
        <v>16</v>
      </c>
      <c r="G209" s="108">
        <v>16</v>
      </c>
      <c r="H209" s="108"/>
      <c r="I209" s="108">
        <f>G209</f>
        <v>16</v>
      </c>
      <c r="J209" s="118"/>
      <c r="K209" s="118"/>
      <c r="L209" s="118"/>
      <c r="M209" s="108">
        <f>I209</f>
        <v>16</v>
      </c>
      <c r="N209" s="108"/>
      <c r="O209" s="108">
        <f>M209</f>
        <v>16</v>
      </c>
      <c r="IA209"/>
      <c r="IB209"/>
      <c r="IC209"/>
      <c r="ID209"/>
      <c r="IE209"/>
      <c r="IF209"/>
    </row>
    <row r="210" spans="1:240" s="1" customFormat="1" ht="13.5" customHeight="1">
      <c r="A210" s="92" t="s">
        <v>175</v>
      </c>
      <c r="B210" s="107"/>
      <c r="C210" s="107"/>
      <c r="D210" s="108">
        <v>1</v>
      </c>
      <c r="E210" s="108"/>
      <c r="F210" s="108">
        <v>1</v>
      </c>
      <c r="G210" s="108">
        <v>1</v>
      </c>
      <c r="H210" s="108"/>
      <c r="I210" s="108">
        <f>G210</f>
        <v>1</v>
      </c>
      <c r="J210" s="118"/>
      <c r="K210" s="118"/>
      <c r="L210" s="118"/>
      <c r="M210" s="108">
        <v>1</v>
      </c>
      <c r="N210" s="108"/>
      <c r="O210" s="108">
        <f>M210</f>
        <v>1</v>
      </c>
      <c r="IA210"/>
      <c r="IB210"/>
      <c r="IC210"/>
      <c r="ID210"/>
      <c r="IE210"/>
      <c r="IF210"/>
    </row>
    <row r="211" spans="1:240" s="1" customFormat="1" ht="24.75" customHeight="1">
      <c r="A211" s="92" t="s">
        <v>100</v>
      </c>
      <c r="B211" s="107"/>
      <c r="C211" s="107"/>
      <c r="D211" s="110">
        <v>50000</v>
      </c>
      <c r="E211" s="110"/>
      <c r="F211" s="110">
        <f>D211</f>
        <v>50000</v>
      </c>
      <c r="G211" s="108">
        <f>50000-50000</f>
        <v>0</v>
      </c>
      <c r="H211" s="108"/>
      <c r="I211" s="108"/>
      <c r="J211" s="118"/>
      <c r="K211" s="118"/>
      <c r="L211" s="118"/>
      <c r="M211" s="110"/>
      <c r="N211" s="110"/>
      <c r="O211" s="110"/>
      <c r="IA211"/>
      <c r="IB211"/>
      <c r="IC211"/>
      <c r="ID211"/>
      <c r="IE211"/>
      <c r="IF211"/>
    </row>
    <row r="212" spans="1:240" s="1" customFormat="1" ht="22.5" hidden="1">
      <c r="A212" s="92" t="s">
        <v>325</v>
      </c>
      <c r="B212" s="107"/>
      <c r="C212" s="107"/>
      <c r="D212" s="110"/>
      <c r="E212" s="110"/>
      <c r="F212" s="110"/>
      <c r="G212" s="108"/>
      <c r="H212" s="108">
        <v>1</v>
      </c>
      <c r="I212" s="108">
        <v>1</v>
      </c>
      <c r="J212" s="118"/>
      <c r="K212" s="118"/>
      <c r="L212" s="118"/>
      <c r="M212" s="110"/>
      <c r="N212" s="110"/>
      <c r="O212" s="110"/>
      <c r="IA212"/>
      <c r="IB212"/>
      <c r="IC212"/>
      <c r="ID212"/>
      <c r="IE212"/>
      <c r="IF212"/>
    </row>
    <row r="213" spans="1:240" s="1" customFormat="1" ht="12">
      <c r="A213" s="91" t="s">
        <v>6</v>
      </c>
      <c r="B213" s="113"/>
      <c r="C213" s="113"/>
      <c r="D213" s="113"/>
      <c r="E213" s="113"/>
      <c r="F213" s="113"/>
      <c r="G213" s="113"/>
      <c r="H213" s="113"/>
      <c r="I213" s="115">
        <f>G213</f>
        <v>0</v>
      </c>
      <c r="J213" s="116"/>
      <c r="K213" s="116"/>
      <c r="L213" s="117"/>
      <c r="M213" s="113"/>
      <c r="N213" s="113"/>
      <c r="O213" s="115">
        <f>M213</f>
        <v>0</v>
      </c>
      <c r="IA213"/>
      <c r="IB213"/>
      <c r="IC213"/>
      <c r="ID213"/>
      <c r="IE213"/>
      <c r="IF213"/>
    </row>
    <row r="214" spans="1:240" s="1" customFormat="1" ht="22.5" customHeight="1">
      <c r="A214" s="92" t="s">
        <v>74</v>
      </c>
      <c r="B214" s="107"/>
      <c r="C214" s="107"/>
      <c r="D214" s="110">
        <v>20</v>
      </c>
      <c r="E214" s="107"/>
      <c r="F214" s="110">
        <v>20</v>
      </c>
      <c r="G214" s="110">
        <v>20</v>
      </c>
      <c r="H214" s="107"/>
      <c r="I214" s="115">
        <f>G214</f>
        <v>20</v>
      </c>
      <c r="J214" s="116"/>
      <c r="K214" s="116"/>
      <c r="L214" s="117"/>
      <c r="M214" s="110">
        <v>20</v>
      </c>
      <c r="N214" s="107"/>
      <c r="O214" s="115">
        <f>M214</f>
        <v>20</v>
      </c>
      <c r="IA214"/>
      <c r="IB214"/>
      <c r="IC214"/>
      <c r="ID214"/>
      <c r="IE214"/>
      <c r="IF214"/>
    </row>
    <row r="215" spans="1:240" s="1" customFormat="1" ht="22.5">
      <c r="A215" s="92" t="s">
        <v>177</v>
      </c>
      <c r="B215" s="107"/>
      <c r="C215" s="107"/>
      <c r="D215" s="120">
        <f>D208</f>
        <v>93.1</v>
      </c>
      <c r="E215" s="120"/>
      <c r="F215" s="120">
        <f>D215</f>
        <v>93.1</v>
      </c>
      <c r="G215" s="120">
        <f>G208</f>
        <v>93.1</v>
      </c>
      <c r="H215" s="120"/>
      <c r="I215" s="120">
        <f>G215</f>
        <v>93.1</v>
      </c>
      <c r="J215" s="121"/>
      <c r="K215" s="121"/>
      <c r="L215" s="121"/>
      <c r="M215" s="120">
        <f>M208</f>
        <v>93.1</v>
      </c>
      <c r="N215" s="120"/>
      <c r="O215" s="120">
        <f>M215</f>
        <v>93.1</v>
      </c>
      <c r="IA215"/>
      <c r="IB215"/>
      <c r="IC215"/>
      <c r="ID215"/>
      <c r="IE215"/>
      <c r="IF215"/>
    </row>
    <row r="216" spans="1:240" s="1" customFormat="1" ht="14.25" customHeight="1">
      <c r="A216" s="92" t="s">
        <v>366</v>
      </c>
      <c r="B216" s="107"/>
      <c r="C216" s="107"/>
      <c r="D216" s="108">
        <v>600</v>
      </c>
      <c r="E216" s="108"/>
      <c r="F216" s="108">
        <f>D216</f>
        <v>600</v>
      </c>
      <c r="G216" s="108">
        <v>700</v>
      </c>
      <c r="H216" s="108"/>
      <c r="I216" s="108">
        <f>G216</f>
        <v>700</v>
      </c>
      <c r="J216" s="118"/>
      <c r="K216" s="118"/>
      <c r="L216" s="118"/>
      <c r="M216" s="108">
        <v>800</v>
      </c>
      <c r="N216" s="108"/>
      <c r="O216" s="108">
        <f>M216</f>
        <v>800</v>
      </c>
      <c r="IA216"/>
      <c r="IB216"/>
      <c r="IC216"/>
      <c r="ID216"/>
      <c r="IE216"/>
      <c r="IF216"/>
    </row>
    <row r="217" spans="1:240" s="1" customFormat="1" ht="21.75" customHeight="1">
      <c r="A217" s="92" t="s">
        <v>178</v>
      </c>
      <c r="B217" s="107"/>
      <c r="C217" s="107"/>
      <c r="D217" s="108">
        <v>1</v>
      </c>
      <c r="E217" s="108"/>
      <c r="F217" s="108">
        <v>1</v>
      </c>
      <c r="G217" s="108">
        <v>1</v>
      </c>
      <c r="H217" s="108"/>
      <c r="I217" s="108">
        <f>G217</f>
        <v>1</v>
      </c>
      <c r="J217" s="118"/>
      <c r="K217" s="118"/>
      <c r="L217" s="118"/>
      <c r="M217" s="108">
        <v>1</v>
      </c>
      <c r="N217" s="108"/>
      <c r="O217" s="108">
        <f>M217</f>
        <v>1</v>
      </c>
      <c r="IA217"/>
      <c r="IB217"/>
      <c r="IC217"/>
      <c r="ID217"/>
      <c r="IE217"/>
      <c r="IF217"/>
    </row>
    <row r="218" spans="1:240" s="1" customFormat="1" ht="30.75" customHeight="1">
      <c r="A218" s="92" t="s">
        <v>97</v>
      </c>
      <c r="B218" s="107"/>
      <c r="C218" s="107"/>
      <c r="D218" s="107">
        <v>1</v>
      </c>
      <c r="E218" s="107"/>
      <c r="F218" s="107">
        <v>1</v>
      </c>
      <c r="G218" s="107"/>
      <c r="H218" s="107"/>
      <c r="I218" s="115"/>
      <c r="J218" s="116"/>
      <c r="K218" s="116"/>
      <c r="L218" s="117"/>
      <c r="M218" s="107">
        <v>1</v>
      </c>
      <c r="N218" s="107"/>
      <c r="O218" s="122">
        <v>1</v>
      </c>
      <c r="IA218"/>
      <c r="IB218"/>
      <c r="IC218"/>
      <c r="ID218"/>
      <c r="IE218"/>
      <c r="IF218"/>
    </row>
    <row r="219" spans="1:240" s="1" customFormat="1" ht="30.75" customHeight="1">
      <c r="A219" s="92" t="s">
        <v>325</v>
      </c>
      <c r="B219" s="107"/>
      <c r="C219" s="107"/>
      <c r="D219" s="110"/>
      <c r="E219" s="110"/>
      <c r="F219" s="110"/>
      <c r="G219" s="108"/>
      <c r="H219" s="108">
        <v>1</v>
      </c>
      <c r="I219" s="108">
        <v>1</v>
      </c>
      <c r="J219" s="116"/>
      <c r="K219" s="116"/>
      <c r="L219" s="117"/>
      <c r="M219" s="107"/>
      <c r="N219" s="107"/>
      <c r="O219" s="122"/>
      <c r="IA219"/>
      <c r="IB219"/>
      <c r="IC219"/>
      <c r="ID219"/>
      <c r="IE219"/>
      <c r="IF219"/>
    </row>
    <row r="220" spans="1:240" s="1" customFormat="1" ht="12">
      <c r="A220" s="91" t="s">
        <v>8</v>
      </c>
      <c r="B220" s="113"/>
      <c r="C220" s="113"/>
      <c r="D220" s="113"/>
      <c r="E220" s="113"/>
      <c r="F220" s="113"/>
      <c r="G220" s="113"/>
      <c r="H220" s="113"/>
      <c r="I220" s="115"/>
      <c r="J220" s="116"/>
      <c r="K220" s="116"/>
      <c r="L220" s="117"/>
      <c r="M220" s="113"/>
      <c r="N220" s="113"/>
      <c r="O220" s="115"/>
      <c r="IA220"/>
      <c r="IB220"/>
      <c r="IC220"/>
      <c r="ID220"/>
      <c r="IE220"/>
      <c r="IF220"/>
    </row>
    <row r="221" spans="1:240" s="1" customFormat="1" ht="22.5">
      <c r="A221" s="92" t="s">
        <v>179</v>
      </c>
      <c r="B221" s="107"/>
      <c r="C221" s="107"/>
      <c r="D221" s="115">
        <v>48335</v>
      </c>
      <c r="E221" s="107"/>
      <c r="F221" s="115">
        <f>D221</f>
        <v>48335</v>
      </c>
      <c r="G221" s="110">
        <v>59076</v>
      </c>
      <c r="H221" s="107"/>
      <c r="I221" s="110">
        <f>G221</f>
        <v>59076</v>
      </c>
      <c r="J221" s="119"/>
      <c r="K221" s="119"/>
      <c r="L221" s="119"/>
      <c r="M221" s="110">
        <v>69603</v>
      </c>
      <c r="N221" s="110"/>
      <c r="O221" s="110">
        <f>M221</f>
        <v>69603</v>
      </c>
      <c r="IA221"/>
      <c r="IB221"/>
      <c r="IC221"/>
      <c r="ID221"/>
      <c r="IE221"/>
      <c r="IF221"/>
    </row>
    <row r="222" spans="1:240" s="1" customFormat="1" ht="22.5" customHeight="1">
      <c r="A222" s="92" t="s">
        <v>75</v>
      </c>
      <c r="B222" s="107"/>
      <c r="C222" s="107"/>
      <c r="D222" s="107">
        <v>6000</v>
      </c>
      <c r="E222" s="107"/>
      <c r="F222" s="115">
        <f>D222</f>
        <v>6000</v>
      </c>
      <c r="G222" s="107">
        <v>10000</v>
      </c>
      <c r="H222" s="107"/>
      <c r="I222" s="115">
        <f>G222</f>
        <v>10000</v>
      </c>
      <c r="J222" s="116"/>
      <c r="K222" s="116"/>
      <c r="L222" s="117"/>
      <c r="M222" s="107">
        <v>10000</v>
      </c>
      <c r="N222" s="107"/>
      <c r="O222" s="115">
        <f>M222</f>
        <v>10000</v>
      </c>
      <c r="IA222"/>
      <c r="IB222"/>
      <c r="IC222"/>
      <c r="ID222"/>
      <c r="IE222"/>
      <c r="IF222"/>
    </row>
    <row r="223" spans="1:240" s="1" customFormat="1" ht="24.75" customHeight="1">
      <c r="A223" s="92" t="s">
        <v>180</v>
      </c>
      <c r="B223" s="107"/>
      <c r="C223" s="107"/>
      <c r="D223" s="115">
        <v>2850</v>
      </c>
      <c r="E223" s="107"/>
      <c r="F223" s="115">
        <f>D223</f>
        <v>2850</v>
      </c>
      <c r="G223" s="110">
        <v>2943</v>
      </c>
      <c r="H223" s="110"/>
      <c r="I223" s="110">
        <f>G223</f>
        <v>2943</v>
      </c>
      <c r="J223" s="119"/>
      <c r="K223" s="119"/>
      <c r="L223" s="119"/>
      <c r="M223" s="110">
        <v>3087.5</v>
      </c>
      <c r="N223" s="110"/>
      <c r="O223" s="110">
        <f>M223</f>
        <v>3087.5</v>
      </c>
      <c r="IA223"/>
      <c r="IB223"/>
      <c r="IC223"/>
      <c r="ID223"/>
      <c r="IE223"/>
      <c r="IF223"/>
    </row>
    <row r="224" spans="1:240" s="1" customFormat="1" ht="22.5">
      <c r="A224" s="92" t="s">
        <v>181</v>
      </c>
      <c r="B224" s="107"/>
      <c r="C224" s="107"/>
      <c r="D224" s="115">
        <v>140000</v>
      </c>
      <c r="E224" s="107"/>
      <c r="F224" s="115">
        <f>D224</f>
        <v>140000</v>
      </c>
      <c r="G224" s="115">
        <v>170000</v>
      </c>
      <c r="H224" s="107"/>
      <c r="I224" s="115">
        <f>G224</f>
        <v>170000</v>
      </c>
      <c r="J224" s="116"/>
      <c r="K224" s="116"/>
      <c r="L224" s="117"/>
      <c r="M224" s="115">
        <v>200000</v>
      </c>
      <c r="N224" s="107"/>
      <c r="O224" s="115">
        <f>M224</f>
        <v>200000</v>
      </c>
      <c r="IA224"/>
      <c r="IB224"/>
      <c r="IC224"/>
      <c r="ID224"/>
      <c r="IE224"/>
      <c r="IF224"/>
    </row>
    <row r="225" spans="1:240" s="1" customFormat="1" ht="22.5">
      <c r="A225" s="92" t="s">
        <v>326</v>
      </c>
      <c r="B225" s="107"/>
      <c r="C225" s="107"/>
      <c r="D225" s="115"/>
      <c r="E225" s="107"/>
      <c r="F225" s="115"/>
      <c r="G225" s="115"/>
      <c r="H225" s="107">
        <v>120000</v>
      </c>
      <c r="I225" s="115"/>
      <c r="J225" s="116"/>
      <c r="K225" s="116"/>
      <c r="L225" s="117"/>
      <c r="M225" s="115"/>
      <c r="N225" s="107"/>
      <c r="O225" s="115"/>
      <c r="IA225"/>
      <c r="IB225"/>
      <c r="IC225"/>
      <c r="ID225"/>
      <c r="IE225"/>
      <c r="IF225"/>
    </row>
    <row r="226" spans="1:240" s="194" customFormat="1" ht="22.5" customHeight="1">
      <c r="A226" s="182" t="s">
        <v>367</v>
      </c>
      <c r="B226" s="191"/>
      <c r="C226" s="191"/>
      <c r="D226" s="191">
        <v>5790500</v>
      </c>
      <c r="E226" s="191"/>
      <c r="F226" s="191">
        <f>D226</f>
        <v>5790500</v>
      </c>
      <c r="G226" s="191">
        <v>6677600</v>
      </c>
      <c r="H226" s="191"/>
      <c r="I226" s="192">
        <v>6677600</v>
      </c>
      <c r="J226" s="199"/>
      <c r="K226" s="199"/>
      <c r="L226" s="200"/>
      <c r="M226" s="191">
        <v>6677600</v>
      </c>
      <c r="N226" s="191"/>
      <c r="O226" s="192">
        <v>6677600</v>
      </c>
      <c r="IA226" s="195"/>
      <c r="IB226" s="195"/>
      <c r="IC226" s="195"/>
      <c r="ID226" s="195"/>
      <c r="IE226" s="195"/>
      <c r="IF226" s="195"/>
    </row>
    <row r="227" spans="1:240" s="1" customFormat="1" ht="12">
      <c r="A227" s="91" t="s">
        <v>5</v>
      </c>
      <c r="B227" s="113"/>
      <c r="C227" s="113"/>
      <c r="D227" s="113"/>
      <c r="E227" s="113"/>
      <c r="F227" s="113"/>
      <c r="G227" s="113"/>
      <c r="H227" s="113"/>
      <c r="I227" s="115"/>
      <c r="J227" s="116"/>
      <c r="K227" s="116"/>
      <c r="L227" s="117"/>
      <c r="M227" s="113"/>
      <c r="N227" s="113"/>
      <c r="O227" s="115"/>
      <c r="IA227"/>
      <c r="IB227"/>
      <c r="IC227"/>
      <c r="ID227"/>
      <c r="IE227"/>
      <c r="IF227"/>
    </row>
    <row r="228" spans="1:240" s="1" customFormat="1" ht="22.5" customHeight="1">
      <c r="A228" s="92" t="s">
        <v>32</v>
      </c>
      <c r="B228" s="107"/>
      <c r="C228" s="107"/>
      <c r="D228" s="110">
        <v>6</v>
      </c>
      <c r="E228" s="107"/>
      <c r="F228" s="110">
        <v>6</v>
      </c>
      <c r="G228" s="110">
        <v>6</v>
      </c>
      <c r="H228" s="107"/>
      <c r="I228" s="115">
        <f>G228</f>
        <v>6</v>
      </c>
      <c r="J228" s="116"/>
      <c r="K228" s="116"/>
      <c r="L228" s="117"/>
      <c r="M228" s="110">
        <v>6</v>
      </c>
      <c r="N228" s="107"/>
      <c r="O228" s="115">
        <f>M228</f>
        <v>6</v>
      </c>
      <c r="IA228"/>
      <c r="IB228"/>
      <c r="IC228"/>
      <c r="ID228"/>
      <c r="IE228"/>
      <c r="IF228"/>
    </row>
    <row r="229" spans="1:240" s="1" customFormat="1" ht="12" customHeight="1">
      <c r="A229" s="92" t="s">
        <v>33</v>
      </c>
      <c r="B229" s="107"/>
      <c r="C229" s="107"/>
      <c r="D229" s="110">
        <v>1</v>
      </c>
      <c r="E229" s="107"/>
      <c r="F229" s="110">
        <v>1</v>
      </c>
      <c r="G229" s="110">
        <v>1</v>
      </c>
      <c r="H229" s="107"/>
      <c r="I229" s="115">
        <f>G229</f>
        <v>1</v>
      </c>
      <c r="J229" s="116"/>
      <c r="K229" s="116"/>
      <c r="L229" s="117"/>
      <c r="M229" s="110">
        <v>1</v>
      </c>
      <c r="N229" s="107"/>
      <c r="O229" s="115">
        <f>M229</f>
        <v>1</v>
      </c>
      <c r="IA229"/>
      <c r="IB229"/>
      <c r="IC229"/>
      <c r="ID229"/>
      <c r="IE229"/>
      <c r="IF229"/>
    </row>
    <row r="230" spans="1:240" s="1" customFormat="1" ht="22.5" customHeight="1">
      <c r="A230" s="92" t="s">
        <v>34</v>
      </c>
      <c r="B230" s="107"/>
      <c r="C230" s="107"/>
      <c r="D230" s="115"/>
      <c r="E230" s="107"/>
      <c r="F230" s="115"/>
      <c r="G230" s="115"/>
      <c r="H230" s="107"/>
      <c r="I230" s="115"/>
      <c r="J230" s="116"/>
      <c r="K230" s="116"/>
      <c r="L230" s="117"/>
      <c r="M230" s="115"/>
      <c r="N230" s="107"/>
      <c r="O230" s="115"/>
      <c r="IA230"/>
      <c r="IB230"/>
      <c r="IC230"/>
      <c r="ID230"/>
      <c r="IE230"/>
      <c r="IF230"/>
    </row>
    <row r="231" spans="1:240" s="1" customFormat="1" ht="14.25" customHeight="1">
      <c r="A231" s="92" t="s">
        <v>35</v>
      </c>
      <c r="B231" s="107"/>
      <c r="C231" s="107"/>
      <c r="D231" s="115">
        <v>1300</v>
      </c>
      <c r="E231" s="107"/>
      <c r="F231" s="115">
        <v>1300</v>
      </c>
      <c r="G231" s="115">
        <v>916</v>
      </c>
      <c r="H231" s="107"/>
      <c r="I231" s="115">
        <f>G231</f>
        <v>916</v>
      </c>
      <c r="J231" s="116"/>
      <c r="K231" s="116"/>
      <c r="L231" s="117"/>
      <c r="M231" s="115">
        <v>916</v>
      </c>
      <c r="N231" s="107"/>
      <c r="O231" s="115">
        <f>M231</f>
        <v>916</v>
      </c>
      <c r="IA231"/>
      <c r="IB231"/>
      <c r="IC231"/>
      <c r="ID231"/>
      <c r="IE231"/>
      <c r="IF231"/>
    </row>
    <row r="232" spans="1:240" s="1" customFormat="1" ht="20.25" customHeight="1">
      <c r="A232" s="92" t="s">
        <v>36</v>
      </c>
      <c r="B232" s="107"/>
      <c r="C232" s="107"/>
      <c r="D232" s="110">
        <v>40</v>
      </c>
      <c r="E232" s="107"/>
      <c r="F232" s="110">
        <v>40</v>
      </c>
      <c r="G232" s="110">
        <v>40</v>
      </c>
      <c r="H232" s="107"/>
      <c r="I232" s="115">
        <f>G232</f>
        <v>40</v>
      </c>
      <c r="J232" s="116"/>
      <c r="K232" s="116"/>
      <c r="L232" s="117"/>
      <c r="M232" s="110">
        <v>40</v>
      </c>
      <c r="N232" s="107"/>
      <c r="O232" s="115">
        <f>M232</f>
        <v>40</v>
      </c>
      <c r="IA232"/>
      <c r="IB232"/>
      <c r="IC232"/>
      <c r="ID232"/>
      <c r="IE232"/>
      <c r="IF232"/>
    </row>
    <row r="233" spans="1:240" s="1" customFormat="1" ht="15" customHeight="1">
      <c r="A233" s="92" t="s">
        <v>37</v>
      </c>
      <c r="B233" s="107"/>
      <c r="C233" s="107"/>
      <c r="D233" s="110">
        <v>60</v>
      </c>
      <c r="E233" s="107"/>
      <c r="F233" s="110">
        <v>60</v>
      </c>
      <c r="G233" s="110">
        <v>68</v>
      </c>
      <c r="H233" s="107"/>
      <c r="I233" s="115">
        <f>G233</f>
        <v>68</v>
      </c>
      <c r="J233" s="116"/>
      <c r="K233" s="116"/>
      <c r="L233" s="117"/>
      <c r="M233" s="110">
        <v>68</v>
      </c>
      <c r="N233" s="107"/>
      <c r="O233" s="115">
        <f>M233</f>
        <v>68</v>
      </c>
      <c r="IA233"/>
      <c r="IB233"/>
      <c r="IC233"/>
      <c r="ID233"/>
      <c r="IE233"/>
      <c r="IF233"/>
    </row>
    <row r="234" spans="1:240" s="1" customFormat="1" ht="12" customHeight="1">
      <c r="A234" s="92" t="s">
        <v>38</v>
      </c>
      <c r="B234" s="107"/>
      <c r="C234" s="107"/>
      <c r="D234" s="110">
        <v>12</v>
      </c>
      <c r="E234" s="107"/>
      <c r="F234" s="110">
        <v>12</v>
      </c>
      <c r="G234" s="110">
        <v>12</v>
      </c>
      <c r="H234" s="107"/>
      <c r="I234" s="115">
        <f>G234</f>
        <v>12</v>
      </c>
      <c r="J234" s="116"/>
      <c r="K234" s="116"/>
      <c r="L234" s="117"/>
      <c r="M234" s="110">
        <v>12</v>
      </c>
      <c r="N234" s="107"/>
      <c r="O234" s="115">
        <f>M234</f>
        <v>12</v>
      </c>
      <c r="IA234"/>
      <c r="IB234"/>
      <c r="IC234"/>
      <c r="ID234"/>
      <c r="IE234"/>
      <c r="IF234"/>
    </row>
    <row r="235" spans="1:240" s="1" customFormat="1" ht="22.5" customHeight="1">
      <c r="A235" s="92" t="s">
        <v>39</v>
      </c>
      <c r="B235" s="107"/>
      <c r="C235" s="107"/>
      <c r="D235" s="115">
        <v>4000</v>
      </c>
      <c r="E235" s="107"/>
      <c r="F235" s="115">
        <v>4000</v>
      </c>
      <c r="G235" s="115">
        <v>4000</v>
      </c>
      <c r="H235" s="107"/>
      <c r="I235" s="115">
        <f>G235</f>
        <v>4000</v>
      </c>
      <c r="J235" s="116"/>
      <c r="K235" s="116"/>
      <c r="L235" s="117"/>
      <c r="M235" s="115">
        <v>4000</v>
      </c>
      <c r="N235" s="107"/>
      <c r="O235" s="115">
        <f>M235</f>
        <v>4000</v>
      </c>
      <c r="IA235"/>
      <c r="IB235"/>
      <c r="IC235"/>
      <c r="ID235"/>
      <c r="IE235"/>
      <c r="IF235"/>
    </row>
    <row r="236" spans="1:240" s="1" customFormat="1" ht="12" customHeight="1">
      <c r="A236" s="91" t="s">
        <v>6</v>
      </c>
      <c r="B236" s="113"/>
      <c r="C236" s="113"/>
      <c r="D236" s="113"/>
      <c r="E236" s="113"/>
      <c r="F236" s="113"/>
      <c r="G236" s="113"/>
      <c r="H236" s="113"/>
      <c r="I236" s="115"/>
      <c r="J236" s="116"/>
      <c r="K236" s="116"/>
      <c r="L236" s="117"/>
      <c r="M236" s="113"/>
      <c r="N236" s="113"/>
      <c r="O236" s="115"/>
      <c r="IA236"/>
      <c r="IB236"/>
      <c r="IC236"/>
      <c r="ID236"/>
      <c r="IE236"/>
      <c r="IF236"/>
    </row>
    <row r="237" spans="1:240" s="1" customFormat="1" ht="19.5" customHeight="1">
      <c r="A237" s="92" t="s">
        <v>40</v>
      </c>
      <c r="B237" s="107"/>
      <c r="C237" s="107"/>
      <c r="D237" s="110">
        <v>65</v>
      </c>
      <c r="E237" s="107"/>
      <c r="F237" s="110">
        <v>65</v>
      </c>
      <c r="G237" s="110">
        <v>53</v>
      </c>
      <c r="H237" s="107"/>
      <c r="I237" s="115">
        <f aca="true" t="shared" si="28" ref="I237:I242">G237</f>
        <v>53</v>
      </c>
      <c r="J237" s="116"/>
      <c r="K237" s="116"/>
      <c r="L237" s="117"/>
      <c r="M237" s="110">
        <v>53</v>
      </c>
      <c r="N237" s="107"/>
      <c r="O237" s="115">
        <f aca="true" t="shared" si="29" ref="O237:O242">M237</f>
        <v>53</v>
      </c>
      <c r="IA237"/>
      <c r="IB237"/>
      <c r="IC237"/>
      <c r="ID237"/>
      <c r="IE237"/>
      <c r="IF237"/>
    </row>
    <row r="238" spans="1:240" s="1" customFormat="1" ht="22.5" customHeight="1">
      <c r="A238" s="92" t="s">
        <v>41</v>
      </c>
      <c r="B238" s="107"/>
      <c r="C238" s="107"/>
      <c r="D238" s="110">
        <v>34</v>
      </c>
      <c r="E238" s="107"/>
      <c r="F238" s="110">
        <v>34</v>
      </c>
      <c r="G238" s="110">
        <v>34</v>
      </c>
      <c r="H238" s="107"/>
      <c r="I238" s="115">
        <f t="shared" si="28"/>
        <v>34</v>
      </c>
      <c r="J238" s="116"/>
      <c r="K238" s="116"/>
      <c r="L238" s="117"/>
      <c r="M238" s="110">
        <v>34</v>
      </c>
      <c r="N238" s="107"/>
      <c r="O238" s="115">
        <f t="shared" si="29"/>
        <v>34</v>
      </c>
      <c r="IA238"/>
      <c r="IB238"/>
      <c r="IC238"/>
      <c r="ID238"/>
      <c r="IE238"/>
      <c r="IF238"/>
    </row>
    <row r="239" spans="1:240" s="1" customFormat="1" ht="22.5" customHeight="1">
      <c r="A239" s="92" t="s">
        <v>41</v>
      </c>
      <c r="B239" s="107"/>
      <c r="C239" s="107"/>
      <c r="D239" s="110">
        <v>12</v>
      </c>
      <c r="E239" s="107"/>
      <c r="F239" s="110">
        <v>12</v>
      </c>
      <c r="G239" s="110">
        <v>12</v>
      </c>
      <c r="H239" s="107"/>
      <c r="I239" s="115">
        <f t="shared" si="28"/>
        <v>12</v>
      </c>
      <c r="J239" s="116"/>
      <c r="K239" s="116"/>
      <c r="L239" s="117"/>
      <c r="M239" s="110">
        <v>12</v>
      </c>
      <c r="N239" s="107"/>
      <c r="O239" s="115">
        <f t="shared" si="29"/>
        <v>12</v>
      </c>
      <c r="IA239"/>
      <c r="IB239"/>
      <c r="IC239"/>
      <c r="ID239"/>
      <c r="IE239"/>
      <c r="IF239"/>
    </row>
    <row r="240" spans="1:240" s="1" customFormat="1" ht="22.5" customHeight="1">
      <c r="A240" s="92" t="s">
        <v>42</v>
      </c>
      <c r="B240" s="107"/>
      <c r="C240" s="107"/>
      <c r="D240" s="110">
        <v>30</v>
      </c>
      <c r="E240" s="107"/>
      <c r="F240" s="110">
        <v>30</v>
      </c>
      <c r="G240" s="110">
        <v>37</v>
      </c>
      <c r="H240" s="107"/>
      <c r="I240" s="115">
        <f t="shared" si="28"/>
        <v>37</v>
      </c>
      <c r="J240" s="116"/>
      <c r="K240" s="116"/>
      <c r="L240" s="117"/>
      <c r="M240" s="110">
        <v>37</v>
      </c>
      <c r="N240" s="107"/>
      <c r="O240" s="115">
        <f t="shared" si="29"/>
        <v>37</v>
      </c>
      <c r="IA240"/>
      <c r="IB240"/>
      <c r="IC240"/>
      <c r="ID240"/>
      <c r="IE240"/>
      <c r="IF240"/>
    </row>
    <row r="241" spans="1:240" s="1" customFormat="1" ht="22.5" customHeight="1">
      <c r="A241" s="92" t="s">
        <v>43</v>
      </c>
      <c r="B241" s="107"/>
      <c r="C241" s="107"/>
      <c r="D241" s="110">
        <v>1020</v>
      </c>
      <c r="E241" s="107"/>
      <c r="F241" s="110">
        <v>1020</v>
      </c>
      <c r="G241" s="110">
        <v>750</v>
      </c>
      <c r="H241" s="107"/>
      <c r="I241" s="115">
        <f t="shared" si="28"/>
        <v>750</v>
      </c>
      <c r="J241" s="116"/>
      <c r="K241" s="116"/>
      <c r="L241" s="117"/>
      <c r="M241" s="110">
        <v>750</v>
      </c>
      <c r="N241" s="107"/>
      <c r="O241" s="115">
        <f t="shared" si="29"/>
        <v>750</v>
      </c>
      <c r="IA241"/>
      <c r="IB241"/>
      <c r="IC241"/>
      <c r="ID241"/>
      <c r="IE241"/>
      <c r="IF241"/>
    </row>
    <row r="242" spans="1:240" s="1" customFormat="1" ht="12" customHeight="1">
      <c r="A242" s="92" t="s">
        <v>27</v>
      </c>
      <c r="B242" s="107"/>
      <c r="C242" s="107"/>
      <c r="D242" s="110">
        <v>347</v>
      </c>
      <c r="E242" s="107"/>
      <c r="F242" s="110">
        <v>347</v>
      </c>
      <c r="G242" s="110">
        <v>125</v>
      </c>
      <c r="H242" s="107"/>
      <c r="I242" s="115">
        <f t="shared" si="28"/>
        <v>125</v>
      </c>
      <c r="J242" s="116"/>
      <c r="K242" s="116"/>
      <c r="L242" s="117"/>
      <c r="M242" s="110">
        <v>125</v>
      </c>
      <c r="N242" s="107"/>
      <c r="O242" s="115">
        <f t="shared" si="29"/>
        <v>125</v>
      </c>
      <c r="IA242"/>
      <c r="IB242"/>
      <c r="IC242"/>
      <c r="ID242"/>
      <c r="IE242"/>
      <c r="IF242"/>
    </row>
    <row r="243" spans="1:240" s="1" customFormat="1" ht="22.5" customHeight="1">
      <c r="A243" s="92" t="s">
        <v>44</v>
      </c>
      <c r="B243" s="107"/>
      <c r="C243" s="107"/>
      <c r="D243" s="107"/>
      <c r="E243" s="107"/>
      <c r="F243" s="107"/>
      <c r="G243" s="107"/>
      <c r="H243" s="107"/>
      <c r="I243" s="115"/>
      <c r="J243" s="116"/>
      <c r="K243" s="116"/>
      <c r="L243" s="117"/>
      <c r="M243" s="107"/>
      <c r="N243" s="107"/>
      <c r="O243" s="115"/>
      <c r="IA243"/>
      <c r="IB243"/>
      <c r="IC243"/>
      <c r="ID243"/>
      <c r="IE243"/>
      <c r="IF243"/>
    </row>
    <row r="244" spans="1:240" s="1" customFormat="1" ht="22.5" customHeight="1">
      <c r="A244" s="92" t="s">
        <v>58</v>
      </c>
      <c r="B244" s="107"/>
      <c r="C244" s="107"/>
      <c r="D244" s="110"/>
      <c r="E244" s="107"/>
      <c r="F244" s="110"/>
      <c r="G244" s="110">
        <v>685.4</v>
      </c>
      <c r="H244" s="107"/>
      <c r="I244" s="115">
        <v>685.4</v>
      </c>
      <c r="J244" s="116"/>
      <c r="K244" s="116"/>
      <c r="L244" s="117"/>
      <c r="M244" s="110">
        <v>685.4</v>
      </c>
      <c r="N244" s="107"/>
      <c r="O244" s="115">
        <v>685.4</v>
      </c>
      <c r="IA244"/>
      <c r="IB244"/>
      <c r="IC244"/>
      <c r="ID244"/>
      <c r="IE244"/>
      <c r="IF244"/>
    </row>
    <row r="245" spans="1:240" s="1" customFormat="1" ht="22.5" customHeight="1">
      <c r="A245" s="92" t="s">
        <v>45</v>
      </c>
      <c r="B245" s="107"/>
      <c r="C245" s="107"/>
      <c r="D245" s="115"/>
      <c r="E245" s="107"/>
      <c r="F245" s="115"/>
      <c r="G245" s="115">
        <v>984.5</v>
      </c>
      <c r="H245" s="107"/>
      <c r="I245" s="115">
        <v>984.5</v>
      </c>
      <c r="J245" s="116"/>
      <c r="K245" s="116"/>
      <c r="L245" s="117"/>
      <c r="M245" s="115">
        <v>984.5</v>
      </c>
      <c r="N245" s="107"/>
      <c r="O245" s="115">
        <v>984.5</v>
      </c>
      <c r="IA245"/>
      <c r="IB245"/>
      <c r="IC245"/>
      <c r="ID245"/>
      <c r="IE245"/>
      <c r="IF245"/>
    </row>
    <row r="246" spans="1:240" s="1" customFormat="1" ht="12" customHeight="1">
      <c r="A246" s="91" t="s">
        <v>8</v>
      </c>
      <c r="B246" s="113"/>
      <c r="C246" s="113"/>
      <c r="D246" s="113"/>
      <c r="E246" s="113"/>
      <c r="F246" s="113"/>
      <c r="G246" s="113"/>
      <c r="H246" s="113"/>
      <c r="I246" s="115"/>
      <c r="J246" s="116"/>
      <c r="K246" s="116"/>
      <c r="L246" s="117"/>
      <c r="M246" s="113"/>
      <c r="N246" s="113"/>
      <c r="O246" s="115"/>
      <c r="IA246"/>
      <c r="IB246"/>
      <c r="IC246"/>
      <c r="ID246"/>
      <c r="IE246"/>
      <c r="IF246"/>
    </row>
    <row r="247" spans="1:240" s="1" customFormat="1" ht="14.25" customHeight="1">
      <c r="A247" s="92" t="s">
        <v>46</v>
      </c>
      <c r="B247" s="107"/>
      <c r="C247" s="107"/>
      <c r="D247" s="110">
        <v>629</v>
      </c>
      <c r="E247" s="107"/>
      <c r="F247" s="110">
        <v>629</v>
      </c>
      <c r="G247" s="110">
        <v>641.64</v>
      </c>
      <c r="H247" s="107"/>
      <c r="I247" s="115">
        <f>G247</f>
        <v>641.64</v>
      </c>
      <c r="J247" s="116"/>
      <c r="K247" s="116"/>
      <c r="L247" s="117"/>
      <c r="M247" s="110">
        <v>641.64</v>
      </c>
      <c r="N247" s="107"/>
      <c r="O247" s="115">
        <f>M247</f>
        <v>641.64</v>
      </c>
      <c r="IA247"/>
      <c r="IB247"/>
      <c r="IC247"/>
      <c r="ID247"/>
      <c r="IE247"/>
      <c r="IF247"/>
    </row>
    <row r="248" spans="1:240" s="1" customFormat="1" ht="15" customHeight="1">
      <c r="A248" s="92" t="s">
        <v>28</v>
      </c>
      <c r="B248" s="107"/>
      <c r="C248" s="107"/>
      <c r="D248" s="110">
        <v>580</v>
      </c>
      <c r="E248" s="107"/>
      <c r="F248" s="110">
        <v>580</v>
      </c>
      <c r="G248" s="110">
        <v>663.1</v>
      </c>
      <c r="H248" s="107"/>
      <c r="I248" s="115">
        <f>G248</f>
        <v>663.1</v>
      </c>
      <c r="J248" s="116"/>
      <c r="K248" s="116"/>
      <c r="L248" s="117"/>
      <c r="M248" s="110">
        <v>663.1</v>
      </c>
      <c r="N248" s="107"/>
      <c r="O248" s="115">
        <f>M248</f>
        <v>663.1</v>
      </c>
      <c r="IA248"/>
      <c r="IB248"/>
      <c r="IC248"/>
      <c r="ID248"/>
      <c r="IE248"/>
      <c r="IF248"/>
    </row>
    <row r="249" spans="1:240" s="1" customFormat="1" ht="22.5" customHeight="1">
      <c r="A249" s="92" t="s">
        <v>57</v>
      </c>
      <c r="B249" s="107"/>
      <c r="C249" s="107"/>
      <c r="D249" s="110"/>
      <c r="E249" s="107"/>
      <c r="F249" s="110"/>
      <c r="G249" s="110">
        <v>262.23</v>
      </c>
      <c r="H249" s="107"/>
      <c r="I249" s="115"/>
      <c r="J249" s="116"/>
      <c r="K249" s="116"/>
      <c r="L249" s="117"/>
      <c r="M249" s="110">
        <v>262.23</v>
      </c>
      <c r="N249" s="107"/>
      <c r="O249" s="115"/>
      <c r="IA249"/>
      <c r="IB249"/>
      <c r="IC249"/>
      <c r="ID249"/>
      <c r="IE249"/>
      <c r="IF249"/>
    </row>
    <row r="250" spans="1:240" s="1" customFormat="1" ht="22.5" customHeight="1">
      <c r="A250" s="92" t="s">
        <v>47</v>
      </c>
      <c r="B250" s="107"/>
      <c r="C250" s="107"/>
      <c r="D250" s="110">
        <v>778</v>
      </c>
      <c r="E250" s="107"/>
      <c r="F250" s="110">
        <v>778</v>
      </c>
      <c r="G250" s="110">
        <v>691.86</v>
      </c>
      <c r="H250" s="107"/>
      <c r="I250" s="115">
        <f>G250</f>
        <v>691.86</v>
      </c>
      <c r="J250" s="116"/>
      <c r="K250" s="116"/>
      <c r="L250" s="117"/>
      <c r="M250" s="110">
        <v>691.86</v>
      </c>
      <c r="N250" s="107"/>
      <c r="O250" s="115">
        <f>M250</f>
        <v>691.86</v>
      </c>
      <c r="IA250"/>
      <c r="IB250"/>
      <c r="IC250"/>
      <c r="ID250"/>
      <c r="IE250"/>
      <c r="IF250"/>
    </row>
    <row r="251" spans="1:240" s="1" customFormat="1" ht="22.5" customHeight="1">
      <c r="A251" s="92" t="s">
        <v>48</v>
      </c>
      <c r="B251" s="107"/>
      <c r="C251" s="107"/>
      <c r="D251" s="107"/>
      <c r="E251" s="107"/>
      <c r="F251" s="107"/>
      <c r="G251" s="107"/>
      <c r="H251" s="107"/>
      <c r="I251" s="115"/>
      <c r="J251" s="116"/>
      <c r="K251" s="116"/>
      <c r="L251" s="117"/>
      <c r="M251" s="107"/>
      <c r="N251" s="107"/>
      <c r="O251" s="115"/>
      <c r="IA251"/>
      <c r="IB251"/>
      <c r="IC251"/>
      <c r="ID251"/>
      <c r="IE251"/>
      <c r="IF251"/>
    </row>
    <row r="252" spans="1:240" s="1" customFormat="1" ht="22.5" customHeight="1">
      <c r="A252" s="92" t="s">
        <v>49</v>
      </c>
      <c r="B252" s="107"/>
      <c r="C252" s="107"/>
      <c r="D252" s="110">
        <v>23.66</v>
      </c>
      <c r="E252" s="107"/>
      <c r="F252" s="110">
        <v>23.66</v>
      </c>
      <c r="G252" s="110">
        <v>22.01</v>
      </c>
      <c r="H252" s="107"/>
      <c r="I252" s="115">
        <f>G252</f>
        <v>22.01</v>
      </c>
      <c r="J252" s="116"/>
      <c r="K252" s="116"/>
      <c r="L252" s="117"/>
      <c r="M252" s="110">
        <v>22.01</v>
      </c>
      <c r="N252" s="107"/>
      <c r="O252" s="115">
        <f>M252</f>
        <v>22.01</v>
      </c>
      <c r="IA252"/>
      <c r="IB252"/>
      <c r="IC252"/>
      <c r="ID252"/>
      <c r="IE252"/>
      <c r="IF252"/>
    </row>
    <row r="253" spans="1:240" s="1" customFormat="1" ht="22.5" customHeight="1">
      <c r="A253" s="92" t="s">
        <v>50</v>
      </c>
      <c r="B253" s="107"/>
      <c r="C253" s="107"/>
      <c r="D253" s="110">
        <v>329</v>
      </c>
      <c r="E253" s="107"/>
      <c r="F253" s="110">
        <v>329</v>
      </c>
      <c r="G253" s="110">
        <v>160.11</v>
      </c>
      <c r="H253" s="107"/>
      <c r="I253" s="115">
        <f>G253</f>
        <v>160.11</v>
      </c>
      <c r="J253" s="116"/>
      <c r="K253" s="116"/>
      <c r="L253" s="117"/>
      <c r="M253" s="110">
        <v>160.11</v>
      </c>
      <c r="N253" s="107"/>
      <c r="O253" s="115">
        <f>M253</f>
        <v>160.11</v>
      </c>
      <c r="IA253"/>
      <c r="IB253"/>
      <c r="IC253"/>
      <c r="ID253"/>
      <c r="IE253"/>
      <c r="IF253"/>
    </row>
    <row r="254" spans="1:240" s="1" customFormat="1" ht="38.25" customHeight="1">
      <c r="A254" s="92" t="s">
        <v>101</v>
      </c>
      <c r="B254" s="107"/>
      <c r="C254" s="107"/>
      <c r="D254" s="110">
        <v>50000</v>
      </c>
      <c r="E254" s="107"/>
      <c r="F254" s="110">
        <f>D254</f>
        <v>50000</v>
      </c>
      <c r="G254" s="110"/>
      <c r="H254" s="107"/>
      <c r="I254" s="115"/>
      <c r="J254" s="116"/>
      <c r="K254" s="116"/>
      <c r="L254" s="117"/>
      <c r="M254" s="110">
        <f>M211</f>
        <v>0</v>
      </c>
      <c r="N254" s="107"/>
      <c r="O254" s="115">
        <f>M254</f>
        <v>0</v>
      </c>
      <c r="IA254"/>
      <c r="IB254"/>
      <c r="IC254"/>
      <c r="ID254"/>
      <c r="IE254"/>
      <c r="IF254"/>
    </row>
    <row r="255" spans="1:240" s="1" customFormat="1" ht="12" customHeight="1">
      <c r="A255" s="91" t="s">
        <v>7</v>
      </c>
      <c r="B255" s="107"/>
      <c r="C255" s="107"/>
      <c r="D255" s="110"/>
      <c r="E255" s="107"/>
      <c r="F255" s="110"/>
      <c r="G255" s="110"/>
      <c r="H255" s="107"/>
      <c r="I255" s="115"/>
      <c r="J255" s="116"/>
      <c r="K255" s="116"/>
      <c r="L255" s="117"/>
      <c r="M255" s="110"/>
      <c r="N255" s="107"/>
      <c r="O255" s="115"/>
      <c r="IA255"/>
      <c r="IB255"/>
      <c r="IC255"/>
      <c r="ID255"/>
      <c r="IE255"/>
      <c r="IF255"/>
    </row>
    <row r="256" spans="1:240" s="1" customFormat="1" ht="27" customHeight="1">
      <c r="A256" s="92" t="s">
        <v>183</v>
      </c>
      <c r="B256" s="107"/>
      <c r="C256" s="107"/>
      <c r="D256" s="108">
        <f>D215/D208*100</f>
        <v>100</v>
      </c>
      <c r="E256" s="108"/>
      <c r="F256" s="108">
        <f aca="true" t="shared" si="30" ref="F256:O256">F215/F208*100</f>
        <v>100</v>
      </c>
      <c r="G256" s="108">
        <f t="shared" si="30"/>
        <v>100</v>
      </c>
      <c r="H256" s="108"/>
      <c r="I256" s="108">
        <f t="shared" si="30"/>
        <v>100</v>
      </c>
      <c r="J256" s="108" t="e">
        <f t="shared" si="30"/>
        <v>#DIV/0!</v>
      </c>
      <c r="K256" s="108" t="e">
        <f t="shared" si="30"/>
        <v>#DIV/0!</v>
      </c>
      <c r="L256" s="108" t="e">
        <f t="shared" si="30"/>
        <v>#DIV/0!</v>
      </c>
      <c r="M256" s="108">
        <f t="shared" si="30"/>
        <v>100</v>
      </c>
      <c r="N256" s="108"/>
      <c r="O256" s="108">
        <f t="shared" si="30"/>
        <v>100</v>
      </c>
      <c r="IA256"/>
      <c r="IB256"/>
      <c r="IC256"/>
      <c r="ID256"/>
      <c r="IE256"/>
      <c r="IF256"/>
    </row>
    <row r="257" spans="1:240" s="1" customFormat="1" ht="29.25" customHeight="1">
      <c r="A257" s="92" t="s">
        <v>182</v>
      </c>
      <c r="B257" s="107"/>
      <c r="C257" s="107"/>
      <c r="D257" s="110"/>
      <c r="E257" s="107"/>
      <c r="F257" s="110"/>
      <c r="G257" s="108">
        <f>G223/D223*100</f>
        <v>103.26315789473684</v>
      </c>
      <c r="H257" s="108"/>
      <c r="I257" s="108">
        <f>I223/F223*100</f>
        <v>103.26315789473684</v>
      </c>
      <c r="J257" s="118"/>
      <c r="K257" s="118"/>
      <c r="L257" s="118"/>
      <c r="M257" s="108">
        <f>M223/G223*100</f>
        <v>104.90995582738702</v>
      </c>
      <c r="N257" s="108"/>
      <c r="O257" s="108">
        <f>O223/I223*100</f>
        <v>104.90995582738702</v>
      </c>
      <c r="IA257"/>
      <c r="IB257"/>
      <c r="IC257"/>
      <c r="ID257"/>
      <c r="IE257"/>
      <c r="IF257"/>
    </row>
    <row r="258" spans="1:240" s="1" customFormat="1" ht="38.25" customHeight="1">
      <c r="A258" s="92" t="s">
        <v>184</v>
      </c>
      <c r="B258" s="107"/>
      <c r="C258" s="107"/>
      <c r="D258" s="110"/>
      <c r="E258" s="107"/>
      <c r="F258" s="110"/>
      <c r="G258" s="108">
        <f>G224/D224*100</f>
        <v>121.42857142857142</v>
      </c>
      <c r="H258" s="107"/>
      <c r="I258" s="108">
        <f>I224/F224*100</f>
        <v>121.42857142857142</v>
      </c>
      <c r="J258" s="116"/>
      <c r="K258" s="116"/>
      <c r="L258" s="117"/>
      <c r="M258" s="108">
        <f>M224/G224*100</f>
        <v>117.64705882352942</v>
      </c>
      <c r="N258" s="107"/>
      <c r="O258" s="108">
        <f>O224/I224*100</f>
        <v>117.64705882352942</v>
      </c>
      <c r="IA258"/>
      <c r="IB258"/>
      <c r="IC258"/>
      <c r="ID258"/>
      <c r="IE258"/>
      <c r="IF258"/>
    </row>
    <row r="259" spans="1:240" s="194" customFormat="1" ht="22.5">
      <c r="A259" s="182" t="s">
        <v>368</v>
      </c>
      <c r="B259" s="191"/>
      <c r="C259" s="191"/>
      <c r="D259" s="193">
        <f>(D261*D265)+(D262*D266)+(D263*D267)-110.1</f>
        <v>1035000</v>
      </c>
      <c r="E259" s="193"/>
      <c r="F259" s="193">
        <f aca="true" t="shared" si="31" ref="F259:L259">(F261*F265)+(F262*F266)+(F263*F267)-110.1</f>
        <v>1035000</v>
      </c>
      <c r="G259" s="193">
        <f>(G261*G265)+(G262*G266)+(G263*G267)-27.3+25000</f>
        <v>1140000</v>
      </c>
      <c r="H259" s="193"/>
      <c r="I259" s="193">
        <f>G259</f>
        <v>1140000</v>
      </c>
      <c r="J259" s="193">
        <f t="shared" si="31"/>
        <v>-110.1</v>
      </c>
      <c r="K259" s="193">
        <f t="shared" si="31"/>
        <v>-110.1</v>
      </c>
      <c r="L259" s="193">
        <f t="shared" si="31"/>
        <v>-110.1</v>
      </c>
      <c r="M259" s="193">
        <f>(M261*M265)+(M262*M266)+(M263*M267)+34.9</f>
        <v>1340000</v>
      </c>
      <c r="N259" s="193"/>
      <c r="O259" s="193">
        <f>M259</f>
        <v>1340000</v>
      </c>
      <c r="IA259" s="195"/>
      <c r="IB259" s="195"/>
      <c r="IC259" s="195"/>
      <c r="ID259" s="195"/>
      <c r="IE259" s="195"/>
      <c r="IF259" s="195"/>
    </row>
    <row r="260" spans="1:240" s="1" customFormat="1" ht="11.25">
      <c r="A260" s="91" t="s">
        <v>6</v>
      </c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IA260"/>
      <c r="IB260"/>
      <c r="IC260"/>
      <c r="ID260"/>
      <c r="IE260"/>
      <c r="IF260"/>
    </row>
    <row r="261" spans="1:240" s="1" customFormat="1" ht="22.5" customHeight="1">
      <c r="A261" s="92" t="s">
        <v>160</v>
      </c>
      <c r="B261" s="107"/>
      <c r="C261" s="107"/>
      <c r="D261" s="108">
        <v>167170</v>
      </c>
      <c r="E261" s="108"/>
      <c r="F261" s="108">
        <f>D261</f>
        <v>167170</v>
      </c>
      <c r="G261" s="108">
        <f>F261</f>
        <v>167170</v>
      </c>
      <c r="H261" s="108"/>
      <c r="I261" s="108">
        <f>G261</f>
        <v>167170</v>
      </c>
      <c r="J261" s="118"/>
      <c r="K261" s="118"/>
      <c r="L261" s="118"/>
      <c r="M261" s="108">
        <f>G261</f>
        <v>167170</v>
      </c>
      <c r="N261" s="108"/>
      <c r="O261" s="108">
        <f>M261</f>
        <v>167170</v>
      </c>
      <c r="IA261"/>
      <c r="IB261"/>
      <c r="IC261"/>
      <c r="ID261"/>
      <c r="IE261"/>
      <c r="IF261"/>
    </row>
    <row r="262" spans="1:240" s="1" customFormat="1" ht="14.25" customHeight="1">
      <c r="A262" s="92" t="s">
        <v>186</v>
      </c>
      <c r="B262" s="107"/>
      <c r="C262" s="107"/>
      <c r="D262" s="108">
        <v>160</v>
      </c>
      <c r="E262" s="108"/>
      <c r="F262" s="108">
        <f>D262</f>
        <v>160</v>
      </c>
      <c r="G262" s="108"/>
      <c r="H262" s="108"/>
      <c r="I262" s="108"/>
      <c r="J262" s="118"/>
      <c r="K262" s="118"/>
      <c r="L262" s="118"/>
      <c r="M262" s="108"/>
      <c r="N262" s="108"/>
      <c r="O262" s="108"/>
      <c r="IA262"/>
      <c r="IB262"/>
      <c r="IC262"/>
      <c r="ID262"/>
      <c r="IE262"/>
      <c r="IF262"/>
    </row>
    <row r="263" spans="1:240" s="1" customFormat="1" ht="33" customHeight="1">
      <c r="A263" s="92" t="s">
        <v>188</v>
      </c>
      <c r="B263" s="107"/>
      <c r="C263" s="107"/>
      <c r="D263" s="108">
        <v>4600</v>
      </c>
      <c r="E263" s="108"/>
      <c r="F263" s="108">
        <f>D263</f>
        <v>4600</v>
      </c>
      <c r="G263" s="108">
        <v>4995</v>
      </c>
      <c r="H263" s="108"/>
      <c r="I263" s="108">
        <f>G263</f>
        <v>4995</v>
      </c>
      <c r="J263" s="118"/>
      <c r="K263" s="118"/>
      <c r="L263" s="118"/>
      <c r="M263" s="108">
        <v>5425</v>
      </c>
      <c r="N263" s="108"/>
      <c r="O263" s="108">
        <f>M263</f>
        <v>5425</v>
      </c>
      <c r="IA263"/>
      <c r="IB263"/>
      <c r="IC263"/>
      <c r="ID263"/>
      <c r="IE263"/>
      <c r="IF263"/>
    </row>
    <row r="264" spans="1:240" s="1" customFormat="1" ht="12">
      <c r="A264" s="91" t="s">
        <v>8</v>
      </c>
      <c r="B264" s="113"/>
      <c r="C264" s="113"/>
      <c r="D264" s="113"/>
      <c r="E264" s="113"/>
      <c r="F264" s="110"/>
      <c r="G264" s="113"/>
      <c r="H264" s="113"/>
      <c r="I264" s="115"/>
      <c r="J264" s="116"/>
      <c r="K264" s="116"/>
      <c r="L264" s="117"/>
      <c r="M264" s="113"/>
      <c r="N264" s="113"/>
      <c r="O264" s="115"/>
      <c r="IA264"/>
      <c r="IB264"/>
      <c r="IC264"/>
      <c r="ID264"/>
      <c r="IE264"/>
      <c r="IF264"/>
    </row>
    <row r="265" spans="1:240" s="1" customFormat="1" ht="23.25" customHeight="1">
      <c r="A265" s="92" t="s">
        <v>166</v>
      </c>
      <c r="B265" s="107"/>
      <c r="C265" s="107"/>
      <c r="D265" s="110">
        <v>3.53</v>
      </c>
      <c r="E265" s="107"/>
      <c r="F265" s="110">
        <f>D265</f>
        <v>3.53</v>
      </c>
      <c r="G265" s="110">
        <v>4.19</v>
      </c>
      <c r="H265" s="107"/>
      <c r="I265" s="115">
        <f>G265</f>
        <v>4.19</v>
      </c>
      <c r="J265" s="116"/>
      <c r="K265" s="116"/>
      <c r="L265" s="117"/>
      <c r="M265" s="110">
        <v>5.03</v>
      </c>
      <c r="N265" s="107"/>
      <c r="O265" s="115">
        <f>M265</f>
        <v>5.03</v>
      </c>
      <c r="IA265"/>
      <c r="IB265"/>
      <c r="IC265"/>
      <c r="ID265"/>
      <c r="IE265"/>
      <c r="IF265"/>
    </row>
    <row r="266" spans="1:240" s="1" customFormat="1" ht="12">
      <c r="A266" s="92" t="s">
        <v>187</v>
      </c>
      <c r="B266" s="107"/>
      <c r="C266" s="107"/>
      <c r="D266" s="110">
        <v>625</v>
      </c>
      <c r="E266" s="107"/>
      <c r="F266" s="110">
        <f>D266</f>
        <v>625</v>
      </c>
      <c r="G266" s="110"/>
      <c r="H266" s="107"/>
      <c r="I266" s="115"/>
      <c r="J266" s="116"/>
      <c r="K266" s="116"/>
      <c r="L266" s="117"/>
      <c r="M266" s="110"/>
      <c r="N266" s="107"/>
      <c r="O266" s="115"/>
      <c r="IA266"/>
      <c r="IB266"/>
      <c r="IC266"/>
      <c r="ID266"/>
      <c r="IE266"/>
      <c r="IF266"/>
    </row>
    <row r="267" spans="1:240" s="1" customFormat="1" ht="36" customHeight="1">
      <c r="A267" s="92" t="s">
        <v>190</v>
      </c>
      <c r="B267" s="107"/>
      <c r="C267" s="107"/>
      <c r="D267" s="110">
        <v>75</v>
      </c>
      <c r="E267" s="110"/>
      <c r="F267" s="110">
        <f>D267</f>
        <v>75</v>
      </c>
      <c r="G267" s="110">
        <v>83</v>
      </c>
      <c r="H267" s="110"/>
      <c r="I267" s="110">
        <f>G267</f>
        <v>83</v>
      </c>
      <c r="J267" s="119"/>
      <c r="K267" s="119"/>
      <c r="L267" s="119"/>
      <c r="M267" s="110">
        <v>92</v>
      </c>
      <c r="N267" s="110"/>
      <c r="O267" s="110">
        <f>M267</f>
        <v>92</v>
      </c>
      <c r="IA267"/>
      <c r="IB267"/>
      <c r="IC267"/>
      <c r="ID267"/>
      <c r="IE267"/>
      <c r="IF267"/>
    </row>
    <row r="268" spans="1:240" s="1" customFormat="1" ht="12">
      <c r="A268" s="91" t="s">
        <v>7</v>
      </c>
      <c r="B268" s="107"/>
      <c r="C268" s="107"/>
      <c r="D268" s="110"/>
      <c r="E268" s="107"/>
      <c r="F268" s="110"/>
      <c r="G268" s="110"/>
      <c r="H268" s="107"/>
      <c r="I268" s="115"/>
      <c r="J268" s="116"/>
      <c r="K268" s="116"/>
      <c r="L268" s="117"/>
      <c r="M268" s="110"/>
      <c r="N268" s="107"/>
      <c r="O268" s="115"/>
      <c r="IA268"/>
      <c r="IB268"/>
      <c r="IC268"/>
      <c r="ID268"/>
      <c r="IE268"/>
      <c r="IF268"/>
    </row>
    <row r="269" spans="1:240" s="1" customFormat="1" ht="36" customHeight="1">
      <c r="A269" s="92" t="s">
        <v>189</v>
      </c>
      <c r="B269" s="107"/>
      <c r="C269" s="107"/>
      <c r="D269" s="110"/>
      <c r="E269" s="107"/>
      <c r="F269" s="110"/>
      <c r="G269" s="108">
        <f>G265/D265*100</f>
        <v>118.69688385269124</v>
      </c>
      <c r="H269" s="108"/>
      <c r="I269" s="108">
        <f>G269</f>
        <v>118.69688385269124</v>
      </c>
      <c r="J269" s="118"/>
      <c r="K269" s="118"/>
      <c r="L269" s="118"/>
      <c r="M269" s="108">
        <f>M265/G265*100</f>
        <v>120.04773269689737</v>
      </c>
      <c r="N269" s="108"/>
      <c r="O269" s="108">
        <f>M269</f>
        <v>120.04773269689737</v>
      </c>
      <c r="IA269"/>
      <c r="IB269"/>
      <c r="IC269"/>
      <c r="ID269"/>
      <c r="IE269"/>
      <c r="IF269"/>
    </row>
    <row r="270" spans="1:240" s="1" customFormat="1" ht="51" customHeight="1">
      <c r="A270" s="92" t="s">
        <v>191</v>
      </c>
      <c r="B270" s="107"/>
      <c r="C270" s="107"/>
      <c r="D270" s="110"/>
      <c r="E270" s="107"/>
      <c r="F270" s="110"/>
      <c r="G270" s="108">
        <f>G267/D267*100</f>
        <v>110.66666666666667</v>
      </c>
      <c r="H270" s="107"/>
      <c r="I270" s="122">
        <f>G270</f>
        <v>110.66666666666667</v>
      </c>
      <c r="J270" s="116"/>
      <c r="K270" s="116"/>
      <c r="L270" s="117"/>
      <c r="M270" s="108">
        <f>M267/G267*100</f>
        <v>110.8433734939759</v>
      </c>
      <c r="N270" s="108"/>
      <c r="O270" s="108">
        <f>M270</f>
        <v>110.8433734939759</v>
      </c>
      <c r="IA270"/>
      <c r="IB270"/>
      <c r="IC270"/>
      <c r="ID270"/>
      <c r="IE270"/>
      <c r="IF270"/>
    </row>
    <row r="271" spans="1:240" s="194" customFormat="1" ht="22.5">
      <c r="A271" s="182" t="s">
        <v>369</v>
      </c>
      <c r="B271" s="191"/>
      <c r="C271" s="191"/>
      <c r="D271" s="193">
        <f>(D275*D282)+(D276*D283)+(D277*D286)-2</f>
        <v>2306500</v>
      </c>
      <c r="E271" s="193"/>
      <c r="F271" s="193">
        <f>D271</f>
        <v>2306500</v>
      </c>
      <c r="G271" s="193">
        <f>(G275*G282)+(G276*G283)+2+363000</f>
        <v>3629000</v>
      </c>
      <c r="H271" s="193"/>
      <c r="I271" s="193">
        <f>G271</f>
        <v>3629000</v>
      </c>
      <c r="J271" s="193">
        <f>(J275*J282)+(J276*J283)</f>
        <v>0</v>
      </c>
      <c r="K271" s="193">
        <f>(K275*K282)+(K276*K283)</f>
        <v>0</v>
      </c>
      <c r="L271" s="193">
        <f>(L275*L282)+(L276*L283)</f>
        <v>0</v>
      </c>
      <c r="M271" s="193">
        <f>(M275*M282)+(M276*M283)</f>
        <v>3922500</v>
      </c>
      <c r="N271" s="193"/>
      <c r="O271" s="193">
        <f>(O275*O282)+(O276*O283)</f>
        <v>3922500</v>
      </c>
      <c r="IA271" s="195"/>
      <c r="IB271" s="195"/>
      <c r="IC271" s="195"/>
      <c r="ID271" s="195"/>
      <c r="IE271" s="195"/>
      <c r="IF271" s="195"/>
    </row>
    <row r="272" spans="1:240" s="1" customFormat="1" ht="22.5" customHeight="1" hidden="1">
      <c r="A272" s="33" t="s">
        <v>66</v>
      </c>
      <c r="B272" s="17"/>
      <c r="C272" s="17"/>
      <c r="D272" s="17">
        <f aca="true" t="shared" si="32" ref="D272:I272">D274*D281+D275*D282+D276*D283</f>
        <v>2238832</v>
      </c>
      <c r="E272" s="17">
        <f t="shared" si="32"/>
        <v>0</v>
      </c>
      <c r="F272" s="17">
        <f t="shared" si="32"/>
        <v>2238832</v>
      </c>
      <c r="G272" s="17">
        <f t="shared" si="32"/>
        <v>3301561</v>
      </c>
      <c r="H272" s="17">
        <f t="shared" si="32"/>
        <v>0</v>
      </c>
      <c r="I272" s="17">
        <f t="shared" si="32"/>
        <v>3301561</v>
      </c>
      <c r="J272" s="21"/>
      <c r="K272" s="21"/>
      <c r="L272" s="22"/>
      <c r="M272" s="17">
        <f>M274*M281+M275*M282+M276*M283</f>
        <v>3958063</v>
      </c>
      <c r="N272" s="17">
        <f>N274*N281+N275*N282+N276*N283</f>
        <v>0</v>
      </c>
      <c r="O272" s="17">
        <f>O274*O281+O275*O282+O276*O283</f>
        <v>3958063</v>
      </c>
      <c r="IA272"/>
      <c r="IB272"/>
      <c r="IC272"/>
      <c r="ID272"/>
      <c r="IE272"/>
      <c r="IF272"/>
    </row>
    <row r="273" spans="1:240" s="1" customFormat="1" ht="12" customHeight="1">
      <c r="A273" s="91" t="s">
        <v>6</v>
      </c>
      <c r="B273" s="113"/>
      <c r="C273" s="113"/>
      <c r="D273" s="113"/>
      <c r="E273" s="113"/>
      <c r="F273" s="110"/>
      <c r="G273" s="113"/>
      <c r="H273" s="113"/>
      <c r="I273" s="115"/>
      <c r="J273" s="116"/>
      <c r="K273" s="116"/>
      <c r="L273" s="117"/>
      <c r="M273" s="113"/>
      <c r="N273" s="113"/>
      <c r="O273" s="115"/>
      <c r="IA273"/>
      <c r="IB273"/>
      <c r="IC273"/>
      <c r="ID273"/>
      <c r="IE273"/>
      <c r="IF273"/>
    </row>
    <row r="274" spans="1:240" s="1" customFormat="1" ht="13.5" customHeight="1" hidden="1">
      <c r="A274" s="92" t="s">
        <v>51</v>
      </c>
      <c r="B274" s="107"/>
      <c r="C274" s="107"/>
      <c r="D274" s="110">
        <v>1220</v>
      </c>
      <c r="E274" s="107"/>
      <c r="F274" s="110">
        <f aca="true" t="shared" si="33" ref="F274:F283">D274</f>
        <v>1220</v>
      </c>
      <c r="G274" s="110">
        <v>1220</v>
      </c>
      <c r="H274" s="107"/>
      <c r="I274" s="115">
        <f aca="true" t="shared" si="34" ref="I274:I285">G274</f>
        <v>1220</v>
      </c>
      <c r="J274" s="116"/>
      <c r="K274" s="116"/>
      <c r="L274" s="117"/>
      <c r="M274" s="110">
        <v>1220</v>
      </c>
      <c r="N274" s="107"/>
      <c r="O274" s="115">
        <f aca="true" t="shared" si="35" ref="O274:O285">M274</f>
        <v>1220</v>
      </c>
      <c r="IA274"/>
      <c r="IB274"/>
      <c r="IC274"/>
      <c r="ID274"/>
      <c r="IE274"/>
      <c r="IF274"/>
    </row>
    <row r="275" spans="1:240" s="1" customFormat="1" ht="22.5">
      <c r="A275" s="92" t="s">
        <v>192</v>
      </c>
      <c r="B275" s="107"/>
      <c r="C275" s="107"/>
      <c r="D275" s="108">
        <v>4</v>
      </c>
      <c r="E275" s="108"/>
      <c r="F275" s="108">
        <f t="shared" si="33"/>
        <v>4</v>
      </c>
      <c r="G275" s="108">
        <v>6</v>
      </c>
      <c r="H275" s="108"/>
      <c r="I275" s="108">
        <f t="shared" si="34"/>
        <v>6</v>
      </c>
      <c r="J275" s="118"/>
      <c r="K275" s="118"/>
      <c r="L275" s="118"/>
      <c r="M275" s="108">
        <f>G275</f>
        <v>6</v>
      </c>
      <c r="N275" s="108"/>
      <c r="O275" s="108">
        <f t="shared" si="35"/>
        <v>6</v>
      </c>
      <c r="IA275"/>
      <c r="IB275"/>
      <c r="IC275"/>
      <c r="ID275"/>
      <c r="IE275"/>
      <c r="IF275"/>
    </row>
    <row r="276" spans="1:240" s="1" customFormat="1" ht="22.5" customHeight="1">
      <c r="A276" s="92" t="s">
        <v>193</v>
      </c>
      <c r="B276" s="107"/>
      <c r="C276" s="107"/>
      <c r="D276" s="108">
        <v>6</v>
      </c>
      <c r="E276" s="108"/>
      <c r="F276" s="108">
        <f t="shared" si="33"/>
        <v>6</v>
      </c>
      <c r="G276" s="108">
        <f>D276</f>
        <v>6</v>
      </c>
      <c r="H276" s="108"/>
      <c r="I276" s="108">
        <f t="shared" si="34"/>
        <v>6</v>
      </c>
      <c r="J276" s="118"/>
      <c r="K276" s="118"/>
      <c r="L276" s="118"/>
      <c r="M276" s="108">
        <f>G276</f>
        <v>6</v>
      </c>
      <c r="N276" s="108"/>
      <c r="O276" s="108">
        <f t="shared" si="35"/>
        <v>6</v>
      </c>
      <c r="IA276"/>
      <c r="IB276"/>
      <c r="IC276"/>
      <c r="ID276"/>
      <c r="IE276"/>
      <c r="IF276"/>
    </row>
    <row r="277" spans="1:240" s="1" customFormat="1" ht="22.5" customHeight="1">
      <c r="A277" s="32" t="s">
        <v>299</v>
      </c>
      <c r="B277" s="8"/>
      <c r="C277" s="8"/>
      <c r="D277" s="10">
        <v>100</v>
      </c>
      <c r="E277" s="10"/>
      <c r="F277" s="10">
        <f t="shared" si="33"/>
        <v>100</v>
      </c>
      <c r="G277" s="108">
        <v>200</v>
      </c>
      <c r="H277" s="108"/>
      <c r="I277" s="108">
        <v>200</v>
      </c>
      <c r="J277" s="118"/>
      <c r="K277" s="118"/>
      <c r="L277" s="118"/>
      <c r="M277" s="108"/>
      <c r="N277" s="108"/>
      <c r="O277" s="108"/>
      <c r="IA277"/>
      <c r="IB277"/>
      <c r="IC277"/>
      <c r="ID277"/>
      <c r="IE277"/>
      <c r="IF277"/>
    </row>
    <row r="278" spans="1:240" s="1" customFormat="1" ht="24.75" customHeight="1">
      <c r="A278" s="32" t="s">
        <v>327</v>
      </c>
      <c r="B278" s="8"/>
      <c r="C278" s="8"/>
      <c r="D278" s="10"/>
      <c r="E278" s="10"/>
      <c r="F278" s="10"/>
      <c r="G278" s="108">
        <v>500</v>
      </c>
      <c r="H278" s="108"/>
      <c r="I278" s="108">
        <v>500</v>
      </c>
      <c r="J278" s="118"/>
      <c r="K278" s="118"/>
      <c r="L278" s="118"/>
      <c r="M278" s="108"/>
      <c r="N278" s="108"/>
      <c r="O278" s="108"/>
      <c r="IA278"/>
      <c r="IB278"/>
      <c r="IC278"/>
      <c r="ID278"/>
      <c r="IE278"/>
      <c r="IF278"/>
    </row>
    <row r="279" spans="1:240" s="1" customFormat="1" ht="22.5" customHeight="1" hidden="1">
      <c r="A279" s="32" t="s">
        <v>327</v>
      </c>
      <c r="B279" s="8"/>
      <c r="C279" s="8"/>
      <c r="D279" s="10"/>
      <c r="E279" s="10"/>
      <c r="F279" s="10"/>
      <c r="G279" s="108">
        <v>500</v>
      </c>
      <c r="H279" s="108"/>
      <c r="I279" s="108">
        <v>500</v>
      </c>
      <c r="J279" s="118"/>
      <c r="K279" s="118"/>
      <c r="L279" s="118"/>
      <c r="M279" s="108"/>
      <c r="N279" s="108"/>
      <c r="O279" s="108"/>
      <c r="IA279"/>
      <c r="IB279"/>
      <c r="IC279"/>
      <c r="ID279"/>
      <c r="IE279"/>
      <c r="IF279"/>
    </row>
    <row r="280" spans="1:240" s="1" customFormat="1" ht="12" customHeight="1">
      <c r="A280" s="91" t="s">
        <v>8</v>
      </c>
      <c r="B280" s="113"/>
      <c r="C280" s="113"/>
      <c r="D280" s="113"/>
      <c r="E280" s="113"/>
      <c r="F280" s="110"/>
      <c r="G280" s="113"/>
      <c r="H280" s="113"/>
      <c r="I280" s="115"/>
      <c r="J280" s="116"/>
      <c r="K280" s="116"/>
      <c r="L280" s="117"/>
      <c r="M280" s="113"/>
      <c r="N280" s="113"/>
      <c r="O280" s="115"/>
      <c r="IA280"/>
      <c r="IB280"/>
      <c r="IC280"/>
      <c r="ID280"/>
      <c r="IE280"/>
      <c r="IF280"/>
    </row>
    <row r="281" spans="1:240" s="1" customFormat="1" ht="22.5" customHeight="1" hidden="1">
      <c r="A281" s="92" t="s">
        <v>73</v>
      </c>
      <c r="B281" s="107"/>
      <c r="C281" s="107"/>
      <c r="D281" s="110">
        <v>26.5</v>
      </c>
      <c r="E281" s="107"/>
      <c r="F281" s="110">
        <f t="shared" si="33"/>
        <v>26.5</v>
      </c>
      <c r="G281" s="110">
        <v>29.15</v>
      </c>
      <c r="H281" s="107"/>
      <c r="I281" s="115">
        <f t="shared" si="34"/>
        <v>29.15</v>
      </c>
      <c r="J281" s="116"/>
      <c r="K281" s="116"/>
      <c r="L281" s="117"/>
      <c r="M281" s="110">
        <v>29.15</v>
      </c>
      <c r="N281" s="107"/>
      <c r="O281" s="115">
        <f t="shared" si="35"/>
        <v>29.15</v>
      </c>
      <c r="IA281"/>
      <c r="IB281"/>
      <c r="IC281"/>
      <c r="ID281"/>
      <c r="IE281"/>
      <c r="IF281"/>
    </row>
    <row r="282" spans="1:240" s="1" customFormat="1" ht="22.5" customHeight="1">
      <c r="A282" s="92" t="s">
        <v>194</v>
      </c>
      <c r="B282" s="107"/>
      <c r="C282" s="107"/>
      <c r="D282" s="110">
        <v>256250</v>
      </c>
      <c r="E282" s="107"/>
      <c r="F282" s="110">
        <f>D282</f>
        <v>256250</v>
      </c>
      <c r="G282" s="110">
        <v>307500</v>
      </c>
      <c r="H282" s="107"/>
      <c r="I282" s="115">
        <f t="shared" si="34"/>
        <v>307500</v>
      </c>
      <c r="J282" s="116"/>
      <c r="K282" s="116"/>
      <c r="L282" s="117"/>
      <c r="M282" s="110">
        <v>368750</v>
      </c>
      <c r="N282" s="107"/>
      <c r="O282" s="115">
        <f t="shared" si="35"/>
        <v>368750</v>
      </c>
      <c r="IA282"/>
      <c r="IB282"/>
      <c r="IC282"/>
      <c r="ID282"/>
      <c r="IE282"/>
      <c r="IF282"/>
    </row>
    <row r="283" spans="1:240" s="1" customFormat="1" ht="22.5" customHeight="1">
      <c r="A283" s="92" t="s">
        <v>195</v>
      </c>
      <c r="B283" s="107"/>
      <c r="C283" s="107"/>
      <c r="D283" s="110">
        <v>196917</v>
      </c>
      <c r="E283" s="107"/>
      <c r="F283" s="110">
        <f t="shared" si="33"/>
        <v>196917</v>
      </c>
      <c r="G283" s="110">
        <v>236833</v>
      </c>
      <c r="H283" s="107"/>
      <c r="I283" s="115">
        <f t="shared" si="34"/>
        <v>236833</v>
      </c>
      <c r="J283" s="116"/>
      <c r="K283" s="116"/>
      <c r="L283" s="117"/>
      <c r="M283" s="110">
        <v>285000</v>
      </c>
      <c r="N283" s="107"/>
      <c r="O283" s="115">
        <f t="shared" si="35"/>
        <v>285000</v>
      </c>
      <c r="IA283"/>
      <c r="IB283"/>
      <c r="IC283"/>
      <c r="ID283"/>
      <c r="IE283"/>
      <c r="IF283"/>
    </row>
    <row r="284" spans="1:240" s="1" customFormat="1" ht="12" customHeight="1" hidden="1">
      <c r="A284" s="91" t="s">
        <v>7</v>
      </c>
      <c r="B284" s="113"/>
      <c r="C284" s="113"/>
      <c r="D284" s="113"/>
      <c r="E284" s="113"/>
      <c r="F284" s="113"/>
      <c r="G284" s="113"/>
      <c r="H284" s="113"/>
      <c r="I284" s="115">
        <f t="shared" si="34"/>
        <v>0</v>
      </c>
      <c r="J284" s="116"/>
      <c r="K284" s="116"/>
      <c r="L284" s="117"/>
      <c r="M284" s="113"/>
      <c r="N284" s="113"/>
      <c r="O284" s="115">
        <f t="shared" si="35"/>
        <v>0</v>
      </c>
      <c r="IA284"/>
      <c r="IB284"/>
      <c r="IC284"/>
      <c r="ID284"/>
      <c r="IE284"/>
      <c r="IF284"/>
    </row>
    <row r="285" spans="1:240" s="1" customFormat="1" ht="33.75" customHeight="1" hidden="1">
      <c r="A285" s="92" t="s">
        <v>52</v>
      </c>
      <c r="B285" s="107"/>
      <c r="C285" s="107"/>
      <c r="D285" s="107"/>
      <c r="E285" s="107"/>
      <c r="F285" s="107"/>
      <c r="G285" s="107"/>
      <c r="H285" s="107"/>
      <c r="I285" s="115">
        <f t="shared" si="34"/>
        <v>0</v>
      </c>
      <c r="J285" s="116"/>
      <c r="K285" s="116"/>
      <c r="L285" s="117"/>
      <c r="M285" s="107"/>
      <c r="N285" s="107"/>
      <c r="O285" s="115">
        <f t="shared" si="35"/>
        <v>0</v>
      </c>
      <c r="IA285"/>
      <c r="IB285"/>
      <c r="IC285"/>
      <c r="ID285"/>
      <c r="IE285"/>
      <c r="IF285"/>
    </row>
    <row r="286" spans="1:240" s="1" customFormat="1" ht="32.25" customHeight="1">
      <c r="A286" s="32" t="s">
        <v>370</v>
      </c>
      <c r="B286" s="8"/>
      <c r="C286" s="8"/>
      <c r="D286" s="7">
        <v>1000</v>
      </c>
      <c r="E286" s="8"/>
      <c r="F286" s="7">
        <f>D286</f>
        <v>1000</v>
      </c>
      <c r="G286" s="107">
        <v>1000</v>
      </c>
      <c r="H286" s="107"/>
      <c r="I286" s="115">
        <f>G286</f>
        <v>1000</v>
      </c>
      <c r="J286" s="116"/>
      <c r="K286" s="116"/>
      <c r="L286" s="117"/>
      <c r="M286" s="107"/>
      <c r="N286" s="107"/>
      <c r="O286" s="115"/>
      <c r="IA286"/>
      <c r="IB286"/>
      <c r="IC286"/>
      <c r="ID286"/>
      <c r="IE286"/>
      <c r="IF286"/>
    </row>
    <row r="287" spans="1:240" s="1" customFormat="1" ht="33.75">
      <c r="A287" s="32" t="s">
        <v>328</v>
      </c>
      <c r="B287" s="8"/>
      <c r="C287" s="8"/>
      <c r="D287" s="7">
        <v>1000</v>
      </c>
      <c r="E287" s="8"/>
      <c r="F287" s="7">
        <f>D287</f>
        <v>1000</v>
      </c>
      <c r="G287" s="107">
        <v>300</v>
      </c>
      <c r="H287" s="107"/>
      <c r="I287" s="115">
        <f>G287</f>
        <v>300</v>
      </c>
      <c r="J287" s="116"/>
      <c r="K287" s="116"/>
      <c r="L287" s="117"/>
      <c r="M287" s="107"/>
      <c r="N287" s="107"/>
      <c r="O287" s="115"/>
      <c r="IA287"/>
      <c r="IB287"/>
      <c r="IC287"/>
      <c r="ID287"/>
      <c r="IE287"/>
      <c r="IF287"/>
    </row>
    <row r="288" spans="1:240" s="1" customFormat="1" ht="12">
      <c r="A288" s="91" t="s">
        <v>7</v>
      </c>
      <c r="B288" s="107"/>
      <c r="C288" s="107"/>
      <c r="D288" s="107"/>
      <c r="E288" s="107"/>
      <c r="F288" s="107"/>
      <c r="G288" s="107"/>
      <c r="H288" s="107"/>
      <c r="I288" s="115"/>
      <c r="J288" s="116"/>
      <c r="K288" s="116"/>
      <c r="L288" s="117"/>
      <c r="M288" s="107"/>
      <c r="N288" s="107"/>
      <c r="O288" s="115"/>
      <c r="IA288"/>
      <c r="IB288"/>
      <c r="IC288"/>
      <c r="ID288"/>
      <c r="IE288"/>
      <c r="IF288"/>
    </row>
    <row r="289" spans="1:240" s="1" customFormat="1" ht="33.75">
      <c r="A289" s="92" t="s">
        <v>196</v>
      </c>
      <c r="B289" s="107"/>
      <c r="C289" s="107"/>
      <c r="D289" s="107"/>
      <c r="E289" s="107"/>
      <c r="F289" s="107"/>
      <c r="G289" s="108">
        <f>G282/F282*100</f>
        <v>120</v>
      </c>
      <c r="H289" s="108"/>
      <c r="I289" s="108">
        <f>G289</f>
        <v>120</v>
      </c>
      <c r="J289" s="118"/>
      <c r="K289" s="118"/>
      <c r="L289" s="118"/>
      <c r="M289" s="108">
        <f>M282/I282*100</f>
        <v>119.91869918699187</v>
      </c>
      <c r="N289" s="108"/>
      <c r="O289" s="108">
        <f>M289</f>
        <v>119.91869918699187</v>
      </c>
      <c r="IA289"/>
      <c r="IB289"/>
      <c r="IC289"/>
      <c r="ID289"/>
      <c r="IE289"/>
      <c r="IF289"/>
    </row>
    <row r="290" spans="1:240" s="1" customFormat="1" ht="33.75">
      <c r="A290" s="92" t="s">
        <v>197</v>
      </c>
      <c r="B290" s="107"/>
      <c r="C290" s="107"/>
      <c r="D290" s="107"/>
      <c r="E290" s="107"/>
      <c r="F290" s="107"/>
      <c r="G290" s="108">
        <f>G283/D283*100</f>
        <v>120.27046928401306</v>
      </c>
      <c r="H290" s="108"/>
      <c r="I290" s="108">
        <f>G290</f>
        <v>120.27046928401306</v>
      </c>
      <c r="J290" s="118"/>
      <c r="K290" s="118"/>
      <c r="L290" s="118"/>
      <c r="M290" s="108">
        <f>M283/G283*100</f>
        <v>120.33795965933803</v>
      </c>
      <c r="N290" s="108"/>
      <c r="O290" s="108">
        <f>M290</f>
        <v>120.33795965933803</v>
      </c>
      <c r="IA290"/>
      <c r="IB290"/>
      <c r="IC290"/>
      <c r="ID290"/>
      <c r="IE290"/>
      <c r="IF290"/>
    </row>
    <row r="291" spans="1:240" s="194" customFormat="1" ht="24" customHeight="1">
      <c r="A291" s="182" t="s">
        <v>371</v>
      </c>
      <c r="B291" s="191"/>
      <c r="C291" s="191"/>
      <c r="D291" s="193">
        <f>(D293*D296)+45</f>
        <v>400000</v>
      </c>
      <c r="E291" s="193"/>
      <c r="F291" s="193">
        <f>D291</f>
        <v>400000</v>
      </c>
      <c r="G291" s="193">
        <v>480000</v>
      </c>
      <c r="H291" s="193"/>
      <c r="I291" s="193">
        <f>G291</f>
        <v>480000</v>
      </c>
      <c r="J291" s="193">
        <f>(J293*J296)</f>
        <v>0</v>
      </c>
      <c r="K291" s="193">
        <f>(K293*K296)</f>
        <v>0</v>
      </c>
      <c r="L291" s="193">
        <f>(L293*L296)</f>
        <v>0</v>
      </c>
      <c r="M291" s="193">
        <f>(M293*M296)+16</f>
        <v>580000</v>
      </c>
      <c r="N291" s="193">
        <f>(N293*N296)</f>
        <v>0</v>
      </c>
      <c r="O291" s="193">
        <f>M291</f>
        <v>580000</v>
      </c>
      <c r="IA291" s="195"/>
      <c r="IB291" s="195"/>
      <c r="IC291" s="195"/>
      <c r="ID291" s="195"/>
      <c r="IE291" s="195"/>
      <c r="IF291" s="195"/>
    </row>
    <row r="292" spans="1:240" s="1" customFormat="1" ht="12">
      <c r="A292" s="91" t="s">
        <v>6</v>
      </c>
      <c r="B292" s="107"/>
      <c r="C292" s="107"/>
      <c r="D292" s="107"/>
      <c r="E292" s="107"/>
      <c r="F292" s="107"/>
      <c r="G292" s="107"/>
      <c r="H292" s="107"/>
      <c r="I292" s="115"/>
      <c r="J292" s="116"/>
      <c r="K292" s="116"/>
      <c r="L292" s="117"/>
      <c r="M292" s="107"/>
      <c r="N292" s="107"/>
      <c r="O292" s="115"/>
      <c r="IA292"/>
      <c r="IB292"/>
      <c r="IC292"/>
      <c r="ID292"/>
      <c r="IE292"/>
      <c r="IF292"/>
    </row>
    <row r="293" spans="1:240" s="1" customFormat="1" ht="22.5">
      <c r="A293" s="92" t="s">
        <v>343</v>
      </c>
      <c r="B293" s="107"/>
      <c r="C293" s="107"/>
      <c r="D293" s="107">
        <v>2050</v>
      </c>
      <c r="E293" s="107"/>
      <c r="F293" s="107">
        <f>D293</f>
        <v>2050</v>
      </c>
      <c r="G293" s="108">
        <v>1427</v>
      </c>
      <c r="H293" s="108"/>
      <c r="I293" s="108">
        <f>G293</f>
        <v>1427</v>
      </c>
      <c r="J293" s="118"/>
      <c r="K293" s="118"/>
      <c r="L293" s="118"/>
      <c r="M293" s="108">
        <v>2248</v>
      </c>
      <c r="N293" s="108"/>
      <c r="O293" s="108">
        <f>M293</f>
        <v>2248</v>
      </c>
      <c r="IA293"/>
      <c r="IB293"/>
      <c r="IC293"/>
      <c r="ID293"/>
      <c r="IE293"/>
      <c r="IF293"/>
    </row>
    <row r="294" spans="1:240" s="1" customFormat="1" ht="33.75">
      <c r="A294" s="92" t="s">
        <v>347</v>
      </c>
      <c r="B294" s="107"/>
      <c r="C294" s="107"/>
      <c r="D294" s="107"/>
      <c r="E294" s="107"/>
      <c r="F294" s="107"/>
      <c r="G294" s="108">
        <v>1</v>
      </c>
      <c r="H294" s="108"/>
      <c r="I294" s="108">
        <v>1</v>
      </c>
      <c r="J294" s="118"/>
      <c r="K294" s="118"/>
      <c r="L294" s="118"/>
      <c r="M294" s="108"/>
      <c r="N294" s="108"/>
      <c r="O294" s="108"/>
      <c r="IA294"/>
      <c r="IB294"/>
      <c r="IC294"/>
      <c r="ID294"/>
      <c r="IE294"/>
      <c r="IF294"/>
    </row>
    <row r="295" spans="1:240" s="1" customFormat="1" ht="12">
      <c r="A295" s="91" t="s">
        <v>8</v>
      </c>
      <c r="B295" s="107"/>
      <c r="C295" s="107"/>
      <c r="D295" s="107"/>
      <c r="E295" s="107"/>
      <c r="F295" s="107"/>
      <c r="G295" s="107"/>
      <c r="H295" s="107"/>
      <c r="I295" s="115"/>
      <c r="J295" s="116"/>
      <c r="K295" s="116"/>
      <c r="L295" s="117"/>
      <c r="M295" s="107"/>
      <c r="N295" s="107"/>
      <c r="O295" s="115"/>
      <c r="IA295"/>
      <c r="IB295"/>
      <c r="IC295"/>
      <c r="ID295"/>
      <c r="IE295"/>
      <c r="IF295"/>
    </row>
    <row r="296" spans="1:240" s="1" customFormat="1" ht="22.5">
      <c r="A296" s="92" t="s">
        <v>344</v>
      </c>
      <c r="B296" s="107"/>
      <c r="C296" s="107"/>
      <c r="D296" s="120">
        <v>195.1</v>
      </c>
      <c r="E296" s="120"/>
      <c r="F296" s="120">
        <f>D296</f>
        <v>195.1</v>
      </c>
      <c r="G296" s="120">
        <v>224.3</v>
      </c>
      <c r="H296" s="120"/>
      <c r="I296" s="120">
        <f>G296</f>
        <v>224.3</v>
      </c>
      <c r="J296" s="121"/>
      <c r="K296" s="121"/>
      <c r="L296" s="121"/>
      <c r="M296" s="120">
        <v>258</v>
      </c>
      <c r="N296" s="120"/>
      <c r="O296" s="120">
        <f>M296</f>
        <v>258</v>
      </c>
      <c r="IA296"/>
      <c r="IB296"/>
      <c r="IC296"/>
      <c r="ID296"/>
      <c r="IE296"/>
      <c r="IF296"/>
    </row>
    <row r="297" spans="1:240" s="1" customFormat="1" ht="33.75">
      <c r="A297" s="92" t="s">
        <v>348</v>
      </c>
      <c r="B297" s="107"/>
      <c r="C297" s="107"/>
      <c r="D297" s="120"/>
      <c r="E297" s="120"/>
      <c r="F297" s="120"/>
      <c r="G297" s="120">
        <v>160000</v>
      </c>
      <c r="H297" s="120"/>
      <c r="I297" s="120">
        <f>G297</f>
        <v>160000</v>
      </c>
      <c r="J297" s="121"/>
      <c r="K297" s="121"/>
      <c r="L297" s="121"/>
      <c r="M297" s="120"/>
      <c r="N297" s="120"/>
      <c r="O297" s="120"/>
      <c r="IA297"/>
      <c r="IB297"/>
      <c r="IC297"/>
      <c r="ID297"/>
      <c r="IE297"/>
      <c r="IF297"/>
    </row>
    <row r="298" spans="1:240" s="1" customFormat="1" ht="12">
      <c r="A298" s="91" t="s">
        <v>7</v>
      </c>
      <c r="B298" s="107"/>
      <c r="C298" s="107"/>
      <c r="D298" s="107"/>
      <c r="E298" s="107"/>
      <c r="F298" s="107"/>
      <c r="G298" s="107"/>
      <c r="H298" s="107"/>
      <c r="I298" s="115"/>
      <c r="J298" s="116"/>
      <c r="K298" s="116"/>
      <c r="L298" s="117"/>
      <c r="M298" s="107"/>
      <c r="N298" s="107"/>
      <c r="O298" s="115"/>
      <c r="IA298"/>
      <c r="IB298"/>
      <c r="IC298"/>
      <c r="ID298"/>
      <c r="IE298"/>
      <c r="IF298"/>
    </row>
    <row r="299" spans="1:240" s="1" customFormat="1" ht="24.75" customHeight="1">
      <c r="A299" s="92" t="s">
        <v>345</v>
      </c>
      <c r="B299" s="107"/>
      <c r="C299" s="107"/>
      <c r="D299" s="107"/>
      <c r="E299" s="107"/>
      <c r="F299" s="107"/>
      <c r="G299" s="108">
        <f>G293/D293*100</f>
        <v>69.60975609756098</v>
      </c>
      <c r="H299" s="108"/>
      <c r="I299" s="108">
        <f>G299</f>
        <v>69.60975609756098</v>
      </c>
      <c r="J299" s="118"/>
      <c r="K299" s="118"/>
      <c r="L299" s="118"/>
      <c r="M299" s="108">
        <f>M293/G293*100</f>
        <v>157.5332866152768</v>
      </c>
      <c r="N299" s="108"/>
      <c r="O299" s="108">
        <f>M299</f>
        <v>157.5332866152768</v>
      </c>
      <c r="IA299"/>
      <c r="IB299"/>
      <c r="IC299"/>
      <c r="ID299"/>
      <c r="IE299"/>
      <c r="IF299"/>
    </row>
    <row r="300" spans="1:240" s="1" customFormat="1" ht="33.75">
      <c r="A300" s="92" t="s">
        <v>346</v>
      </c>
      <c r="B300" s="107"/>
      <c r="C300" s="107"/>
      <c r="D300" s="107"/>
      <c r="E300" s="107"/>
      <c r="F300" s="107"/>
      <c r="G300" s="108">
        <f>G296/D296*100</f>
        <v>114.96668375192209</v>
      </c>
      <c r="H300" s="108"/>
      <c r="I300" s="108">
        <f>G300</f>
        <v>114.96668375192209</v>
      </c>
      <c r="J300" s="118"/>
      <c r="K300" s="118"/>
      <c r="L300" s="118"/>
      <c r="M300" s="108">
        <f>M296/G296*100</f>
        <v>115.0245207311636</v>
      </c>
      <c r="N300" s="108"/>
      <c r="O300" s="108">
        <f>M300</f>
        <v>115.0245207311636</v>
      </c>
      <c r="IA300"/>
      <c r="IB300"/>
      <c r="IC300"/>
      <c r="ID300"/>
      <c r="IE300"/>
      <c r="IF300"/>
    </row>
    <row r="301" spans="1:240" s="213" customFormat="1" ht="27" customHeight="1">
      <c r="A301" s="182" t="s">
        <v>372</v>
      </c>
      <c r="B301" s="191"/>
      <c r="C301" s="191"/>
      <c r="D301" s="201"/>
      <c r="E301" s="201">
        <f>E303*E306</f>
        <v>4065000</v>
      </c>
      <c r="F301" s="201">
        <f>F303*F306</f>
        <v>4065000</v>
      </c>
      <c r="G301" s="201"/>
      <c r="H301" s="201">
        <f>H303*H306+H307-123000</f>
        <v>11747000</v>
      </c>
      <c r="I301" s="201">
        <f>H301</f>
        <v>11747000</v>
      </c>
      <c r="J301" s="201">
        <f>J303*J306-4</f>
        <v>-4</v>
      </c>
      <c r="K301" s="201">
        <f>K303*K306-4</f>
        <v>-4</v>
      </c>
      <c r="L301" s="201">
        <f>L303*L306-4</f>
        <v>-4</v>
      </c>
      <c r="M301" s="201"/>
      <c r="N301" s="201">
        <f>N303*N306-5</f>
        <v>2000000</v>
      </c>
      <c r="O301" s="201">
        <f>O303*O306-5</f>
        <v>2000000</v>
      </c>
      <c r="IA301" s="214"/>
      <c r="IB301" s="214"/>
      <c r="IC301" s="214"/>
      <c r="ID301" s="214"/>
      <c r="IE301" s="214"/>
      <c r="IF301" s="214"/>
    </row>
    <row r="302" spans="1:240" s="81" customFormat="1" ht="12">
      <c r="A302" s="91" t="s">
        <v>6</v>
      </c>
      <c r="B302" s="113"/>
      <c r="C302" s="113"/>
      <c r="D302" s="113"/>
      <c r="E302" s="113"/>
      <c r="F302" s="110"/>
      <c r="G302" s="113"/>
      <c r="H302" s="113"/>
      <c r="I302" s="115"/>
      <c r="J302" s="116"/>
      <c r="K302" s="116"/>
      <c r="L302" s="117"/>
      <c r="M302" s="113"/>
      <c r="N302" s="113"/>
      <c r="O302" s="115"/>
      <c r="IA302" s="82"/>
      <c r="IB302" s="82"/>
      <c r="IC302" s="82"/>
      <c r="ID302" s="82"/>
      <c r="IE302" s="82"/>
      <c r="IF302" s="82"/>
    </row>
    <row r="303" spans="1:240" s="81" customFormat="1" ht="25.5" customHeight="1">
      <c r="A303" s="92" t="s">
        <v>198</v>
      </c>
      <c r="B303" s="107"/>
      <c r="C303" s="107"/>
      <c r="D303" s="108"/>
      <c r="E303" s="10">
        <v>24</v>
      </c>
      <c r="F303" s="108">
        <f>E303</f>
        <v>24</v>
      </c>
      <c r="G303" s="108"/>
      <c r="H303" s="108">
        <v>35</v>
      </c>
      <c r="I303" s="108">
        <f>H303</f>
        <v>35</v>
      </c>
      <c r="J303" s="118"/>
      <c r="K303" s="118"/>
      <c r="L303" s="118"/>
      <c r="M303" s="108"/>
      <c r="N303" s="108">
        <v>7</v>
      </c>
      <c r="O303" s="108">
        <f>N303</f>
        <v>7</v>
      </c>
      <c r="IA303" s="82"/>
      <c r="IB303" s="82"/>
      <c r="IC303" s="82"/>
      <c r="ID303" s="82"/>
      <c r="IE303" s="82"/>
      <c r="IF303" s="82"/>
    </row>
    <row r="304" spans="1:240" s="81" customFormat="1" ht="25.5" customHeight="1">
      <c r="A304" s="92" t="s">
        <v>329</v>
      </c>
      <c r="B304" s="107"/>
      <c r="C304" s="107"/>
      <c r="D304" s="108"/>
      <c r="E304" s="10"/>
      <c r="F304" s="108"/>
      <c r="G304" s="108"/>
      <c r="H304" s="108">
        <v>1</v>
      </c>
      <c r="I304" s="108">
        <v>1</v>
      </c>
      <c r="J304" s="118"/>
      <c r="K304" s="118"/>
      <c r="L304" s="118"/>
      <c r="M304" s="108"/>
      <c r="N304" s="108"/>
      <c r="O304" s="108"/>
      <c r="IA304" s="82"/>
      <c r="IB304" s="82"/>
      <c r="IC304" s="82"/>
      <c r="ID304" s="82"/>
      <c r="IE304" s="82"/>
      <c r="IF304" s="82"/>
    </row>
    <row r="305" spans="1:240" s="81" customFormat="1" ht="12">
      <c r="A305" s="91" t="s">
        <v>8</v>
      </c>
      <c r="B305" s="113"/>
      <c r="C305" s="113"/>
      <c r="D305" s="113"/>
      <c r="E305" s="113"/>
      <c r="F305" s="110"/>
      <c r="G305" s="113"/>
      <c r="H305" s="113"/>
      <c r="I305" s="115"/>
      <c r="J305" s="116"/>
      <c r="K305" s="116"/>
      <c r="L305" s="117"/>
      <c r="M305" s="113"/>
      <c r="N305" s="113"/>
      <c r="O305" s="115"/>
      <c r="IA305" s="82"/>
      <c r="IB305" s="82"/>
      <c r="IC305" s="82"/>
      <c r="ID305" s="82"/>
      <c r="IE305" s="82"/>
      <c r="IF305" s="82"/>
    </row>
    <row r="306" spans="1:240" s="81" customFormat="1" ht="26.25" customHeight="1">
      <c r="A306" s="92" t="s">
        <v>199</v>
      </c>
      <c r="B306" s="107"/>
      <c r="C306" s="107"/>
      <c r="D306" s="110"/>
      <c r="E306" s="110">
        <v>169375</v>
      </c>
      <c r="F306" s="110">
        <f>E306</f>
        <v>169375</v>
      </c>
      <c r="G306" s="110"/>
      <c r="H306" s="110">
        <v>262000</v>
      </c>
      <c r="I306" s="110">
        <f>H306</f>
        <v>262000</v>
      </c>
      <c r="J306" s="119"/>
      <c r="K306" s="119"/>
      <c r="L306" s="119"/>
      <c r="M306" s="110"/>
      <c r="N306" s="110">
        <v>285715</v>
      </c>
      <c r="O306" s="110">
        <f>N306</f>
        <v>285715</v>
      </c>
      <c r="IA306" s="82"/>
      <c r="IB306" s="82"/>
      <c r="IC306" s="82"/>
      <c r="ID306" s="82"/>
      <c r="IE306" s="82"/>
      <c r="IF306" s="82"/>
    </row>
    <row r="307" spans="1:240" s="81" customFormat="1" ht="26.25" customHeight="1">
      <c r="A307" s="92" t="s">
        <v>330</v>
      </c>
      <c r="B307" s="107"/>
      <c r="C307" s="107"/>
      <c r="D307" s="110"/>
      <c r="E307" s="110"/>
      <c r="F307" s="110"/>
      <c r="G307" s="110"/>
      <c r="H307" s="110">
        <v>2700000</v>
      </c>
      <c r="I307" s="110">
        <f>H307</f>
        <v>2700000</v>
      </c>
      <c r="J307" s="119"/>
      <c r="K307" s="119"/>
      <c r="L307" s="119"/>
      <c r="M307" s="110"/>
      <c r="N307" s="110"/>
      <c r="O307" s="110"/>
      <c r="IA307" s="82"/>
      <c r="IB307" s="82"/>
      <c r="IC307" s="82"/>
      <c r="ID307" s="82"/>
      <c r="IE307" s="82"/>
      <c r="IF307" s="82"/>
    </row>
    <row r="308" spans="1:240" s="81" customFormat="1" ht="12">
      <c r="A308" s="91" t="s">
        <v>7</v>
      </c>
      <c r="B308" s="107"/>
      <c r="C308" s="107"/>
      <c r="D308" s="107"/>
      <c r="E308" s="107"/>
      <c r="F308" s="107"/>
      <c r="G308" s="107"/>
      <c r="H308" s="107"/>
      <c r="I308" s="115"/>
      <c r="J308" s="116"/>
      <c r="K308" s="116"/>
      <c r="L308" s="117"/>
      <c r="M308" s="107"/>
      <c r="N308" s="107"/>
      <c r="O308" s="115"/>
      <c r="IA308" s="82"/>
      <c r="IB308" s="82"/>
      <c r="IC308" s="82"/>
      <c r="ID308" s="82"/>
      <c r="IE308" s="82"/>
      <c r="IF308" s="82"/>
    </row>
    <row r="309" spans="1:240" s="81" customFormat="1" ht="35.25" customHeight="1">
      <c r="A309" s="92" t="s">
        <v>200</v>
      </c>
      <c r="B309" s="107"/>
      <c r="C309" s="107"/>
      <c r="D309" s="107"/>
      <c r="E309" s="107"/>
      <c r="F309" s="107"/>
      <c r="G309" s="108"/>
      <c r="H309" s="108">
        <f>H306/E306*100</f>
        <v>154.68634686346863</v>
      </c>
      <c r="I309" s="108">
        <f>H309</f>
        <v>154.68634686346863</v>
      </c>
      <c r="J309" s="118"/>
      <c r="K309" s="118"/>
      <c r="L309" s="118"/>
      <c r="M309" s="108"/>
      <c r="N309" s="108">
        <f>N306/H306*100</f>
        <v>109.05152671755725</v>
      </c>
      <c r="O309" s="108">
        <f>N309</f>
        <v>109.05152671755725</v>
      </c>
      <c r="IA309" s="82"/>
      <c r="IB309" s="82"/>
      <c r="IC309" s="82"/>
      <c r="ID309" s="82"/>
      <c r="IE309" s="82"/>
      <c r="IF309" s="82"/>
    </row>
    <row r="310" spans="1:15" ht="15" customHeight="1">
      <c r="A310" s="24" t="s">
        <v>223</v>
      </c>
      <c r="B310" s="25"/>
      <c r="C310" s="25"/>
      <c r="D310" s="87"/>
      <c r="E310" s="87">
        <f>E312+E362</f>
        <v>27028000</v>
      </c>
      <c r="F310" s="87">
        <f>F312+F362</f>
        <v>27028000</v>
      </c>
      <c r="G310" s="87"/>
      <c r="H310" s="87">
        <f>H312+H362</f>
        <v>95570000</v>
      </c>
      <c r="I310" s="87">
        <f>I312+I362</f>
        <v>95570000</v>
      </c>
      <c r="J310" s="87">
        <f>J312+J362</f>
        <v>71999.61600307198</v>
      </c>
      <c r="K310" s="87">
        <f>K312+K362</f>
        <v>0</v>
      </c>
      <c r="L310" s="87">
        <f>L312+L362</f>
        <v>0</v>
      </c>
      <c r="M310" s="87"/>
      <c r="N310" s="87">
        <f>N312+N362</f>
        <v>25730000</v>
      </c>
      <c r="O310" s="87">
        <f>O312+O362</f>
        <v>25730000</v>
      </c>
    </row>
    <row r="311" spans="1:15" ht="45" customHeight="1">
      <c r="A311" s="33" t="s">
        <v>201</v>
      </c>
      <c r="B311" s="8"/>
      <c r="C311" s="8"/>
      <c r="D311" s="9"/>
      <c r="E311" s="18"/>
      <c r="F311" s="18"/>
      <c r="G311" s="9"/>
      <c r="H311" s="18"/>
      <c r="I311" s="18"/>
      <c r="J311" s="11" t="e">
        <f>H311/E311*100</f>
        <v>#DIV/0!</v>
      </c>
      <c r="K311" s="12"/>
      <c r="L311" s="13"/>
      <c r="M311" s="9"/>
      <c r="N311" s="18"/>
      <c r="O311" s="18"/>
    </row>
    <row r="312" spans="1:15" ht="22.5" customHeight="1">
      <c r="A312" s="30" t="s">
        <v>224</v>
      </c>
      <c r="B312" s="41"/>
      <c r="C312" s="41"/>
      <c r="D312" s="41"/>
      <c r="E312" s="38">
        <f>E313+E329+E322+E350</f>
        <v>26028000</v>
      </c>
      <c r="F312" s="38">
        <f>F313+F329+F322+F350</f>
        <v>26028000</v>
      </c>
      <c r="G312" s="38">
        <f aca="true" t="shared" si="36" ref="G312:O312">G313+G329+G322</f>
        <v>0</v>
      </c>
      <c r="H312" s="38">
        <f>H313+H329+H322+H350</f>
        <v>89570000</v>
      </c>
      <c r="I312" s="38">
        <f>I313+I329+I322+I350</f>
        <v>89570000</v>
      </c>
      <c r="J312" s="38">
        <f t="shared" si="36"/>
        <v>71999.61600307198</v>
      </c>
      <c r="K312" s="38">
        <f t="shared" si="36"/>
        <v>0</v>
      </c>
      <c r="L312" s="38">
        <f t="shared" si="36"/>
        <v>0</v>
      </c>
      <c r="M312" s="38">
        <f t="shared" si="36"/>
        <v>0</v>
      </c>
      <c r="N312" s="38">
        <f t="shared" si="36"/>
        <v>24150000</v>
      </c>
      <c r="O312" s="38">
        <f t="shared" si="36"/>
        <v>24150000</v>
      </c>
    </row>
    <row r="313" spans="1:234" s="195" customFormat="1" ht="22.5">
      <c r="A313" s="182" t="s">
        <v>373</v>
      </c>
      <c r="B313" s="191"/>
      <c r="C313" s="191"/>
      <c r="D313" s="191"/>
      <c r="E313" s="193">
        <f>E317*E319-20</f>
        <v>2500000</v>
      </c>
      <c r="F313" s="193">
        <f>E313</f>
        <v>2500000</v>
      </c>
      <c r="G313" s="193"/>
      <c r="H313" s="193">
        <f>H317*H319-48</f>
        <v>18000000</v>
      </c>
      <c r="I313" s="193">
        <f>H313</f>
        <v>18000000</v>
      </c>
      <c r="J313" s="193">
        <f aca="true" t="shared" si="37" ref="J313:O313">J317*J319</f>
        <v>71999.61600307198</v>
      </c>
      <c r="K313" s="193">
        <f t="shared" si="37"/>
        <v>0</v>
      </c>
      <c r="L313" s="193">
        <f t="shared" si="37"/>
        <v>0</v>
      </c>
      <c r="M313" s="193"/>
      <c r="N313" s="193">
        <f t="shared" si="37"/>
        <v>3600000</v>
      </c>
      <c r="O313" s="193">
        <f t="shared" si="37"/>
        <v>3600000</v>
      </c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194"/>
      <c r="AD313" s="194"/>
      <c r="AE313" s="194"/>
      <c r="AF313" s="194"/>
      <c r="AG313" s="194"/>
      <c r="AH313" s="194"/>
      <c r="AI313" s="19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  <c r="AU313" s="194"/>
      <c r="AV313" s="194"/>
      <c r="AW313" s="194"/>
      <c r="AX313" s="194"/>
      <c r="AY313" s="194"/>
      <c r="AZ313" s="194"/>
      <c r="BA313" s="194"/>
      <c r="BB313" s="194"/>
      <c r="BC313" s="194"/>
      <c r="BD313" s="194"/>
      <c r="BE313" s="194"/>
      <c r="BF313" s="194"/>
      <c r="BG313" s="194"/>
      <c r="BH313" s="194"/>
      <c r="BI313" s="194"/>
      <c r="BJ313" s="194"/>
      <c r="BK313" s="194"/>
      <c r="BL313" s="194"/>
      <c r="BM313" s="194"/>
      <c r="BN313" s="194"/>
      <c r="BO313" s="194"/>
      <c r="BP313" s="194"/>
      <c r="BQ313" s="194"/>
      <c r="BR313" s="194"/>
      <c r="BS313" s="194"/>
      <c r="BT313" s="194"/>
      <c r="BU313" s="194"/>
      <c r="BV313" s="194"/>
      <c r="BW313" s="194"/>
      <c r="BX313" s="194"/>
      <c r="BY313" s="194"/>
      <c r="BZ313" s="194"/>
      <c r="CA313" s="194"/>
      <c r="CB313" s="194"/>
      <c r="CC313" s="194"/>
      <c r="CD313" s="194"/>
      <c r="CE313" s="194"/>
      <c r="CF313" s="194"/>
      <c r="CG313" s="194"/>
      <c r="CH313" s="194"/>
      <c r="CI313" s="194"/>
      <c r="CJ313" s="194"/>
      <c r="CK313" s="194"/>
      <c r="CL313" s="194"/>
      <c r="CM313" s="194"/>
      <c r="CN313" s="194"/>
      <c r="CO313" s="194"/>
      <c r="CP313" s="194"/>
      <c r="CQ313" s="194"/>
      <c r="CR313" s="194"/>
      <c r="CS313" s="194"/>
      <c r="CT313" s="194"/>
      <c r="CU313" s="194"/>
      <c r="CV313" s="194"/>
      <c r="CW313" s="194"/>
      <c r="CX313" s="194"/>
      <c r="CY313" s="194"/>
      <c r="CZ313" s="194"/>
      <c r="DA313" s="194"/>
      <c r="DB313" s="194"/>
      <c r="DC313" s="194"/>
      <c r="DD313" s="194"/>
      <c r="DE313" s="194"/>
      <c r="DF313" s="194"/>
      <c r="DG313" s="194"/>
      <c r="DH313" s="194"/>
      <c r="DI313" s="194"/>
      <c r="DJ313" s="194"/>
      <c r="DK313" s="194"/>
      <c r="DL313" s="194"/>
      <c r="DM313" s="194"/>
      <c r="DN313" s="194"/>
      <c r="DO313" s="194"/>
      <c r="DP313" s="194"/>
      <c r="DQ313" s="194"/>
      <c r="DR313" s="194"/>
      <c r="DS313" s="194"/>
      <c r="DT313" s="194"/>
      <c r="DU313" s="194"/>
      <c r="DV313" s="194"/>
      <c r="DW313" s="194"/>
      <c r="DX313" s="194"/>
      <c r="DY313" s="194"/>
      <c r="DZ313" s="194"/>
      <c r="EA313" s="194"/>
      <c r="EB313" s="194"/>
      <c r="EC313" s="194"/>
      <c r="ED313" s="194"/>
      <c r="EE313" s="194"/>
      <c r="EF313" s="194"/>
      <c r="EG313" s="194"/>
      <c r="EH313" s="194"/>
      <c r="EI313" s="194"/>
      <c r="EJ313" s="194"/>
      <c r="EK313" s="194"/>
      <c r="EL313" s="194"/>
      <c r="EM313" s="194"/>
      <c r="EN313" s="194"/>
      <c r="EO313" s="194"/>
      <c r="EP313" s="194"/>
      <c r="EQ313" s="194"/>
      <c r="ER313" s="194"/>
      <c r="ES313" s="194"/>
      <c r="ET313" s="194"/>
      <c r="EU313" s="194"/>
      <c r="EV313" s="194"/>
      <c r="EW313" s="194"/>
      <c r="EX313" s="194"/>
      <c r="EY313" s="194"/>
      <c r="EZ313" s="194"/>
      <c r="FA313" s="194"/>
      <c r="FB313" s="194"/>
      <c r="FC313" s="194"/>
      <c r="FD313" s="194"/>
      <c r="FE313" s="194"/>
      <c r="FF313" s="194"/>
      <c r="FG313" s="194"/>
      <c r="FH313" s="194"/>
      <c r="FI313" s="194"/>
      <c r="FJ313" s="194"/>
      <c r="FK313" s="194"/>
      <c r="FL313" s="194"/>
      <c r="FM313" s="194"/>
      <c r="FN313" s="194"/>
      <c r="FO313" s="194"/>
      <c r="FP313" s="194"/>
      <c r="FQ313" s="194"/>
      <c r="FR313" s="194"/>
      <c r="FS313" s="194"/>
      <c r="FT313" s="194"/>
      <c r="FU313" s="194"/>
      <c r="FV313" s="194"/>
      <c r="FW313" s="194"/>
      <c r="FX313" s="194"/>
      <c r="FY313" s="194"/>
      <c r="FZ313" s="194"/>
      <c r="GA313" s="194"/>
      <c r="GB313" s="194"/>
      <c r="GC313" s="194"/>
      <c r="GD313" s="194"/>
      <c r="GE313" s="194"/>
      <c r="GF313" s="194"/>
      <c r="GG313" s="194"/>
      <c r="GH313" s="194"/>
      <c r="GI313" s="194"/>
      <c r="GJ313" s="194"/>
      <c r="GK313" s="194"/>
      <c r="GL313" s="194"/>
      <c r="GM313" s="194"/>
      <c r="GN313" s="194"/>
      <c r="GO313" s="194"/>
      <c r="GP313" s="194"/>
      <c r="GQ313" s="194"/>
      <c r="GR313" s="194"/>
      <c r="GS313" s="194"/>
      <c r="GT313" s="194"/>
      <c r="GU313" s="194"/>
      <c r="GV313" s="194"/>
      <c r="GW313" s="194"/>
      <c r="GX313" s="194"/>
      <c r="GY313" s="194"/>
      <c r="GZ313" s="194"/>
      <c r="HA313" s="194"/>
      <c r="HB313" s="194"/>
      <c r="HC313" s="194"/>
      <c r="HD313" s="194"/>
      <c r="HE313" s="194"/>
      <c r="HF313" s="194"/>
      <c r="HG313" s="194"/>
      <c r="HH313" s="194"/>
      <c r="HI313" s="194"/>
      <c r="HJ313" s="194"/>
      <c r="HK313" s="194"/>
      <c r="HL313" s="194"/>
      <c r="HM313" s="194"/>
      <c r="HN313" s="194"/>
      <c r="HO313" s="194"/>
      <c r="HP313" s="194"/>
      <c r="HQ313" s="194"/>
      <c r="HR313" s="194"/>
      <c r="HS313" s="194"/>
      <c r="HT313" s="194"/>
      <c r="HU313" s="194"/>
      <c r="HV313" s="194"/>
      <c r="HW313" s="194"/>
      <c r="HX313" s="194"/>
      <c r="HY313" s="194"/>
      <c r="HZ313" s="194"/>
    </row>
    <row r="314" spans="1:15" ht="11.25">
      <c r="A314" s="31" t="s">
        <v>5</v>
      </c>
      <c r="B314" s="6"/>
      <c r="C314" s="6"/>
      <c r="D314" s="9"/>
      <c r="E314" s="17"/>
      <c r="F314" s="17"/>
      <c r="G314" s="9"/>
      <c r="H314" s="17"/>
      <c r="I314" s="17"/>
      <c r="J314" s="11"/>
      <c r="K314" s="12"/>
      <c r="L314" s="12"/>
      <c r="M314" s="9"/>
      <c r="N314" s="17"/>
      <c r="O314" s="17"/>
    </row>
    <row r="315" spans="1:15" ht="22.5">
      <c r="A315" s="92" t="s">
        <v>202</v>
      </c>
      <c r="B315" s="107"/>
      <c r="C315" s="107"/>
      <c r="D315" s="107"/>
      <c r="E315" s="107">
        <v>1172</v>
      </c>
      <c r="F315" s="107">
        <f>E315</f>
        <v>1172</v>
      </c>
      <c r="G315" s="107"/>
      <c r="H315" s="107">
        <f>F315</f>
        <v>1172</v>
      </c>
      <c r="I315" s="107">
        <f>H315</f>
        <v>1172</v>
      </c>
      <c r="J315" s="110"/>
      <c r="K315" s="111"/>
      <c r="L315" s="111"/>
      <c r="M315" s="107"/>
      <c r="N315" s="107">
        <f>H315</f>
        <v>1172</v>
      </c>
      <c r="O315" s="107">
        <f>N315</f>
        <v>1172</v>
      </c>
    </row>
    <row r="316" spans="1:15" ht="11.25">
      <c r="A316" s="91" t="s">
        <v>6</v>
      </c>
      <c r="B316" s="113"/>
      <c r="C316" s="113"/>
      <c r="D316" s="107"/>
      <c r="E316" s="113"/>
      <c r="F316" s="113"/>
      <c r="G316" s="107"/>
      <c r="H316" s="113"/>
      <c r="I316" s="113"/>
      <c r="J316" s="110" t="e">
        <f>H316/E316*100</f>
        <v>#DIV/0!</v>
      </c>
      <c r="K316" s="113"/>
      <c r="L316" s="113"/>
      <c r="M316" s="107"/>
      <c r="N316" s="113"/>
      <c r="O316" s="113"/>
    </row>
    <row r="317" spans="1:15" ht="22.5">
      <c r="A317" s="92" t="s">
        <v>203</v>
      </c>
      <c r="B317" s="107"/>
      <c r="C317" s="107"/>
      <c r="D317" s="107"/>
      <c r="E317" s="108">
        <v>19</v>
      </c>
      <c r="F317" s="108">
        <f>E317</f>
        <v>19</v>
      </c>
      <c r="G317" s="108"/>
      <c r="H317" s="108">
        <v>132</v>
      </c>
      <c r="I317" s="108">
        <f>H317</f>
        <v>132</v>
      </c>
      <c r="J317" s="108">
        <f>H317/E317*100</f>
        <v>694.7368421052632</v>
      </c>
      <c r="K317" s="108"/>
      <c r="L317" s="108"/>
      <c r="M317" s="108"/>
      <c r="N317" s="108">
        <v>25</v>
      </c>
      <c r="O317" s="108">
        <f>N317</f>
        <v>25</v>
      </c>
    </row>
    <row r="318" spans="1:15" ht="11.25">
      <c r="A318" s="91" t="s">
        <v>8</v>
      </c>
      <c r="B318" s="113"/>
      <c r="C318" s="113"/>
      <c r="D318" s="107"/>
      <c r="E318" s="113"/>
      <c r="F318" s="113"/>
      <c r="G318" s="107"/>
      <c r="H318" s="113"/>
      <c r="I318" s="113"/>
      <c r="J318" s="110" t="e">
        <f>H318/E318*100</f>
        <v>#DIV/0!</v>
      </c>
      <c r="K318" s="113"/>
      <c r="L318" s="113"/>
      <c r="M318" s="107"/>
      <c r="N318" s="113"/>
      <c r="O318" s="113"/>
    </row>
    <row r="319" spans="1:15" ht="24" customHeight="1">
      <c r="A319" s="92" t="s">
        <v>204</v>
      </c>
      <c r="B319" s="107"/>
      <c r="C319" s="107"/>
      <c r="D319" s="107"/>
      <c r="E319" s="110">
        <v>131580</v>
      </c>
      <c r="F319" s="110">
        <f>E319</f>
        <v>131580</v>
      </c>
      <c r="G319" s="107"/>
      <c r="H319" s="110">
        <v>136364</v>
      </c>
      <c r="I319" s="110">
        <f>H319</f>
        <v>136364</v>
      </c>
      <c r="J319" s="110">
        <f>H319/E319*100</f>
        <v>103.63581091351269</v>
      </c>
      <c r="K319" s="107"/>
      <c r="L319" s="110"/>
      <c r="M319" s="107"/>
      <c r="N319" s="110">
        <v>144000</v>
      </c>
      <c r="O319" s="110">
        <f>N319</f>
        <v>144000</v>
      </c>
    </row>
    <row r="320" spans="1:15" ht="11.25">
      <c r="A320" s="91" t="s">
        <v>7</v>
      </c>
      <c r="B320" s="113"/>
      <c r="C320" s="113"/>
      <c r="D320" s="107"/>
      <c r="E320" s="110"/>
      <c r="F320" s="110"/>
      <c r="G320" s="107"/>
      <c r="H320" s="110"/>
      <c r="I320" s="110"/>
      <c r="J320" s="110"/>
      <c r="K320" s="107"/>
      <c r="L320" s="110"/>
      <c r="M320" s="107"/>
      <c r="N320" s="110"/>
      <c r="O320" s="110"/>
    </row>
    <row r="321" spans="1:15" ht="50.25" customHeight="1">
      <c r="A321" s="92" t="s">
        <v>205</v>
      </c>
      <c r="B321" s="107"/>
      <c r="C321" s="107"/>
      <c r="D321" s="107"/>
      <c r="E321" s="110"/>
      <c r="F321" s="110"/>
      <c r="G321" s="107"/>
      <c r="H321" s="110">
        <f>H317/H315*100</f>
        <v>11.262798634812286</v>
      </c>
      <c r="I321" s="110">
        <f>I317/I315*100</f>
        <v>11.262798634812286</v>
      </c>
      <c r="J321" s="110" t="e">
        <f>J317/J315*100</f>
        <v>#DIV/0!</v>
      </c>
      <c r="K321" s="110" t="e">
        <f>K317/K315*100</f>
        <v>#DIV/0!</v>
      </c>
      <c r="L321" s="110" t="e">
        <f>L317/L315*100</f>
        <v>#DIV/0!</v>
      </c>
      <c r="M321" s="107"/>
      <c r="N321" s="110">
        <f>N317/N315*100</f>
        <v>2.1331058020477816</v>
      </c>
      <c r="O321" s="110">
        <f>O317/O315*100</f>
        <v>2.1331058020477816</v>
      </c>
    </row>
    <row r="322" spans="1:234" s="195" customFormat="1" ht="29.25" customHeight="1">
      <c r="A322" s="182" t="s">
        <v>374</v>
      </c>
      <c r="B322" s="191"/>
      <c r="C322" s="191"/>
      <c r="D322" s="193"/>
      <c r="E322" s="193">
        <f>5000000</f>
        <v>5000000</v>
      </c>
      <c r="F322" s="193">
        <f>E322</f>
        <v>5000000</v>
      </c>
      <c r="G322" s="193"/>
      <c r="H322" s="193">
        <f>20000000+12500000</f>
        <v>32500000</v>
      </c>
      <c r="I322" s="193">
        <f>H322</f>
        <v>32500000</v>
      </c>
      <c r="J322" s="193"/>
      <c r="K322" s="193"/>
      <c r="L322" s="193"/>
      <c r="M322" s="193"/>
      <c r="N322" s="193">
        <v>5000000</v>
      </c>
      <c r="O322" s="193">
        <v>5000000</v>
      </c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  <c r="BM322" s="194"/>
      <c r="BN322" s="194"/>
      <c r="BO322" s="194"/>
      <c r="BP322" s="194"/>
      <c r="BQ322" s="194"/>
      <c r="BR322" s="194"/>
      <c r="BS322" s="194"/>
      <c r="BT322" s="194"/>
      <c r="BU322" s="194"/>
      <c r="BV322" s="194"/>
      <c r="BW322" s="194"/>
      <c r="BX322" s="194"/>
      <c r="BY322" s="194"/>
      <c r="BZ322" s="194"/>
      <c r="CA322" s="194"/>
      <c r="CB322" s="194"/>
      <c r="CC322" s="194"/>
      <c r="CD322" s="194"/>
      <c r="CE322" s="194"/>
      <c r="CF322" s="194"/>
      <c r="CG322" s="194"/>
      <c r="CH322" s="194"/>
      <c r="CI322" s="194"/>
      <c r="CJ322" s="194"/>
      <c r="CK322" s="194"/>
      <c r="CL322" s="194"/>
      <c r="CM322" s="194"/>
      <c r="CN322" s="194"/>
      <c r="CO322" s="194"/>
      <c r="CP322" s="194"/>
      <c r="CQ322" s="194"/>
      <c r="CR322" s="194"/>
      <c r="CS322" s="194"/>
      <c r="CT322" s="194"/>
      <c r="CU322" s="194"/>
      <c r="CV322" s="194"/>
      <c r="CW322" s="194"/>
      <c r="CX322" s="194"/>
      <c r="CY322" s="194"/>
      <c r="CZ322" s="194"/>
      <c r="DA322" s="194"/>
      <c r="DB322" s="194"/>
      <c r="DC322" s="194"/>
      <c r="DD322" s="194"/>
      <c r="DE322" s="194"/>
      <c r="DF322" s="194"/>
      <c r="DG322" s="194"/>
      <c r="DH322" s="194"/>
      <c r="DI322" s="194"/>
      <c r="DJ322" s="194"/>
      <c r="DK322" s="194"/>
      <c r="DL322" s="194"/>
      <c r="DM322" s="194"/>
      <c r="DN322" s="194"/>
      <c r="DO322" s="194"/>
      <c r="DP322" s="194"/>
      <c r="DQ322" s="194"/>
      <c r="DR322" s="194"/>
      <c r="DS322" s="194"/>
      <c r="DT322" s="194"/>
      <c r="DU322" s="194"/>
      <c r="DV322" s="194"/>
      <c r="DW322" s="194"/>
      <c r="DX322" s="194"/>
      <c r="DY322" s="194"/>
      <c r="DZ322" s="194"/>
      <c r="EA322" s="194"/>
      <c r="EB322" s="194"/>
      <c r="EC322" s="194"/>
      <c r="ED322" s="194"/>
      <c r="EE322" s="194"/>
      <c r="EF322" s="194"/>
      <c r="EG322" s="194"/>
      <c r="EH322" s="194"/>
      <c r="EI322" s="194"/>
      <c r="EJ322" s="194"/>
      <c r="EK322" s="194"/>
      <c r="EL322" s="194"/>
      <c r="EM322" s="194"/>
      <c r="EN322" s="194"/>
      <c r="EO322" s="194"/>
      <c r="EP322" s="194"/>
      <c r="EQ322" s="194"/>
      <c r="ER322" s="194"/>
      <c r="ES322" s="194"/>
      <c r="ET322" s="194"/>
      <c r="EU322" s="194"/>
      <c r="EV322" s="194"/>
      <c r="EW322" s="194"/>
      <c r="EX322" s="194"/>
      <c r="EY322" s="194"/>
      <c r="EZ322" s="194"/>
      <c r="FA322" s="194"/>
      <c r="FB322" s="194"/>
      <c r="FC322" s="194"/>
      <c r="FD322" s="194"/>
      <c r="FE322" s="194"/>
      <c r="FF322" s="194"/>
      <c r="FG322" s="194"/>
      <c r="FH322" s="194"/>
      <c r="FI322" s="194"/>
      <c r="FJ322" s="194"/>
      <c r="FK322" s="194"/>
      <c r="FL322" s="194"/>
      <c r="FM322" s="194"/>
      <c r="FN322" s="194"/>
      <c r="FO322" s="194"/>
      <c r="FP322" s="194"/>
      <c r="FQ322" s="194"/>
      <c r="FR322" s="194"/>
      <c r="FS322" s="194"/>
      <c r="FT322" s="194"/>
      <c r="FU322" s="194"/>
      <c r="FV322" s="194"/>
      <c r="FW322" s="194"/>
      <c r="FX322" s="194"/>
      <c r="FY322" s="194"/>
      <c r="FZ322" s="194"/>
      <c r="GA322" s="194"/>
      <c r="GB322" s="194"/>
      <c r="GC322" s="194"/>
      <c r="GD322" s="194"/>
      <c r="GE322" s="194"/>
      <c r="GF322" s="194"/>
      <c r="GG322" s="194"/>
      <c r="GH322" s="194"/>
      <c r="GI322" s="194"/>
      <c r="GJ322" s="194"/>
      <c r="GK322" s="194"/>
      <c r="GL322" s="194"/>
      <c r="GM322" s="194"/>
      <c r="GN322" s="194"/>
      <c r="GO322" s="194"/>
      <c r="GP322" s="194"/>
      <c r="GQ322" s="194"/>
      <c r="GR322" s="194"/>
      <c r="GS322" s="194"/>
      <c r="GT322" s="194"/>
      <c r="GU322" s="194"/>
      <c r="GV322" s="194"/>
      <c r="GW322" s="194"/>
      <c r="GX322" s="194"/>
      <c r="GY322" s="194"/>
      <c r="GZ322" s="194"/>
      <c r="HA322" s="194"/>
      <c r="HB322" s="194"/>
      <c r="HC322" s="194"/>
      <c r="HD322" s="194"/>
      <c r="HE322" s="194"/>
      <c r="HF322" s="194"/>
      <c r="HG322" s="194"/>
      <c r="HH322" s="194"/>
      <c r="HI322" s="194"/>
      <c r="HJ322" s="194"/>
      <c r="HK322" s="194"/>
      <c r="HL322" s="194"/>
      <c r="HM322" s="194"/>
      <c r="HN322" s="194"/>
      <c r="HO322" s="194"/>
      <c r="HP322" s="194"/>
      <c r="HQ322" s="194"/>
      <c r="HR322" s="194"/>
      <c r="HS322" s="194"/>
      <c r="HT322" s="194"/>
      <c r="HU322" s="194"/>
      <c r="HV322" s="194"/>
      <c r="HW322" s="194"/>
      <c r="HX322" s="194"/>
      <c r="HY322" s="194"/>
      <c r="HZ322" s="194"/>
    </row>
    <row r="323" spans="1:234" s="151" customFormat="1" ht="11.25">
      <c r="A323" s="31" t="s">
        <v>5</v>
      </c>
      <c r="B323" s="8"/>
      <c r="C323" s="8"/>
      <c r="D323" s="8"/>
      <c r="E323" s="7"/>
      <c r="F323" s="7"/>
      <c r="G323" s="8"/>
      <c r="H323" s="7"/>
      <c r="I323" s="7"/>
      <c r="J323" s="7"/>
      <c r="K323" s="7"/>
      <c r="L323" s="7"/>
      <c r="M323" s="8"/>
      <c r="N323" s="7"/>
      <c r="O323" s="7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  <c r="BL323" s="150"/>
      <c r="BM323" s="150"/>
      <c r="BN323" s="150"/>
      <c r="BO323" s="150"/>
      <c r="BP323" s="150"/>
      <c r="BQ323" s="150"/>
      <c r="BR323" s="150"/>
      <c r="BS323" s="150"/>
      <c r="BT323" s="150"/>
      <c r="BU323" s="150"/>
      <c r="BV323" s="150"/>
      <c r="BW323" s="150"/>
      <c r="BX323" s="150"/>
      <c r="BY323" s="150"/>
      <c r="BZ323" s="150"/>
      <c r="CA323" s="150"/>
      <c r="CB323" s="150"/>
      <c r="CC323" s="150"/>
      <c r="CD323" s="150"/>
      <c r="CE323" s="150"/>
      <c r="CF323" s="150"/>
      <c r="CG323" s="150"/>
      <c r="CH323" s="150"/>
      <c r="CI323" s="150"/>
      <c r="CJ323" s="150"/>
      <c r="CK323" s="150"/>
      <c r="CL323" s="150"/>
      <c r="CM323" s="150"/>
      <c r="CN323" s="150"/>
      <c r="CO323" s="150"/>
      <c r="CP323" s="150"/>
      <c r="CQ323" s="150"/>
      <c r="CR323" s="150"/>
      <c r="CS323" s="150"/>
      <c r="CT323" s="150"/>
      <c r="CU323" s="150"/>
      <c r="CV323" s="150"/>
      <c r="CW323" s="150"/>
      <c r="CX323" s="150"/>
      <c r="CY323" s="150"/>
      <c r="CZ323" s="150"/>
      <c r="DA323" s="150"/>
      <c r="DB323" s="150"/>
      <c r="DC323" s="150"/>
      <c r="DD323" s="150"/>
      <c r="DE323" s="150"/>
      <c r="DF323" s="150"/>
      <c r="DG323" s="150"/>
      <c r="DH323" s="150"/>
      <c r="DI323" s="150"/>
      <c r="DJ323" s="150"/>
      <c r="DK323" s="150"/>
      <c r="DL323" s="150"/>
      <c r="DM323" s="150"/>
      <c r="DN323" s="150"/>
      <c r="DO323" s="150"/>
      <c r="DP323" s="150"/>
      <c r="DQ323" s="150"/>
      <c r="DR323" s="150"/>
      <c r="DS323" s="150"/>
      <c r="DT323" s="150"/>
      <c r="DU323" s="150"/>
      <c r="DV323" s="150"/>
      <c r="DW323" s="150"/>
      <c r="DX323" s="150"/>
      <c r="DY323" s="150"/>
      <c r="DZ323" s="150"/>
      <c r="EA323" s="150"/>
      <c r="EB323" s="150"/>
      <c r="EC323" s="150"/>
      <c r="ED323" s="150"/>
      <c r="EE323" s="150"/>
      <c r="EF323" s="150"/>
      <c r="EG323" s="150"/>
      <c r="EH323" s="150"/>
      <c r="EI323" s="150"/>
      <c r="EJ323" s="150"/>
      <c r="EK323" s="150"/>
      <c r="EL323" s="150"/>
      <c r="EM323" s="150"/>
      <c r="EN323" s="150"/>
      <c r="EO323" s="150"/>
      <c r="EP323" s="150"/>
      <c r="EQ323" s="150"/>
      <c r="ER323" s="150"/>
      <c r="ES323" s="150"/>
      <c r="ET323" s="150"/>
      <c r="EU323" s="150"/>
      <c r="EV323" s="150"/>
      <c r="EW323" s="150"/>
      <c r="EX323" s="150"/>
      <c r="EY323" s="150"/>
      <c r="EZ323" s="150"/>
      <c r="FA323" s="150"/>
      <c r="FB323" s="150"/>
      <c r="FC323" s="150"/>
      <c r="FD323" s="150"/>
      <c r="FE323" s="150"/>
      <c r="FF323" s="150"/>
      <c r="FG323" s="150"/>
      <c r="FH323" s="150"/>
      <c r="FI323" s="150"/>
      <c r="FJ323" s="150"/>
      <c r="FK323" s="150"/>
      <c r="FL323" s="150"/>
      <c r="FM323" s="150"/>
      <c r="FN323" s="150"/>
      <c r="FO323" s="150"/>
      <c r="FP323" s="150"/>
      <c r="FQ323" s="150"/>
      <c r="FR323" s="150"/>
      <c r="FS323" s="150"/>
      <c r="FT323" s="150"/>
      <c r="FU323" s="150"/>
      <c r="FV323" s="150"/>
      <c r="FW323" s="150"/>
      <c r="FX323" s="150"/>
      <c r="FY323" s="150"/>
      <c r="FZ323" s="150"/>
      <c r="GA323" s="150"/>
      <c r="GB323" s="150"/>
      <c r="GC323" s="150"/>
      <c r="GD323" s="150"/>
      <c r="GE323" s="150"/>
      <c r="GF323" s="150"/>
      <c r="GG323" s="150"/>
      <c r="GH323" s="150"/>
      <c r="GI323" s="150"/>
      <c r="GJ323" s="150"/>
      <c r="GK323" s="150"/>
      <c r="GL323" s="150"/>
      <c r="GM323" s="150"/>
      <c r="GN323" s="150"/>
      <c r="GO323" s="150"/>
      <c r="GP323" s="150"/>
      <c r="GQ323" s="150"/>
      <c r="GR323" s="150"/>
      <c r="GS323" s="150"/>
      <c r="GT323" s="150"/>
      <c r="GU323" s="150"/>
      <c r="GV323" s="150"/>
      <c r="GW323" s="150"/>
      <c r="GX323" s="150"/>
      <c r="GY323" s="150"/>
      <c r="GZ323" s="150"/>
      <c r="HA323" s="150"/>
      <c r="HB323" s="150"/>
      <c r="HC323" s="150"/>
      <c r="HD323" s="150"/>
      <c r="HE323" s="150"/>
      <c r="HF323" s="150"/>
      <c r="HG323" s="150"/>
      <c r="HH323" s="150"/>
      <c r="HI323" s="150"/>
      <c r="HJ323" s="150"/>
      <c r="HK323" s="150"/>
      <c r="HL323" s="150"/>
      <c r="HM323" s="150"/>
      <c r="HN323" s="150"/>
      <c r="HO323" s="150"/>
      <c r="HP323" s="150"/>
      <c r="HQ323" s="150"/>
      <c r="HR323" s="150"/>
      <c r="HS323" s="150"/>
      <c r="HT323" s="150"/>
      <c r="HU323" s="150"/>
      <c r="HV323" s="150"/>
      <c r="HW323" s="150"/>
      <c r="HX323" s="150"/>
      <c r="HY323" s="150"/>
      <c r="HZ323" s="150"/>
    </row>
    <row r="324" spans="1:234" s="151" customFormat="1" ht="25.5" customHeight="1">
      <c r="A324" s="32" t="s">
        <v>297</v>
      </c>
      <c r="B324" s="8"/>
      <c r="C324" s="8"/>
      <c r="D324" s="8"/>
      <c r="E324" s="10">
        <f>(1511*70)/100</f>
        <v>1057.7</v>
      </c>
      <c r="F324" s="10">
        <f>E324</f>
        <v>1057.7</v>
      </c>
      <c r="G324" s="8"/>
      <c r="H324" s="7">
        <f>1058-35</f>
        <v>1023</v>
      </c>
      <c r="I324" s="7">
        <f>H324</f>
        <v>1023</v>
      </c>
      <c r="J324" s="7"/>
      <c r="K324" s="7"/>
      <c r="L324" s="7"/>
      <c r="M324" s="8"/>
      <c r="N324" s="7">
        <f>1023-43</f>
        <v>980</v>
      </c>
      <c r="O324" s="7">
        <f>N324</f>
        <v>980</v>
      </c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  <c r="BI324" s="150"/>
      <c r="BJ324" s="150"/>
      <c r="BK324" s="150"/>
      <c r="BL324" s="150"/>
      <c r="BM324" s="150"/>
      <c r="BN324" s="150"/>
      <c r="BO324" s="150"/>
      <c r="BP324" s="150"/>
      <c r="BQ324" s="150"/>
      <c r="BR324" s="150"/>
      <c r="BS324" s="150"/>
      <c r="BT324" s="150"/>
      <c r="BU324" s="150"/>
      <c r="BV324" s="150"/>
      <c r="BW324" s="150"/>
      <c r="BX324" s="150"/>
      <c r="BY324" s="150"/>
      <c r="BZ324" s="150"/>
      <c r="CA324" s="150"/>
      <c r="CB324" s="150"/>
      <c r="CC324" s="150"/>
      <c r="CD324" s="150"/>
      <c r="CE324" s="150"/>
      <c r="CF324" s="150"/>
      <c r="CG324" s="150"/>
      <c r="CH324" s="150"/>
      <c r="CI324" s="150"/>
      <c r="CJ324" s="150"/>
      <c r="CK324" s="150"/>
      <c r="CL324" s="150"/>
      <c r="CM324" s="150"/>
      <c r="CN324" s="150"/>
      <c r="CO324" s="150"/>
      <c r="CP324" s="150"/>
      <c r="CQ324" s="150"/>
      <c r="CR324" s="150"/>
      <c r="CS324" s="150"/>
      <c r="CT324" s="150"/>
      <c r="CU324" s="150"/>
      <c r="CV324" s="150"/>
      <c r="CW324" s="150"/>
      <c r="CX324" s="150"/>
      <c r="CY324" s="150"/>
      <c r="CZ324" s="150"/>
      <c r="DA324" s="150"/>
      <c r="DB324" s="150"/>
      <c r="DC324" s="150"/>
      <c r="DD324" s="150"/>
      <c r="DE324" s="150"/>
      <c r="DF324" s="150"/>
      <c r="DG324" s="150"/>
      <c r="DH324" s="150"/>
      <c r="DI324" s="150"/>
      <c r="DJ324" s="150"/>
      <c r="DK324" s="150"/>
      <c r="DL324" s="150"/>
      <c r="DM324" s="150"/>
      <c r="DN324" s="150"/>
      <c r="DO324" s="150"/>
      <c r="DP324" s="150"/>
      <c r="DQ324" s="150"/>
      <c r="DR324" s="150"/>
      <c r="DS324" s="150"/>
      <c r="DT324" s="150"/>
      <c r="DU324" s="150"/>
      <c r="DV324" s="150"/>
      <c r="DW324" s="150"/>
      <c r="DX324" s="150"/>
      <c r="DY324" s="150"/>
      <c r="DZ324" s="150"/>
      <c r="EA324" s="150"/>
      <c r="EB324" s="150"/>
      <c r="EC324" s="150"/>
      <c r="ED324" s="150"/>
      <c r="EE324" s="150"/>
      <c r="EF324" s="150"/>
      <c r="EG324" s="150"/>
      <c r="EH324" s="150"/>
      <c r="EI324" s="150"/>
      <c r="EJ324" s="150"/>
      <c r="EK324" s="150"/>
      <c r="EL324" s="150"/>
      <c r="EM324" s="150"/>
      <c r="EN324" s="150"/>
      <c r="EO324" s="150"/>
      <c r="EP324" s="150"/>
      <c r="EQ324" s="150"/>
      <c r="ER324" s="150"/>
      <c r="ES324" s="150"/>
      <c r="ET324" s="150"/>
      <c r="EU324" s="150"/>
      <c r="EV324" s="150"/>
      <c r="EW324" s="150"/>
      <c r="EX324" s="150"/>
      <c r="EY324" s="150"/>
      <c r="EZ324" s="150"/>
      <c r="FA324" s="150"/>
      <c r="FB324" s="150"/>
      <c r="FC324" s="150"/>
      <c r="FD324" s="150"/>
      <c r="FE324" s="150"/>
      <c r="FF324" s="150"/>
      <c r="FG324" s="150"/>
      <c r="FH324" s="150"/>
      <c r="FI324" s="150"/>
      <c r="FJ324" s="150"/>
      <c r="FK324" s="150"/>
      <c r="FL324" s="150"/>
      <c r="FM324" s="150"/>
      <c r="FN324" s="150"/>
      <c r="FO324" s="150"/>
      <c r="FP324" s="150"/>
      <c r="FQ324" s="150"/>
      <c r="FR324" s="150"/>
      <c r="FS324" s="150"/>
      <c r="FT324" s="150"/>
      <c r="FU324" s="150"/>
      <c r="FV324" s="150"/>
      <c r="FW324" s="150"/>
      <c r="FX324" s="150"/>
      <c r="FY324" s="150"/>
      <c r="FZ324" s="150"/>
      <c r="GA324" s="150"/>
      <c r="GB324" s="150"/>
      <c r="GC324" s="150"/>
      <c r="GD324" s="150"/>
      <c r="GE324" s="150"/>
      <c r="GF324" s="150"/>
      <c r="GG324" s="150"/>
      <c r="GH324" s="150"/>
      <c r="GI324" s="150"/>
      <c r="GJ324" s="150"/>
      <c r="GK324" s="150"/>
      <c r="GL324" s="150"/>
      <c r="GM324" s="150"/>
      <c r="GN324" s="150"/>
      <c r="GO324" s="150"/>
      <c r="GP324" s="150"/>
      <c r="GQ324" s="150"/>
      <c r="GR324" s="150"/>
      <c r="GS324" s="150"/>
      <c r="GT324" s="150"/>
      <c r="GU324" s="150"/>
      <c r="GV324" s="150"/>
      <c r="GW324" s="150"/>
      <c r="GX324" s="150"/>
      <c r="GY324" s="150"/>
      <c r="GZ324" s="150"/>
      <c r="HA324" s="150"/>
      <c r="HB324" s="150"/>
      <c r="HC324" s="150"/>
      <c r="HD324" s="150"/>
      <c r="HE324" s="150"/>
      <c r="HF324" s="150"/>
      <c r="HG324" s="150"/>
      <c r="HH324" s="150"/>
      <c r="HI324" s="150"/>
      <c r="HJ324" s="150"/>
      <c r="HK324" s="150"/>
      <c r="HL324" s="150"/>
      <c r="HM324" s="150"/>
      <c r="HN324" s="150"/>
      <c r="HO324" s="150"/>
      <c r="HP324" s="150"/>
      <c r="HQ324" s="150"/>
      <c r="HR324" s="150"/>
      <c r="HS324" s="150"/>
      <c r="HT324" s="150"/>
      <c r="HU324" s="150"/>
      <c r="HV324" s="150"/>
      <c r="HW324" s="150"/>
      <c r="HX324" s="150"/>
      <c r="HY324" s="150"/>
      <c r="HZ324" s="150"/>
    </row>
    <row r="325" spans="1:234" s="151" customFormat="1" ht="11.25">
      <c r="A325" s="31" t="s">
        <v>6</v>
      </c>
      <c r="B325" s="8"/>
      <c r="C325" s="8"/>
      <c r="D325" s="8"/>
      <c r="E325" s="7"/>
      <c r="F325" s="7"/>
      <c r="G325" s="8"/>
      <c r="H325" s="7"/>
      <c r="I325" s="7"/>
      <c r="J325" s="7"/>
      <c r="K325" s="7"/>
      <c r="L325" s="7"/>
      <c r="M325" s="8"/>
      <c r="N325" s="7"/>
      <c r="O325" s="7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  <c r="BI325" s="150"/>
      <c r="BJ325" s="150"/>
      <c r="BK325" s="150"/>
      <c r="BL325" s="150"/>
      <c r="BM325" s="150"/>
      <c r="BN325" s="150"/>
      <c r="BO325" s="150"/>
      <c r="BP325" s="150"/>
      <c r="BQ325" s="150"/>
      <c r="BR325" s="150"/>
      <c r="BS325" s="150"/>
      <c r="BT325" s="150"/>
      <c r="BU325" s="150"/>
      <c r="BV325" s="150"/>
      <c r="BW325" s="150"/>
      <c r="BX325" s="150"/>
      <c r="BY325" s="150"/>
      <c r="BZ325" s="150"/>
      <c r="CA325" s="150"/>
      <c r="CB325" s="150"/>
      <c r="CC325" s="150"/>
      <c r="CD325" s="150"/>
      <c r="CE325" s="150"/>
      <c r="CF325" s="150"/>
      <c r="CG325" s="150"/>
      <c r="CH325" s="150"/>
      <c r="CI325" s="150"/>
      <c r="CJ325" s="150"/>
      <c r="CK325" s="150"/>
      <c r="CL325" s="150"/>
      <c r="CM325" s="150"/>
      <c r="CN325" s="150"/>
      <c r="CO325" s="150"/>
      <c r="CP325" s="150"/>
      <c r="CQ325" s="150"/>
      <c r="CR325" s="150"/>
      <c r="CS325" s="150"/>
      <c r="CT325" s="150"/>
      <c r="CU325" s="150"/>
      <c r="CV325" s="150"/>
      <c r="CW325" s="150"/>
      <c r="CX325" s="150"/>
      <c r="CY325" s="150"/>
      <c r="CZ325" s="150"/>
      <c r="DA325" s="150"/>
      <c r="DB325" s="150"/>
      <c r="DC325" s="150"/>
      <c r="DD325" s="150"/>
      <c r="DE325" s="150"/>
      <c r="DF325" s="150"/>
      <c r="DG325" s="150"/>
      <c r="DH325" s="150"/>
      <c r="DI325" s="150"/>
      <c r="DJ325" s="150"/>
      <c r="DK325" s="150"/>
      <c r="DL325" s="150"/>
      <c r="DM325" s="150"/>
      <c r="DN325" s="150"/>
      <c r="DO325" s="150"/>
      <c r="DP325" s="150"/>
      <c r="DQ325" s="150"/>
      <c r="DR325" s="150"/>
      <c r="DS325" s="150"/>
      <c r="DT325" s="150"/>
      <c r="DU325" s="150"/>
      <c r="DV325" s="150"/>
      <c r="DW325" s="150"/>
      <c r="DX325" s="150"/>
      <c r="DY325" s="150"/>
      <c r="DZ325" s="150"/>
      <c r="EA325" s="150"/>
      <c r="EB325" s="150"/>
      <c r="EC325" s="150"/>
      <c r="ED325" s="150"/>
      <c r="EE325" s="150"/>
      <c r="EF325" s="150"/>
      <c r="EG325" s="150"/>
      <c r="EH325" s="150"/>
      <c r="EI325" s="150"/>
      <c r="EJ325" s="150"/>
      <c r="EK325" s="150"/>
      <c r="EL325" s="150"/>
      <c r="EM325" s="150"/>
      <c r="EN325" s="150"/>
      <c r="EO325" s="150"/>
      <c r="EP325" s="150"/>
      <c r="EQ325" s="150"/>
      <c r="ER325" s="150"/>
      <c r="ES325" s="150"/>
      <c r="ET325" s="150"/>
      <c r="EU325" s="150"/>
      <c r="EV325" s="150"/>
      <c r="EW325" s="150"/>
      <c r="EX325" s="150"/>
      <c r="EY325" s="150"/>
      <c r="EZ325" s="150"/>
      <c r="FA325" s="150"/>
      <c r="FB325" s="150"/>
      <c r="FC325" s="150"/>
      <c r="FD325" s="150"/>
      <c r="FE325" s="150"/>
      <c r="FF325" s="150"/>
      <c r="FG325" s="150"/>
      <c r="FH325" s="150"/>
      <c r="FI325" s="150"/>
      <c r="FJ325" s="150"/>
      <c r="FK325" s="150"/>
      <c r="FL325" s="150"/>
      <c r="FM325" s="150"/>
      <c r="FN325" s="150"/>
      <c r="FO325" s="150"/>
      <c r="FP325" s="150"/>
      <c r="FQ325" s="150"/>
      <c r="FR325" s="150"/>
      <c r="FS325" s="150"/>
      <c r="FT325" s="150"/>
      <c r="FU325" s="150"/>
      <c r="FV325" s="150"/>
      <c r="FW325" s="150"/>
      <c r="FX325" s="150"/>
      <c r="FY325" s="150"/>
      <c r="FZ325" s="150"/>
      <c r="GA325" s="150"/>
      <c r="GB325" s="150"/>
      <c r="GC325" s="150"/>
      <c r="GD325" s="150"/>
      <c r="GE325" s="150"/>
      <c r="GF325" s="150"/>
      <c r="GG325" s="150"/>
      <c r="GH325" s="150"/>
      <c r="GI325" s="150"/>
      <c r="GJ325" s="150"/>
      <c r="GK325" s="150"/>
      <c r="GL325" s="150"/>
      <c r="GM325" s="150"/>
      <c r="GN325" s="150"/>
      <c r="GO325" s="150"/>
      <c r="GP325" s="150"/>
      <c r="GQ325" s="150"/>
      <c r="GR325" s="150"/>
      <c r="GS325" s="150"/>
      <c r="GT325" s="150"/>
      <c r="GU325" s="150"/>
      <c r="GV325" s="150"/>
      <c r="GW325" s="150"/>
      <c r="GX325" s="150"/>
      <c r="GY325" s="150"/>
      <c r="GZ325" s="150"/>
      <c r="HA325" s="150"/>
      <c r="HB325" s="150"/>
      <c r="HC325" s="150"/>
      <c r="HD325" s="150"/>
      <c r="HE325" s="150"/>
      <c r="HF325" s="150"/>
      <c r="HG325" s="150"/>
      <c r="HH325" s="150"/>
      <c r="HI325" s="150"/>
      <c r="HJ325" s="150"/>
      <c r="HK325" s="150"/>
      <c r="HL325" s="150"/>
      <c r="HM325" s="150"/>
      <c r="HN325" s="150"/>
      <c r="HO325" s="150"/>
      <c r="HP325" s="150"/>
      <c r="HQ325" s="150"/>
      <c r="HR325" s="150"/>
      <c r="HS325" s="150"/>
      <c r="HT325" s="150"/>
      <c r="HU325" s="150"/>
      <c r="HV325" s="150"/>
      <c r="HW325" s="150"/>
      <c r="HX325" s="150"/>
      <c r="HY325" s="150"/>
      <c r="HZ325" s="150"/>
    </row>
    <row r="326" spans="1:234" s="151" customFormat="1" ht="28.5" customHeight="1">
      <c r="A326" s="32" t="s">
        <v>298</v>
      </c>
      <c r="B326" s="8"/>
      <c r="C326" s="8"/>
      <c r="D326" s="8"/>
      <c r="E326" s="7">
        <v>35</v>
      </c>
      <c r="F326" s="7">
        <v>35</v>
      </c>
      <c r="G326" s="8"/>
      <c r="H326" s="7">
        <v>228</v>
      </c>
      <c r="I326" s="7">
        <v>140</v>
      </c>
      <c r="J326" s="7"/>
      <c r="K326" s="7"/>
      <c r="L326" s="7"/>
      <c r="M326" s="8"/>
      <c r="N326" s="7">
        <v>41</v>
      </c>
      <c r="O326" s="7">
        <v>41</v>
      </c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  <c r="BL326" s="150"/>
      <c r="BM326" s="150"/>
      <c r="BN326" s="150"/>
      <c r="BO326" s="150"/>
      <c r="BP326" s="150"/>
      <c r="BQ326" s="150"/>
      <c r="BR326" s="150"/>
      <c r="BS326" s="150"/>
      <c r="BT326" s="150"/>
      <c r="BU326" s="150"/>
      <c r="BV326" s="150"/>
      <c r="BW326" s="150"/>
      <c r="BX326" s="150"/>
      <c r="BY326" s="150"/>
      <c r="BZ326" s="150"/>
      <c r="CA326" s="150"/>
      <c r="CB326" s="150"/>
      <c r="CC326" s="150"/>
      <c r="CD326" s="150"/>
      <c r="CE326" s="150"/>
      <c r="CF326" s="150"/>
      <c r="CG326" s="150"/>
      <c r="CH326" s="150"/>
      <c r="CI326" s="150"/>
      <c r="CJ326" s="150"/>
      <c r="CK326" s="150"/>
      <c r="CL326" s="150"/>
      <c r="CM326" s="150"/>
      <c r="CN326" s="150"/>
      <c r="CO326" s="150"/>
      <c r="CP326" s="150"/>
      <c r="CQ326" s="150"/>
      <c r="CR326" s="150"/>
      <c r="CS326" s="150"/>
      <c r="CT326" s="150"/>
      <c r="CU326" s="150"/>
      <c r="CV326" s="150"/>
      <c r="CW326" s="150"/>
      <c r="CX326" s="150"/>
      <c r="CY326" s="150"/>
      <c r="CZ326" s="150"/>
      <c r="DA326" s="150"/>
      <c r="DB326" s="150"/>
      <c r="DC326" s="150"/>
      <c r="DD326" s="150"/>
      <c r="DE326" s="150"/>
      <c r="DF326" s="150"/>
      <c r="DG326" s="150"/>
      <c r="DH326" s="150"/>
      <c r="DI326" s="150"/>
      <c r="DJ326" s="150"/>
      <c r="DK326" s="150"/>
      <c r="DL326" s="150"/>
      <c r="DM326" s="150"/>
      <c r="DN326" s="150"/>
      <c r="DO326" s="150"/>
      <c r="DP326" s="150"/>
      <c r="DQ326" s="150"/>
      <c r="DR326" s="150"/>
      <c r="DS326" s="150"/>
      <c r="DT326" s="150"/>
      <c r="DU326" s="150"/>
      <c r="DV326" s="150"/>
      <c r="DW326" s="150"/>
      <c r="DX326" s="150"/>
      <c r="DY326" s="150"/>
      <c r="DZ326" s="150"/>
      <c r="EA326" s="150"/>
      <c r="EB326" s="150"/>
      <c r="EC326" s="150"/>
      <c r="ED326" s="150"/>
      <c r="EE326" s="150"/>
      <c r="EF326" s="150"/>
      <c r="EG326" s="150"/>
      <c r="EH326" s="150"/>
      <c r="EI326" s="150"/>
      <c r="EJ326" s="150"/>
      <c r="EK326" s="150"/>
      <c r="EL326" s="150"/>
      <c r="EM326" s="150"/>
      <c r="EN326" s="150"/>
      <c r="EO326" s="150"/>
      <c r="EP326" s="150"/>
      <c r="EQ326" s="150"/>
      <c r="ER326" s="150"/>
      <c r="ES326" s="150"/>
      <c r="ET326" s="150"/>
      <c r="EU326" s="150"/>
      <c r="EV326" s="150"/>
      <c r="EW326" s="150"/>
      <c r="EX326" s="150"/>
      <c r="EY326" s="150"/>
      <c r="EZ326" s="150"/>
      <c r="FA326" s="150"/>
      <c r="FB326" s="150"/>
      <c r="FC326" s="150"/>
      <c r="FD326" s="150"/>
      <c r="FE326" s="150"/>
      <c r="FF326" s="150"/>
      <c r="FG326" s="150"/>
      <c r="FH326" s="150"/>
      <c r="FI326" s="150"/>
      <c r="FJ326" s="150"/>
      <c r="FK326" s="150"/>
      <c r="FL326" s="150"/>
      <c r="FM326" s="150"/>
      <c r="FN326" s="150"/>
      <c r="FO326" s="150"/>
      <c r="FP326" s="150"/>
      <c r="FQ326" s="150"/>
      <c r="FR326" s="150"/>
      <c r="FS326" s="150"/>
      <c r="FT326" s="150"/>
      <c r="FU326" s="150"/>
      <c r="FV326" s="150"/>
      <c r="FW326" s="150"/>
      <c r="FX326" s="150"/>
      <c r="FY326" s="150"/>
      <c r="FZ326" s="150"/>
      <c r="GA326" s="150"/>
      <c r="GB326" s="150"/>
      <c r="GC326" s="150"/>
      <c r="GD326" s="150"/>
      <c r="GE326" s="150"/>
      <c r="GF326" s="150"/>
      <c r="GG326" s="150"/>
      <c r="GH326" s="150"/>
      <c r="GI326" s="150"/>
      <c r="GJ326" s="150"/>
      <c r="GK326" s="150"/>
      <c r="GL326" s="150"/>
      <c r="GM326" s="150"/>
      <c r="GN326" s="150"/>
      <c r="GO326" s="150"/>
      <c r="GP326" s="150"/>
      <c r="GQ326" s="150"/>
      <c r="GR326" s="150"/>
      <c r="GS326" s="150"/>
      <c r="GT326" s="150"/>
      <c r="GU326" s="150"/>
      <c r="GV326" s="150"/>
      <c r="GW326" s="150"/>
      <c r="GX326" s="150"/>
      <c r="GY326" s="150"/>
      <c r="GZ326" s="150"/>
      <c r="HA326" s="150"/>
      <c r="HB326" s="150"/>
      <c r="HC326" s="150"/>
      <c r="HD326" s="150"/>
      <c r="HE326" s="150"/>
      <c r="HF326" s="150"/>
      <c r="HG326" s="150"/>
      <c r="HH326" s="150"/>
      <c r="HI326" s="150"/>
      <c r="HJ326" s="150"/>
      <c r="HK326" s="150"/>
      <c r="HL326" s="150"/>
      <c r="HM326" s="150"/>
      <c r="HN326" s="150"/>
      <c r="HO326" s="150"/>
      <c r="HP326" s="150"/>
      <c r="HQ326" s="150"/>
      <c r="HR326" s="150"/>
      <c r="HS326" s="150"/>
      <c r="HT326" s="150"/>
      <c r="HU326" s="150"/>
      <c r="HV326" s="150"/>
      <c r="HW326" s="150"/>
      <c r="HX326" s="150"/>
      <c r="HY326" s="150"/>
      <c r="HZ326" s="150"/>
    </row>
    <row r="327" spans="1:234" s="151" customFormat="1" ht="11.25">
      <c r="A327" s="31" t="s">
        <v>8</v>
      </c>
      <c r="B327" s="8"/>
      <c r="C327" s="8"/>
      <c r="D327" s="8"/>
      <c r="E327" s="7"/>
      <c r="F327" s="7"/>
      <c r="G327" s="8"/>
      <c r="H327" s="7"/>
      <c r="I327" s="7"/>
      <c r="J327" s="7"/>
      <c r="K327" s="7"/>
      <c r="L327" s="7"/>
      <c r="M327" s="8"/>
      <c r="N327" s="7"/>
      <c r="O327" s="7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  <c r="BL327" s="150"/>
      <c r="BM327" s="150"/>
      <c r="BN327" s="150"/>
      <c r="BO327" s="150"/>
      <c r="BP327" s="150"/>
      <c r="BQ327" s="150"/>
      <c r="BR327" s="150"/>
      <c r="BS327" s="150"/>
      <c r="BT327" s="150"/>
      <c r="BU327" s="150"/>
      <c r="BV327" s="150"/>
      <c r="BW327" s="150"/>
      <c r="BX327" s="150"/>
      <c r="BY327" s="150"/>
      <c r="BZ327" s="150"/>
      <c r="CA327" s="150"/>
      <c r="CB327" s="150"/>
      <c r="CC327" s="150"/>
      <c r="CD327" s="150"/>
      <c r="CE327" s="150"/>
      <c r="CF327" s="150"/>
      <c r="CG327" s="150"/>
      <c r="CH327" s="150"/>
      <c r="CI327" s="150"/>
      <c r="CJ327" s="150"/>
      <c r="CK327" s="150"/>
      <c r="CL327" s="150"/>
      <c r="CM327" s="150"/>
      <c r="CN327" s="150"/>
      <c r="CO327" s="150"/>
      <c r="CP327" s="150"/>
      <c r="CQ327" s="150"/>
      <c r="CR327" s="150"/>
      <c r="CS327" s="150"/>
      <c r="CT327" s="150"/>
      <c r="CU327" s="150"/>
      <c r="CV327" s="150"/>
      <c r="CW327" s="150"/>
      <c r="CX327" s="150"/>
      <c r="CY327" s="150"/>
      <c r="CZ327" s="150"/>
      <c r="DA327" s="150"/>
      <c r="DB327" s="150"/>
      <c r="DC327" s="150"/>
      <c r="DD327" s="150"/>
      <c r="DE327" s="150"/>
      <c r="DF327" s="150"/>
      <c r="DG327" s="150"/>
      <c r="DH327" s="150"/>
      <c r="DI327" s="150"/>
      <c r="DJ327" s="150"/>
      <c r="DK327" s="150"/>
      <c r="DL327" s="150"/>
      <c r="DM327" s="150"/>
      <c r="DN327" s="150"/>
      <c r="DO327" s="150"/>
      <c r="DP327" s="150"/>
      <c r="DQ327" s="150"/>
      <c r="DR327" s="150"/>
      <c r="DS327" s="150"/>
      <c r="DT327" s="150"/>
      <c r="DU327" s="150"/>
      <c r="DV327" s="150"/>
      <c r="DW327" s="150"/>
      <c r="DX327" s="150"/>
      <c r="DY327" s="150"/>
      <c r="DZ327" s="150"/>
      <c r="EA327" s="150"/>
      <c r="EB327" s="150"/>
      <c r="EC327" s="150"/>
      <c r="ED327" s="150"/>
      <c r="EE327" s="150"/>
      <c r="EF327" s="150"/>
      <c r="EG327" s="150"/>
      <c r="EH327" s="150"/>
      <c r="EI327" s="150"/>
      <c r="EJ327" s="150"/>
      <c r="EK327" s="150"/>
      <c r="EL327" s="150"/>
      <c r="EM327" s="150"/>
      <c r="EN327" s="150"/>
      <c r="EO327" s="150"/>
      <c r="EP327" s="150"/>
      <c r="EQ327" s="150"/>
      <c r="ER327" s="150"/>
      <c r="ES327" s="150"/>
      <c r="ET327" s="150"/>
      <c r="EU327" s="150"/>
      <c r="EV327" s="150"/>
      <c r="EW327" s="150"/>
      <c r="EX327" s="150"/>
      <c r="EY327" s="150"/>
      <c r="EZ327" s="150"/>
      <c r="FA327" s="150"/>
      <c r="FB327" s="150"/>
      <c r="FC327" s="150"/>
      <c r="FD327" s="150"/>
      <c r="FE327" s="150"/>
      <c r="FF327" s="150"/>
      <c r="FG327" s="150"/>
      <c r="FH327" s="150"/>
      <c r="FI327" s="150"/>
      <c r="FJ327" s="150"/>
      <c r="FK327" s="150"/>
      <c r="FL327" s="150"/>
      <c r="FM327" s="150"/>
      <c r="FN327" s="150"/>
      <c r="FO327" s="150"/>
      <c r="FP327" s="150"/>
      <c r="FQ327" s="150"/>
      <c r="FR327" s="150"/>
      <c r="FS327" s="150"/>
      <c r="FT327" s="150"/>
      <c r="FU327" s="150"/>
      <c r="FV327" s="150"/>
      <c r="FW327" s="150"/>
      <c r="FX327" s="150"/>
      <c r="FY327" s="150"/>
      <c r="FZ327" s="150"/>
      <c r="GA327" s="150"/>
      <c r="GB327" s="150"/>
      <c r="GC327" s="150"/>
      <c r="GD327" s="150"/>
      <c r="GE327" s="150"/>
      <c r="GF327" s="150"/>
      <c r="GG327" s="150"/>
      <c r="GH327" s="150"/>
      <c r="GI327" s="150"/>
      <c r="GJ327" s="150"/>
      <c r="GK327" s="150"/>
      <c r="GL327" s="150"/>
      <c r="GM327" s="150"/>
      <c r="GN327" s="150"/>
      <c r="GO327" s="150"/>
      <c r="GP327" s="150"/>
      <c r="GQ327" s="150"/>
      <c r="GR327" s="150"/>
      <c r="GS327" s="150"/>
      <c r="GT327" s="150"/>
      <c r="GU327" s="150"/>
      <c r="GV327" s="150"/>
      <c r="GW327" s="150"/>
      <c r="GX327" s="150"/>
      <c r="GY327" s="150"/>
      <c r="GZ327" s="150"/>
      <c r="HA327" s="150"/>
      <c r="HB327" s="150"/>
      <c r="HC327" s="150"/>
      <c r="HD327" s="150"/>
      <c r="HE327" s="150"/>
      <c r="HF327" s="150"/>
      <c r="HG327" s="150"/>
      <c r="HH327" s="150"/>
      <c r="HI327" s="150"/>
      <c r="HJ327" s="150"/>
      <c r="HK327" s="150"/>
      <c r="HL327" s="150"/>
      <c r="HM327" s="150"/>
      <c r="HN327" s="150"/>
      <c r="HO327" s="150"/>
      <c r="HP327" s="150"/>
      <c r="HQ327" s="150"/>
      <c r="HR327" s="150"/>
      <c r="HS327" s="150"/>
      <c r="HT327" s="150"/>
      <c r="HU327" s="150"/>
      <c r="HV327" s="150"/>
      <c r="HW327" s="150"/>
      <c r="HX327" s="150"/>
      <c r="HY327" s="150"/>
      <c r="HZ327" s="150"/>
    </row>
    <row r="328" spans="1:234" s="151" customFormat="1" ht="23.25" customHeight="1">
      <c r="A328" s="32" t="s">
        <v>204</v>
      </c>
      <c r="B328" s="8"/>
      <c r="C328" s="8"/>
      <c r="D328" s="8"/>
      <c r="E328" s="7">
        <f>E322/E326</f>
        <v>142857.14285714287</v>
      </c>
      <c r="F328" s="7">
        <f>E328</f>
        <v>142857.14285714287</v>
      </c>
      <c r="G328" s="8"/>
      <c r="H328" s="7">
        <f>H322/H326</f>
        <v>142543.8596491228</v>
      </c>
      <c r="I328" s="7">
        <f>H328</f>
        <v>142543.8596491228</v>
      </c>
      <c r="J328" s="7"/>
      <c r="K328" s="7"/>
      <c r="L328" s="7"/>
      <c r="M328" s="8"/>
      <c r="N328" s="7">
        <f>N322/N326</f>
        <v>121951.21951219512</v>
      </c>
      <c r="O328" s="7">
        <f>O322/O326</f>
        <v>121951.21951219512</v>
      </c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  <c r="BI328" s="150"/>
      <c r="BJ328" s="150"/>
      <c r="BK328" s="150"/>
      <c r="BL328" s="150"/>
      <c r="BM328" s="150"/>
      <c r="BN328" s="150"/>
      <c r="BO328" s="150"/>
      <c r="BP328" s="150"/>
      <c r="BQ328" s="150"/>
      <c r="BR328" s="150"/>
      <c r="BS328" s="150"/>
      <c r="BT328" s="150"/>
      <c r="BU328" s="150"/>
      <c r="BV328" s="150"/>
      <c r="BW328" s="150"/>
      <c r="BX328" s="150"/>
      <c r="BY328" s="150"/>
      <c r="BZ328" s="150"/>
      <c r="CA328" s="150"/>
      <c r="CB328" s="150"/>
      <c r="CC328" s="150"/>
      <c r="CD328" s="150"/>
      <c r="CE328" s="150"/>
      <c r="CF328" s="150"/>
      <c r="CG328" s="150"/>
      <c r="CH328" s="150"/>
      <c r="CI328" s="150"/>
      <c r="CJ328" s="150"/>
      <c r="CK328" s="150"/>
      <c r="CL328" s="150"/>
      <c r="CM328" s="150"/>
      <c r="CN328" s="150"/>
      <c r="CO328" s="150"/>
      <c r="CP328" s="150"/>
      <c r="CQ328" s="150"/>
      <c r="CR328" s="150"/>
      <c r="CS328" s="150"/>
      <c r="CT328" s="150"/>
      <c r="CU328" s="150"/>
      <c r="CV328" s="150"/>
      <c r="CW328" s="150"/>
      <c r="CX328" s="150"/>
      <c r="CY328" s="150"/>
      <c r="CZ328" s="150"/>
      <c r="DA328" s="150"/>
      <c r="DB328" s="150"/>
      <c r="DC328" s="150"/>
      <c r="DD328" s="150"/>
      <c r="DE328" s="150"/>
      <c r="DF328" s="150"/>
      <c r="DG328" s="150"/>
      <c r="DH328" s="150"/>
      <c r="DI328" s="150"/>
      <c r="DJ328" s="150"/>
      <c r="DK328" s="150"/>
      <c r="DL328" s="150"/>
      <c r="DM328" s="150"/>
      <c r="DN328" s="150"/>
      <c r="DO328" s="150"/>
      <c r="DP328" s="150"/>
      <c r="DQ328" s="150"/>
      <c r="DR328" s="150"/>
      <c r="DS328" s="150"/>
      <c r="DT328" s="150"/>
      <c r="DU328" s="150"/>
      <c r="DV328" s="150"/>
      <c r="DW328" s="150"/>
      <c r="DX328" s="150"/>
      <c r="DY328" s="150"/>
      <c r="DZ328" s="150"/>
      <c r="EA328" s="150"/>
      <c r="EB328" s="150"/>
      <c r="EC328" s="150"/>
      <c r="ED328" s="150"/>
      <c r="EE328" s="150"/>
      <c r="EF328" s="150"/>
      <c r="EG328" s="150"/>
      <c r="EH328" s="150"/>
      <c r="EI328" s="150"/>
      <c r="EJ328" s="150"/>
      <c r="EK328" s="150"/>
      <c r="EL328" s="150"/>
      <c r="EM328" s="150"/>
      <c r="EN328" s="150"/>
      <c r="EO328" s="150"/>
      <c r="EP328" s="150"/>
      <c r="EQ328" s="150"/>
      <c r="ER328" s="150"/>
      <c r="ES328" s="150"/>
      <c r="ET328" s="150"/>
      <c r="EU328" s="150"/>
      <c r="EV328" s="150"/>
      <c r="EW328" s="150"/>
      <c r="EX328" s="150"/>
      <c r="EY328" s="150"/>
      <c r="EZ328" s="150"/>
      <c r="FA328" s="150"/>
      <c r="FB328" s="150"/>
      <c r="FC328" s="150"/>
      <c r="FD328" s="150"/>
      <c r="FE328" s="150"/>
      <c r="FF328" s="150"/>
      <c r="FG328" s="150"/>
      <c r="FH328" s="150"/>
      <c r="FI328" s="150"/>
      <c r="FJ328" s="150"/>
      <c r="FK328" s="150"/>
      <c r="FL328" s="150"/>
      <c r="FM328" s="150"/>
      <c r="FN328" s="150"/>
      <c r="FO328" s="150"/>
      <c r="FP328" s="150"/>
      <c r="FQ328" s="150"/>
      <c r="FR328" s="150"/>
      <c r="FS328" s="150"/>
      <c r="FT328" s="150"/>
      <c r="FU328" s="150"/>
      <c r="FV328" s="150"/>
      <c r="FW328" s="150"/>
      <c r="FX328" s="150"/>
      <c r="FY328" s="150"/>
      <c r="FZ328" s="150"/>
      <c r="GA328" s="150"/>
      <c r="GB328" s="150"/>
      <c r="GC328" s="150"/>
      <c r="GD328" s="150"/>
      <c r="GE328" s="150"/>
      <c r="GF328" s="150"/>
      <c r="GG328" s="150"/>
      <c r="GH328" s="150"/>
      <c r="GI328" s="150"/>
      <c r="GJ328" s="150"/>
      <c r="GK328" s="150"/>
      <c r="GL328" s="150"/>
      <c r="GM328" s="150"/>
      <c r="GN328" s="150"/>
      <c r="GO328" s="150"/>
      <c r="GP328" s="150"/>
      <c r="GQ328" s="150"/>
      <c r="GR328" s="150"/>
      <c r="GS328" s="150"/>
      <c r="GT328" s="150"/>
      <c r="GU328" s="150"/>
      <c r="GV328" s="150"/>
      <c r="GW328" s="150"/>
      <c r="GX328" s="150"/>
      <c r="GY328" s="150"/>
      <c r="GZ328" s="150"/>
      <c r="HA328" s="150"/>
      <c r="HB328" s="150"/>
      <c r="HC328" s="150"/>
      <c r="HD328" s="150"/>
      <c r="HE328" s="150"/>
      <c r="HF328" s="150"/>
      <c r="HG328" s="150"/>
      <c r="HH328" s="150"/>
      <c r="HI328" s="150"/>
      <c r="HJ328" s="150"/>
      <c r="HK328" s="150"/>
      <c r="HL328" s="150"/>
      <c r="HM328" s="150"/>
      <c r="HN328" s="150"/>
      <c r="HO328" s="150"/>
      <c r="HP328" s="150"/>
      <c r="HQ328" s="150"/>
      <c r="HR328" s="150"/>
      <c r="HS328" s="150"/>
      <c r="HT328" s="150"/>
      <c r="HU328" s="150"/>
      <c r="HV328" s="150"/>
      <c r="HW328" s="150"/>
      <c r="HX328" s="150"/>
      <c r="HY328" s="150"/>
      <c r="HZ328" s="150"/>
    </row>
    <row r="329" spans="1:234" s="195" customFormat="1" ht="36.75" customHeight="1">
      <c r="A329" s="182" t="s">
        <v>375</v>
      </c>
      <c r="B329" s="191"/>
      <c r="C329" s="191"/>
      <c r="D329" s="191"/>
      <c r="E329" s="193">
        <f>(E336*E341)+(E337*E342)+(E338*E343)+(E339*E344)-1630000</f>
        <v>17148000</v>
      </c>
      <c r="F329" s="193">
        <f>(F336*F341)+(F337*F342)+(F338*F343)+(F339*F344)-1630000</f>
        <v>17148000</v>
      </c>
      <c r="G329" s="193"/>
      <c r="H329" s="193">
        <f>(H336*H341)+(H337*H342)+(H338*H343)+(H339*H344)-40+18086040-680000-1000000</f>
        <v>38820000</v>
      </c>
      <c r="I329" s="193">
        <f>H329</f>
        <v>38820000</v>
      </c>
      <c r="J329" s="193">
        <f>(J336*J341)+(J337*J342)+(J338*J343)+(J339*J344)</f>
        <v>0</v>
      </c>
      <c r="K329" s="193">
        <f>(K336*K341)+(K337*K342)+(K338*K343)+(K339*K344)</f>
        <v>0</v>
      </c>
      <c r="L329" s="193">
        <f>(L336*L341)+(L337*L342)+(L338*L343)+(L339*L344)</f>
        <v>0</v>
      </c>
      <c r="M329" s="193"/>
      <c r="N329" s="193">
        <f>(N336*N341)+(N337*N342)+(N338*N343)+(N339*N344)-110</f>
        <v>15550000</v>
      </c>
      <c r="O329" s="193">
        <f>N329</f>
        <v>15550000</v>
      </c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194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  <c r="BM329" s="194"/>
      <c r="BN329" s="194"/>
      <c r="BO329" s="194"/>
      <c r="BP329" s="194"/>
      <c r="BQ329" s="194"/>
      <c r="BR329" s="194"/>
      <c r="BS329" s="194"/>
      <c r="BT329" s="194"/>
      <c r="BU329" s="194"/>
      <c r="BV329" s="194"/>
      <c r="BW329" s="194"/>
      <c r="BX329" s="194"/>
      <c r="BY329" s="194"/>
      <c r="BZ329" s="194"/>
      <c r="CA329" s="194"/>
      <c r="CB329" s="194"/>
      <c r="CC329" s="194"/>
      <c r="CD329" s="194"/>
      <c r="CE329" s="194"/>
      <c r="CF329" s="194"/>
      <c r="CG329" s="194"/>
      <c r="CH329" s="194"/>
      <c r="CI329" s="194"/>
      <c r="CJ329" s="194"/>
      <c r="CK329" s="194"/>
      <c r="CL329" s="194"/>
      <c r="CM329" s="194"/>
      <c r="CN329" s="194"/>
      <c r="CO329" s="194"/>
      <c r="CP329" s="194"/>
      <c r="CQ329" s="194"/>
      <c r="CR329" s="194"/>
      <c r="CS329" s="194"/>
      <c r="CT329" s="194"/>
      <c r="CU329" s="194"/>
      <c r="CV329" s="194"/>
      <c r="CW329" s="194"/>
      <c r="CX329" s="194"/>
      <c r="CY329" s="194"/>
      <c r="CZ329" s="194"/>
      <c r="DA329" s="194"/>
      <c r="DB329" s="194"/>
      <c r="DC329" s="194"/>
      <c r="DD329" s="194"/>
      <c r="DE329" s="194"/>
      <c r="DF329" s="194"/>
      <c r="DG329" s="194"/>
      <c r="DH329" s="194"/>
      <c r="DI329" s="194"/>
      <c r="DJ329" s="194"/>
      <c r="DK329" s="194"/>
      <c r="DL329" s="194"/>
      <c r="DM329" s="194"/>
      <c r="DN329" s="194"/>
      <c r="DO329" s="194"/>
      <c r="DP329" s="194"/>
      <c r="DQ329" s="194"/>
      <c r="DR329" s="194"/>
      <c r="DS329" s="194"/>
      <c r="DT329" s="194"/>
      <c r="DU329" s="194"/>
      <c r="DV329" s="194"/>
      <c r="DW329" s="194"/>
      <c r="DX329" s="194"/>
      <c r="DY329" s="194"/>
      <c r="DZ329" s="194"/>
      <c r="EA329" s="194"/>
      <c r="EB329" s="194"/>
      <c r="EC329" s="194"/>
      <c r="ED329" s="194"/>
      <c r="EE329" s="194"/>
      <c r="EF329" s="194"/>
      <c r="EG329" s="194"/>
      <c r="EH329" s="194"/>
      <c r="EI329" s="194"/>
      <c r="EJ329" s="194"/>
      <c r="EK329" s="194"/>
      <c r="EL329" s="194"/>
      <c r="EM329" s="194"/>
      <c r="EN329" s="194"/>
      <c r="EO329" s="194"/>
      <c r="EP329" s="194"/>
      <c r="EQ329" s="194"/>
      <c r="ER329" s="194"/>
      <c r="ES329" s="194"/>
      <c r="ET329" s="194"/>
      <c r="EU329" s="194"/>
      <c r="EV329" s="194"/>
      <c r="EW329" s="194"/>
      <c r="EX329" s="194"/>
      <c r="EY329" s="194"/>
      <c r="EZ329" s="194"/>
      <c r="FA329" s="194"/>
      <c r="FB329" s="194"/>
      <c r="FC329" s="194"/>
      <c r="FD329" s="194"/>
      <c r="FE329" s="194"/>
      <c r="FF329" s="194"/>
      <c r="FG329" s="194"/>
      <c r="FH329" s="194"/>
      <c r="FI329" s="194"/>
      <c r="FJ329" s="194"/>
      <c r="FK329" s="194"/>
      <c r="FL329" s="194"/>
      <c r="FM329" s="194"/>
      <c r="FN329" s="194"/>
      <c r="FO329" s="194"/>
      <c r="FP329" s="194"/>
      <c r="FQ329" s="194"/>
      <c r="FR329" s="194"/>
      <c r="FS329" s="194"/>
      <c r="FT329" s="194"/>
      <c r="FU329" s="194"/>
      <c r="FV329" s="194"/>
      <c r="FW329" s="194"/>
      <c r="FX329" s="194"/>
      <c r="FY329" s="194"/>
      <c r="FZ329" s="194"/>
      <c r="GA329" s="194"/>
      <c r="GB329" s="194"/>
      <c r="GC329" s="194"/>
      <c r="GD329" s="194"/>
      <c r="GE329" s="194"/>
      <c r="GF329" s="194"/>
      <c r="GG329" s="194"/>
      <c r="GH329" s="194"/>
      <c r="GI329" s="194"/>
      <c r="GJ329" s="194"/>
      <c r="GK329" s="194"/>
      <c r="GL329" s="194"/>
      <c r="GM329" s="194"/>
      <c r="GN329" s="194"/>
      <c r="GO329" s="194"/>
      <c r="GP329" s="194"/>
      <c r="GQ329" s="194"/>
      <c r="GR329" s="194"/>
      <c r="GS329" s="194"/>
      <c r="GT329" s="194"/>
      <c r="GU329" s="194"/>
      <c r="GV329" s="194"/>
      <c r="GW329" s="194"/>
      <c r="GX329" s="194"/>
      <c r="GY329" s="194"/>
      <c r="GZ329" s="194"/>
      <c r="HA329" s="194"/>
      <c r="HB329" s="194"/>
      <c r="HC329" s="194"/>
      <c r="HD329" s="194"/>
      <c r="HE329" s="194"/>
      <c r="HF329" s="194"/>
      <c r="HG329" s="194"/>
      <c r="HH329" s="194"/>
      <c r="HI329" s="194"/>
      <c r="HJ329" s="194"/>
      <c r="HK329" s="194"/>
      <c r="HL329" s="194"/>
      <c r="HM329" s="194"/>
      <c r="HN329" s="194"/>
      <c r="HO329" s="194"/>
      <c r="HP329" s="194"/>
      <c r="HQ329" s="194"/>
      <c r="HR329" s="194"/>
      <c r="HS329" s="194"/>
      <c r="HT329" s="194"/>
      <c r="HU329" s="194"/>
      <c r="HV329" s="194"/>
      <c r="HW329" s="194"/>
      <c r="HX329" s="194"/>
      <c r="HY329" s="194"/>
      <c r="HZ329" s="194"/>
    </row>
    <row r="330" spans="1:15" ht="11.25">
      <c r="A330" s="91" t="s">
        <v>5</v>
      </c>
      <c r="B330" s="111"/>
      <c r="C330" s="111"/>
      <c r="D330" s="107"/>
      <c r="E330" s="112"/>
      <c r="F330" s="112"/>
      <c r="G330" s="107"/>
      <c r="H330" s="112"/>
      <c r="I330" s="112"/>
      <c r="J330" s="111"/>
      <c r="K330" s="111"/>
      <c r="L330" s="111"/>
      <c r="M330" s="107"/>
      <c r="N330" s="112"/>
      <c r="O330" s="112"/>
    </row>
    <row r="331" spans="1:15" ht="16.5" customHeight="1">
      <c r="A331" s="92" t="s">
        <v>206</v>
      </c>
      <c r="B331" s="111"/>
      <c r="C331" s="111"/>
      <c r="D331" s="107"/>
      <c r="E331" s="108">
        <v>12</v>
      </c>
      <c r="F331" s="108">
        <f>E331</f>
        <v>12</v>
      </c>
      <c r="G331" s="107"/>
      <c r="H331" s="112"/>
      <c r="I331" s="112"/>
      <c r="J331" s="111"/>
      <c r="K331" s="111"/>
      <c r="L331" s="111"/>
      <c r="M331" s="107"/>
      <c r="N331" s="112"/>
      <c r="O331" s="112"/>
    </row>
    <row r="332" spans="1:15" ht="22.5">
      <c r="A332" s="92" t="s">
        <v>207</v>
      </c>
      <c r="B332" s="111"/>
      <c r="C332" s="111"/>
      <c r="D332" s="107"/>
      <c r="E332" s="108">
        <v>700</v>
      </c>
      <c r="F332" s="108">
        <f>E332</f>
        <v>700</v>
      </c>
      <c r="G332" s="107"/>
      <c r="H332" s="108">
        <v>500</v>
      </c>
      <c r="I332" s="108">
        <f>H332</f>
        <v>500</v>
      </c>
      <c r="J332" s="114"/>
      <c r="K332" s="114"/>
      <c r="L332" s="114"/>
      <c r="M332" s="108"/>
      <c r="N332" s="108">
        <v>270</v>
      </c>
      <c r="O332" s="108">
        <f>N332</f>
        <v>270</v>
      </c>
    </row>
    <row r="333" spans="1:15" ht="22.5">
      <c r="A333" s="92" t="s">
        <v>208</v>
      </c>
      <c r="B333" s="111"/>
      <c r="C333" s="111"/>
      <c r="D333" s="107"/>
      <c r="E333" s="108">
        <v>454</v>
      </c>
      <c r="F333" s="108">
        <v>454</v>
      </c>
      <c r="G333" s="107"/>
      <c r="H333" s="112"/>
      <c r="I333" s="112"/>
      <c r="J333" s="111"/>
      <c r="K333" s="111"/>
      <c r="L333" s="111"/>
      <c r="M333" s="107"/>
      <c r="N333" s="112"/>
      <c r="O333" s="112"/>
    </row>
    <row r="334" spans="1:15" ht="28.5" customHeight="1">
      <c r="A334" s="92" t="s">
        <v>209</v>
      </c>
      <c r="B334" s="111"/>
      <c r="C334" s="111"/>
      <c r="D334" s="107"/>
      <c r="E334" s="108">
        <v>700</v>
      </c>
      <c r="F334" s="108">
        <f>E334</f>
        <v>700</v>
      </c>
      <c r="G334" s="107"/>
      <c r="H334" s="108">
        <v>500</v>
      </c>
      <c r="I334" s="108">
        <f>H334</f>
        <v>500</v>
      </c>
      <c r="J334" s="108"/>
      <c r="K334" s="108"/>
      <c r="L334" s="108"/>
      <c r="M334" s="108"/>
      <c r="N334" s="108">
        <v>270</v>
      </c>
      <c r="O334" s="108">
        <f>N334</f>
        <v>270</v>
      </c>
    </row>
    <row r="335" spans="1:15" ht="11.25">
      <c r="A335" s="91" t="s">
        <v>6</v>
      </c>
      <c r="B335" s="113"/>
      <c r="C335" s="113"/>
      <c r="D335" s="107"/>
      <c r="E335" s="107"/>
      <c r="F335" s="107"/>
      <c r="G335" s="107"/>
      <c r="H335" s="113"/>
      <c r="I335" s="113"/>
      <c r="J335" s="110" t="e">
        <f>H335/E335*100</f>
        <v>#DIV/0!</v>
      </c>
      <c r="K335" s="113"/>
      <c r="L335" s="113"/>
      <c r="M335" s="107"/>
      <c r="N335" s="113"/>
      <c r="O335" s="113"/>
    </row>
    <row r="336" spans="1:15" ht="16.5" customHeight="1">
      <c r="A336" s="92" t="s">
        <v>210</v>
      </c>
      <c r="B336" s="113"/>
      <c r="C336" s="113"/>
      <c r="D336" s="107"/>
      <c r="E336" s="107">
        <v>12</v>
      </c>
      <c r="F336" s="107">
        <f>E336</f>
        <v>12</v>
      </c>
      <c r="G336" s="107"/>
      <c r="H336" s="107">
        <v>20</v>
      </c>
      <c r="I336" s="107">
        <v>20</v>
      </c>
      <c r="J336" s="110"/>
      <c r="K336" s="113"/>
      <c r="L336" s="113"/>
      <c r="M336" s="107"/>
      <c r="N336" s="113"/>
      <c r="O336" s="113"/>
    </row>
    <row r="337" spans="1:15" ht="22.5">
      <c r="A337" s="92" t="s">
        <v>217</v>
      </c>
      <c r="B337" s="113"/>
      <c r="C337" s="113"/>
      <c r="D337" s="107"/>
      <c r="E337" s="107">
        <v>200</v>
      </c>
      <c r="F337" s="107">
        <v>200</v>
      </c>
      <c r="G337" s="107"/>
      <c r="H337" s="107">
        <v>400</v>
      </c>
      <c r="I337" s="107">
        <f>H337</f>
        <v>400</v>
      </c>
      <c r="J337" s="110"/>
      <c r="K337" s="107"/>
      <c r="L337" s="107"/>
      <c r="M337" s="107"/>
      <c r="N337" s="107">
        <v>270</v>
      </c>
      <c r="O337" s="107">
        <f>N337</f>
        <v>270</v>
      </c>
    </row>
    <row r="338" spans="1:15" ht="22.5">
      <c r="A338" s="92" t="s">
        <v>211</v>
      </c>
      <c r="B338" s="113"/>
      <c r="C338" s="113"/>
      <c r="D338" s="107"/>
      <c r="E338" s="107">
        <v>454</v>
      </c>
      <c r="F338" s="107">
        <f>E338</f>
        <v>454</v>
      </c>
      <c r="G338" s="107"/>
      <c r="H338" s="107">
        <v>460</v>
      </c>
      <c r="I338" s="107">
        <v>460</v>
      </c>
      <c r="J338" s="110"/>
      <c r="K338" s="113"/>
      <c r="L338" s="113"/>
      <c r="M338" s="107"/>
      <c r="N338" s="113"/>
      <c r="O338" s="113"/>
    </row>
    <row r="339" spans="1:15" ht="33.75">
      <c r="A339" s="92" t="s">
        <v>212</v>
      </c>
      <c r="B339" s="113"/>
      <c r="C339" s="113"/>
      <c r="D339" s="107"/>
      <c r="E339" s="107">
        <v>200</v>
      </c>
      <c r="F339" s="107">
        <f>E339</f>
        <v>200</v>
      </c>
      <c r="G339" s="107"/>
      <c r="H339" s="107">
        <v>320</v>
      </c>
      <c r="I339" s="107">
        <f>H339</f>
        <v>320</v>
      </c>
      <c r="J339" s="110"/>
      <c r="K339" s="107"/>
      <c r="L339" s="107"/>
      <c r="M339" s="107"/>
      <c r="N339" s="107">
        <v>270</v>
      </c>
      <c r="O339" s="107">
        <f>N339</f>
        <v>270</v>
      </c>
    </row>
    <row r="340" spans="1:15" ht="11.25">
      <c r="A340" s="91" t="s">
        <v>8</v>
      </c>
      <c r="B340" s="113"/>
      <c r="C340" s="113"/>
      <c r="D340" s="107"/>
      <c r="E340" s="113"/>
      <c r="F340" s="113"/>
      <c r="G340" s="107"/>
      <c r="H340" s="113"/>
      <c r="I340" s="113"/>
      <c r="J340" s="110" t="e">
        <f>H340/E340*100</f>
        <v>#DIV/0!</v>
      </c>
      <c r="K340" s="113"/>
      <c r="L340" s="113"/>
      <c r="M340" s="107"/>
      <c r="N340" s="113"/>
      <c r="O340" s="113"/>
    </row>
    <row r="341" spans="1:15" ht="22.5">
      <c r="A341" s="92" t="s">
        <v>213</v>
      </c>
      <c r="B341" s="107"/>
      <c r="C341" s="107"/>
      <c r="D341" s="107"/>
      <c r="E341" s="110">
        <v>400000</v>
      </c>
      <c r="F341" s="110">
        <f>E341</f>
        <v>400000</v>
      </c>
      <c r="G341" s="107"/>
      <c r="H341" s="110"/>
      <c r="I341" s="110"/>
      <c r="J341" s="110"/>
      <c r="K341" s="107"/>
      <c r="L341" s="110"/>
      <c r="M341" s="107"/>
      <c r="N341" s="110"/>
      <c r="O341" s="110"/>
    </row>
    <row r="342" spans="1:15" ht="22.5">
      <c r="A342" s="92" t="s">
        <v>214</v>
      </c>
      <c r="B342" s="107"/>
      <c r="C342" s="107"/>
      <c r="D342" s="107"/>
      <c r="E342" s="110">
        <v>52500</v>
      </c>
      <c r="F342" s="110">
        <f>E342</f>
        <v>52500</v>
      </c>
      <c r="G342" s="107"/>
      <c r="H342" s="110">
        <v>54783</v>
      </c>
      <c r="I342" s="110">
        <f>H342</f>
        <v>54783</v>
      </c>
      <c r="J342" s="110"/>
      <c r="K342" s="107"/>
      <c r="L342" s="110"/>
      <c r="M342" s="107"/>
      <c r="N342" s="110">
        <v>56000</v>
      </c>
      <c r="O342" s="110">
        <f>N342</f>
        <v>56000</v>
      </c>
    </row>
    <row r="343" spans="1:15" ht="22.5">
      <c r="A343" s="92" t="s">
        <v>215</v>
      </c>
      <c r="B343" s="107"/>
      <c r="C343" s="107"/>
      <c r="D343" s="107"/>
      <c r="E343" s="110">
        <v>7000</v>
      </c>
      <c r="F343" s="110">
        <f>E343</f>
        <v>7000</v>
      </c>
      <c r="G343" s="107"/>
      <c r="H343" s="110"/>
      <c r="I343" s="110"/>
      <c r="J343" s="110"/>
      <c r="K343" s="107"/>
      <c r="L343" s="110"/>
      <c r="M343" s="107"/>
      <c r="N343" s="110"/>
      <c r="O343" s="110"/>
    </row>
    <row r="344" spans="1:15" ht="33.75">
      <c r="A344" s="92" t="s">
        <v>216</v>
      </c>
      <c r="B344" s="107"/>
      <c r="C344" s="107"/>
      <c r="D344" s="107"/>
      <c r="E344" s="110">
        <v>1500</v>
      </c>
      <c r="F344" s="110">
        <f>E344</f>
        <v>1500</v>
      </c>
      <c r="G344" s="107"/>
      <c r="H344" s="110">
        <v>1565</v>
      </c>
      <c r="I344" s="110">
        <f>H344</f>
        <v>1565</v>
      </c>
      <c r="J344" s="110"/>
      <c r="K344" s="107"/>
      <c r="L344" s="110"/>
      <c r="M344" s="107"/>
      <c r="N344" s="110">
        <v>1593</v>
      </c>
      <c r="O344" s="110">
        <f>N344</f>
        <v>1593</v>
      </c>
    </row>
    <row r="345" spans="1:15" ht="11.25">
      <c r="A345" s="91" t="s">
        <v>7</v>
      </c>
      <c r="B345" s="107"/>
      <c r="C345" s="107"/>
      <c r="D345" s="107"/>
      <c r="E345" s="110"/>
      <c r="F345" s="110"/>
      <c r="G345" s="107"/>
      <c r="H345" s="110"/>
      <c r="I345" s="110"/>
      <c r="J345" s="110"/>
      <c r="K345" s="107"/>
      <c r="L345" s="110"/>
      <c r="M345" s="107"/>
      <c r="N345" s="110"/>
      <c r="O345" s="110"/>
    </row>
    <row r="346" spans="1:15" ht="27.75" customHeight="1">
      <c r="A346" s="92" t="s">
        <v>218</v>
      </c>
      <c r="B346" s="107"/>
      <c r="C346" s="107"/>
      <c r="D346" s="107"/>
      <c r="E346" s="108">
        <f>E336/E331*100</f>
        <v>100</v>
      </c>
      <c r="F346" s="108">
        <f>E346</f>
        <v>100</v>
      </c>
      <c r="G346" s="107"/>
      <c r="H346" s="110"/>
      <c r="I346" s="110"/>
      <c r="J346" s="110"/>
      <c r="K346" s="107"/>
      <c r="L346" s="110"/>
      <c r="M346" s="107"/>
      <c r="N346" s="110"/>
      <c r="O346" s="110"/>
    </row>
    <row r="347" spans="1:15" ht="45">
      <c r="A347" s="92" t="s">
        <v>219</v>
      </c>
      <c r="B347" s="107"/>
      <c r="C347" s="107"/>
      <c r="D347" s="107"/>
      <c r="E347" s="108">
        <f>E337/E332*100</f>
        <v>28.57142857142857</v>
      </c>
      <c r="F347" s="108">
        <f aca="true" t="shared" si="38" ref="F347:O347">F337/F332*100</f>
        <v>28.57142857142857</v>
      </c>
      <c r="G347" s="108"/>
      <c r="H347" s="108">
        <f t="shared" si="38"/>
        <v>80</v>
      </c>
      <c r="I347" s="108">
        <f t="shared" si="38"/>
        <v>80</v>
      </c>
      <c r="J347" s="108" t="e">
        <f t="shared" si="38"/>
        <v>#DIV/0!</v>
      </c>
      <c r="K347" s="108" t="e">
        <f t="shared" si="38"/>
        <v>#DIV/0!</v>
      </c>
      <c r="L347" s="108" t="e">
        <f t="shared" si="38"/>
        <v>#DIV/0!</v>
      </c>
      <c r="M347" s="108"/>
      <c r="N347" s="108">
        <f t="shared" si="38"/>
        <v>100</v>
      </c>
      <c r="O347" s="108">
        <f t="shared" si="38"/>
        <v>100</v>
      </c>
    </row>
    <row r="348" spans="1:15" ht="45">
      <c r="A348" s="92" t="s">
        <v>220</v>
      </c>
      <c r="B348" s="107"/>
      <c r="C348" s="107"/>
      <c r="D348" s="107"/>
      <c r="E348" s="108">
        <f>E338/E333*100</f>
        <v>100</v>
      </c>
      <c r="F348" s="108">
        <f>E348</f>
        <v>100</v>
      </c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1:15" ht="56.25">
      <c r="A349" s="92" t="s">
        <v>221</v>
      </c>
      <c r="B349" s="107"/>
      <c r="C349" s="107"/>
      <c r="D349" s="107"/>
      <c r="E349" s="108">
        <f>E339/E332*100</f>
        <v>28.57142857142857</v>
      </c>
      <c r="F349" s="108">
        <f aca="true" t="shared" si="39" ref="F349:O349">F339/F332*100</f>
        <v>28.57142857142857</v>
      </c>
      <c r="G349" s="108"/>
      <c r="H349" s="108">
        <f t="shared" si="39"/>
        <v>64</v>
      </c>
      <c r="I349" s="108">
        <f t="shared" si="39"/>
        <v>64</v>
      </c>
      <c r="J349" s="108" t="e">
        <f t="shared" si="39"/>
        <v>#DIV/0!</v>
      </c>
      <c r="K349" s="108" t="e">
        <f t="shared" si="39"/>
        <v>#DIV/0!</v>
      </c>
      <c r="L349" s="108" t="e">
        <f t="shared" si="39"/>
        <v>#DIV/0!</v>
      </c>
      <c r="M349" s="108"/>
      <c r="N349" s="108">
        <f t="shared" si="39"/>
        <v>100</v>
      </c>
      <c r="O349" s="108">
        <f t="shared" si="39"/>
        <v>100</v>
      </c>
    </row>
    <row r="350" spans="1:234" s="195" customFormat="1" ht="33.75">
      <c r="A350" s="182" t="s">
        <v>376</v>
      </c>
      <c r="B350" s="191"/>
      <c r="C350" s="191"/>
      <c r="D350" s="193"/>
      <c r="E350" s="193">
        <f>1630000-250000</f>
        <v>1380000</v>
      </c>
      <c r="F350" s="193">
        <f>E350</f>
        <v>1380000</v>
      </c>
      <c r="G350" s="193"/>
      <c r="H350" s="193">
        <v>250000</v>
      </c>
      <c r="I350" s="193">
        <f>H350</f>
        <v>250000</v>
      </c>
      <c r="J350" s="193">
        <f>J354*J356+1</f>
        <v>1</v>
      </c>
      <c r="K350" s="193">
        <f>K354*K356+1</f>
        <v>1</v>
      </c>
      <c r="L350" s="193">
        <f>L354*L356+1</f>
        <v>1</v>
      </c>
      <c r="M350" s="193"/>
      <c r="N350" s="193"/>
      <c r="O350" s="193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  <c r="BM350" s="194"/>
      <c r="BN350" s="194"/>
      <c r="BO350" s="194"/>
      <c r="BP350" s="194"/>
      <c r="BQ350" s="194"/>
      <c r="BR350" s="194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  <c r="CC350" s="194"/>
      <c r="CD350" s="194"/>
      <c r="CE350" s="194"/>
      <c r="CF350" s="194"/>
      <c r="CG350" s="194"/>
      <c r="CH350" s="194"/>
      <c r="CI350" s="194"/>
      <c r="CJ350" s="194"/>
      <c r="CK350" s="194"/>
      <c r="CL350" s="194"/>
      <c r="CM350" s="194"/>
      <c r="CN350" s="194"/>
      <c r="CO350" s="194"/>
      <c r="CP350" s="194"/>
      <c r="CQ350" s="194"/>
      <c r="CR350" s="194"/>
      <c r="CS350" s="194"/>
      <c r="CT350" s="194"/>
      <c r="CU350" s="194"/>
      <c r="CV350" s="194"/>
      <c r="CW350" s="194"/>
      <c r="CX350" s="194"/>
      <c r="CY350" s="194"/>
      <c r="CZ350" s="194"/>
      <c r="DA350" s="194"/>
      <c r="DB350" s="194"/>
      <c r="DC350" s="194"/>
      <c r="DD350" s="194"/>
      <c r="DE350" s="194"/>
      <c r="DF350" s="194"/>
      <c r="DG350" s="194"/>
      <c r="DH350" s="194"/>
      <c r="DI350" s="194"/>
      <c r="DJ350" s="194"/>
      <c r="DK350" s="194"/>
      <c r="DL350" s="194"/>
      <c r="DM350" s="194"/>
      <c r="DN350" s="194"/>
      <c r="DO350" s="194"/>
      <c r="DP350" s="194"/>
      <c r="DQ350" s="194"/>
      <c r="DR350" s="194"/>
      <c r="DS350" s="194"/>
      <c r="DT350" s="194"/>
      <c r="DU350" s="194"/>
      <c r="DV350" s="194"/>
      <c r="DW350" s="194"/>
      <c r="DX350" s="194"/>
      <c r="DY350" s="194"/>
      <c r="DZ350" s="194"/>
      <c r="EA350" s="194"/>
      <c r="EB350" s="194"/>
      <c r="EC350" s="194"/>
      <c r="ED350" s="194"/>
      <c r="EE350" s="194"/>
      <c r="EF350" s="194"/>
      <c r="EG350" s="194"/>
      <c r="EH350" s="194"/>
      <c r="EI350" s="194"/>
      <c r="EJ350" s="194"/>
      <c r="EK350" s="194"/>
      <c r="EL350" s="194"/>
      <c r="EM350" s="194"/>
      <c r="EN350" s="194"/>
      <c r="EO350" s="194"/>
      <c r="EP350" s="194"/>
      <c r="EQ350" s="194"/>
      <c r="ER350" s="194"/>
      <c r="ES350" s="194"/>
      <c r="ET350" s="194"/>
      <c r="EU350" s="194"/>
      <c r="EV350" s="194"/>
      <c r="EW350" s="194"/>
      <c r="EX350" s="194"/>
      <c r="EY350" s="194"/>
      <c r="EZ350" s="194"/>
      <c r="FA350" s="194"/>
      <c r="FB350" s="194"/>
      <c r="FC350" s="194"/>
      <c r="FD350" s="194"/>
      <c r="FE350" s="194"/>
      <c r="FF350" s="194"/>
      <c r="FG350" s="194"/>
      <c r="FH350" s="194"/>
      <c r="FI350" s="194"/>
      <c r="FJ350" s="194"/>
      <c r="FK350" s="194"/>
      <c r="FL350" s="194"/>
      <c r="FM350" s="194"/>
      <c r="FN350" s="194"/>
      <c r="FO350" s="194"/>
      <c r="FP350" s="194"/>
      <c r="FQ350" s="194"/>
      <c r="FR350" s="194"/>
      <c r="FS350" s="194"/>
      <c r="FT350" s="194"/>
      <c r="FU350" s="194"/>
      <c r="FV350" s="194"/>
      <c r="FW350" s="194"/>
      <c r="FX350" s="194"/>
      <c r="FY350" s="194"/>
      <c r="FZ350" s="194"/>
      <c r="GA350" s="194"/>
      <c r="GB350" s="194"/>
      <c r="GC350" s="194"/>
      <c r="GD350" s="194"/>
      <c r="GE350" s="194"/>
      <c r="GF350" s="194"/>
      <c r="GG350" s="194"/>
      <c r="GH350" s="194"/>
      <c r="GI350" s="194"/>
      <c r="GJ350" s="194"/>
      <c r="GK350" s="194"/>
      <c r="GL350" s="194"/>
      <c r="GM350" s="194"/>
      <c r="GN350" s="194"/>
      <c r="GO350" s="194"/>
      <c r="GP350" s="194"/>
      <c r="GQ350" s="194"/>
      <c r="GR350" s="194"/>
      <c r="GS350" s="194"/>
      <c r="GT350" s="194"/>
      <c r="GU350" s="194"/>
      <c r="GV350" s="194"/>
      <c r="GW350" s="194"/>
      <c r="GX350" s="194"/>
      <c r="GY350" s="194"/>
      <c r="GZ350" s="194"/>
      <c r="HA350" s="194"/>
      <c r="HB350" s="194"/>
      <c r="HC350" s="194"/>
      <c r="HD350" s="194"/>
      <c r="HE350" s="194"/>
      <c r="HF350" s="194"/>
      <c r="HG350" s="194"/>
      <c r="HH350" s="194"/>
      <c r="HI350" s="194"/>
      <c r="HJ350" s="194"/>
      <c r="HK350" s="194"/>
      <c r="HL350" s="194"/>
      <c r="HM350" s="194"/>
      <c r="HN350" s="194"/>
      <c r="HO350" s="194"/>
      <c r="HP350" s="194"/>
      <c r="HQ350" s="194"/>
      <c r="HR350" s="194"/>
      <c r="HS350" s="194"/>
      <c r="HT350" s="194"/>
      <c r="HU350" s="194"/>
      <c r="HV350" s="194"/>
      <c r="HW350" s="194"/>
      <c r="HX350" s="194"/>
      <c r="HY350" s="194"/>
      <c r="HZ350" s="194"/>
    </row>
    <row r="351" spans="1:15" ht="9.75" customHeight="1">
      <c r="A351" s="91" t="s">
        <v>5</v>
      </c>
      <c r="B351" s="107"/>
      <c r="C351" s="107"/>
      <c r="D351" s="107"/>
      <c r="E351" s="110"/>
      <c r="F351" s="110"/>
      <c r="G351" s="107"/>
      <c r="H351" s="110"/>
      <c r="I351" s="110"/>
      <c r="J351" s="110"/>
      <c r="K351" s="107"/>
      <c r="L351" s="110"/>
      <c r="M351" s="107"/>
      <c r="N351" s="110"/>
      <c r="O351" s="110"/>
    </row>
    <row r="352" spans="1:15" ht="33.75">
      <c r="A352" s="92" t="s">
        <v>310</v>
      </c>
      <c r="B352" s="107"/>
      <c r="C352" s="107"/>
      <c r="D352" s="107"/>
      <c r="E352" s="108">
        <v>48</v>
      </c>
      <c r="F352" s="108">
        <f>E352</f>
        <v>48</v>
      </c>
      <c r="G352" s="107"/>
      <c r="H352" s="108">
        <v>9</v>
      </c>
      <c r="I352" s="108">
        <f>H352</f>
        <v>9</v>
      </c>
      <c r="J352" s="110"/>
      <c r="K352" s="107"/>
      <c r="L352" s="110"/>
      <c r="M352" s="107"/>
      <c r="N352" s="108"/>
      <c r="O352" s="108"/>
    </row>
    <row r="353" spans="1:15" ht="11.25">
      <c r="A353" s="91" t="s">
        <v>6</v>
      </c>
      <c r="B353" s="107"/>
      <c r="C353" s="107"/>
      <c r="D353" s="107"/>
      <c r="E353" s="108"/>
      <c r="F353" s="108"/>
      <c r="G353" s="107"/>
      <c r="H353" s="108"/>
      <c r="I353" s="108"/>
      <c r="J353" s="110"/>
      <c r="K353" s="107"/>
      <c r="L353" s="110"/>
      <c r="M353" s="107"/>
      <c r="N353" s="110"/>
      <c r="O353" s="108"/>
    </row>
    <row r="354" spans="1:15" ht="27" customHeight="1">
      <c r="A354" s="92" t="s">
        <v>313</v>
      </c>
      <c r="B354" s="107"/>
      <c r="C354" s="107"/>
      <c r="D354" s="107"/>
      <c r="E354" s="108">
        <v>48</v>
      </c>
      <c r="F354" s="108">
        <v>48</v>
      </c>
      <c r="G354" s="107"/>
      <c r="H354" s="108">
        <v>9</v>
      </c>
      <c r="I354" s="108">
        <v>48</v>
      </c>
      <c r="J354" s="110"/>
      <c r="K354" s="107"/>
      <c r="L354" s="110"/>
      <c r="M354" s="107"/>
      <c r="N354" s="108"/>
      <c r="O354" s="108"/>
    </row>
    <row r="355" spans="1:15" ht="11.25">
      <c r="A355" s="91" t="s">
        <v>8</v>
      </c>
      <c r="B355" s="107"/>
      <c r="C355" s="107"/>
      <c r="D355" s="107"/>
      <c r="E355" s="110"/>
      <c r="F355" s="110"/>
      <c r="G355" s="107"/>
      <c r="H355" s="110"/>
      <c r="I355" s="110"/>
      <c r="J355" s="110"/>
      <c r="K355" s="107"/>
      <c r="L355" s="110"/>
      <c r="M355" s="107"/>
      <c r="N355" s="110"/>
      <c r="O355" s="110"/>
    </row>
    <row r="356" spans="1:15" ht="22.5">
      <c r="A356" s="92" t="s">
        <v>311</v>
      </c>
      <c r="B356" s="107"/>
      <c r="C356" s="107"/>
      <c r="D356" s="110"/>
      <c r="E356" s="110">
        <v>28103.5</v>
      </c>
      <c r="F356" s="110">
        <f>E356</f>
        <v>28103.5</v>
      </c>
      <c r="G356" s="110"/>
      <c r="H356" s="110">
        <v>28103.5</v>
      </c>
      <c r="I356" s="110">
        <f>H356</f>
        <v>28103.5</v>
      </c>
      <c r="J356" s="110"/>
      <c r="K356" s="107"/>
      <c r="L356" s="110"/>
      <c r="M356" s="110"/>
      <c r="N356" s="110"/>
      <c r="O356" s="110"/>
    </row>
    <row r="357" spans="1:15" ht="11.25">
      <c r="A357" s="91" t="s">
        <v>7</v>
      </c>
      <c r="B357" s="111"/>
      <c r="C357" s="111"/>
      <c r="D357" s="107"/>
      <c r="E357" s="112"/>
      <c r="F357" s="112"/>
      <c r="G357" s="107"/>
      <c r="H357" s="112"/>
      <c r="I357" s="112"/>
      <c r="J357" s="111"/>
      <c r="K357" s="111"/>
      <c r="L357" s="111"/>
      <c r="M357" s="107"/>
      <c r="N357" s="112"/>
      <c r="O357" s="112"/>
    </row>
    <row r="358" spans="1:15" ht="48.75" customHeight="1">
      <c r="A358" s="92" t="s">
        <v>312</v>
      </c>
      <c r="B358" s="113"/>
      <c r="C358" s="113"/>
      <c r="D358" s="113"/>
      <c r="E358" s="107">
        <f>E354/E352*100</f>
        <v>100</v>
      </c>
      <c r="F358" s="107">
        <f>E358</f>
        <v>100</v>
      </c>
      <c r="G358" s="107"/>
      <c r="H358" s="107">
        <f>H354/H352*100</f>
        <v>100</v>
      </c>
      <c r="I358" s="107">
        <f>H358</f>
        <v>100</v>
      </c>
      <c r="J358" s="107" t="e">
        <f>(#REF!*#REF!)+(#REF!*#REF!)+(#REF!*#REF!)</f>
        <v>#REF!</v>
      </c>
      <c r="K358" s="107" t="e">
        <f>(#REF!*#REF!)+(#REF!*#REF!)+(#REF!*#REF!)</f>
        <v>#REF!</v>
      </c>
      <c r="L358" s="107" t="e">
        <f>(#REF!*#REF!)+(#REF!*#REF!)+(#REF!*#REF!)</f>
        <v>#REF!</v>
      </c>
      <c r="M358" s="107"/>
      <c r="N358" s="107"/>
      <c r="O358" s="107"/>
    </row>
    <row r="359" spans="1:15" ht="11.25" hidden="1">
      <c r="A359" s="92"/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1:15" ht="11.25" hidden="1">
      <c r="A360" s="92"/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1:15" ht="11.25" hidden="1">
      <c r="A361" s="92"/>
      <c r="B361" s="107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1:234" s="195" customFormat="1" ht="33.75">
      <c r="A362" s="182" t="s">
        <v>222</v>
      </c>
      <c r="B362" s="191"/>
      <c r="C362" s="191"/>
      <c r="D362" s="193"/>
      <c r="E362" s="193">
        <f>E363</f>
        <v>1000000</v>
      </c>
      <c r="F362" s="193">
        <f>E362</f>
        <v>1000000</v>
      </c>
      <c r="G362" s="193"/>
      <c r="H362" s="193">
        <f>H363</f>
        <v>6000000</v>
      </c>
      <c r="I362" s="193">
        <f>H362</f>
        <v>6000000</v>
      </c>
      <c r="J362" s="193"/>
      <c r="K362" s="191"/>
      <c r="L362" s="193"/>
      <c r="M362" s="193"/>
      <c r="N362" s="193">
        <f>N363</f>
        <v>1580000</v>
      </c>
      <c r="O362" s="193">
        <f>N362</f>
        <v>1580000</v>
      </c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  <c r="AA362" s="194"/>
      <c r="AB362" s="19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194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  <c r="BM362" s="194"/>
      <c r="BN362" s="194"/>
      <c r="BO362" s="194"/>
      <c r="BP362" s="194"/>
      <c r="BQ362" s="194"/>
      <c r="BR362" s="194"/>
      <c r="BS362" s="194"/>
      <c r="BT362" s="194"/>
      <c r="BU362" s="194"/>
      <c r="BV362" s="194"/>
      <c r="BW362" s="194"/>
      <c r="BX362" s="194"/>
      <c r="BY362" s="194"/>
      <c r="BZ362" s="194"/>
      <c r="CA362" s="194"/>
      <c r="CB362" s="194"/>
      <c r="CC362" s="194"/>
      <c r="CD362" s="194"/>
      <c r="CE362" s="194"/>
      <c r="CF362" s="194"/>
      <c r="CG362" s="194"/>
      <c r="CH362" s="194"/>
      <c r="CI362" s="194"/>
      <c r="CJ362" s="194"/>
      <c r="CK362" s="194"/>
      <c r="CL362" s="194"/>
      <c r="CM362" s="194"/>
      <c r="CN362" s="194"/>
      <c r="CO362" s="194"/>
      <c r="CP362" s="194"/>
      <c r="CQ362" s="194"/>
      <c r="CR362" s="194"/>
      <c r="CS362" s="194"/>
      <c r="CT362" s="194"/>
      <c r="CU362" s="194"/>
      <c r="CV362" s="194"/>
      <c r="CW362" s="194"/>
      <c r="CX362" s="194"/>
      <c r="CY362" s="194"/>
      <c r="CZ362" s="194"/>
      <c r="DA362" s="194"/>
      <c r="DB362" s="194"/>
      <c r="DC362" s="194"/>
      <c r="DD362" s="194"/>
      <c r="DE362" s="194"/>
      <c r="DF362" s="194"/>
      <c r="DG362" s="194"/>
      <c r="DH362" s="194"/>
      <c r="DI362" s="194"/>
      <c r="DJ362" s="194"/>
      <c r="DK362" s="194"/>
      <c r="DL362" s="194"/>
      <c r="DM362" s="194"/>
      <c r="DN362" s="194"/>
      <c r="DO362" s="194"/>
      <c r="DP362" s="194"/>
      <c r="DQ362" s="194"/>
      <c r="DR362" s="194"/>
      <c r="DS362" s="194"/>
      <c r="DT362" s="194"/>
      <c r="DU362" s="194"/>
      <c r="DV362" s="194"/>
      <c r="DW362" s="194"/>
      <c r="DX362" s="194"/>
      <c r="DY362" s="194"/>
      <c r="DZ362" s="194"/>
      <c r="EA362" s="194"/>
      <c r="EB362" s="194"/>
      <c r="EC362" s="194"/>
      <c r="ED362" s="194"/>
      <c r="EE362" s="194"/>
      <c r="EF362" s="194"/>
      <c r="EG362" s="194"/>
      <c r="EH362" s="194"/>
      <c r="EI362" s="194"/>
      <c r="EJ362" s="194"/>
      <c r="EK362" s="194"/>
      <c r="EL362" s="194"/>
      <c r="EM362" s="194"/>
      <c r="EN362" s="194"/>
      <c r="EO362" s="194"/>
      <c r="EP362" s="194"/>
      <c r="EQ362" s="194"/>
      <c r="ER362" s="194"/>
      <c r="ES362" s="194"/>
      <c r="ET362" s="194"/>
      <c r="EU362" s="194"/>
      <c r="EV362" s="194"/>
      <c r="EW362" s="194"/>
      <c r="EX362" s="194"/>
      <c r="EY362" s="194"/>
      <c r="EZ362" s="194"/>
      <c r="FA362" s="194"/>
      <c r="FB362" s="194"/>
      <c r="FC362" s="194"/>
      <c r="FD362" s="194"/>
      <c r="FE362" s="194"/>
      <c r="FF362" s="194"/>
      <c r="FG362" s="194"/>
      <c r="FH362" s="194"/>
      <c r="FI362" s="194"/>
      <c r="FJ362" s="194"/>
      <c r="FK362" s="194"/>
      <c r="FL362" s="194"/>
      <c r="FM362" s="194"/>
      <c r="FN362" s="194"/>
      <c r="FO362" s="194"/>
      <c r="FP362" s="194"/>
      <c r="FQ362" s="194"/>
      <c r="FR362" s="194"/>
      <c r="FS362" s="194"/>
      <c r="FT362" s="194"/>
      <c r="FU362" s="194"/>
      <c r="FV362" s="194"/>
      <c r="FW362" s="194"/>
      <c r="FX362" s="194"/>
      <c r="FY362" s="194"/>
      <c r="FZ362" s="194"/>
      <c r="GA362" s="194"/>
      <c r="GB362" s="194"/>
      <c r="GC362" s="194"/>
      <c r="GD362" s="194"/>
      <c r="GE362" s="194"/>
      <c r="GF362" s="194"/>
      <c r="GG362" s="194"/>
      <c r="GH362" s="194"/>
      <c r="GI362" s="194"/>
      <c r="GJ362" s="194"/>
      <c r="GK362" s="194"/>
      <c r="GL362" s="194"/>
      <c r="GM362" s="194"/>
      <c r="GN362" s="194"/>
      <c r="GO362" s="194"/>
      <c r="GP362" s="194"/>
      <c r="GQ362" s="194"/>
      <c r="GR362" s="194"/>
      <c r="GS362" s="194"/>
      <c r="GT362" s="194"/>
      <c r="GU362" s="194"/>
      <c r="GV362" s="194"/>
      <c r="GW362" s="194"/>
      <c r="GX362" s="194"/>
      <c r="GY362" s="194"/>
      <c r="GZ362" s="194"/>
      <c r="HA362" s="194"/>
      <c r="HB362" s="194"/>
      <c r="HC362" s="194"/>
      <c r="HD362" s="194"/>
      <c r="HE362" s="194"/>
      <c r="HF362" s="194"/>
      <c r="HG362" s="194"/>
      <c r="HH362" s="194"/>
      <c r="HI362" s="194"/>
      <c r="HJ362" s="194"/>
      <c r="HK362" s="194"/>
      <c r="HL362" s="194"/>
      <c r="HM362" s="194"/>
      <c r="HN362" s="194"/>
      <c r="HO362" s="194"/>
      <c r="HP362" s="194"/>
      <c r="HQ362" s="194"/>
      <c r="HR362" s="194"/>
      <c r="HS362" s="194"/>
      <c r="HT362" s="194"/>
      <c r="HU362" s="194"/>
      <c r="HV362" s="194"/>
      <c r="HW362" s="194"/>
      <c r="HX362" s="194"/>
      <c r="HY362" s="194"/>
      <c r="HZ362" s="194"/>
    </row>
    <row r="363" spans="1:234" s="195" customFormat="1" ht="33.75">
      <c r="A363" s="182" t="s">
        <v>377</v>
      </c>
      <c r="B363" s="191"/>
      <c r="C363" s="191"/>
      <c r="D363" s="193"/>
      <c r="E363" s="193">
        <f>E367*E369+1</f>
        <v>1000000</v>
      </c>
      <c r="F363" s="193">
        <f aca="true" t="shared" si="40" ref="F363:L363">F367*F369+1</f>
        <v>1000000</v>
      </c>
      <c r="G363" s="193"/>
      <c r="H363" s="193">
        <f>2000000+1000000+3000000</f>
        <v>6000000</v>
      </c>
      <c r="I363" s="193">
        <f>H363</f>
        <v>6000000</v>
      </c>
      <c r="J363" s="193">
        <f t="shared" si="40"/>
        <v>1</v>
      </c>
      <c r="K363" s="193">
        <f t="shared" si="40"/>
        <v>1</v>
      </c>
      <c r="L363" s="193">
        <f t="shared" si="40"/>
        <v>1</v>
      </c>
      <c r="M363" s="193"/>
      <c r="N363" s="193">
        <f>N367*N369</f>
        <v>1580000</v>
      </c>
      <c r="O363" s="193">
        <f>N363</f>
        <v>1580000</v>
      </c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  <c r="BM363" s="194"/>
      <c r="BN363" s="194"/>
      <c r="BO363" s="194"/>
      <c r="BP363" s="194"/>
      <c r="BQ363" s="194"/>
      <c r="BR363" s="194"/>
      <c r="BS363" s="194"/>
      <c r="BT363" s="194"/>
      <c r="BU363" s="194"/>
      <c r="BV363" s="194"/>
      <c r="BW363" s="194"/>
      <c r="BX363" s="194"/>
      <c r="BY363" s="194"/>
      <c r="BZ363" s="194"/>
      <c r="CA363" s="194"/>
      <c r="CB363" s="194"/>
      <c r="CC363" s="194"/>
      <c r="CD363" s="194"/>
      <c r="CE363" s="194"/>
      <c r="CF363" s="194"/>
      <c r="CG363" s="194"/>
      <c r="CH363" s="194"/>
      <c r="CI363" s="194"/>
      <c r="CJ363" s="194"/>
      <c r="CK363" s="194"/>
      <c r="CL363" s="194"/>
      <c r="CM363" s="194"/>
      <c r="CN363" s="194"/>
      <c r="CO363" s="194"/>
      <c r="CP363" s="194"/>
      <c r="CQ363" s="194"/>
      <c r="CR363" s="194"/>
      <c r="CS363" s="194"/>
      <c r="CT363" s="194"/>
      <c r="CU363" s="194"/>
      <c r="CV363" s="194"/>
      <c r="CW363" s="194"/>
      <c r="CX363" s="194"/>
      <c r="CY363" s="194"/>
      <c r="CZ363" s="194"/>
      <c r="DA363" s="194"/>
      <c r="DB363" s="194"/>
      <c r="DC363" s="194"/>
      <c r="DD363" s="194"/>
      <c r="DE363" s="194"/>
      <c r="DF363" s="194"/>
      <c r="DG363" s="194"/>
      <c r="DH363" s="194"/>
      <c r="DI363" s="194"/>
      <c r="DJ363" s="194"/>
      <c r="DK363" s="194"/>
      <c r="DL363" s="194"/>
      <c r="DM363" s="194"/>
      <c r="DN363" s="194"/>
      <c r="DO363" s="194"/>
      <c r="DP363" s="194"/>
      <c r="DQ363" s="194"/>
      <c r="DR363" s="194"/>
      <c r="DS363" s="194"/>
      <c r="DT363" s="194"/>
      <c r="DU363" s="194"/>
      <c r="DV363" s="194"/>
      <c r="DW363" s="194"/>
      <c r="DX363" s="194"/>
      <c r="DY363" s="194"/>
      <c r="DZ363" s="194"/>
      <c r="EA363" s="194"/>
      <c r="EB363" s="194"/>
      <c r="EC363" s="194"/>
      <c r="ED363" s="194"/>
      <c r="EE363" s="194"/>
      <c r="EF363" s="194"/>
      <c r="EG363" s="194"/>
      <c r="EH363" s="194"/>
      <c r="EI363" s="194"/>
      <c r="EJ363" s="194"/>
      <c r="EK363" s="194"/>
      <c r="EL363" s="194"/>
      <c r="EM363" s="194"/>
      <c r="EN363" s="194"/>
      <c r="EO363" s="194"/>
      <c r="EP363" s="194"/>
      <c r="EQ363" s="194"/>
      <c r="ER363" s="194"/>
      <c r="ES363" s="194"/>
      <c r="ET363" s="194"/>
      <c r="EU363" s="194"/>
      <c r="EV363" s="194"/>
      <c r="EW363" s="194"/>
      <c r="EX363" s="194"/>
      <c r="EY363" s="194"/>
      <c r="EZ363" s="194"/>
      <c r="FA363" s="194"/>
      <c r="FB363" s="194"/>
      <c r="FC363" s="194"/>
      <c r="FD363" s="194"/>
      <c r="FE363" s="194"/>
      <c r="FF363" s="194"/>
      <c r="FG363" s="194"/>
      <c r="FH363" s="194"/>
      <c r="FI363" s="194"/>
      <c r="FJ363" s="194"/>
      <c r="FK363" s="194"/>
      <c r="FL363" s="194"/>
      <c r="FM363" s="194"/>
      <c r="FN363" s="194"/>
      <c r="FO363" s="194"/>
      <c r="FP363" s="194"/>
      <c r="FQ363" s="194"/>
      <c r="FR363" s="194"/>
      <c r="FS363" s="194"/>
      <c r="FT363" s="194"/>
      <c r="FU363" s="194"/>
      <c r="FV363" s="194"/>
      <c r="FW363" s="194"/>
      <c r="FX363" s="194"/>
      <c r="FY363" s="194"/>
      <c r="FZ363" s="194"/>
      <c r="GA363" s="194"/>
      <c r="GB363" s="194"/>
      <c r="GC363" s="194"/>
      <c r="GD363" s="194"/>
      <c r="GE363" s="194"/>
      <c r="GF363" s="194"/>
      <c r="GG363" s="194"/>
      <c r="GH363" s="194"/>
      <c r="GI363" s="194"/>
      <c r="GJ363" s="194"/>
      <c r="GK363" s="194"/>
      <c r="GL363" s="194"/>
      <c r="GM363" s="194"/>
      <c r="GN363" s="194"/>
      <c r="GO363" s="194"/>
      <c r="GP363" s="194"/>
      <c r="GQ363" s="194"/>
      <c r="GR363" s="194"/>
      <c r="GS363" s="194"/>
      <c r="GT363" s="194"/>
      <c r="GU363" s="194"/>
      <c r="GV363" s="194"/>
      <c r="GW363" s="194"/>
      <c r="GX363" s="194"/>
      <c r="GY363" s="194"/>
      <c r="GZ363" s="194"/>
      <c r="HA363" s="194"/>
      <c r="HB363" s="194"/>
      <c r="HC363" s="194"/>
      <c r="HD363" s="194"/>
      <c r="HE363" s="194"/>
      <c r="HF363" s="194"/>
      <c r="HG363" s="194"/>
      <c r="HH363" s="194"/>
      <c r="HI363" s="194"/>
      <c r="HJ363" s="194"/>
      <c r="HK363" s="194"/>
      <c r="HL363" s="194"/>
      <c r="HM363" s="194"/>
      <c r="HN363" s="194"/>
      <c r="HO363" s="194"/>
      <c r="HP363" s="194"/>
      <c r="HQ363" s="194"/>
      <c r="HR363" s="194"/>
      <c r="HS363" s="194"/>
      <c r="HT363" s="194"/>
      <c r="HU363" s="194"/>
      <c r="HV363" s="194"/>
      <c r="HW363" s="194"/>
      <c r="HX363" s="194"/>
      <c r="HY363" s="194"/>
      <c r="HZ363" s="194"/>
    </row>
    <row r="364" spans="1:15" ht="11.25">
      <c r="A364" s="91" t="s">
        <v>5</v>
      </c>
      <c r="B364" s="107"/>
      <c r="C364" s="107"/>
      <c r="D364" s="107"/>
      <c r="E364" s="110"/>
      <c r="F364" s="110"/>
      <c r="G364" s="107"/>
      <c r="H364" s="110"/>
      <c r="I364" s="110"/>
      <c r="J364" s="110"/>
      <c r="K364" s="107"/>
      <c r="L364" s="110"/>
      <c r="M364" s="107"/>
      <c r="N364" s="110"/>
      <c r="O364" s="110"/>
    </row>
    <row r="365" spans="1:15" ht="22.5">
      <c r="A365" s="92" t="s">
        <v>202</v>
      </c>
      <c r="B365" s="107"/>
      <c r="C365" s="107"/>
      <c r="D365" s="107"/>
      <c r="E365" s="108">
        <v>10</v>
      </c>
      <c r="F365" s="108">
        <f>E365</f>
        <v>10</v>
      </c>
      <c r="G365" s="107"/>
      <c r="H365" s="109">
        <v>10</v>
      </c>
      <c r="I365" s="109">
        <f>H365</f>
        <v>10</v>
      </c>
      <c r="J365" s="110"/>
      <c r="K365" s="107"/>
      <c r="L365" s="110"/>
      <c r="M365" s="107"/>
      <c r="N365" s="108">
        <v>10</v>
      </c>
      <c r="O365" s="108">
        <f>N365</f>
        <v>10</v>
      </c>
    </row>
    <row r="366" spans="1:15" ht="11.25">
      <c r="A366" s="91" t="s">
        <v>6</v>
      </c>
      <c r="B366" s="107"/>
      <c r="C366" s="107"/>
      <c r="D366" s="107"/>
      <c r="E366" s="108"/>
      <c r="F366" s="108"/>
      <c r="G366" s="107"/>
      <c r="H366" s="110"/>
      <c r="I366" s="108"/>
      <c r="J366" s="110"/>
      <c r="K366" s="107"/>
      <c r="L366" s="110"/>
      <c r="M366" s="107"/>
      <c r="N366" s="110"/>
      <c r="O366" s="108"/>
    </row>
    <row r="367" spans="1:15" ht="22.5">
      <c r="A367" s="92" t="s">
        <v>203</v>
      </c>
      <c r="B367" s="107"/>
      <c r="C367" s="107"/>
      <c r="D367" s="107"/>
      <c r="E367" s="108">
        <v>3</v>
      </c>
      <c r="F367" s="108">
        <f>E367</f>
        <v>3</v>
      </c>
      <c r="G367" s="107"/>
      <c r="H367" s="108">
        <v>4</v>
      </c>
      <c r="I367" s="108">
        <f>H367</f>
        <v>4</v>
      </c>
      <c r="J367" s="110"/>
      <c r="K367" s="107"/>
      <c r="L367" s="110"/>
      <c r="M367" s="107"/>
      <c r="N367" s="108">
        <v>4</v>
      </c>
      <c r="O367" s="108">
        <f>N367</f>
        <v>4</v>
      </c>
    </row>
    <row r="368" spans="1:15" ht="11.25">
      <c r="A368" s="91" t="s">
        <v>8</v>
      </c>
      <c r="B368" s="107"/>
      <c r="C368" s="107"/>
      <c r="D368" s="107"/>
      <c r="E368" s="110"/>
      <c r="F368" s="110"/>
      <c r="G368" s="107"/>
      <c r="H368" s="110"/>
      <c r="I368" s="110"/>
      <c r="J368" s="110"/>
      <c r="K368" s="107"/>
      <c r="L368" s="110"/>
      <c r="M368" s="107"/>
      <c r="N368" s="110"/>
      <c r="O368" s="110"/>
    </row>
    <row r="369" spans="1:15" ht="22.5">
      <c r="A369" s="92" t="s">
        <v>204</v>
      </c>
      <c r="B369" s="107"/>
      <c r="C369" s="107"/>
      <c r="D369" s="110"/>
      <c r="E369" s="110">
        <v>333333</v>
      </c>
      <c r="F369" s="110">
        <f>E369</f>
        <v>333333</v>
      </c>
      <c r="G369" s="110"/>
      <c r="H369" s="110">
        <v>440000</v>
      </c>
      <c r="I369" s="110">
        <f>H369</f>
        <v>440000</v>
      </c>
      <c r="J369" s="110"/>
      <c r="K369" s="107"/>
      <c r="L369" s="110"/>
      <c r="M369" s="110"/>
      <c r="N369" s="110">
        <v>395000</v>
      </c>
      <c r="O369" s="110">
        <f>N369</f>
        <v>395000</v>
      </c>
    </row>
    <row r="370" spans="1:15" ht="11.25">
      <c r="A370" s="91" t="s">
        <v>7</v>
      </c>
      <c r="B370" s="111"/>
      <c r="C370" s="111"/>
      <c r="D370" s="107"/>
      <c r="E370" s="112"/>
      <c r="F370" s="112"/>
      <c r="G370" s="107"/>
      <c r="H370" s="112"/>
      <c r="I370" s="112"/>
      <c r="J370" s="111"/>
      <c r="K370" s="111"/>
      <c r="L370" s="111"/>
      <c r="M370" s="107"/>
      <c r="N370" s="112"/>
      <c r="O370" s="112"/>
    </row>
    <row r="371" spans="1:15" ht="51.75" customHeight="1">
      <c r="A371" s="92" t="s">
        <v>225</v>
      </c>
      <c r="B371" s="113"/>
      <c r="C371" s="113"/>
      <c r="D371" s="113"/>
      <c r="E371" s="107">
        <f>E367/E365*100</f>
        <v>30</v>
      </c>
      <c r="F371" s="107">
        <f>E371</f>
        <v>30</v>
      </c>
      <c r="G371" s="107"/>
      <c r="H371" s="107">
        <f>H367/H365*100</f>
        <v>40</v>
      </c>
      <c r="I371" s="107">
        <f>H371</f>
        <v>40</v>
      </c>
      <c r="J371" s="107" t="e">
        <f>(#REF!*#REF!)+(#REF!*#REF!)+(#REF!*#REF!)</f>
        <v>#REF!</v>
      </c>
      <c r="K371" s="107" t="e">
        <f>(#REF!*#REF!)+(#REF!*#REF!)+(#REF!*#REF!)</f>
        <v>#REF!</v>
      </c>
      <c r="L371" s="107" t="e">
        <f>(#REF!*#REF!)+(#REF!*#REF!)+(#REF!*#REF!)</f>
        <v>#REF!</v>
      </c>
      <c r="M371" s="107"/>
      <c r="N371" s="107">
        <f>N367/N365*100</f>
        <v>40</v>
      </c>
      <c r="O371" s="107">
        <f>N371</f>
        <v>40</v>
      </c>
    </row>
    <row r="372" spans="1:15" ht="1.5" customHeight="1" hidden="1">
      <c r="A372" s="30" t="s">
        <v>308</v>
      </c>
      <c r="B372" s="41"/>
      <c r="C372" s="41"/>
      <c r="D372" s="36"/>
      <c r="E372" s="36">
        <f>E373</f>
        <v>1000000</v>
      </c>
      <c r="F372" s="36">
        <f>E372</f>
        <v>1000000</v>
      </c>
      <c r="G372" s="36"/>
      <c r="H372" s="36">
        <f>H373</f>
        <v>1320000</v>
      </c>
      <c r="I372" s="36">
        <f>H372</f>
        <v>1320000</v>
      </c>
      <c r="J372" s="86"/>
      <c r="K372" s="41"/>
      <c r="L372" s="86"/>
      <c r="M372" s="36"/>
      <c r="N372" s="36">
        <f>N373</f>
        <v>1580000</v>
      </c>
      <c r="O372" s="36">
        <f>N372</f>
        <v>1580000</v>
      </c>
    </row>
    <row r="373" spans="1:15" ht="4.5" customHeight="1" hidden="1">
      <c r="A373" s="30" t="s">
        <v>309</v>
      </c>
      <c r="B373" s="41"/>
      <c r="C373" s="41"/>
      <c r="D373" s="36"/>
      <c r="E373" s="36">
        <f>E377*E379+1</f>
        <v>1000000</v>
      </c>
      <c r="F373" s="36">
        <f>F377*F379+1</f>
        <v>1000000</v>
      </c>
      <c r="G373" s="36"/>
      <c r="H373" s="36">
        <f>H377*H379</f>
        <v>1320000</v>
      </c>
      <c r="I373" s="36">
        <f>H373</f>
        <v>1320000</v>
      </c>
      <c r="J373" s="36">
        <f>J377*J379+1</f>
        <v>1</v>
      </c>
      <c r="K373" s="36">
        <f>K377*K379+1</f>
        <v>1</v>
      </c>
      <c r="L373" s="36">
        <f>L377*L379+1</f>
        <v>1</v>
      </c>
      <c r="M373" s="36"/>
      <c r="N373" s="36">
        <f>N377*N379</f>
        <v>1580000</v>
      </c>
      <c r="O373" s="36">
        <f>N373</f>
        <v>1580000</v>
      </c>
    </row>
    <row r="374" spans="1:15" ht="16.5" customHeight="1" hidden="1">
      <c r="A374" s="91" t="s">
        <v>5</v>
      </c>
      <c r="B374" s="107"/>
      <c r="C374" s="107"/>
      <c r="D374" s="107"/>
      <c r="E374" s="110"/>
      <c r="F374" s="110"/>
      <c r="G374" s="107"/>
      <c r="H374" s="110"/>
      <c r="I374" s="110"/>
      <c r="J374" s="110"/>
      <c r="K374" s="107"/>
      <c r="L374" s="110"/>
      <c r="M374" s="107"/>
      <c r="N374" s="110"/>
      <c r="O374" s="110"/>
    </row>
    <row r="375" spans="1:15" ht="24.75" customHeight="1" hidden="1">
      <c r="A375" s="92" t="s">
        <v>202</v>
      </c>
      <c r="B375" s="107"/>
      <c r="C375" s="107"/>
      <c r="D375" s="107"/>
      <c r="E375" s="108">
        <v>10</v>
      </c>
      <c r="F375" s="108">
        <f>E375</f>
        <v>10</v>
      </c>
      <c r="G375" s="107"/>
      <c r="H375" s="109">
        <v>10</v>
      </c>
      <c r="I375" s="109">
        <f>H375</f>
        <v>10</v>
      </c>
      <c r="J375" s="110"/>
      <c r="K375" s="107"/>
      <c r="L375" s="110"/>
      <c r="M375" s="107"/>
      <c r="N375" s="108">
        <v>10</v>
      </c>
      <c r="O375" s="108">
        <f>N375</f>
        <v>10</v>
      </c>
    </row>
    <row r="376" spans="1:15" ht="15" customHeight="1" hidden="1">
      <c r="A376" s="91" t="s">
        <v>6</v>
      </c>
      <c r="B376" s="107"/>
      <c r="C376" s="107"/>
      <c r="D376" s="107"/>
      <c r="E376" s="108"/>
      <c r="F376" s="108"/>
      <c r="G376" s="107"/>
      <c r="H376" s="110"/>
      <c r="I376" s="108"/>
      <c r="J376" s="110"/>
      <c r="K376" s="107"/>
      <c r="L376" s="110"/>
      <c r="M376" s="107"/>
      <c r="N376" s="110"/>
      <c r="O376" s="108"/>
    </row>
    <row r="377" spans="1:15" ht="12.75" customHeight="1" hidden="1">
      <c r="A377" s="92" t="s">
        <v>203</v>
      </c>
      <c r="B377" s="107"/>
      <c r="C377" s="107"/>
      <c r="D377" s="107"/>
      <c r="E377" s="108">
        <v>3</v>
      </c>
      <c r="F377" s="108">
        <f>E377</f>
        <v>3</v>
      </c>
      <c r="G377" s="107"/>
      <c r="H377" s="108">
        <v>3</v>
      </c>
      <c r="I377" s="108">
        <f>H377</f>
        <v>3</v>
      </c>
      <c r="J377" s="110"/>
      <c r="K377" s="107"/>
      <c r="L377" s="110"/>
      <c r="M377" s="107"/>
      <c r="N377" s="108">
        <v>4</v>
      </c>
      <c r="O377" s="108">
        <f>N377</f>
        <v>4</v>
      </c>
    </row>
    <row r="378" spans="1:15" ht="16.5" customHeight="1" hidden="1">
      <c r="A378" s="91" t="s">
        <v>8</v>
      </c>
      <c r="B378" s="107"/>
      <c r="C378" s="107"/>
      <c r="D378" s="107"/>
      <c r="E378" s="110"/>
      <c r="F378" s="110"/>
      <c r="G378" s="107"/>
      <c r="H378" s="110"/>
      <c r="I378" s="110"/>
      <c r="J378" s="110"/>
      <c r="K378" s="107"/>
      <c r="L378" s="110"/>
      <c r="M378" s="107"/>
      <c r="N378" s="110"/>
      <c r="O378" s="110"/>
    </row>
    <row r="379" spans="1:15" ht="30" customHeight="1" hidden="1">
      <c r="A379" s="92" t="s">
        <v>204</v>
      </c>
      <c r="B379" s="107"/>
      <c r="C379" s="107"/>
      <c r="D379" s="110"/>
      <c r="E379" s="110">
        <v>333333</v>
      </c>
      <c r="F379" s="110">
        <f>E379</f>
        <v>333333</v>
      </c>
      <c r="G379" s="110"/>
      <c r="H379" s="110">
        <v>440000</v>
      </c>
      <c r="I379" s="110">
        <f>H379</f>
        <v>440000</v>
      </c>
      <c r="J379" s="110"/>
      <c r="K379" s="107"/>
      <c r="L379" s="110"/>
      <c r="M379" s="110"/>
      <c r="N379" s="110">
        <v>395000</v>
      </c>
      <c r="O379" s="110">
        <f>N379</f>
        <v>395000</v>
      </c>
    </row>
    <row r="380" spans="1:15" ht="15" customHeight="1" hidden="1">
      <c r="A380" s="91" t="s">
        <v>7</v>
      </c>
      <c r="B380" s="111"/>
      <c r="C380" s="111"/>
      <c r="D380" s="107"/>
      <c r="E380" s="112"/>
      <c r="F380" s="112"/>
      <c r="G380" s="107"/>
      <c r="H380" s="112"/>
      <c r="I380" s="112"/>
      <c r="J380" s="111"/>
      <c r="K380" s="111"/>
      <c r="L380" s="111"/>
      <c r="M380" s="107"/>
      <c r="N380" s="112"/>
      <c r="O380" s="112"/>
    </row>
    <row r="381" spans="1:15" ht="53.25" customHeight="1" hidden="1">
      <c r="A381" s="92" t="s">
        <v>225</v>
      </c>
      <c r="B381" s="113"/>
      <c r="C381" s="113"/>
      <c r="D381" s="113"/>
      <c r="E381" s="107">
        <f>E377/E375*100</f>
        <v>30</v>
      </c>
      <c r="F381" s="107">
        <f>E381</f>
        <v>30</v>
      </c>
      <c r="G381" s="107"/>
      <c r="H381" s="107">
        <f>H377/H375*100</f>
        <v>30</v>
      </c>
      <c r="I381" s="107">
        <f>H381</f>
        <v>30</v>
      </c>
      <c r="J381" s="107" t="e">
        <f>(#REF!*#REF!)+(#REF!*#REF!)+(#REF!*#REF!)</f>
        <v>#REF!</v>
      </c>
      <c r="K381" s="107" t="e">
        <f>(#REF!*#REF!)+(#REF!*#REF!)+(#REF!*#REF!)</f>
        <v>#REF!</v>
      </c>
      <c r="L381" s="107" t="e">
        <f>(#REF!*#REF!)+(#REF!*#REF!)+(#REF!*#REF!)</f>
        <v>#REF!</v>
      </c>
      <c r="M381" s="107"/>
      <c r="N381" s="107">
        <f>N377/N375*100</f>
        <v>40</v>
      </c>
      <c r="O381" s="107">
        <f>N381</f>
        <v>40</v>
      </c>
    </row>
    <row r="382" spans="1:15" ht="21.75" customHeight="1" hidden="1">
      <c r="A382" s="92"/>
      <c r="B382" s="113"/>
      <c r="C382" s="113"/>
      <c r="D382" s="113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1:15" ht="54" customHeight="1" hidden="1">
      <c r="A383" s="92"/>
      <c r="B383" s="113"/>
      <c r="C383" s="113"/>
      <c r="D383" s="113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1:15" ht="54" customHeight="1" hidden="1">
      <c r="A384" s="92"/>
      <c r="B384" s="113"/>
      <c r="C384" s="113"/>
      <c r="D384" s="113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1:15" ht="54" customHeight="1" hidden="1">
      <c r="A385" s="92"/>
      <c r="B385" s="113"/>
      <c r="C385" s="113"/>
      <c r="D385" s="113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1:15" ht="54" customHeight="1" hidden="1">
      <c r="A386" s="92"/>
      <c r="B386" s="113"/>
      <c r="C386" s="113"/>
      <c r="D386" s="113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1:15" ht="16.5" customHeight="1">
      <c r="A387" s="24" t="s">
        <v>226</v>
      </c>
      <c r="B387" s="25"/>
      <c r="C387" s="25"/>
      <c r="D387" s="102">
        <f>D388+D389</f>
        <v>1889680.002</v>
      </c>
      <c r="E387" s="102"/>
      <c r="F387" s="102">
        <f aca="true" t="shared" si="41" ref="F387:O387">F388+F389</f>
        <v>1889680.002</v>
      </c>
      <c r="G387" s="102">
        <f>G388+G389</f>
        <v>2339999.99813</v>
      </c>
      <c r="H387" s="102">
        <f>H388+H389</f>
        <v>400000</v>
      </c>
      <c r="I387" s="102">
        <f t="shared" si="41"/>
        <v>2739999.99813</v>
      </c>
      <c r="J387" s="102" t="e">
        <f t="shared" si="41"/>
        <v>#REF!</v>
      </c>
      <c r="K387" s="102">
        <f t="shared" si="41"/>
        <v>0</v>
      </c>
      <c r="L387" s="102">
        <f t="shared" si="41"/>
        <v>0</v>
      </c>
      <c r="M387" s="102">
        <f t="shared" si="41"/>
        <v>2503680</v>
      </c>
      <c r="N387" s="102"/>
      <c r="O387" s="102">
        <f t="shared" si="41"/>
        <v>2503680</v>
      </c>
    </row>
    <row r="388" spans="1:15" ht="13.5" customHeight="1">
      <c r="A388" s="24" t="s">
        <v>106</v>
      </c>
      <c r="B388" s="25"/>
      <c r="C388" s="25"/>
      <c r="D388" s="102">
        <f>D391+D398+D425+D439</f>
        <v>1536000.002</v>
      </c>
      <c r="E388" s="102"/>
      <c r="F388" s="102">
        <f>F391+F398+F425+F439</f>
        <v>1536000.002</v>
      </c>
      <c r="G388" s="102">
        <f>G391+G398+G430+G439+G425</f>
        <v>2119999.99813</v>
      </c>
      <c r="H388" s="102">
        <f aca="true" t="shared" si="42" ref="H388:O388">H391+H398</f>
        <v>0</v>
      </c>
      <c r="I388" s="102">
        <f>I391+I398+I430+I439+I425</f>
        <v>2119999.99813</v>
      </c>
      <c r="J388" s="102" t="e">
        <f t="shared" si="42"/>
        <v>#REF!</v>
      </c>
      <c r="K388" s="102">
        <f t="shared" si="42"/>
        <v>0</v>
      </c>
      <c r="L388" s="102">
        <f t="shared" si="42"/>
        <v>0</v>
      </c>
      <c r="M388" s="102">
        <f>M391+M398</f>
        <v>2090000</v>
      </c>
      <c r="N388" s="102"/>
      <c r="O388" s="102">
        <f t="shared" si="42"/>
        <v>2090000</v>
      </c>
    </row>
    <row r="389" spans="1:15" ht="16.5" customHeight="1">
      <c r="A389" s="24" t="s">
        <v>107</v>
      </c>
      <c r="B389" s="25"/>
      <c r="C389" s="25"/>
      <c r="D389" s="102">
        <f>D407+D414</f>
        <v>353680</v>
      </c>
      <c r="E389" s="102"/>
      <c r="F389" s="102">
        <f aca="true" t="shared" si="43" ref="F389:O389">F407+F414</f>
        <v>353680</v>
      </c>
      <c r="G389" s="102">
        <f>G407+G414</f>
        <v>220000</v>
      </c>
      <c r="H389" s="102">
        <f>H407+H414</f>
        <v>400000</v>
      </c>
      <c r="I389" s="102">
        <f>I407+I414</f>
        <v>620000</v>
      </c>
      <c r="J389" s="102">
        <f t="shared" si="43"/>
        <v>0</v>
      </c>
      <c r="K389" s="102">
        <f t="shared" si="43"/>
        <v>0</v>
      </c>
      <c r="L389" s="102">
        <f t="shared" si="43"/>
        <v>0</v>
      </c>
      <c r="M389" s="102">
        <f t="shared" si="43"/>
        <v>413680</v>
      </c>
      <c r="N389" s="102"/>
      <c r="O389" s="102">
        <f t="shared" si="43"/>
        <v>413680</v>
      </c>
    </row>
    <row r="390" spans="1:15" ht="36" customHeight="1">
      <c r="A390" s="32" t="s">
        <v>227</v>
      </c>
      <c r="B390" s="8"/>
      <c r="C390" s="8"/>
      <c r="D390" s="18"/>
      <c r="E390" s="18"/>
      <c r="F390" s="18"/>
      <c r="G390" s="18"/>
      <c r="H390" s="18"/>
      <c r="I390" s="18"/>
      <c r="J390" s="11"/>
      <c r="K390" s="12"/>
      <c r="L390" s="13"/>
      <c r="M390" s="18"/>
      <c r="N390" s="18"/>
      <c r="O390" s="18"/>
    </row>
    <row r="391" spans="1:234" s="195" customFormat="1" ht="22.5">
      <c r="A391" s="182" t="s">
        <v>378</v>
      </c>
      <c r="B391" s="191"/>
      <c r="C391" s="191"/>
      <c r="D391" s="193">
        <f>D393</f>
        <v>1385000</v>
      </c>
      <c r="E391" s="193"/>
      <c r="F391" s="193">
        <f>D391</f>
        <v>1385000</v>
      </c>
      <c r="G391" s="193">
        <f>G393</f>
        <v>1660000</v>
      </c>
      <c r="H391" s="193"/>
      <c r="I391" s="193">
        <f>G391</f>
        <v>1660000</v>
      </c>
      <c r="J391" s="193"/>
      <c r="K391" s="191"/>
      <c r="L391" s="191"/>
      <c r="M391" s="193">
        <f>M393</f>
        <v>1990000</v>
      </c>
      <c r="N391" s="193"/>
      <c r="O391" s="193">
        <f>M391</f>
        <v>1990000</v>
      </c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4"/>
      <c r="AT391" s="194"/>
      <c r="AU391" s="194"/>
      <c r="AV391" s="194"/>
      <c r="AW391" s="194"/>
      <c r="AX391" s="194"/>
      <c r="AY391" s="194"/>
      <c r="AZ391" s="194"/>
      <c r="BA391" s="194"/>
      <c r="BB391" s="194"/>
      <c r="BC391" s="194"/>
      <c r="BD391" s="194"/>
      <c r="BE391" s="194"/>
      <c r="BF391" s="194"/>
      <c r="BG391" s="194"/>
      <c r="BH391" s="194"/>
      <c r="BI391" s="194"/>
      <c r="BJ391" s="194"/>
      <c r="BK391" s="194"/>
      <c r="BL391" s="194"/>
      <c r="BM391" s="194"/>
      <c r="BN391" s="194"/>
      <c r="BO391" s="194"/>
      <c r="BP391" s="194"/>
      <c r="BQ391" s="194"/>
      <c r="BR391" s="194"/>
      <c r="BS391" s="194"/>
      <c r="BT391" s="194"/>
      <c r="BU391" s="194"/>
      <c r="BV391" s="194"/>
      <c r="BW391" s="194"/>
      <c r="BX391" s="194"/>
      <c r="BY391" s="194"/>
      <c r="BZ391" s="194"/>
      <c r="CA391" s="194"/>
      <c r="CB391" s="194"/>
      <c r="CC391" s="194"/>
      <c r="CD391" s="194"/>
      <c r="CE391" s="194"/>
      <c r="CF391" s="194"/>
      <c r="CG391" s="194"/>
      <c r="CH391" s="194"/>
      <c r="CI391" s="194"/>
      <c r="CJ391" s="194"/>
      <c r="CK391" s="194"/>
      <c r="CL391" s="194"/>
      <c r="CM391" s="194"/>
      <c r="CN391" s="194"/>
      <c r="CO391" s="194"/>
      <c r="CP391" s="194"/>
      <c r="CQ391" s="194"/>
      <c r="CR391" s="194"/>
      <c r="CS391" s="194"/>
      <c r="CT391" s="194"/>
      <c r="CU391" s="194"/>
      <c r="CV391" s="194"/>
      <c r="CW391" s="194"/>
      <c r="CX391" s="194"/>
      <c r="CY391" s="194"/>
      <c r="CZ391" s="194"/>
      <c r="DA391" s="194"/>
      <c r="DB391" s="194"/>
      <c r="DC391" s="194"/>
      <c r="DD391" s="194"/>
      <c r="DE391" s="194"/>
      <c r="DF391" s="194"/>
      <c r="DG391" s="194"/>
      <c r="DH391" s="194"/>
      <c r="DI391" s="194"/>
      <c r="DJ391" s="194"/>
      <c r="DK391" s="194"/>
      <c r="DL391" s="194"/>
      <c r="DM391" s="194"/>
      <c r="DN391" s="194"/>
      <c r="DO391" s="194"/>
      <c r="DP391" s="194"/>
      <c r="DQ391" s="194"/>
      <c r="DR391" s="194"/>
      <c r="DS391" s="194"/>
      <c r="DT391" s="194"/>
      <c r="DU391" s="194"/>
      <c r="DV391" s="194"/>
      <c r="DW391" s="194"/>
      <c r="DX391" s="194"/>
      <c r="DY391" s="194"/>
      <c r="DZ391" s="194"/>
      <c r="EA391" s="194"/>
      <c r="EB391" s="194"/>
      <c r="EC391" s="194"/>
      <c r="ED391" s="194"/>
      <c r="EE391" s="194"/>
      <c r="EF391" s="194"/>
      <c r="EG391" s="194"/>
      <c r="EH391" s="194"/>
      <c r="EI391" s="194"/>
      <c r="EJ391" s="194"/>
      <c r="EK391" s="194"/>
      <c r="EL391" s="194"/>
      <c r="EM391" s="194"/>
      <c r="EN391" s="194"/>
      <c r="EO391" s="194"/>
      <c r="EP391" s="194"/>
      <c r="EQ391" s="194"/>
      <c r="ER391" s="194"/>
      <c r="ES391" s="194"/>
      <c r="ET391" s="194"/>
      <c r="EU391" s="194"/>
      <c r="EV391" s="194"/>
      <c r="EW391" s="194"/>
      <c r="EX391" s="194"/>
      <c r="EY391" s="194"/>
      <c r="EZ391" s="194"/>
      <c r="FA391" s="194"/>
      <c r="FB391" s="194"/>
      <c r="FC391" s="194"/>
      <c r="FD391" s="194"/>
      <c r="FE391" s="194"/>
      <c r="FF391" s="194"/>
      <c r="FG391" s="194"/>
      <c r="FH391" s="194"/>
      <c r="FI391" s="194"/>
      <c r="FJ391" s="194"/>
      <c r="FK391" s="194"/>
      <c r="FL391" s="194"/>
      <c r="FM391" s="194"/>
      <c r="FN391" s="194"/>
      <c r="FO391" s="194"/>
      <c r="FP391" s="194"/>
      <c r="FQ391" s="194"/>
      <c r="FR391" s="194"/>
      <c r="FS391" s="194"/>
      <c r="FT391" s="194"/>
      <c r="FU391" s="194"/>
      <c r="FV391" s="194"/>
      <c r="FW391" s="194"/>
      <c r="FX391" s="194"/>
      <c r="FY391" s="194"/>
      <c r="FZ391" s="194"/>
      <c r="GA391" s="194"/>
      <c r="GB391" s="194"/>
      <c r="GC391" s="194"/>
      <c r="GD391" s="194"/>
      <c r="GE391" s="194"/>
      <c r="GF391" s="194"/>
      <c r="GG391" s="194"/>
      <c r="GH391" s="194"/>
      <c r="GI391" s="194"/>
      <c r="GJ391" s="194"/>
      <c r="GK391" s="194"/>
      <c r="GL391" s="194"/>
      <c r="GM391" s="194"/>
      <c r="GN391" s="194"/>
      <c r="GO391" s="194"/>
      <c r="GP391" s="194"/>
      <c r="GQ391" s="194"/>
      <c r="GR391" s="194"/>
      <c r="GS391" s="194"/>
      <c r="GT391" s="194"/>
      <c r="GU391" s="194"/>
      <c r="GV391" s="194"/>
      <c r="GW391" s="194"/>
      <c r="GX391" s="194"/>
      <c r="GY391" s="194"/>
      <c r="GZ391" s="194"/>
      <c r="HA391" s="194"/>
      <c r="HB391" s="194"/>
      <c r="HC391" s="194"/>
      <c r="HD391" s="194"/>
      <c r="HE391" s="194"/>
      <c r="HF391" s="194"/>
      <c r="HG391" s="194"/>
      <c r="HH391" s="194"/>
      <c r="HI391" s="194"/>
      <c r="HJ391" s="194"/>
      <c r="HK391" s="194"/>
      <c r="HL391" s="194"/>
      <c r="HM391" s="194"/>
      <c r="HN391" s="194"/>
      <c r="HO391" s="194"/>
      <c r="HP391" s="194"/>
      <c r="HQ391" s="194"/>
      <c r="HR391" s="194"/>
      <c r="HS391" s="194"/>
      <c r="HT391" s="194"/>
      <c r="HU391" s="194"/>
      <c r="HV391" s="194"/>
      <c r="HW391" s="194"/>
      <c r="HX391" s="194"/>
      <c r="HY391" s="194"/>
      <c r="HZ391" s="194"/>
    </row>
    <row r="392" spans="1:15" ht="11.25">
      <c r="A392" s="31" t="s">
        <v>77</v>
      </c>
      <c r="B392" s="6"/>
      <c r="C392" s="6"/>
      <c r="D392" s="6"/>
      <c r="E392" s="6"/>
      <c r="F392" s="6"/>
      <c r="G392" s="6"/>
      <c r="H392" s="6"/>
      <c r="I392" s="6"/>
      <c r="J392" s="11"/>
      <c r="K392" s="3"/>
      <c r="L392" s="3"/>
      <c r="M392" s="6"/>
      <c r="N392" s="6"/>
      <c r="O392" s="6"/>
    </row>
    <row r="393" spans="1:15" ht="12" customHeight="1">
      <c r="A393" s="32" t="s">
        <v>82</v>
      </c>
      <c r="B393" s="8"/>
      <c r="C393" s="8"/>
      <c r="D393" s="7">
        <v>1385000</v>
      </c>
      <c r="E393" s="8"/>
      <c r="F393" s="7">
        <f>D393</f>
        <v>1385000</v>
      </c>
      <c r="G393" s="7">
        <f>935000+725000</f>
        <v>1660000</v>
      </c>
      <c r="H393" s="8"/>
      <c r="I393" s="7">
        <f>G393</f>
        <v>1660000</v>
      </c>
      <c r="J393" s="11">
        <f>G393/D393*100</f>
        <v>119.85559566787003</v>
      </c>
      <c r="K393" s="9"/>
      <c r="L393" s="11"/>
      <c r="M393" s="7">
        <v>1990000</v>
      </c>
      <c r="N393" s="8"/>
      <c r="O393" s="7">
        <f>M393</f>
        <v>1990000</v>
      </c>
    </row>
    <row r="394" spans="1:15" ht="11.25">
      <c r="A394" s="31" t="s">
        <v>6</v>
      </c>
      <c r="B394" s="6"/>
      <c r="C394" s="6"/>
      <c r="D394" s="6"/>
      <c r="E394" s="6"/>
      <c r="F394" s="7"/>
      <c r="G394" s="6"/>
      <c r="H394" s="6"/>
      <c r="I394" s="7"/>
      <c r="J394" s="11"/>
      <c r="K394" s="3"/>
      <c r="L394" s="3"/>
      <c r="M394" s="6"/>
      <c r="N394" s="6"/>
      <c r="O394" s="7"/>
    </row>
    <row r="395" spans="1:15" ht="22.5">
      <c r="A395" s="32" t="s">
        <v>228</v>
      </c>
      <c r="B395" s="8"/>
      <c r="C395" s="8"/>
      <c r="D395" s="10">
        <v>9</v>
      </c>
      <c r="E395" s="10"/>
      <c r="F395" s="10">
        <f>D395</f>
        <v>9</v>
      </c>
      <c r="G395" s="10">
        <v>9</v>
      </c>
      <c r="H395" s="10"/>
      <c r="I395" s="10">
        <f>G395</f>
        <v>9</v>
      </c>
      <c r="J395" s="27">
        <f>G395/D395*100</f>
        <v>100</v>
      </c>
      <c r="K395" s="27"/>
      <c r="L395" s="27"/>
      <c r="M395" s="10">
        <v>9</v>
      </c>
      <c r="N395" s="10"/>
      <c r="O395" s="10">
        <f>M395</f>
        <v>9</v>
      </c>
    </row>
    <row r="396" spans="1:15" ht="11.25">
      <c r="A396" s="31" t="s">
        <v>8</v>
      </c>
      <c r="B396" s="6"/>
      <c r="C396" s="6"/>
      <c r="D396" s="6"/>
      <c r="E396" s="6"/>
      <c r="F396" s="7"/>
      <c r="G396" s="6"/>
      <c r="H396" s="6"/>
      <c r="I396" s="7"/>
      <c r="J396" s="11"/>
      <c r="K396" s="3"/>
      <c r="L396" s="3"/>
      <c r="M396" s="6"/>
      <c r="N396" s="6"/>
      <c r="O396" s="7"/>
    </row>
    <row r="397" spans="1:15" ht="13.5" customHeight="1">
      <c r="A397" s="32" t="s">
        <v>229</v>
      </c>
      <c r="B397" s="8"/>
      <c r="C397" s="8"/>
      <c r="D397" s="19">
        <f>D393/D395+0.11</f>
        <v>153888.99888888886</v>
      </c>
      <c r="E397" s="8"/>
      <c r="F397" s="7">
        <f>D397</f>
        <v>153888.99888888886</v>
      </c>
      <c r="G397" s="19">
        <v>134900</v>
      </c>
      <c r="H397" s="8"/>
      <c r="I397" s="7">
        <f>G397</f>
        <v>134900</v>
      </c>
      <c r="J397" s="11">
        <f>G397/D397*100</f>
        <v>87.66058715958032</v>
      </c>
      <c r="K397" s="9"/>
      <c r="L397" s="26"/>
      <c r="M397" s="19">
        <v>146333</v>
      </c>
      <c r="N397" s="8"/>
      <c r="O397" s="7">
        <f>M397</f>
        <v>146333</v>
      </c>
    </row>
    <row r="398" spans="1:234" s="195" customFormat="1" ht="24" customHeight="1">
      <c r="A398" s="182" t="s">
        <v>379</v>
      </c>
      <c r="B398" s="191"/>
      <c r="C398" s="191"/>
      <c r="D398" s="202">
        <f>D402*D404-216</f>
        <v>99784</v>
      </c>
      <c r="E398" s="202"/>
      <c r="F398" s="202">
        <f>F402*F404-216</f>
        <v>99784</v>
      </c>
      <c r="G398" s="202">
        <f aca="true" t="shared" si="44" ref="G398:O398">G402*G404</f>
        <v>182699.99813</v>
      </c>
      <c r="H398" s="202"/>
      <c r="I398" s="202">
        <f t="shared" si="44"/>
        <v>182699.99813</v>
      </c>
      <c r="J398" s="202" t="e">
        <f t="shared" si="44"/>
        <v>#REF!</v>
      </c>
      <c r="K398" s="202">
        <f t="shared" si="44"/>
        <v>0</v>
      </c>
      <c r="L398" s="202">
        <f t="shared" si="44"/>
        <v>0</v>
      </c>
      <c r="M398" s="202">
        <f t="shared" si="44"/>
        <v>100000</v>
      </c>
      <c r="N398" s="202"/>
      <c r="O398" s="202">
        <f t="shared" si="44"/>
        <v>100000</v>
      </c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4"/>
      <c r="AT398" s="194"/>
      <c r="AU398" s="194"/>
      <c r="AV398" s="194"/>
      <c r="AW398" s="194"/>
      <c r="AX398" s="194"/>
      <c r="AY398" s="194"/>
      <c r="AZ398" s="194"/>
      <c r="BA398" s="194"/>
      <c r="BB398" s="194"/>
      <c r="BC398" s="194"/>
      <c r="BD398" s="194"/>
      <c r="BE398" s="194"/>
      <c r="BF398" s="194"/>
      <c r="BG398" s="194"/>
      <c r="BH398" s="194"/>
      <c r="BI398" s="194"/>
      <c r="BJ398" s="194"/>
      <c r="BK398" s="194"/>
      <c r="BL398" s="194"/>
      <c r="BM398" s="194"/>
      <c r="BN398" s="194"/>
      <c r="BO398" s="194"/>
      <c r="BP398" s="194"/>
      <c r="BQ398" s="194"/>
      <c r="BR398" s="194"/>
      <c r="BS398" s="194"/>
      <c r="BT398" s="194"/>
      <c r="BU398" s="194"/>
      <c r="BV398" s="194"/>
      <c r="BW398" s="194"/>
      <c r="BX398" s="194"/>
      <c r="BY398" s="194"/>
      <c r="BZ398" s="194"/>
      <c r="CA398" s="194"/>
      <c r="CB398" s="194"/>
      <c r="CC398" s="194"/>
      <c r="CD398" s="194"/>
      <c r="CE398" s="194"/>
      <c r="CF398" s="194"/>
      <c r="CG398" s="194"/>
      <c r="CH398" s="194"/>
      <c r="CI398" s="194"/>
      <c r="CJ398" s="194"/>
      <c r="CK398" s="194"/>
      <c r="CL398" s="194"/>
      <c r="CM398" s="194"/>
      <c r="CN398" s="194"/>
      <c r="CO398" s="194"/>
      <c r="CP398" s="194"/>
      <c r="CQ398" s="194"/>
      <c r="CR398" s="194"/>
      <c r="CS398" s="194"/>
      <c r="CT398" s="194"/>
      <c r="CU398" s="194"/>
      <c r="CV398" s="194"/>
      <c r="CW398" s="194"/>
      <c r="CX398" s="194"/>
      <c r="CY398" s="194"/>
      <c r="CZ398" s="194"/>
      <c r="DA398" s="194"/>
      <c r="DB398" s="194"/>
      <c r="DC398" s="194"/>
      <c r="DD398" s="194"/>
      <c r="DE398" s="194"/>
      <c r="DF398" s="194"/>
      <c r="DG398" s="194"/>
      <c r="DH398" s="194"/>
      <c r="DI398" s="194"/>
      <c r="DJ398" s="194"/>
      <c r="DK398" s="194"/>
      <c r="DL398" s="194"/>
      <c r="DM398" s="194"/>
      <c r="DN398" s="194"/>
      <c r="DO398" s="194"/>
      <c r="DP398" s="194"/>
      <c r="DQ398" s="194"/>
      <c r="DR398" s="194"/>
      <c r="DS398" s="194"/>
      <c r="DT398" s="194"/>
      <c r="DU398" s="194"/>
      <c r="DV398" s="194"/>
      <c r="DW398" s="194"/>
      <c r="DX398" s="194"/>
      <c r="DY398" s="194"/>
      <c r="DZ398" s="194"/>
      <c r="EA398" s="194"/>
      <c r="EB398" s="194"/>
      <c r="EC398" s="194"/>
      <c r="ED398" s="194"/>
      <c r="EE398" s="194"/>
      <c r="EF398" s="194"/>
      <c r="EG398" s="194"/>
      <c r="EH398" s="194"/>
      <c r="EI398" s="194"/>
      <c r="EJ398" s="194"/>
      <c r="EK398" s="194"/>
      <c r="EL398" s="194"/>
      <c r="EM398" s="194"/>
      <c r="EN398" s="194"/>
      <c r="EO398" s="194"/>
      <c r="EP398" s="194"/>
      <c r="EQ398" s="194"/>
      <c r="ER398" s="194"/>
      <c r="ES398" s="194"/>
      <c r="ET398" s="194"/>
      <c r="EU398" s="194"/>
      <c r="EV398" s="194"/>
      <c r="EW398" s="194"/>
      <c r="EX398" s="194"/>
      <c r="EY398" s="194"/>
      <c r="EZ398" s="194"/>
      <c r="FA398" s="194"/>
      <c r="FB398" s="194"/>
      <c r="FC398" s="194"/>
      <c r="FD398" s="194"/>
      <c r="FE398" s="194"/>
      <c r="FF398" s="194"/>
      <c r="FG398" s="194"/>
      <c r="FH398" s="194"/>
      <c r="FI398" s="194"/>
      <c r="FJ398" s="194"/>
      <c r="FK398" s="194"/>
      <c r="FL398" s="194"/>
      <c r="FM398" s="194"/>
      <c r="FN398" s="194"/>
      <c r="FO398" s="194"/>
      <c r="FP398" s="194"/>
      <c r="FQ398" s="194"/>
      <c r="FR398" s="194"/>
      <c r="FS398" s="194"/>
      <c r="FT398" s="194"/>
      <c r="FU398" s="194"/>
      <c r="FV398" s="194"/>
      <c r="FW398" s="194"/>
      <c r="FX398" s="194"/>
      <c r="FY398" s="194"/>
      <c r="FZ398" s="194"/>
      <c r="GA398" s="194"/>
      <c r="GB398" s="194"/>
      <c r="GC398" s="194"/>
      <c r="GD398" s="194"/>
      <c r="GE398" s="194"/>
      <c r="GF398" s="194"/>
      <c r="GG398" s="194"/>
      <c r="GH398" s="194"/>
      <c r="GI398" s="194"/>
      <c r="GJ398" s="194"/>
      <c r="GK398" s="194"/>
      <c r="GL398" s="194"/>
      <c r="GM398" s="194"/>
      <c r="GN398" s="194"/>
      <c r="GO398" s="194"/>
      <c r="GP398" s="194"/>
      <c r="GQ398" s="194"/>
      <c r="GR398" s="194"/>
      <c r="GS398" s="194"/>
      <c r="GT398" s="194"/>
      <c r="GU398" s="194"/>
      <c r="GV398" s="194"/>
      <c r="GW398" s="194"/>
      <c r="GX398" s="194"/>
      <c r="GY398" s="194"/>
      <c r="GZ398" s="194"/>
      <c r="HA398" s="194"/>
      <c r="HB398" s="194"/>
      <c r="HC398" s="194"/>
      <c r="HD398" s="194"/>
      <c r="HE398" s="194"/>
      <c r="HF398" s="194"/>
      <c r="HG398" s="194"/>
      <c r="HH398" s="194"/>
      <c r="HI398" s="194"/>
      <c r="HJ398" s="194"/>
      <c r="HK398" s="194"/>
      <c r="HL398" s="194"/>
      <c r="HM398" s="194"/>
      <c r="HN398" s="194"/>
      <c r="HO398" s="194"/>
      <c r="HP398" s="194"/>
      <c r="HQ398" s="194"/>
      <c r="HR398" s="194"/>
      <c r="HS398" s="194"/>
      <c r="HT398" s="194"/>
      <c r="HU398" s="194"/>
      <c r="HV398" s="194"/>
      <c r="HW398" s="194"/>
      <c r="HX398" s="194"/>
      <c r="HY398" s="194"/>
      <c r="HZ398" s="194"/>
    </row>
    <row r="399" spans="1:15" ht="11.25">
      <c r="A399" s="31" t="s">
        <v>77</v>
      </c>
      <c r="B399" s="6"/>
      <c r="C399" s="6"/>
      <c r="D399" s="89"/>
      <c r="E399" s="89"/>
      <c r="F399" s="89"/>
      <c r="G399" s="6"/>
      <c r="H399" s="6"/>
      <c r="I399" s="6"/>
      <c r="J399" s="11"/>
      <c r="K399" s="3"/>
      <c r="L399" s="3"/>
      <c r="M399" s="6"/>
      <c r="N399" s="6"/>
      <c r="O399" s="6"/>
    </row>
    <row r="400" spans="1:15" ht="23.25" customHeight="1">
      <c r="A400" s="32" t="s">
        <v>232</v>
      </c>
      <c r="B400" s="8"/>
      <c r="C400" s="8"/>
      <c r="D400" s="89">
        <v>1752</v>
      </c>
      <c r="E400" s="89"/>
      <c r="F400" s="89">
        <f>D400</f>
        <v>1752</v>
      </c>
      <c r="G400" s="89">
        <v>1752</v>
      </c>
      <c r="H400" s="89"/>
      <c r="I400" s="89">
        <f>G400</f>
        <v>1752</v>
      </c>
      <c r="J400" s="11" t="e">
        <f>#REF!/G400*100</f>
        <v>#REF!</v>
      </c>
      <c r="K400" s="9"/>
      <c r="L400" s="11"/>
      <c r="M400" s="89">
        <v>1752</v>
      </c>
      <c r="N400" s="89"/>
      <c r="O400" s="89">
        <f>M400</f>
        <v>1752</v>
      </c>
    </row>
    <row r="401" spans="1:15" ht="11.25">
      <c r="A401" s="31" t="s">
        <v>6</v>
      </c>
      <c r="B401" s="6"/>
      <c r="C401" s="6"/>
      <c r="D401" s="89"/>
      <c r="E401" s="89"/>
      <c r="F401" s="89"/>
      <c r="G401" s="28"/>
      <c r="H401" s="28"/>
      <c r="I401" s="10"/>
      <c r="J401" s="11"/>
      <c r="K401" s="3"/>
      <c r="L401" s="3"/>
      <c r="M401" s="6"/>
      <c r="N401" s="6"/>
      <c r="O401" s="7"/>
    </row>
    <row r="402" spans="1:15" ht="24" customHeight="1">
      <c r="A402" s="32" t="s">
        <v>230</v>
      </c>
      <c r="B402" s="8"/>
      <c r="C402" s="8"/>
      <c r="D402" s="89">
        <v>625</v>
      </c>
      <c r="E402" s="89"/>
      <c r="F402" s="89">
        <f>D402</f>
        <v>625</v>
      </c>
      <c r="G402" s="89">
        <v>751</v>
      </c>
      <c r="H402" s="89"/>
      <c r="I402" s="89">
        <f>G402</f>
        <v>751</v>
      </c>
      <c r="J402" s="11" t="e">
        <f>#REF!/G402*100</f>
        <v>#REF!</v>
      </c>
      <c r="K402" s="9"/>
      <c r="L402" s="11"/>
      <c r="M402" s="89">
        <v>625</v>
      </c>
      <c r="N402" s="89"/>
      <c r="O402" s="89">
        <f>M402</f>
        <v>625</v>
      </c>
    </row>
    <row r="403" spans="1:15" ht="11.25">
      <c r="A403" s="31" t="s">
        <v>8</v>
      </c>
      <c r="B403" s="6"/>
      <c r="C403" s="6"/>
      <c r="D403" s="89"/>
      <c r="E403" s="89"/>
      <c r="F403" s="89"/>
      <c r="G403" s="89"/>
      <c r="H403" s="89"/>
      <c r="I403" s="89"/>
      <c r="J403" s="11"/>
      <c r="K403" s="3"/>
      <c r="L403" s="3"/>
      <c r="M403" s="89"/>
      <c r="N403" s="89"/>
      <c r="O403" s="89"/>
    </row>
    <row r="404" spans="1:15" ht="24" customHeight="1">
      <c r="A404" s="32" t="s">
        <v>79</v>
      </c>
      <c r="B404" s="8"/>
      <c r="C404" s="8"/>
      <c r="D404" s="90">
        <v>160</v>
      </c>
      <c r="E404" s="90"/>
      <c r="F404" s="90">
        <f>D404</f>
        <v>160</v>
      </c>
      <c r="G404" s="90">
        <v>243.27563</v>
      </c>
      <c r="H404" s="90"/>
      <c r="I404" s="90">
        <f>G404</f>
        <v>243.27563</v>
      </c>
      <c r="J404" s="11" t="e">
        <f>#REF!/G404*100</f>
        <v>#REF!</v>
      </c>
      <c r="K404" s="9"/>
      <c r="L404" s="26"/>
      <c r="M404" s="90">
        <v>160</v>
      </c>
      <c r="N404" s="90"/>
      <c r="O404" s="90">
        <f>M404</f>
        <v>160</v>
      </c>
    </row>
    <row r="405" spans="1:15" ht="11.25">
      <c r="A405" s="91" t="s">
        <v>7</v>
      </c>
      <c r="B405" s="85"/>
      <c r="C405" s="85"/>
      <c r="D405" s="89"/>
      <c r="E405" s="89"/>
      <c r="F405" s="89"/>
      <c r="G405" s="19"/>
      <c r="H405" s="8"/>
      <c r="I405" s="7"/>
      <c r="J405" s="11"/>
      <c r="K405" s="9"/>
      <c r="L405" s="26"/>
      <c r="M405" s="19"/>
      <c r="N405" s="8"/>
      <c r="O405" s="7"/>
    </row>
    <row r="406" spans="1:15" ht="39" customHeight="1">
      <c r="A406" s="92" t="s">
        <v>231</v>
      </c>
      <c r="B406" s="85"/>
      <c r="C406" s="85"/>
      <c r="D406" s="88">
        <f>D402/D400*100</f>
        <v>35.67351598173516</v>
      </c>
      <c r="E406" s="88"/>
      <c r="F406" s="88">
        <f>D406</f>
        <v>35.67351598173516</v>
      </c>
      <c r="G406" s="88">
        <f>G402/G400*100</f>
        <v>42.86529680365297</v>
      </c>
      <c r="H406" s="88"/>
      <c r="I406" s="88">
        <f>G406</f>
        <v>42.86529680365297</v>
      </c>
      <c r="J406" s="27"/>
      <c r="K406" s="27"/>
      <c r="L406" s="27"/>
      <c r="M406" s="88">
        <f>M402/M400*100</f>
        <v>35.67351598173516</v>
      </c>
      <c r="N406" s="88"/>
      <c r="O406" s="88">
        <f>M406</f>
        <v>35.67351598173516</v>
      </c>
    </row>
    <row r="407" spans="1:234" s="195" customFormat="1" ht="36.75" customHeight="1">
      <c r="A407" s="203" t="s">
        <v>380</v>
      </c>
      <c r="B407" s="203"/>
      <c r="C407" s="203"/>
      <c r="D407" s="204">
        <f>251250-191250</f>
        <v>60000</v>
      </c>
      <c r="E407" s="204"/>
      <c r="F407" s="204">
        <f>D407</f>
        <v>60000</v>
      </c>
      <c r="G407" s="204">
        <f>251250-131250</f>
        <v>120000</v>
      </c>
      <c r="H407" s="204"/>
      <c r="I407" s="204">
        <f>G407+H407</f>
        <v>120000</v>
      </c>
      <c r="J407" s="204"/>
      <c r="K407" s="205"/>
      <c r="L407" s="205"/>
      <c r="M407" s="204">
        <v>120000</v>
      </c>
      <c r="N407" s="204"/>
      <c r="O407" s="204">
        <f>M407</f>
        <v>120000</v>
      </c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D407" s="194"/>
      <c r="AE407" s="194"/>
      <c r="AF407" s="194"/>
      <c r="AG407" s="194"/>
      <c r="AH407" s="194"/>
      <c r="AI407" s="19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4"/>
      <c r="AT407" s="194"/>
      <c r="AU407" s="194"/>
      <c r="AV407" s="194"/>
      <c r="AW407" s="194"/>
      <c r="AX407" s="194"/>
      <c r="AY407" s="194"/>
      <c r="AZ407" s="194"/>
      <c r="BA407" s="194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  <c r="BM407" s="194"/>
      <c r="BN407" s="194"/>
      <c r="BO407" s="194"/>
      <c r="BP407" s="194"/>
      <c r="BQ407" s="194"/>
      <c r="BR407" s="194"/>
      <c r="BS407" s="194"/>
      <c r="BT407" s="194"/>
      <c r="BU407" s="194"/>
      <c r="BV407" s="194"/>
      <c r="BW407" s="194"/>
      <c r="BX407" s="194"/>
      <c r="BY407" s="194"/>
      <c r="BZ407" s="194"/>
      <c r="CA407" s="194"/>
      <c r="CB407" s="194"/>
      <c r="CC407" s="194"/>
      <c r="CD407" s="194"/>
      <c r="CE407" s="194"/>
      <c r="CF407" s="194"/>
      <c r="CG407" s="194"/>
      <c r="CH407" s="194"/>
      <c r="CI407" s="194"/>
      <c r="CJ407" s="194"/>
      <c r="CK407" s="194"/>
      <c r="CL407" s="194"/>
      <c r="CM407" s="194"/>
      <c r="CN407" s="194"/>
      <c r="CO407" s="194"/>
      <c r="CP407" s="194"/>
      <c r="CQ407" s="194"/>
      <c r="CR407" s="194"/>
      <c r="CS407" s="194"/>
      <c r="CT407" s="194"/>
      <c r="CU407" s="194"/>
      <c r="CV407" s="194"/>
      <c r="CW407" s="194"/>
      <c r="CX407" s="194"/>
      <c r="CY407" s="194"/>
      <c r="CZ407" s="194"/>
      <c r="DA407" s="194"/>
      <c r="DB407" s="194"/>
      <c r="DC407" s="194"/>
      <c r="DD407" s="194"/>
      <c r="DE407" s="194"/>
      <c r="DF407" s="194"/>
      <c r="DG407" s="194"/>
      <c r="DH407" s="194"/>
      <c r="DI407" s="194"/>
      <c r="DJ407" s="194"/>
      <c r="DK407" s="194"/>
      <c r="DL407" s="194"/>
      <c r="DM407" s="194"/>
      <c r="DN407" s="194"/>
      <c r="DO407" s="194"/>
      <c r="DP407" s="194"/>
      <c r="DQ407" s="194"/>
      <c r="DR407" s="194"/>
      <c r="DS407" s="194"/>
      <c r="DT407" s="194"/>
      <c r="DU407" s="194"/>
      <c r="DV407" s="194"/>
      <c r="DW407" s="194"/>
      <c r="DX407" s="194"/>
      <c r="DY407" s="194"/>
      <c r="DZ407" s="194"/>
      <c r="EA407" s="194"/>
      <c r="EB407" s="194"/>
      <c r="EC407" s="194"/>
      <c r="ED407" s="194"/>
      <c r="EE407" s="194"/>
      <c r="EF407" s="194"/>
      <c r="EG407" s="194"/>
      <c r="EH407" s="194"/>
      <c r="EI407" s="194"/>
      <c r="EJ407" s="194"/>
      <c r="EK407" s="194"/>
      <c r="EL407" s="194"/>
      <c r="EM407" s="194"/>
      <c r="EN407" s="194"/>
      <c r="EO407" s="194"/>
      <c r="EP407" s="194"/>
      <c r="EQ407" s="194"/>
      <c r="ER407" s="194"/>
      <c r="ES407" s="194"/>
      <c r="ET407" s="194"/>
      <c r="EU407" s="194"/>
      <c r="EV407" s="194"/>
      <c r="EW407" s="194"/>
      <c r="EX407" s="194"/>
      <c r="EY407" s="194"/>
      <c r="EZ407" s="194"/>
      <c r="FA407" s="194"/>
      <c r="FB407" s="194"/>
      <c r="FC407" s="194"/>
      <c r="FD407" s="194"/>
      <c r="FE407" s="194"/>
      <c r="FF407" s="194"/>
      <c r="FG407" s="194"/>
      <c r="FH407" s="194"/>
      <c r="FI407" s="194"/>
      <c r="FJ407" s="194"/>
      <c r="FK407" s="194"/>
      <c r="FL407" s="194"/>
      <c r="FM407" s="194"/>
      <c r="FN407" s="194"/>
      <c r="FO407" s="194"/>
      <c r="FP407" s="194"/>
      <c r="FQ407" s="194"/>
      <c r="FR407" s="194"/>
      <c r="FS407" s="194"/>
      <c r="FT407" s="194"/>
      <c r="FU407" s="194"/>
      <c r="FV407" s="194"/>
      <c r="FW407" s="194"/>
      <c r="FX407" s="194"/>
      <c r="FY407" s="194"/>
      <c r="FZ407" s="194"/>
      <c r="GA407" s="194"/>
      <c r="GB407" s="194"/>
      <c r="GC407" s="194"/>
      <c r="GD407" s="194"/>
      <c r="GE407" s="194"/>
      <c r="GF407" s="194"/>
      <c r="GG407" s="194"/>
      <c r="GH407" s="194"/>
      <c r="GI407" s="194"/>
      <c r="GJ407" s="194"/>
      <c r="GK407" s="194"/>
      <c r="GL407" s="194"/>
      <c r="GM407" s="194"/>
      <c r="GN407" s="194"/>
      <c r="GO407" s="194"/>
      <c r="GP407" s="194"/>
      <c r="GQ407" s="194"/>
      <c r="GR407" s="194"/>
      <c r="GS407" s="194"/>
      <c r="GT407" s="194"/>
      <c r="GU407" s="194"/>
      <c r="GV407" s="194"/>
      <c r="GW407" s="194"/>
      <c r="GX407" s="194"/>
      <c r="GY407" s="194"/>
      <c r="GZ407" s="194"/>
      <c r="HA407" s="194"/>
      <c r="HB407" s="194"/>
      <c r="HC407" s="194"/>
      <c r="HD407" s="194"/>
      <c r="HE407" s="194"/>
      <c r="HF407" s="194"/>
      <c r="HG407" s="194"/>
      <c r="HH407" s="194"/>
      <c r="HI407" s="194"/>
      <c r="HJ407" s="194"/>
      <c r="HK407" s="194"/>
      <c r="HL407" s="194"/>
      <c r="HM407" s="194"/>
      <c r="HN407" s="194"/>
      <c r="HO407" s="194"/>
      <c r="HP407" s="194"/>
      <c r="HQ407" s="194"/>
      <c r="HR407" s="194"/>
      <c r="HS407" s="194"/>
      <c r="HT407" s="194"/>
      <c r="HU407" s="194"/>
      <c r="HV407" s="194"/>
      <c r="HW407" s="194"/>
      <c r="HX407" s="194"/>
      <c r="HY407" s="194"/>
      <c r="HZ407" s="194"/>
    </row>
    <row r="408" spans="1:15" ht="11.25">
      <c r="A408" s="74" t="s">
        <v>5</v>
      </c>
      <c r="B408" s="50"/>
      <c r="C408" s="50"/>
      <c r="D408" s="51"/>
      <c r="E408" s="51"/>
      <c r="F408" s="51"/>
      <c r="G408" s="51"/>
      <c r="H408" s="51"/>
      <c r="I408" s="51"/>
      <c r="J408" s="48"/>
      <c r="K408" s="51"/>
      <c r="L408" s="51"/>
      <c r="M408" s="51"/>
      <c r="N408" s="51"/>
      <c r="O408" s="51"/>
    </row>
    <row r="409" spans="1:15" ht="15" customHeight="1">
      <c r="A409" s="75" t="s">
        <v>84</v>
      </c>
      <c r="B409" s="53"/>
      <c r="C409" s="53"/>
      <c r="D409" s="54">
        <f>D407/D413</f>
        <v>3.582089552238806</v>
      </c>
      <c r="E409" s="54"/>
      <c r="F409" s="54">
        <f>D409</f>
        <v>3.582089552238806</v>
      </c>
      <c r="G409" s="54">
        <f>G407/G413</f>
        <v>7.164179104477612</v>
      </c>
      <c r="H409" s="54"/>
      <c r="I409" s="54">
        <f>G409+H409</f>
        <v>7.164179104477612</v>
      </c>
      <c r="J409" s="54">
        <f>G409/D409*100</f>
        <v>200</v>
      </c>
      <c r="K409" s="54"/>
      <c r="L409" s="54"/>
      <c r="M409" s="54">
        <v>7</v>
      </c>
      <c r="N409" s="54"/>
      <c r="O409" s="54">
        <f>M409</f>
        <v>7</v>
      </c>
    </row>
    <row r="410" spans="1:15" ht="11.25">
      <c r="A410" s="74" t="s">
        <v>6</v>
      </c>
      <c r="B410" s="50"/>
      <c r="C410" s="50"/>
      <c r="D410" s="55"/>
      <c r="E410" s="55"/>
      <c r="F410" s="54"/>
      <c r="G410" s="55"/>
      <c r="H410" s="55"/>
      <c r="I410" s="54"/>
      <c r="J410" s="54"/>
      <c r="K410" s="55"/>
      <c r="L410" s="55"/>
      <c r="M410" s="55"/>
      <c r="N410" s="55"/>
      <c r="O410" s="54"/>
    </row>
    <row r="411" spans="1:15" ht="24" customHeight="1">
      <c r="A411" s="75" t="s">
        <v>85</v>
      </c>
      <c r="B411" s="53"/>
      <c r="C411" s="53"/>
      <c r="D411" s="54">
        <v>4</v>
      </c>
      <c r="E411" s="54"/>
      <c r="F411" s="54">
        <f>D411</f>
        <v>4</v>
      </c>
      <c r="G411" s="54">
        <v>7</v>
      </c>
      <c r="H411" s="54"/>
      <c r="I411" s="54">
        <f>G411+H411</f>
        <v>7</v>
      </c>
      <c r="J411" s="54">
        <f>G411/D411*100</f>
        <v>175</v>
      </c>
      <c r="K411" s="54"/>
      <c r="L411" s="54"/>
      <c r="M411" s="54">
        <v>7</v>
      </c>
      <c r="N411" s="54"/>
      <c r="O411" s="54">
        <f>M411</f>
        <v>7</v>
      </c>
    </row>
    <row r="412" spans="1:15" ht="11.25">
      <c r="A412" s="74" t="s">
        <v>8</v>
      </c>
      <c r="B412" s="50"/>
      <c r="C412" s="50"/>
      <c r="D412" s="51"/>
      <c r="E412" s="51"/>
      <c r="F412" s="48"/>
      <c r="G412" s="51"/>
      <c r="H412" s="51"/>
      <c r="I412" s="48"/>
      <c r="J412" s="48"/>
      <c r="K412" s="51"/>
      <c r="L412" s="51"/>
      <c r="M412" s="51"/>
      <c r="N412" s="51"/>
      <c r="O412" s="48"/>
    </row>
    <row r="413" spans="1:15" ht="24" customHeight="1">
      <c r="A413" s="75" t="s">
        <v>86</v>
      </c>
      <c r="B413" s="53"/>
      <c r="C413" s="53"/>
      <c r="D413" s="56">
        <v>16750</v>
      </c>
      <c r="E413" s="57"/>
      <c r="F413" s="48">
        <f>D413</f>
        <v>16750</v>
      </c>
      <c r="G413" s="56">
        <v>16750</v>
      </c>
      <c r="H413" s="57"/>
      <c r="I413" s="48">
        <f>G413</f>
        <v>16750</v>
      </c>
      <c r="J413" s="48">
        <f>G413/D413*100</f>
        <v>100</v>
      </c>
      <c r="K413" s="57"/>
      <c r="L413" s="56"/>
      <c r="M413" s="56">
        <v>16750</v>
      </c>
      <c r="N413" s="57"/>
      <c r="O413" s="48">
        <f>M413</f>
        <v>16750</v>
      </c>
    </row>
    <row r="414" spans="1:234" s="195" customFormat="1" ht="33.75">
      <c r="A414" s="203" t="s">
        <v>381</v>
      </c>
      <c r="B414" s="203"/>
      <c r="C414" s="203"/>
      <c r="D414" s="206">
        <f>(D418*D423)+(D419*D424)+2.8</f>
        <v>293680</v>
      </c>
      <c r="E414" s="206"/>
      <c r="F414" s="206">
        <f>D414</f>
        <v>293680</v>
      </c>
      <c r="G414" s="206">
        <v>100000</v>
      </c>
      <c r="H414" s="206">
        <v>400000</v>
      </c>
      <c r="I414" s="206">
        <f>G414+H414</f>
        <v>500000</v>
      </c>
      <c r="J414" s="206"/>
      <c r="K414" s="207"/>
      <c r="L414" s="207"/>
      <c r="M414" s="206">
        <f>(M418*M423)+(M419*M424)+2.8</f>
        <v>293680</v>
      </c>
      <c r="N414" s="206"/>
      <c r="O414" s="206">
        <f>M414</f>
        <v>293680</v>
      </c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  <c r="AA414" s="194"/>
      <c r="AB414" s="194"/>
      <c r="AC414" s="194"/>
      <c r="AD414" s="194"/>
      <c r="AE414" s="194"/>
      <c r="AF414" s="194"/>
      <c r="AG414" s="194"/>
      <c r="AH414" s="194"/>
      <c r="AI414" s="194"/>
      <c r="AJ414" s="194"/>
      <c r="AK414" s="194"/>
      <c r="AL414" s="194"/>
      <c r="AM414" s="194"/>
      <c r="AN414" s="194"/>
      <c r="AO414" s="194"/>
      <c r="AP414" s="194"/>
      <c r="AQ414" s="194"/>
      <c r="AR414" s="194"/>
      <c r="AS414" s="194"/>
      <c r="AT414" s="194"/>
      <c r="AU414" s="194"/>
      <c r="AV414" s="194"/>
      <c r="AW414" s="194"/>
      <c r="AX414" s="194"/>
      <c r="AY414" s="194"/>
      <c r="AZ414" s="194"/>
      <c r="BA414" s="194"/>
      <c r="BB414" s="194"/>
      <c r="BC414" s="194"/>
      <c r="BD414" s="194"/>
      <c r="BE414" s="194"/>
      <c r="BF414" s="194"/>
      <c r="BG414" s="194"/>
      <c r="BH414" s="194"/>
      <c r="BI414" s="194"/>
      <c r="BJ414" s="194"/>
      <c r="BK414" s="194"/>
      <c r="BL414" s="194"/>
      <c r="BM414" s="194"/>
      <c r="BN414" s="194"/>
      <c r="BO414" s="194"/>
      <c r="BP414" s="194"/>
      <c r="BQ414" s="194"/>
      <c r="BR414" s="194"/>
      <c r="BS414" s="194"/>
      <c r="BT414" s="194"/>
      <c r="BU414" s="194"/>
      <c r="BV414" s="194"/>
      <c r="BW414" s="194"/>
      <c r="BX414" s="194"/>
      <c r="BY414" s="194"/>
      <c r="BZ414" s="194"/>
      <c r="CA414" s="194"/>
      <c r="CB414" s="194"/>
      <c r="CC414" s="194"/>
      <c r="CD414" s="194"/>
      <c r="CE414" s="194"/>
      <c r="CF414" s="194"/>
      <c r="CG414" s="194"/>
      <c r="CH414" s="194"/>
      <c r="CI414" s="194"/>
      <c r="CJ414" s="194"/>
      <c r="CK414" s="194"/>
      <c r="CL414" s="194"/>
      <c r="CM414" s="194"/>
      <c r="CN414" s="194"/>
      <c r="CO414" s="194"/>
      <c r="CP414" s="194"/>
      <c r="CQ414" s="194"/>
      <c r="CR414" s="194"/>
      <c r="CS414" s="194"/>
      <c r="CT414" s="194"/>
      <c r="CU414" s="194"/>
      <c r="CV414" s="194"/>
      <c r="CW414" s="194"/>
      <c r="CX414" s="194"/>
      <c r="CY414" s="194"/>
      <c r="CZ414" s="194"/>
      <c r="DA414" s="194"/>
      <c r="DB414" s="194"/>
      <c r="DC414" s="194"/>
      <c r="DD414" s="194"/>
      <c r="DE414" s="194"/>
      <c r="DF414" s="194"/>
      <c r="DG414" s="194"/>
      <c r="DH414" s="194"/>
      <c r="DI414" s="194"/>
      <c r="DJ414" s="194"/>
      <c r="DK414" s="194"/>
      <c r="DL414" s="194"/>
      <c r="DM414" s="194"/>
      <c r="DN414" s="194"/>
      <c r="DO414" s="194"/>
      <c r="DP414" s="194"/>
      <c r="DQ414" s="194"/>
      <c r="DR414" s="194"/>
      <c r="DS414" s="194"/>
      <c r="DT414" s="194"/>
      <c r="DU414" s="194"/>
      <c r="DV414" s="194"/>
      <c r="DW414" s="194"/>
      <c r="DX414" s="194"/>
      <c r="DY414" s="194"/>
      <c r="DZ414" s="194"/>
      <c r="EA414" s="194"/>
      <c r="EB414" s="194"/>
      <c r="EC414" s="194"/>
      <c r="ED414" s="194"/>
      <c r="EE414" s="194"/>
      <c r="EF414" s="194"/>
      <c r="EG414" s="194"/>
      <c r="EH414" s="194"/>
      <c r="EI414" s="194"/>
      <c r="EJ414" s="194"/>
      <c r="EK414" s="194"/>
      <c r="EL414" s="194"/>
      <c r="EM414" s="194"/>
      <c r="EN414" s="194"/>
      <c r="EO414" s="194"/>
      <c r="EP414" s="194"/>
      <c r="EQ414" s="194"/>
      <c r="ER414" s="194"/>
      <c r="ES414" s="194"/>
      <c r="ET414" s="194"/>
      <c r="EU414" s="194"/>
      <c r="EV414" s="194"/>
      <c r="EW414" s="194"/>
      <c r="EX414" s="194"/>
      <c r="EY414" s="194"/>
      <c r="EZ414" s="194"/>
      <c r="FA414" s="194"/>
      <c r="FB414" s="194"/>
      <c r="FC414" s="194"/>
      <c r="FD414" s="194"/>
      <c r="FE414" s="194"/>
      <c r="FF414" s="194"/>
      <c r="FG414" s="194"/>
      <c r="FH414" s="194"/>
      <c r="FI414" s="194"/>
      <c r="FJ414" s="194"/>
      <c r="FK414" s="194"/>
      <c r="FL414" s="194"/>
      <c r="FM414" s="194"/>
      <c r="FN414" s="194"/>
      <c r="FO414" s="194"/>
      <c r="FP414" s="194"/>
      <c r="FQ414" s="194"/>
      <c r="FR414" s="194"/>
      <c r="FS414" s="194"/>
      <c r="FT414" s="194"/>
      <c r="FU414" s="194"/>
      <c r="FV414" s="194"/>
      <c r="FW414" s="194"/>
      <c r="FX414" s="194"/>
      <c r="FY414" s="194"/>
      <c r="FZ414" s="194"/>
      <c r="GA414" s="194"/>
      <c r="GB414" s="194"/>
      <c r="GC414" s="194"/>
      <c r="GD414" s="194"/>
      <c r="GE414" s="194"/>
      <c r="GF414" s="194"/>
      <c r="GG414" s="194"/>
      <c r="GH414" s="194"/>
      <c r="GI414" s="194"/>
      <c r="GJ414" s="194"/>
      <c r="GK414" s="194"/>
      <c r="GL414" s="194"/>
      <c r="GM414" s="194"/>
      <c r="GN414" s="194"/>
      <c r="GO414" s="194"/>
      <c r="GP414" s="194"/>
      <c r="GQ414" s="194"/>
      <c r="GR414" s="194"/>
      <c r="GS414" s="194"/>
      <c r="GT414" s="194"/>
      <c r="GU414" s="194"/>
      <c r="GV414" s="194"/>
      <c r="GW414" s="194"/>
      <c r="GX414" s="194"/>
      <c r="GY414" s="194"/>
      <c r="GZ414" s="194"/>
      <c r="HA414" s="194"/>
      <c r="HB414" s="194"/>
      <c r="HC414" s="194"/>
      <c r="HD414" s="194"/>
      <c r="HE414" s="194"/>
      <c r="HF414" s="194"/>
      <c r="HG414" s="194"/>
      <c r="HH414" s="194"/>
      <c r="HI414" s="194"/>
      <c r="HJ414" s="194"/>
      <c r="HK414" s="194"/>
      <c r="HL414" s="194"/>
      <c r="HM414" s="194"/>
      <c r="HN414" s="194"/>
      <c r="HO414" s="194"/>
      <c r="HP414" s="194"/>
      <c r="HQ414" s="194"/>
      <c r="HR414" s="194"/>
      <c r="HS414" s="194"/>
      <c r="HT414" s="194"/>
      <c r="HU414" s="194"/>
      <c r="HV414" s="194"/>
      <c r="HW414" s="194"/>
      <c r="HX414" s="194"/>
      <c r="HY414" s="194"/>
      <c r="HZ414" s="194"/>
    </row>
    <row r="415" spans="1:15" ht="11.25">
      <c r="A415" s="74" t="s">
        <v>6</v>
      </c>
      <c r="B415" s="50"/>
      <c r="C415" s="50"/>
      <c r="D415" s="51"/>
      <c r="E415" s="51"/>
      <c r="F415" s="48"/>
      <c r="G415" s="51"/>
      <c r="H415" s="51"/>
      <c r="I415" s="48"/>
      <c r="J415" s="58"/>
      <c r="K415" s="59"/>
      <c r="L415" s="59"/>
      <c r="M415" s="51"/>
      <c r="N415" s="51"/>
      <c r="O415" s="48"/>
    </row>
    <row r="416" spans="1:15" ht="24" customHeight="1">
      <c r="A416" s="75" t="s">
        <v>233</v>
      </c>
      <c r="B416" s="53"/>
      <c r="C416" s="53"/>
      <c r="D416" s="170"/>
      <c r="E416" s="170"/>
      <c r="F416" s="170">
        <v>230</v>
      </c>
      <c r="G416" s="170"/>
      <c r="H416" s="170"/>
      <c r="I416" s="170">
        <v>230</v>
      </c>
      <c r="J416" s="170" t="e">
        <f>G416/D416*100</f>
        <v>#DIV/0!</v>
      </c>
      <c r="K416" s="170"/>
      <c r="L416" s="170"/>
      <c r="M416" s="170"/>
      <c r="N416" s="170"/>
      <c r="O416" s="170">
        <v>230</v>
      </c>
    </row>
    <row r="417" spans="1:15" ht="13.5" customHeight="1">
      <c r="A417" s="75" t="s">
        <v>87</v>
      </c>
      <c r="B417" s="53"/>
      <c r="C417" s="53"/>
      <c r="D417" s="170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</row>
    <row r="418" spans="1:15" ht="23.25" customHeight="1">
      <c r="A418" s="75" t="s">
        <v>234</v>
      </c>
      <c r="B418" s="53"/>
      <c r="C418" s="53"/>
      <c r="D418" s="170">
        <v>180</v>
      </c>
      <c r="E418" s="170"/>
      <c r="F418" s="170">
        <f>D418</f>
        <v>180</v>
      </c>
      <c r="G418" s="170">
        <f>180-130</f>
        <v>50</v>
      </c>
      <c r="H418" s="170">
        <v>130</v>
      </c>
      <c r="I418" s="170">
        <f>G418+H418</f>
        <v>180</v>
      </c>
      <c r="J418" s="170"/>
      <c r="K418" s="170"/>
      <c r="L418" s="170"/>
      <c r="M418" s="170">
        <v>180</v>
      </c>
      <c r="N418" s="170"/>
      <c r="O418" s="170">
        <f>M418</f>
        <v>180</v>
      </c>
    </row>
    <row r="419" spans="1:15" ht="27" customHeight="1">
      <c r="A419" s="75" t="s">
        <v>235</v>
      </c>
      <c r="B419" s="53"/>
      <c r="C419" s="53"/>
      <c r="D419" s="170">
        <v>540</v>
      </c>
      <c r="E419" s="170"/>
      <c r="F419" s="170">
        <f>D419</f>
        <v>540</v>
      </c>
      <c r="G419" s="170">
        <v>140</v>
      </c>
      <c r="H419" s="170">
        <v>400</v>
      </c>
      <c r="I419" s="170">
        <f>G419+H419</f>
        <v>540</v>
      </c>
      <c r="J419" s="170"/>
      <c r="K419" s="170"/>
      <c r="L419" s="170"/>
      <c r="M419" s="170">
        <v>540</v>
      </c>
      <c r="N419" s="170"/>
      <c r="O419" s="170">
        <f>M419</f>
        <v>540</v>
      </c>
    </row>
    <row r="420" spans="1:15" ht="11.25">
      <c r="A420" s="74" t="s">
        <v>8</v>
      </c>
      <c r="B420" s="50"/>
      <c r="C420" s="50"/>
      <c r="D420" s="46"/>
      <c r="E420" s="46"/>
      <c r="F420" s="47"/>
      <c r="G420" s="46"/>
      <c r="H420" s="46"/>
      <c r="I420" s="47"/>
      <c r="J420" s="60"/>
      <c r="K420" s="61"/>
      <c r="L420" s="61"/>
      <c r="M420" s="46"/>
      <c r="N420" s="46"/>
      <c r="O420" s="47"/>
    </row>
    <row r="421" spans="1:15" ht="48" customHeight="1">
      <c r="A421" s="75" t="s">
        <v>236</v>
      </c>
      <c r="B421" s="53"/>
      <c r="C421" s="53"/>
      <c r="D421" s="62"/>
      <c r="E421" s="63"/>
      <c r="F421" s="47">
        <f>D421</f>
        <v>0</v>
      </c>
      <c r="G421" s="62"/>
      <c r="H421" s="63"/>
      <c r="I421" s="47">
        <f>G421</f>
        <v>0</v>
      </c>
      <c r="J421" s="60" t="e">
        <f>G421/D421*100</f>
        <v>#DIV/0!</v>
      </c>
      <c r="K421" s="64"/>
      <c r="L421" s="65"/>
      <c r="M421" s="62"/>
      <c r="N421" s="63"/>
      <c r="O421" s="47">
        <f>M421</f>
        <v>0</v>
      </c>
    </row>
    <row r="422" spans="1:15" ht="11.25">
      <c r="A422" s="75" t="s">
        <v>87</v>
      </c>
      <c r="B422" s="53"/>
      <c r="C422" s="53"/>
      <c r="D422" s="56"/>
      <c r="E422" s="57"/>
      <c r="F422" s="48"/>
      <c r="G422" s="56"/>
      <c r="H422" s="57"/>
      <c r="I422" s="48"/>
      <c r="J422" s="58"/>
      <c r="K422" s="66"/>
      <c r="L422" s="67"/>
      <c r="M422" s="56"/>
      <c r="N422" s="57"/>
      <c r="O422" s="48"/>
    </row>
    <row r="423" spans="1:15" ht="23.25" customHeight="1">
      <c r="A423" s="75" t="s">
        <v>234</v>
      </c>
      <c r="B423" s="53"/>
      <c r="C423" s="53"/>
      <c r="D423" s="62">
        <v>122.96</v>
      </c>
      <c r="E423" s="63"/>
      <c r="F423" s="47">
        <f>D423</f>
        <v>122.96</v>
      </c>
      <c r="G423" s="62">
        <v>122.96</v>
      </c>
      <c r="H423" s="63">
        <v>122.96</v>
      </c>
      <c r="I423" s="47">
        <f>G423</f>
        <v>122.96</v>
      </c>
      <c r="J423" s="58"/>
      <c r="K423" s="66"/>
      <c r="L423" s="67"/>
      <c r="M423" s="62">
        <v>122.96</v>
      </c>
      <c r="N423" s="63"/>
      <c r="O423" s="47">
        <f>M423</f>
        <v>122.96</v>
      </c>
    </row>
    <row r="424" spans="1:15" ht="24" customHeight="1">
      <c r="A424" s="75" t="s">
        <v>235</v>
      </c>
      <c r="B424" s="53"/>
      <c r="C424" s="53"/>
      <c r="D424" s="62">
        <v>502.86</v>
      </c>
      <c r="E424" s="63"/>
      <c r="F424" s="47">
        <f>D424</f>
        <v>502.86</v>
      </c>
      <c r="G424" s="62">
        <v>502.86</v>
      </c>
      <c r="H424" s="63">
        <v>502.86</v>
      </c>
      <c r="I424" s="47">
        <f>G424</f>
        <v>502.86</v>
      </c>
      <c r="J424" s="58"/>
      <c r="K424" s="66"/>
      <c r="L424" s="67"/>
      <c r="M424" s="62">
        <v>502.86</v>
      </c>
      <c r="N424" s="63"/>
      <c r="O424" s="47">
        <f>M424</f>
        <v>502.86</v>
      </c>
    </row>
    <row r="425" spans="1:234" s="195" customFormat="1" ht="24" customHeight="1">
      <c r="A425" s="203" t="s">
        <v>382</v>
      </c>
      <c r="B425" s="203"/>
      <c r="C425" s="203"/>
      <c r="D425" s="206">
        <f>(D427*D429)+0.02</f>
        <v>51000.002</v>
      </c>
      <c r="E425" s="206"/>
      <c r="F425" s="206">
        <f>D425</f>
        <v>51000.002</v>
      </c>
      <c r="G425" s="206">
        <v>75000</v>
      </c>
      <c r="H425" s="206"/>
      <c r="I425" s="206">
        <f>G425</f>
        <v>75000</v>
      </c>
      <c r="J425" s="206"/>
      <c r="K425" s="207"/>
      <c r="L425" s="207"/>
      <c r="M425" s="206"/>
      <c r="N425" s="206"/>
      <c r="O425" s="206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  <c r="AA425" s="194"/>
      <c r="AB425" s="194"/>
      <c r="AC425" s="194"/>
      <c r="AD425" s="194"/>
      <c r="AE425" s="194"/>
      <c r="AF425" s="194"/>
      <c r="AG425" s="194"/>
      <c r="AH425" s="194"/>
      <c r="AI425" s="194"/>
      <c r="AJ425" s="194"/>
      <c r="AK425" s="194"/>
      <c r="AL425" s="194"/>
      <c r="AM425" s="194"/>
      <c r="AN425" s="194"/>
      <c r="AO425" s="194"/>
      <c r="AP425" s="194"/>
      <c r="AQ425" s="194"/>
      <c r="AR425" s="194"/>
      <c r="AS425" s="194"/>
      <c r="AT425" s="194"/>
      <c r="AU425" s="194"/>
      <c r="AV425" s="194"/>
      <c r="AW425" s="194"/>
      <c r="AX425" s="194"/>
      <c r="AY425" s="194"/>
      <c r="AZ425" s="194"/>
      <c r="BA425" s="194"/>
      <c r="BB425" s="194"/>
      <c r="BC425" s="194"/>
      <c r="BD425" s="194"/>
      <c r="BE425" s="194"/>
      <c r="BF425" s="194"/>
      <c r="BG425" s="194"/>
      <c r="BH425" s="194"/>
      <c r="BI425" s="194"/>
      <c r="BJ425" s="194"/>
      <c r="BK425" s="194"/>
      <c r="BL425" s="194"/>
      <c r="BM425" s="194"/>
      <c r="BN425" s="194"/>
      <c r="BO425" s="194"/>
      <c r="BP425" s="194"/>
      <c r="BQ425" s="194"/>
      <c r="BR425" s="194"/>
      <c r="BS425" s="194"/>
      <c r="BT425" s="194"/>
      <c r="BU425" s="194"/>
      <c r="BV425" s="194"/>
      <c r="BW425" s="194"/>
      <c r="BX425" s="194"/>
      <c r="BY425" s="194"/>
      <c r="BZ425" s="194"/>
      <c r="CA425" s="194"/>
      <c r="CB425" s="194"/>
      <c r="CC425" s="194"/>
      <c r="CD425" s="194"/>
      <c r="CE425" s="194"/>
      <c r="CF425" s="194"/>
      <c r="CG425" s="194"/>
      <c r="CH425" s="194"/>
      <c r="CI425" s="194"/>
      <c r="CJ425" s="194"/>
      <c r="CK425" s="194"/>
      <c r="CL425" s="194"/>
      <c r="CM425" s="194"/>
      <c r="CN425" s="194"/>
      <c r="CO425" s="194"/>
      <c r="CP425" s="194"/>
      <c r="CQ425" s="194"/>
      <c r="CR425" s="194"/>
      <c r="CS425" s="194"/>
      <c r="CT425" s="194"/>
      <c r="CU425" s="194"/>
      <c r="CV425" s="194"/>
      <c r="CW425" s="194"/>
      <c r="CX425" s="194"/>
      <c r="CY425" s="194"/>
      <c r="CZ425" s="194"/>
      <c r="DA425" s="194"/>
      <c r="DB425" s="194"/>
      <c r="DC425" s="194"/>
      <c r="DD425" s="194"/>
      <c r="DE425" s="194"/>
      <c r="DF425" s="194"/>
      <c r="DG425" s="194"/>
      <c r="DH425" s="194"/>
      <c r="DI425" s="194"/>
      <c r="DJ425" s="194"/>
      <c r="DK425" s="194"/>
      <c r="DL425" s="194"/>
      <c r="DM425" s="194"/>
      <c r="DN425" s="194"/>
      <c r="DO425" s="194"/>
      <c r="DP425" s="194"/>
      <c r="DQ425" s="194"/>
      <c r="DR425" s="194"/>
      <c r="DS425" s="194"/>
      <c r="DT425" s="194"/>
      <c r="DU425" s="194"/>
      <c r="DV425" s="194"/>
      <c r="DW425" s="194"/>
      <c r="DX425" s="194"/>
      <c r="DY425" s="194"/>
      <c r="DZ425" s="194"/>
      <c r="EA425" s="194"/>
      <c r="EB425" s="194"/>
      <c r="EC425" s="194"/>
      <c r="ED425" s="194"/>
      <c r="EE425" s="194"/>
      <c r="EF425" s="194"/>
      <c r="EG425" s="194"/>
      <c r="EH425" s="194"/>
      <c r="EI425" s="194"/>
      <c r="EJ425" s="194"/>
      <c r="EK425" s="194"/>
      <c r="EL425" s="194"/>
      <c r="EM425" s="194"/>
      <c r="EN425" s="194"/>
      <c r="EO425" s="194"/>
      <c r="EP425" s="194"/>
      <c r="EQ425" s="194"/>
      <c r="ER425" s="194"/>
      <c r="ES425" s="194"/>
      <c r="ET425" s="194"/>
      <c r="EU425" s="194"/>
      <c r="EV425" s="194"/>
      <c r="EW425" s="194"/>
      <c r="EX425" s="194"/>
      <c r="EY425" s="194"/>
      <c r="EZ425" s="194"/>
      <c r="FA425" s="194"/>
      <c r="FB425" s="194"/>
      <c r="FC425" s="194"/>
      <c r="FD425" s="194"/>
      <c r="FE425" s="194"/>
      <c r="FF425" s="194"/>
      <c r="FG425" s="194"/>
      <c r="FH425" s="194"/>
      <c r="FI425" s="194"/>
      <c r="FJ425" s="194"/>
      <c r="FK425" s="194"/>
      <c r="FL425" s="194"/>
      <c r="FM425" s="194"/>
      <c r="FN425" s="194"/>
      <c r="FO425" s="194"/>
      <c r="FP425" s="194"/>
      <c r="FQ425" s="194"/>
      <c r="FR425" s="194"/>
      <c r="FS425" s="194"/>
      <c r="FT425" s="194"/>
      <c r="FU425" s="194"/>
      <c r="FV425" s="194"/>
      <c r="FW425" s="194"/>
      <c r="FX425" s="194"/>
      <c r="FY425" s="194"/>
      <c r="FZ425" s="194"/>
      <c r="GA425" s="194"/>
      <c r="GB425" s="194"/>
      <c r="GC425" s="194"/>
      <c r="GD425" s="194"/>
      <c r="GE425" s="194"/>
      <c r="GF425" s="194"/>
      <c r="GG425" s="194"/>
      <c r="GH425" s="194"/>
      <c r="GI425" s="194"/>
      <c r="GJ425" s="194"/>
      <c r="GK425" s="194"/>
      <c r="GL425" s="194"/>
      <c r="GM425" s="194"/>
      <c r="GN425" s="194"/>
      <c r="GO425" s="194"/>
      <c r="GP425" s="194"/>
      <c r="GQ425" s="194"/>
      <c r="GR425" s="194"/>
      <c r="GS425" s="194"/>
      <c r="GT425" s="194"/>
      <c r="GU425" s="194"/>
      <c r="GV425" s="194"/>
      <c r="GW425" s="194"/>
      <c r="GX425" s="194"/>
      <c r="GY425" s="194"/>
      <c r="GZ425" s="194"/>
      <c r="HA425" s="194"/>
      <c r="HB425" s="194"/>
      <c r="HC425" s="194"/>
      <c r="HD425" s="194"/>
      <c r="HE425" s="194"/>
      <c r="HF425" s="194"/>
      <c r="HG425" s="194"/>
      <c r="HH425" s="194"/>
      <c r="HI425" s="194"/>
      <c r="HJ425" s="194"/>
      <c r="HK425" s="194"/>
      <c r="HL425" s="194"/>
      <c r="HM425" s="194"/>
      <c r="HN425" s="194"/>
      <c r="HO425" s="194"/>
      <c r="HP425" s="194"/>
      <c r="HQ425" s="194"/>
      <c r="HR425" s="194"/>
      <c r="HS425" s="194"/>
      <c r="HT425" s="194"/>
      <c r="HU425" s="194"/>
      <c r="HV425" s="194"/>
      <c r="HW425" s="194"/>
      <c r="HX425" s="194"/>
      <c r="HY425" s="194"/>
      <c r="HZ425" s="194"/>
    </row>
    <row r="426" spans="1:15" ht="12.75" customHeight="1">
      <c r="A426" s="74" t="s">
        <v>271</v>
      </c>
      <c r="B426" s="129"/>
      <c r="C426" s="129"/>
      <c r="D426" s="130"/>
      <c r="E426" s="130"/>
      <c r="F426" s="130"/>
      <c r="G426" s="130"/>
      <c r="H426" s="130"/>
      <c r="I426" s="130"/>
      <c r="J426" s="131"/>
      <c r="K426" s="132"/>
      <c r="L426" s="132"/>
      <c r="M426" s="130"/>
      <c r="N426" s="130"/>
      <c r="O426" s="130"/>
    </row>
    <row r="427" spans="1:15" ht="24" customHeight="1">
      <c r="A427" s="92" t="s">
        <v>270</v>
      </c>
      <c r="B427" s="53"/>
      <c r="C427" s="53"/>
      <c r="D427" s="62">
        <v>6600</v>
      </c>
      <c r="E427" s="63"/>
      <c r="F427" s="47">
        <f>D427</f>
        <v>6600</v>
      </c>
      <c r="G427" s="62">
        <v>6600</v>
      </c>
      <c r="H427" s="63"/>
      <c r="I427" s="47">
        <f>G427</f>
        <v>6600</v>
      </c>
      <c r="J427" s="58"/>
      <c r="K427" s="66"/>
      <c r="L427" s="67"/>
      <c r="M427" s="62"/>
      <c r="N427" s="63"/>
      <c r="O427" s="47"/>
    </row>
    <row r="428" spans="1:15" ht="11.25">
      <c r="A428" s="74" t="s">
        <v>8</v>
      </c>
      <c r="B428" s="53"/>
      <c r="C428" s="53"/>
      <c r="D428" s="62"/>
      <c r="E428" s="63"/>
      <c r="F428" s="47"/>
      <c r="G428" s="62"/>
      <c r="H428" s="63"/>
      <c r="I428" s="47"/>
      <c r="J428" s="58"/>
      <c r="K428" s="66"/>
      <c r="L428" s="67"/>
      <c r="M428" s="62"/>
      <c r="N428" s="63"/>
      <c r="O428" s="47"/>
    </row>
    <row r="429" spans="1:15" ht="24" customHeight="1">
      <c r="A429" s="75" t="s">
        <v>272</v>
      </c>
      <c r="B429" s="53"/>
      <c r="C429" s="53"/>
      <c r="D429" s="133">
        <f>7727.27/1000</f>
        <v>7.727270000000001</v>
      </c>
      <c r="E429" s="133"/>
      <c r="F429" s="133">
        <f>D429</f>
        <v>7.727270000000001</v>
      </c>
      <c r="G429" s="62">
        <f>G425/G427</f>
        <v>11.363636363636363</v>
      </c>
      <c r="H429" s="63"/>
      <c r="I429" s="47">
        <f>G429</f>
        <v>11.363636363636363</v>
      </c>
      <c r="J429" s="58"/>
      <c r="K429" s="66"/>
      <c r="L429" s="67"/>
      <c r="M429" s="62"/>
      <c r="N429" s="63"/>
      <c r="O429" s="47"/>
    </row>
    <row r="430" spans="1:234" s="195" customFormat="1" ht="38.25" customHeight="1">
      <c r="A430" s="203" t="s">
        <v>383</v>
      </c>
      <c r="B430" s="203"/>
      <c r="C430" s="203"/>
      <c r="D430" s="206"/>
      <c r="E430" s="206"/>
      <c r="F430" s="206"/>
      <c r="G430" s="206">
        <f>105000+64000</f>
        <v>169000</v>
      </c>
      <c r="H430" s="206"/>
      <c r="I430" s="206">
        <f>G430</f>
        <v>169000</v>
      </c>
      <c r="J430" s="216"/>
      <c r="K430" s="217"/>
      <c r="L430" s="218"/>
      <c r="M430" s="212"/>
      <c r="N430" s="207"/>
      <c r="O430" s="206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  <c r="AA430" s="194"/>
      <c r="AB430" s="194"/>
      <c r="AC430" s="194"/>
      <c r="AD430" s="194"/>
      <c r="AE430" s="194"/>
      <c r="AF430" s="194"/>
      <c r="AG430" s="194"/>
      <c r="AH430" s="194"/>
      <c r="AI430" s="194"/>
      <c r="AJ430" s="194"/>
      <c r="AK430" s="194"/>
      <c r="AL430" s="194"/>
      <c r="AM430" s="194"/>
      <c r="AN430" s="194"/>
      <c r="AO430" s="194"/>
      <c r="AP430" s="194"/>
      <c r="AQ430" s="194"/>
      <c r="AR430" s="194"/>
      <c r="AS430" s="194"/>
      <c r="AT430" s="194"/>
      <c r="AU430" s="194"/>
      <c r="AV430" s="194"/>
      <c r="AW430" s="194"/>
      <c r="AX430" s="194"/>
      <c r="AY430" s="194"/>
      <c r="AZ430" s="194"/>
      <c r="BA430" s="194"/>
      <c r="BB430" s="194"/>
      <c r="BC430" s="194"/>
      <c r="BD430" s="194"/>
      <c r="BE430" s="194"/>
      <c r="BF430" s="194"/>
      <c r="BG430" s="194"/>
      <c r="BH430" s="194"/>
      <c r="BI430" s="194"/>
      <c r="BJ430" s="194"/>
      <c r="BK430" s="194"/>
      <c r="BL430" s="194"/>
      <c r="BM430" s="194"/>
      <c r="BN430" s="194"/>
      <c r="BO430" s="194"/>
      <c r="BP430" s="194"/>
      <c r="BQ430" s="194"/>
      <c r="BR430" s="194"/>
      <c r="BS430" s="194"/>
      <c r="BT430" s="194"/>
      <c r="BU430" s="194"/>
      <c r="BV430" s="194"/>
      <c r="BW430" s="194"/>
      <c r="BX430" s="194"/>
      <c r="BY430" s="194"/>
      <c r="BZ430" s="194"/>
      <c r="CA430" s="194"/>
      <c r="CB430" s="194"/>
      <c r="CC430" s="194"/>
      <c r="CD430" s="194"/>
      <c r="CE430" s="194"/>
      <c r="CF430" s="194"/>
      <c r="CG430" s="194"/>
      <c r="CH430" s="194"/>
      <c r="CI430" s="194"/>
      <c r="CJ430" s="194"/>
      <c r="CK430" s="194"/>
      <c r="CL430" s="194"/>
      <c r="CM430" s="194"/>
      <c r="CN430" s="194"/>
      <c r="CO430" s="194"/>
      <c r="CP430" s="194"/>
      <c r="CQ430" s="194"/>
      <c r="CR430" s="194"/>
      <c r="CS430" s="194"/>
      <c r="CT430" s="194"/>
      <c r="CU430" s="194"/>
      <c r="CV430" s="194"/>
      <c r="CW430" s="194"/>
      <c r="CX430" s="194"/>
      <c r="CY430" s="194"/>
      <c r="CZ430" s="194"/>
      <c r="DA430" s="194"/>
      <c r="DB430" s="194"/>
      <c r="DC430" s="194"/>
      <c r="DD430" s="194"/>
      <c r="DE430" s="194"/>
      <c r="DF430" s="194"/>
      <c r="DG430" s="194"/>
      <c r="DH430" s="194"/>
      <c r="DI430" s="194"/>
      <c r="DJ430" s="194"/>
      <c r="DK430" s="194"/>
      <c r="DL430" s="194"/>
      <c r="DM430" s="194"/>
      <c r="DN430" s="194"/>
      <c r="DO430" s="194"/>
      <c r="DP430" s="194"/>
      <c r="DQ430" s="194"/>
      <c r="DR430" s="194"/>
      <c r="DS430" s="194"/>
      <c r="DT430" s="194"/>
      <c r="DU430" s="194"/>
      <c r="DV430" s="194"/>
      <c r="DW430" s="194"/>
      <c r="DX430" s="194"/>
      <c r="DY430" s="194"/>
      <c r="DZ430" s="194"/>
      <c r="EA430" s="194"/>
      <c r="EB430" s="194"/>
      <c r="EC430" s="194"/>
      <c r="ED430" s="194"/>
      <c r="EE430" s="194"/>
      <c r="EF430" s="194"/>
      <c r="EG430" s="194"/>
      <c r="EH430" s="194"/>
      <c r="EI430" s="194"/>
      <c r="EJ430" s="194"/>
      <c r="EK430" s="194"/>
      <c r="EL430" s="194"/>
      <c r="EM430" s="194"/>
      <c r="EN430" s="194"/>
      <c r="EO430" s="194"/>
      <c r="EP430" s="194"/>
      <c r="EQ430" s="194"/>
      <c r="ER430" s="194"/>
      <c r="ES430" s="194"/>
      <c r="ET430" s="194"/>
      <c r="EU430" s="194"/>
      <c r="EV430" s="194"/>
      <c r="EW430" s="194"/>
      <c r="EX430" s="194"/>
      <c r="EY430" s="194"/>
      <c r="EZ430" s="194"/>
      <c r="FA430" s="194"/>
      <c r="FB430" s="194"/>
      <c r="FC430" s="194"/>
      <c r="FD430" s="194"/>
      <c r="FE430" s="194"/>
      <c r="FF430" s="194"/>
      <c r="FG430" s="194"/>
      <c r="FH430" s="194"/>
      <c r="FI430" s="194"/>
      <c r="FJ430" s="194"/>
      <c r="FK430" s="194"/>
      <c r="FL430" s="194"/>
      <c r="FM430" s="194"/>
      <c r="FN430" s="194"/>
      <c r="FO430" s="194"/>
      <c r="FP430" s="194"/>
      <c r="FQ430" s="194"/>
      <c r="FR430" s="194"/>
      <c r="FS430" s="194"/>
      <c r="FT430" s="194"/>
      <c r="FU430" s="194"/>
      <c r="FV430" s="194"/>
      <c r="FW430" s="194"/>
      <c r="FX430" s="194"/>
      <c r="FY430" s="194"/>
      <c r="FZ430" s="194"/>
      <c r="GA430" s="194"/>
      <c r="GB430" s="194"/>
      <c r="GC430" s="194"/>
      <c r="GD430" s="194"/>
      <c r="GE430" s="194"/>
      <c r="GF430" s="194"/>
      <c r="GG430" s="194"/>
      <c r="GH430" s="194"/>
      <c r="GI430" s="194"/>
      <c r="GJ430" s="194"/>
      <c r="GK430" s="194"/>
      <c r="GL430" s="194"/>
      <c r="GM430" s="194"/>
      <c r="GN430" s="194"/>
      <c r="GO430" s="194"/>
      <c r="GP430" s="194"/>
      <c r="GQ430" s="194"/>
      <c r="GR430" s="194"/>
      <c r="GS430" s="194"/>
      <c r="GT430" s="194"/>
      <c r="GU430" s="194"/>
      <c r="GV430" s="194"/>
      <c r="GW430" s="194"/>
      <c r="GX430" s="194"/>
      <c r="GY430" s="194"/>
      <c r="GZ430" s="194"/>
      <c r="HA430" s="194"/>
      <c r="HB430" s="194"/>
      <c r="HC430" s="194"/>
      <c r="HD430" s="194"/>
      <c r="HE430" s="194"/>
      <c r="HF430" s="194"/>
      <c r="HG430" s="194"/>
      <c r="HH430" s="194"/>
      <c r="HI430" s="194"/>
      <c r="HJ430" s="194"/>
      <c r="HK430" s="194"/>
      <c r="HL430" s="194"/>
      <c r="HM430" s="194"/>
      <c r="HN430" s="194"/>
      <c r="HO430" s="194"/>
      <c r="HP430" s="194"/>
      <c r="HQ430" s="194"/>
      <c r="HR430" s="194"/>
      <c r="HS430" s="194"/>
      <c r="HT430" s="194"/>
      <c r="HU430" s="194"/>
      <c r="HV430" s="194"/>
      <c r="HW430" s="194"/>
      <c r="HX430" s="194"/>
      <c r="HY430" s="194"/>
      <c r="HZ430" s="194"/>
    </row>
    <row r="431" spans="1:15" ht="11.25">
      <c r="A431" s="74" t="s">
        <v>271</v>
      </c>
      <c r="B431" s="129"/>
      <c r="C431" s="129"/>
      <c r="D431" s="130"/>
      <c r="E431" s="130"/>
      <c r="F431" s="130"/>
      <c r="G431" s="130"/>
      <c r="H431" s="130"/>
      <c r="I431" s="130"/>
      <c r="J431" s="58"/>
      <c r="K431" s="66"/>
      <c r="L431" s="67"/>
      <c r="M431" s="62"/>
      <c r="N431" s="63"/>
      <c r="O431" s="47"/>
    </row>
    <row r="432" spans="1:15" ht="45">
      <c r="A432" s="92" t="s">
        <v>331</v>
      </c>
      <c r="B432" s="53"/>
      <c r="C432" s="53"/>
      <c r="D432" s="62"/>
      <c r="E432" s="63"/>
      <c r="F432" s="47"/>
      <c r="G432" s="62">
        <v>12</v>
      </c>
      <c r="H432" s="63"/>
      <c r="I432" s="47">
        <f>G432</f>
        <v>12</v>
      </c>
      <c r="J432" s="58"/>
      <c r="K432" s="66"/>
      <c r="L432" s="67"/>
      <c r="M432" s="62"/>
      <c r="N432" s="63"/>
      <c r="O432" s="47"/>
    </row>
    <row r="433" spans="1:15" ht="11.25">
      <c r="A433" s="74" t="s">
        <v>8</v>
      </c>
      <c r="B433" s="53"/>
      <c r="C433" s="53"/>
      <c r="D433" s="62"/>
      <c r="E433" s="63"/>
      <c r="F433" s="47"/>
      <c r="G433" s="62"/>
      <c r="H433" s="63"/>
      <c r="I433" s="47"/>
      <c r="J433" s="58"/>
      <c r="K433" s="66"/>
      <c r="L433" s="67"/>
      <c r="M433" s="62"/>
      <c r="N433" s="63"/>
      <c r="O433" s="47"/>
    </row>
    <row r="434" spans="1:15" ht="45">
      <c r="A434" s="75" t="s">
        <v>332</v>
      </c>
      <c r="B434" s="53"/>
      <c r="C434" s="53"/>
      <c r="D434" s="133"/>
      <c r="E434" s="133"/>
      <c r="F434" s="133"/>
      <c r="G434" s="62">
        <f>G430/G432</f>
        <v>14083.333333333334</v>
      </c>
      <c r="H434" s="63"/>
      <c r="I434" s="47">
        <f>G434</f>
        <v>14083.333333333334</v>
      </c>
      <c r="J434" s="58"/>
      <c r="K434" s="66"/>
      <c r="L434" s="67"/>
      <c r="M434" s="62"/>
      <c r="N434" s="63"/>
      <c r="O434" s="47"/>
    </row>
    <row r="435" spans="1:15" ht="2.25" customHeight="1" hidden="1">
      <c r="A435" s="75"/>
      <c r="B435" s="53"/>
      <c r="C435" s="53"/>
      <c r="D435" s="133"/>
      <c r="E435" s="133"/>
      <c r="F435" s="133"/>
      <c r="G435" s="62"/>
      <c r="H435" s="63"/>
      <c r="I435" s="47"/>
      <c r="J435" s="58"/>
      <c r="K435" s="66"/>
      <c r="L435" s="67"/>
      <c r="M435" s="62"/>
      <c r="N435" s="63"/>
      <c r="O435" s="47"/>
    </row>
    <row r="436" spans="1:15" ht="24" customHeight="1" hidden="1">
      <c r="A436" s="75"/>
      <c r="B436" s="53"/>
      <c r="C436" s="53"/>
      <c r="D436" s="133"/>
      <c r="E436" s="133"/>
      <c r="F436" s="133"/>
      <c r="G436" s="62"/>
      <c r="H436" s="63"/>
      <c r="I436" s="47"/>
      <c r="J436" s="58"/>
      <c r="K436" s="66"/>
      <c r="L436" s="67"/>
      <c r="M436" s="62"/>
      <c r="N436" s="63"/>
      <c r="O436" s="47"/>
    </row>
    <row r="437" spans="1:15" ht="24" customHeight="1" hidden="1">
      <c r="A437" s="75"/>
      <c r="B437" s="53"/>
      <c r="C437" s="53"/>
      <c r="D437" s="133"/>
      <c r="E437" s="133"/>
      <c r="F437" s="133"/>
      <c r="G437" s="62"/>
      <c r="H437" s="63"/>
      <c r="I437" s="47"/>
      <c r="J437" s="58"/>
      <c r="K437" s="66"/>
      <c r="L437" s="67"/>
      <c r="M437" s="62"/>
      <c r="N437" s="63"/>
      <c r="O437" s="47"/>
    </row>
    <row r="438" spans="1:15" ht="24" customHeight="1" hidden="1">
      <c r="A438" s="75"/>
      <c r="B438" s="53"/>
      <c r="C438" s="53"/>
      <c r="D438" s="133"/>
      <c r="E438" s="133"/>
      <c r="F438" s="133"/>
      <c r="G438" s="62"/>
      <c r="H438" s="63"/>
      <c r="I438" s="47"/>
      <c r="J438" s="58"/>
      <c r="K438" s="66"/>
      <c r="L438" s="67"/>
      <c r="M438" s="62"/>
      <c r="N438" s="63"/>
      <c r="O438" s="47"/>
    </row>
    <row r="439" spans="1:234" s="195" customFormat="1" ht="33.75">
      <c r="A439" s="203" t="s">
        <v>384</v>
      </c>
      <c r="B439" s="203"/>
      <c r="C439" s="203"/>
      <c r="D439" s="206">
        <v>216</v>
      </c>
      <c r="E439" s="206"/>
      <c r="F439" s="206">
        <f>D439</f>
        <v>216</v>
      </c>
      <c r="G439" s="206">
        <f>30000+3300</f>
        <v>33300</v>
      </c>
      <c r="H439" s="206"/>
      <c r="I439" s="206">
        <f>G439</f>
        <v>33300</v>
      </c>
      <c r="J439" s="216"/>
      <c r="K439" s="217"/>
      <c r="L439" s="218"/>
      <c r="M439" s="212"/>
      <c r="N439" s="207"/>
      <c r="O439" s="206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94"/>
      <c r="AE439" s="194"/>
      <c r="AF439" s="194"/>
      <c r="AG439" s="194"/>
      <c r="AH439" s="194"/>
      <c r="AI439" s="19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4"/>
      <c r="AT439" s="194"/>
      <c r="AU439" s="194"/>
      <c r="AV439" s="194"/>
      <c r="AW439" s="194"/>
      <c r="AX439" s="194"/>
      <c r="AY439" s="194"/>
      <c r="AZ439" s="194"/>
      <c r="BA439" s="194"/>
      <c r="BB439" s="194"/>
      <c r="BC439" s="194"/>
      <c r="BD439" s="194"/>
      <c r="BE439" s="194"/>
      <c r="BF439" s="194"/>
      <c r="BG439" s="194"/>
      <c r="BH439" s="194"/>
      <c r="BI439" s="194"/>
      <c r="BJ439" s="194"/>
      <c r="BK439" s="194"/>
      <c r="BL439" s="194"/>
      <c r="BM439" s="194"/>
      <c r="BN439" s="194"/>
      <c r="BO439" s="194"/>
      <c r="BP439" s="194"/>
      <c r="BQ439" s="194"/>
      <c r="BR439" s="194"/>
      <c r="BS439" s="194"/>
      <c r="BT439" s="194"/>
      <c r="BU439" s="194"/>
      <c r="BV439" s="194"/>
      <c r="BW439" s="194"/>
      <c r="BX439" s="194"/>
      <c r="BY439" s="194"/>
      <c r="BZ439" s="194"/>
      <c r="CA439" s="194"/>
      <c r="CB439" s="194"/>
      <c r="CC439" s="194"/>
      <c r="CD439" s="194"/>
      <c r="CE439" s="194"/>
      <c r="CF439" s="194"/>
      <c r="CG439" s="194"/>
      <c r="CH439" s="194"/>
      <c r="CI439" s="194"/>
      <c r="CJ439" s="194"/>
      <c r="CK439" s="194"/>
      <c r="CL439" s="194"/>
      <c r="CM439" s="194"/>
      <c r="CN439" s="194"/>
      <c r="CO439" s="194"/>
      <c r="CP439" s="194"/>
      <c r="CQ439" s="194"/>
      <c r="CR439" s="194"/>
      <c r="CS439" s="194"/>
      <c r="CT439" s="194"/>
      <c r="CU439" s="194"/>
      <c r="CV439" s="194"/>
      <c r="CW439" s="194"/>
      <c r="CX439" s="194"/>
      <c r="CY439" s="194"/>
      <c r="CZ439" s="194"/>
      <c r="DA439" s="194"/>
      <c r="DB439" s="194"/>
      <c r="DC439" s="194"/>
      <c r="DD439" s="194"/>
      <c r="DE439" s="194"/>
      <c r="DF439" s="194"/>
      <c r="DG439" s="194"/>
      <c r="DH439" s="194"/>
      <c r="DI439" s="194"/>
      <c r="DJ439" s="194"/>
      <c r="DK439" s="194"/>
      <c r="DL439" s="194"/>
      <c r="DM439" s="194"/>
      <c r="DN439" s="194"/>
      <c r="DO439" s="194"/>
      <c r="DP439" s="194"/>
      <c r="DQ439" s="194"/>
      <c r="DR439" s="194"/>
      <c r="DS439" s="194"/>
      <c r="DT439" s="194"/>
      <c r="DU439" s="194"/>
      <c r="DV439" s="194"/>
      <c r="DW439" s="194"/>
      <c r="DX439" s="194"/>
      <c r="DY439" s="194"/>
      <c r="DZ439" s="194"/>
      <c r="EA439" s="194"/>
      <c r="EB439" s="194"/>
      <c r="EC439" s="194"/>
      <c r="ED439" s="194"/>
      <c r="EE439" s="194"/>
      <c r="EF439" s="194"/>
      <c r="EG439" s="194"/>
      <c r="EH439" s="194"/>
      <c r="EI439" s="194"/>
      <c r="EJ439" s="194"/>
      <c r="EK439" s="194"/>
      <c r="EL439" s="194"/>
      <c r="EM439" s="194"/>
      <c r="EN439" s="194"/>
      <c r="EO439" s="194"/>
      <c r="EP439" s="194"/>
      <c r="EQ439" s="194"/>
      <c r="ER439" s="194"/>
      <c r="ES439" s="194"/>
      <c r="ET439" s="194"/>
      <c r="EU439" s="194"/>
      <c r="EV439" s="194"/>
      <c r="EW439" s="194"/>
      <c r="EX439" s="194"/>
      <c r="EY439" s="194"/>
      <c r="EZ439" s="194"/>
      <c r="FA439" s="194"/>
      <c r="FB439" s="194"/>
      <c r="FC439" s="194"/>
      <c r="FD439" s="194"/>
      <c r="FE439" s="194"/>
      <c r="FF439" s="194"/>
      <c r="FG439" s="194"/>
      <c r="FH439" s="194"/>
      <c r="FI439" s="194"/>
      <c r="FJ439" s="194"/>
      <c r="FK439" s="194"/>
      <c r="FL439" s="194"/>
      <c r="FM439" s="194"/>
      <c r="FN439" s="194"/>
      <c r="FO439" s="194"/>
      <c r="FP439" s="194"/>
      <c r="FQ439" s="194"/>
      <c r="FR439" s="194"/>
      <c r="FS439" s="194"/>
      <c r="FT439" s="194"/>
      <c r="FU439" s="194"/>
      <c r="FV439" s="194"/>
      <c r="FW439" s="194"/>
      <c r="FX439" s="194"/>
      <c r="FY439" s="194"/>
      <c r="FZ439" s="194"/>
      <c r="GA439" s="194"/>
      <c r="GB439" s="194"/>
      <c r="GC439" s="194"/>
      <c r="GD439" s="194"/>
      <c r="GE439" s="194"/>
      <c r="GF439" s="194"/>
      <c r="GG439" s="194"/>
      <c r="GH439" s="194"/>
      <c r="GI439" s="194"/>
      <c r="GJ439" s="194"/>
      <c r="GK439" s="194"/>
      <c r="GL439" s="194"/>
      <c r="GM439" s="194"/>
      <c r="GN439" s="194"/>
      <c r="GO439" s="194"/>
      <c r="GP439" s="194"/>
      <c r="GQ439" s="194"/>
      <c r="GR439" s="194"/>
      <c r="GS439" s="194"/>
      <c r="GT439" s="194"/>
      <c r="GU439" s="194"/>
      <c r="GV439" s="194"/>
      <c r="GW439" s="194"/>
      <c r="GX439" s="194"/>
      <c r="GY439" s="194"/>
      <c r="GZ439" s="194"/>
      <c r="HA439" s="194"/>
      <c r="HB439" s="194"/>
      <c r="HC439" s="194"/>
      <c r="HD439" s="194"/>
      <c r="HE439" s="194"/>
      <c r="HF439" s="194"/>
      <c r="HG439" s="194"/>
      <c r="HH439" s="194"/>
      <c r="HI439" s="194"/>
      <c r="HJ439" s="194"/>
      <c r="HK439" s="194"/>
      <c r="HL439" s="194"/>
      <c r="HM439" s="194"/>
      <c r="HN439" s="194"/>
      <c r="HO439" s="194"/>
      <c r="HP439" s="194"/>
      <c r="HQ439" s="194"/>
      <c r="HR439" s="194"/>
      <c r="HS439" s="194"/>
      <c r="HT439" s="194"/>
      <c r="HU439" s="194"/>
      <c r="HV439" s="194"/>
      <c r="HW439" s="194"/>
      <c r="HX439" s="194"/>
      <c r="HY439" s="194"/>
      <c r="HZ439" s="194"/>
    </row>
    <row r="440" spans="1:15" ht="11.25">
      <c r="A440" s="74" t="s">
        <v>271</v>
      </c>
      <c r="B440" s="129"/>
      <c r="C440" s="129"/>
      <c r="D440" s="130"/>
      <c r="E440" s="130"/>
      <c r="F440" s="130"/>
      <c r="G440" s="130"/>
      <c r="H440" s="130"/>
      <c r="I440" s="130"/>
      <c r="J440" s="58"/>
      <c r="K440" s="66"/>
      <c r="L440" s="67"/>
      <c r="M440" s="62"/>
      <c r="N440" s="63"/>
      <c r="O440" s="47"/>
    </row>
    <row r="441" spans="1:15" ht="37.5" customHeight="1">
      <c r="A441" s="92" t="s">
        <v>333</v>
      </c>
      <c r="B441" s="53"/>
      <c r="C441" s="53"/>
      <c r="D441" s="62">
        <v>2</v>
      </c>
      <c r="E441" s="63"/>
      <c r="F441" s="47">
        <f>D441</f>
        <v>2</v>
      </c>
      <c r="G441" s="62">
        <v>12</v>
      </c>
      <c r="H441" s="63"/>
      <c r="I441" s="47">
        <f>G441</f>
        <v>12</v>
      </c>
      <c r="J441" s="58"/>
      <c r="K441" s="66"/>
      <c r="L441" s="67"/>
      <c r="M441" s="62"/>
      <c r="N441" s="63"/>
      <c r="O441" s="47"/>
    </row>
    <row r="442" spans="1:15" ht="11.25">
      <c r="A442" s="74" t="s">
        <v>8</v>
      </c>
      <c r="B442" s="53"/>
      <c r="C442" s="53"/>
      <c r="D442" s="62"/>
      <c r="E442" s="63"/>
      <c r="F442" s="47"/>
      <c r="G442" s="62"/>
      <c r="H442" s="63"/>
      <c r="I442" s="47"/>
      <c r="J442" s="58"/>
      <c r="K442" s="66"/>
      <c r="L442" s="67"/>
      <c r="M442" s="62"/>
      <c r="N442" s="63"/>
      <c r="O442" s="47"/>
    </row>
    <row r="443" spans="1:15" ht="33.75" customHeight="1">
      <c r="A443" s="75" t="s">
        <v>334</v>
      </c>
      <c r="B443" s="53"/>
      <c r="C443" s="53"/>
      <c r="D443" s="62">
        <f>D439/D441</f>
        <v>108</v>
      </c>
      <c r="E443" s="63"/>
      <c r="F443" s="47">
        <f>D443</f>
        <v>108</v>
      </c>
      <c r="G443" s="62">
        <f>G439/G441</f>
        <v>2775</v>
      </c>
      <c r="H443" s="63"/>
      <c r="I443" s="47">
        <f>G443</f>
        <v>2775</v>
      </c>
      <c r="J443" s="58"/>
      <c r="K443" s="66"/>
      <c r="L443" s="67"/>
      <c r="M443" s="62"/>
      <c r="N443" s="63"/>
      <c r="O443" s="47"/>
    </row>
    <row r="444" spans="1:15" ht="16.5" customHeight="1">
      <c r="A444" s="98" t="s">
        <v>108</v>
      </c>
      <c r="B444" s="98"/>
      <c r="C444" s="98"/>
      <c r="D444" s="99"/>
      <c r="E444" s="99">
        <f>E446+E454+E459</f>
        <v>534080</v>
      </c>
      <c r="F444" s="99">
        <f>E444</f>
        <v>534080</v>
      </c>
      <c r="G444" s="99"/>
      <c r="H444" s="99">
        <f>H446+H454+H459+H466+H473</f>
        <v>783080</v>
      </c>
      <c r="I444" s="99">
        <f>H444</f>
        <v>783080</v>
      </c>
      <c r="J444" s="95"/>
      <c r="K444" s="100"/>
      <c r="L444" s="101"/>
      <c r="M444" s="99"/>
      <c r="N444" s="99">
        <f>N446+N454+N459</f>
        <v>474080</v>
      </c>
      <c r="O444" s="99">
        <f>N444</f>
        <v>474080</v>
      </c>
    </row>
    <row r="445" spans="1:15" ht="90.75" customHeight="1">
      <c r="A445" s="76" t="s">
        <v>357</v>
      </c>
      <c r="B445" s="70"/>
      <c r="C445" s="70"/>
      <c r="D445" s="68"/>
      <c r="E445" s="68"/>
      <c r="F445" s="68"/>
      <c r="G445" s="68"/>
      <c r="H445" s="68"/>
      <c r="I445" s="68"/>
      <c r="J445" s="71"/>
      <c r="K445" s="72"/>
      <c r="L445" s="69"/>
      <c r="M445" s="68"/>
      <c r="N445" s="68"/>
      <c r="O445" s="68"/>
    </row>
    <row r="446" spans="1:15" ht="24.75" customHeight="1">
      <c r="A446" s="93" t="s">
        <v>385</v>
      </c>
      <c r="B446" s="93"/>
      <c r="C446" s="93"/>
      <c r="D446" s="94"/>
      <c r="E446" s="94">
        <f>E449*E451+1.32</f>
        <v>180690</v>
      </c>
      <c r="F446" s="94">
        <f>E446</f>
        <v>180690</v>
      </c>
      <c r="G446" s="94"/>
      <c r="H446" s="94">
        <f>H449*H451+1.32</f>
        <v>180690</v>
      </c>
      <c r="I446" s="94">
        <f>H446</f>
        <v>180690</v>
      </c>
      <c r="J446" s="95"/>
      <c r="K446" s="96"/>
      <c r="L446" s="96"/>
      <c r="M446" s="94"/>
      <c r="N446" s="94">
        <f>N449*N451+1.32</f>
        <v>180690</v>
      </c>
      <c r="O446" s="94">
        <f>N446</f>
        <v>180690</v>
      </c>
    </row>
    <row r="447" spans="1:15" ht="11.25">
      <c r="A447" s="74" t="s">
        <v>6</v>
      </c>
      <c r="B447" s="49"/>
      <c r="C447" s="49"/>
      <c r="D447" s="51"/>
      <c r="E447" s="51"/>
      <c r="F447" s="48"/>
      <c r="G447" s="51"/>
      <c r="H447" s="51"/>
      <c r="I447" s="48"/>
      <c r="J447" s="48"/>
      <c r="K447" s="51"/>
      <c r="L447" s="51"/>
      <c r="M447" s="51"/>
      <c r="N447" s="51"/>
      <c r="O447" s="48"/>
    </row>
    <row r="448" spans="1:15" ht="26.25" customHeight="1">
      <c r="A448" s="75" t="s">
        <v>237</v>
      </c>
      <c r="B448" s="52"/>
      <c r="C448" s="52"/>
      <c r="D448" s="54"/>
      <c r="E448" s="54">
        <v>33</v>
      </c>
      <c r="F448" s="54">
        <f>E448</f>
        <v>33</v>
      </c>
      <c r="G448" s="54"/>
      <c r="H448" s="54">
        <v>33</v>
      </c>
      <c r="I448" s="54">
        <f>H448</f>
        <v>33</v>
      </c>
      <c r="J448" s="54" t="e">
        <f>G448/D448*100</f>
        <v>#DIV/0!</v>
      </c>
      <c r="K448" s="54"/>
      <c r="L448" s="54"/>
      <c r="M448" s="54"/>
      <c r="N448" s="54">
        <v>33</v>
      </c>
      <c r="O448" s="54">
        <f>N448</f>
        <v>33</v>
      </c>
    </row>
    <row r="449" spans="1:15" ht="26.25" customHeight="1">
      <c r="A449" s="75" t="s">
        <v>88</v>
      </c>
      <c r="B449" s="52"/>
      <c r="C449" s="52"/>
      <c r="D449" s="54"/>
      <c r="E449" s="54">
        <v>94</v>
      </c>
      <c r="F449" s="54">
        <v>94</v>
      </c>
      <c r="G449" s="54"/>
      <c r="H449" s="54">
        <v>94</v>
      </c>
      <c r="I449" s="54">
        <v>94</v>
      </c>
      <c r="J449" s="54"/>
      <c r="K449" s="54"/>
      <c r="L449" s="54"/>
      <c r="M449" s="54"/>
      <c r="N449" s="54">
        <v>94</v>
      </c>
      <c r="O449" s="54">
        <v>94</v>
      </c>
    </row>
    <row r="450" spans="1:15" ht="11.25">
      <c r="A450" s="74" t="s">
        <v>8</v>
      </c>
      <c r="B450" s="49"/>
      <c r="C450" s="49"/>
      <c r="D450" s="51"/>
      <c r="E450" s="51"/>
      <c r="F450" s="48"/>
      <c r="G450" s="51"/>
      <c r="H450" s="51"/>
      <c r="I450" s="48"/>
      <c r="J450" s="48"/>
      <c r="K450" s="51"/>
      <c r="L450" s="51"/>
      <c r="M450" s="51"/>
      <c r="N450" s="51"/>
      <c r="O450" s="48"/>
    </row>
    <row r="451" spans="1:15" ht="23.25" customHeight="1">
      <c r="A451" s="75" t="s">
        <v>89</v>
      </c>
      <c r="B451" s="52"/>
      <c r="C451" s="52"/>
      <c r="D451" s="56"/>
      <c r="E451" s="56">
        <v>1922.22</v>
      </c>
      <c r="F451" s="48">
        <f>E451</f>
        <v>1922.22</v>
      </c>
      <c r="G451" s="56"/>
      <c r="H451" s="56">
        <v>1922.22</v>
      </c>
      <c r="I451" s="48">
        <f>H451</f>
        <v>1922.22</v>
      </c>
      <c r="J451" s="48" t="e">
        <f>G451/D451*100</f>
        <v>#DIV/0!</v>
      </c>
      <c r="K451" s="57"/>
      <c r="L451" s="56"/>
      <c r="M451" s="56"/>
      <c r="N451" s="56">
        <v>1922.22</v>
      </c>
      <c r="O451" s="48">
        <f>N451</f>
        <v>1922.22</v>
      </c>
    </row>
    <row r="452" spans="1:15" ht="11.25">
      <c r="A452" s="91" t="s">
        <v>7</v>
      </c>
      <c r="B452" s="52"/>
      <c r="C452" s="52"/>
      <c r="D452" s="56"/>
      <c r="E452" s="56"/>
      <c r="F452" s="48"/>
      <c r="G452" s="56"/>
      <c r="H452" s="56"/>
      <c r="I452" s="48"/>
      <c r="J452" s="48"/>
      <c r="K452" s="57"/>
      <c r="L452" s="56"/>
      <c r="M452" s="56"/>
      <c r="N452" s="56"/>
      <c r="O452" s="48"/>
    </row>
    <row r="453" spans="1:15" ht="29.25" customHeight="1">
      <c r="A453" s="92" t="s">
        <v>238</v>
      </c>
      <c r="B453" s="52"/>
      <c r="C453" s="52"/>
      <c r="D453" s="56"/>
      <c r="E453" s="56"/>
      <c r="F453" s="48"/>
      <c r="G453" s="56"/>
      <c r="H453" s="56"/>
      <c r="I453" s="48"/>
      <c r="J453" s="48"/>
      <c r="K453" s="57"/>
      <c r="L453" s="56"/>
      <c r="M453" s="56"/>
      <c r="N453" s="56"/>
      <c r="O453" s="48"/>
    </row>
    <row r="454" spans="1:234" s="195" customFormat="1" ht="23.25" customHeight="1">
      <c r="A454" s="203" t="s">
        <v>386</v>
      </c>
      <c r="B454" s="203"/>
      <c r="C454" s="203"/>
      <c r="D454" s="206"/>
      <c r="E454" s="206">
        <f>E458</f>
        <v>162140</v>
      </c>
      <c r="F454" s="206">
        <f>E454</f>
        <v>162140</v>
      </c>
      <c r="G454" s="206"/>
      <c r="H454" s="206">
        <f>H458</f>
        <v>162140</v>
      </c>
      <c r="I454" s="206">
        <f>H454</f>
        <v>162140</v>
      </c>
      <c r="J454" s="206"/>
      <c r="K454" s="207"/>
      <c r="L454" s="207"/>
      <c r="M454" s="206"/>
      <c r="N454" s="206">
        <f>N458</f>
        <v>162140</v>
      </c>
      <c r="O454" s="206">
        <f>N454</f>
        <v>162140</v>
      </c>
      <c r="P454" s="194"/>
      <c r="Q454" s="194"/>
      <c r="R454" s="194"/>
      <c r="S454" s="194"/>
      <c r="T454" s="194"/>
      <c r="U454" s="194"/>
      <c r="V454" s="194"/>
      <c r="W454" s="194"/>
      <c r="X454" s="194"/>
      <c r="Y454" s="194"/>
      <c r="Z454" s="194"/>
      <c r="AA454" s="194"/>
      <c r="AB454" s="194"/>
      <c r="AC454" s="194"/>
      <c r="AD454" s="194"/>
      <c r="AE454" s="194"/>
      <c r="AF454" s="194"/>
      <c r="AG454" s="194"/>
      <c r="AH454" s="194"/>
      <c r="AI454" s="194"/>
      <c r="AJ454" s="194"/>
      <c r="AK454" s="194"/>
      <c r="AL454" s="194"/>
      <c r="AM454" s="194"/>
      <c r="AN454" s="194"/>
      <c r="AO454" s="194"/>
      <c r="AP454" s="194"/>
      <c r="AQ454" s="194"/>
      <c r="AR454" s="194"/>
      <c r="AS454" s="194"/>
      <c r="AT454" s="194"/>
      <c r="AU454" s="194"/>
      <c r="AV454" s="194"/>
      <c r="AW454" s="194"/>
      <c r="AX454" s="194"/>
      <c r="AY454" s="194"/>
      <c r="AZ454" s="194"/>
      <c r="BA454" s="194"/>
      <c r="BB454" s="194"/>
      <c r="BC454" s="194"/>
      <c r="BD454" s="194"/>
      <c r="BE454" s="194"/>
      <c r="BF454" s="194"/>
      <c r="BG454" s="194"/>
      <c r="BH454" s="194"/>
      <c r="BI454" s="194"/>
      <c r="BJ454" s="194"/>
      <c r="BK454" s="194"/>
      <c r="BL454" s="194"/>
      <c r="BM454" s="194"/>
      <c r="BN454" s="194"/>
      <c r="BO454" s="194"/>
      <c r="BP454" s="194"/>
      <c r="BQ454" s="194"/>
      <c r="BR454" s="194"/>
      <c r="BS454" s="194"/>
      <c r="BT454" s="194"/>
      <c r="BU454" s="194"/>
      <c r="BV454" s="194"/>
      <c r="BW454" s="194"/>
      <c r="BX454" s="194"/>
      <c r="BY454" s="194"/>
      <c r="BZ454" s="194"/>
      <c r="CA454" s="194"/>
      <c r="CB454" s="194"/>
      <c r="CC454" s="194"/>
      <c r="CD454" s="194"/>
      <c r="CE454" s="194"/>
      <c r="CF454" s="194"/>
      <c r="CG454" s="194"/>
      <c r="CH454" s="194"/>
      <c r="CI454" s="194"/>
      <c r="CJ454" s="194"/>
      <c r="CK454" s="194"/>
      <c r="CL454" s="194"/>
      <c r="CM454" s="194"/>
      <c r="CN454" s="194"/>
      <c r="CO454" s="194"/>
      <c r="CP454" s="194"/>
      <c r="CQ454" s="194"/>
      <c r="CR454" s="194"/>
      <c r="CS454" s="194"/>
      <c r="CT454" s="194"/>
      <c r="CU454" s="194"/>
      <c r="CV454" s="194"/>
      <c r="CW454" s="194"/>
      <c r="CX454" s="194"/>
      <c r="CY454" s="194"/>
      <c r="CZ454" s="194"/>
      <c r="DA454" s="194"/>
      <c r="DB454" s="194"/>
      <c r="DC454" s="194"/>
      <c r="DD454" s="194"/>
      <c r="DE454" s="194"/>
      <c r="DF454" s="194"/>
      <c r="DG454" s="194"/>
      <c r="DH454" s="194"/>
      <c r="DI454" s="194"/>
      <c r="DJ454" s="194"/>
      <c r="DK454" s="194"/>
      <c r="DL454" s="194"/>
      <c r="DM454" s="194"/>
      <c r="DN454" s="194"/>
      <c r="DO454" s="194"/>
      <c r="DP454" s="194"/>
      <c r="DQ454" s="194"/>
      <c r="DR454" s="194"/>
      <c r="DS454" s="194"/>
      <c r="DT454" s="194"/>
      <c r="DU454" s="194"/>
      <c r="DV454" s="194"/>
      <c r="DW454" s="194"/>
      <c r="DX454" s="194"/>
      <c r="DY454" s="194"/>
      <c r="DZ454" s="194"/>
      <c r="EA454" s="194"/>
      <c r="EB454" s="194"/>
      <c r="EC454" s="194"/>
      <c r="ED454" s="194"/>
      <c r="EE454" s="194"/>
      <c r="EF454" s="194"/>
      <c r="EG454" s="194"/>
      <c r="EH454" s="194"/>
      <c r="EI454" s="194"/>
      <c r="EJ454" s="194"/>
      <c r="EK454" s="194"/>
      <c r="EL454" s="194"/>
      <c r="EM454" s="194"/>
      <c r="EN454" s="194"/>
      <c r="EO454" s="194"/>
      <c r="EP454" s="194"/>
      <c r="EQ454" s="194"/>
      <c r="ER454" s="194"/>
      <c r="ES454" s="194"/>
      <c r="ET454" s="194"/>
      <c r="EU454" s="194"/>
      <c r="EV454" s="194"/>
      <c r="EW454" s="194"/>
      <c r="EX454" s="194"/>
      <c r="EY454" s="194"/>
      <c r="EZ454" s="194"/>
      <c r="FA454" s="194"/>
      <c r="FB454" s="194"/>
      <c r="FC454" s="194"/>
      <c r="FD454" s="194"/>
      <c r="FE454" s="194"/>
      <c r="FF454" s="194"/>
      <c r="FG454" s="194"/>
      <c r="FH454" s="194"/>
      <c r="FI454" s="194"/>
      <c r="FJ454" s="194"/>
      <c r="FK454" s="194"/>
      <c r="FL454" s="194"/>
      <c r="FM454" s="194"/>
      <c r="FN454" s="194"/>
      <c r="FO454" s="194"/>
      <c r="FP454" s="194"/>
      <c r="FQ454" s="194"/>
      <c r="FR454" s="194"/>
      <c r="FS454" s="194"/>
      <c r="FT454" s="194"/>
      <c r="FU454" s="194"/>
      <c r="FV454" s="194"/>
      <c r="FW454" s="194"/>
      <c r="FX454" s="194"/>
      <c r="FY454" s="194"/>
      <c r="FZ454" s="194"/>
      <c r="GA454" s="194"/>
      <c r="GB454" s="194"/>
      <c r="GC454" s="194"/>
      <c r="GD454" s="194"/>
      <c r="GE454" s="194"/>
      <c r="GF454" s="194"/>
      <c r="GG454" s="194"/>
      <c r="GH454" s="194"/>
      <c r="GI454" s="194"/>
      <c r="GJ454" s="194"/>
      <c r="GK454" s="194"/>
      <c r="GL454" s="194"/>
      <c r="GM454" s="194"/>
      <c r="GN454" s="194"/>
      <c r="GO454" s="194"/>
      <c r="GP454" s="194"/>
      <c r="GQ454" s="194"/>
      <c r="GR454" s="194"/>
      <c r="GS454" s="194"/>
      <c r="GT454" s="194"/>
      <c r="GU454" s="194"/>
      <c r="GV454" s="194"/>
      <c r="GW454" s="194"/>
      <c r="GX454" s="194"/>
      <c r="GY454" s="194"/>
      <c r="GZ454" s="194"/>
      <c r="HA454" s="194"/>
      <c r="HB454" s="194"/>
      <c r="HC454" s="194"/>
      <c r="HD454" s="194"/>
      <c r="HE454" s="194"/>
      <c r="HF454" s="194"/>
      <c r="HG454" s="194"/>
      <c r="HH454" s="194"/>
      <c r="HI454" s="194"/>
      <c r="HJ454" s="194"/>
      <c r="HK454" s="194"/>
      <c r="HL454" s="194"/>
      <c r="HM454" s="194"/>
      <c r="HN454" s="194"/>
      <c r="HO454" s="194"/>
      <c r="HP454" s="194"/>
      <c r="HQ454" s="194"/>
      <c r="HR454" s="194"/>
      <c r="HS454" s="194"/>
      <c r="HT454" s="194"/>
      <c r="HU454" s="194"/>
      <c r="HV454" s="194"/>
      <c r="HW454" s="194"/>
      <c r="HX454" s="194"/>
      <c r="HY454" s="194"/>
      <c r="HZ454" s="194"/>
    </row>
    <row r="455" spans="1:15" ht="11.25">
      <c r="A455" s="74" t="s">
        <v>6</v>
      </c>
      <c r="B455" s="49"/>
      <c r="C455" s="49"/>
      <c r="D455" s="51"/>
      <c r="E455" s="51"/>
      <c r="F455" s="48"/>
      <c r="G455" s="51"/>
      <c r="H455" s="51"/>
      <c r="I455" s="48"/>
      <c r="J455" s="48"/>
      <c r="K455" s="51"/>
      <c r="L455" s="51"/>
      <c r="M455" s="51"/>
      <c r="N455" s="51"/>
      <c r="O455" s="48"/>
    </row>
    <row r="456" spans="1:15" ht="36.75" customHeight="1">
      <c r="A456" s="75" t="s">
        <v>239</v>
      </c>
      <c r="B456" s="52"/>
      <c r="C456" s="52"/>
      <c r="D456" s="54"/>
      <c r="E456" s="54">
        <v>236</v>
      </c>
      <c r="F456" s="54">
        <f>E456</f>
        <v>236</v>
      </c>
      <c r="G456" s="54"/>
      <c r="H456" s="54">
        <v>236</v>
      </c>
      <c r="I456" s="54">
        <f>H456</f>
        <v>236</v>
      </c>
      <c r="J456" s="54" t="e">
        <f>G456/D456*100</f>
        <v>#DIV/0!</v>
      </c>
      <c r="K456" s="54"/>
      <c r="L456" s="54"/>
      <c r="M456" s="54"/>
      <c r="N456" s="54">
        <v>236</v>
      </c>
      <c r="O456" s="54">
        <f>N456</f>
        <v>236</v>
      </c>
    </row>
    <row r="457" spans="1:15" ht="11.25">
      <c r="A457" s="74" t="s">
        <v>8</v>
      </c>
      <c r="B457" s="49"/>
      <c r="C457" s="49"/>
      <c r="D457" s="169"/>
      <c r="E457" s="169"/>
      <c r="F457" s="79"/>
      <c r="G457" s="169"/>
      <c r="H457" s="169"/>
      <c r="I457" s="79"/>
      <c r="J457" s="79"/>
      <c r="K457" s="169"/>
      <c r="L457" s="169"/>
      <c r="M457" s="169"/>
      <c r="N457" s="169"/>
      <c r="O457" s="79"/>
    </row>
    <row r="458" spans="1:15" ht="24" customHeight="1">
      <c r="A458" s="77" t="s">
        <v>240</v>
      </c>
      <c r="B458" s="78"/>
      <c r="C458" s="168"/>
      <c r="D458" s="165"/>
      <c r="E458" s="165">
        <v>162140</v>
      </c>
      <c r="F458" s="166">
        <f>E458</f>
        <v>162140</v>
      </c>
      <c r="G458" s="165"/>
      <c r="H458" s="165">
        <v>162140</v>
      </c>
      <c r="I458" s="166">
        <f>H458</f>
        <v>162140</v>
      </c>
      <c r="J458" s="166" t="e">
        <f>G458/D458*100</f>
        <v>#DIV/0!</v>
      </c>
      <c r="K458" s="167"/>
      <c r="L458" s="165"/>
      <c r="M458" s="165"/>
      <c r="N458" s="165">
        <v>162140</v>
      </c>
      <c r="O458" s="166">
        <f>N458</f>
        <v>162140</v>
      </c>
    </row>
    <row r="459" spans="1:234" s="195" customFormat="1" ht="33.75">
      <c r="A459" s="203" t="s">
        <v>387</v>
      </c>
      <c r="B459" s="203"/>
      <c r="C459" s="208"/>
      <c r="D459" s="209"/>
      <c r="E459" s="209">
        <v>191250</v>
      </c>
      <c r="F459" s="209">
        <f>E459</f>
        <v>191250</v>
      </c>
      <c r="G459" s="209"/>
      <c r="H459" s="209">
        <v>131250</v>
      </c>
      <c r="I459" s="209">
        <f>G459+H459</f>
        <v>131250</v>
      </c>
      <c r="J459" s="209"/>
      <c r="K459" s="210"/>
      <c r="L459" s="210"/>
      <c r="M459" s="209"/>
      <c r="N459" s="209">
        <v>131250</v>
      </c>
      <c r="O459" s="209">
        <f>N459</f>
        <v>131250</v>
      </c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  <c r="AA459" s="194"/>
      <c r="AB459" s="194"/>
      <c r="AC459" s="194"/>
      <c r="AD459" s="194"/>
      <c r="AE459" s="194"/>
      <c r="AF459" s="194"/>
      <c r="AG459" s="194"/>
      <c r="AH459" s="194"/>
      <c r="AI459" s="194"/>
      <c r="AJ459" s="194"/>
      <c r="AK459" s="194"/>
      <c r="AL459" s="194"/>
      <c r="AM459" s="194"/>
      <c r="AN459" s="194"/>
      <c r="AO459" s="194"/>
      <c r="AP459" s="194"/>
      <c r="AQ459" s="194"/>
      <c r="AR459" s="194"/>
      <c r="AS459" s="194"/>
      <c r="AT459" s="194"/>
      <c r="AU459" s="194"/>
      <c r="AV459" s="194"/>
      <c r="AW459" s="194"/>
      <c r="AX459" s="194"/>
      <c r="AY459" s="194"/>
      <c r="AZ459" s="194"/>
      <c r="BA459" s="194"/>
      <c r="BB459" s="194"/>
      <c r="BC459" s="194"/>
      <c r="BD459" s="194"/>
      <c r="BE459" s="194"/>
      <c r="BF459" s="194"/>
      <c r="BG459" s="194"/>
      <c r="BH459" s="194"/>
      <c r="BI459" s="194"/>
      <c r="BJ459" s="194"/>
      <c r="BK459" s="194"/>
      <c r="BL459" s="194"/>
      <c r="BM459" s="194"/>
      <c r="BN459" s="194"/>
      <c r="BO459" s="194"/>
      <c r="BP459" s="194"/>
      <c r="BQ459" s="194"/>
      <c r="BR459" s="194"/>
      <c r="BS459" s="194"/>
      <c r="BT459" s="194"/>
      <c r="BU459" s="194"/>
      <c r="BV459" s="194"/>
      <c r="BW459" s="194"/>
      <c r="BX459" s="194"/>
      <c r="BY459" s="194"/>
      <c r="BZ459" s="194"/>
      <c r="CA459" s="194"/>
      <c r="CB459" s="194"/>
      <c r="CC459" s="194"/>
      <c r="CD459" s="194"/>
      <c r="CE459" s="194"/>
      <c r="CF459" s="194"/>
      <c r="CG459" s="194"/>
      <c r="CH459" s="194"/>
      <c r="CI459" s="194"/>
      <c r="CJ459" s="194"/>
      <c r="CK459" s="194"/>
      <c r="CL459" s="194"/>
      <c r="CM459" s="194"/>
      <c r="CN459" s="194"/>
      <c r="CO459" s="194"/>
      <c r="CP459" s="194"/>
      <c r="CQ459" s="194"/>
      <c r="CR459" s="194"/>
      <c r="CS459" s="194"/>
      <c r="CT459" s="194"/>
      <c r="CU459" s="194"/>
      <c r="CV459" s="194"/>
      <c r="CW459" s="194"/>
      <c r="CX459" s="194"/>
      <c r="CY459" s="194"/>
      <c r="CZ459" s="194"/>
      <c r="DA459" s="194"/>
      <c r="DB459" s="194"/>
      <c r="DC459" s="194"/>
      <c r="DD459" s="194"/>
      <c r="DE459" s="194"/>
      <c r="DF459" s="194"/>
      <c r="DG459" s="194"/>
      <c r="DH459" s="194"/>
      <c r="DI459" s="194"/>
      <c r="DJ459" s="194"/>
      <c r="DK459" s="194"/>
      <c r="DL459" s="194"/>
      <c r="DM459" s="194"/>
      <c r="DN459" s="194"/>
      <c r="DO459" s="194"/>
      <c r="DP459" s="194"/>
      <c r="DQ459" s="194"/>
      <c r="DR459" s="194"/>
      <c r="DS459" s="194"/>
      <c r="DT459" s="194"/>
      <c r="DU459" s="194"/>
      <c r="DV459" s="194"/>
      <c r="DW459" s="194"/>
      <c r="DX459" s="194"/>
      <c r="DY459" s="194"/>
      <c r="DZ459" s="194"/>
      <c r="EA459" s="194"/>
      <c r="EB459" s="194"/>
      <c r="EC459" s="194"/>
      <c r="ED459" s="194"/>
      <c r="EE459" s="194"/>
      <c r="EF459" s="194"/>
      <c r="EG459" s="194"/>
      <c r="EH459" s="194"/>
      <c r="EI459" s="194"/>
      <c r="EJ459" s="194"/>
      <c r="EK459" s="194"/>
      <c r="EL459" s="194"/>
      <c r="EM459" s="194"/>
      <c r="EN459" s="194"/>
      <c r="EO459" s="194"/>
      <c r="EP459" s="194"/>
      <c r="EQ459" s="194"/>
      <c r="ER459" s="194"/>
      <c r="ES459" s="194"/>
      <c r="ET459" s="194"/>
      <c r="EU459" s="194"/>
      <c r="EV459" s="194"/>
      <c r="EW459" s="194"/>
      <c r="EX459" s="194"/>
      <c r="EY459" s="194"/>
      <c r="EZ459" s="194"/>
      <c r="FA459" s="194"/>
      <c r="FB459" s="194"/>
      <c r="FC459" s="194"/>
      <c r="FD459" s="194"/>
      <c r="FE459" s="194"/>
      <c r="FF459" s="194"/>
      <c r="FG459" s="194"/>
      <c r="FH459" s="194"/>
      <c r="FI459" s="194"/>
      <c r="FJ459" s="194"/>
      <c r="FK459" s="194"/>
      <c r="FL459" s="194"/>
      <c r="FM459" s="194"/>
      <c r="FN459" s="194"/>
      <c r="FO459" s="194"/>
      <c r="FP459" s="194"/>
      <c r="FQ459" s="194"/>
      <c r="FR459" s="194"/>
      <c r="FS459" s="194"/>
      <c r="FT459" s="194"/>
      <c r="FU459" s="194"/>
      <c r="FV459" s="194"/>
      <c r="FW459" s="194"/>
      <c r="FX459" s="194"/>
      <c r="FY459" s="194"/>
      <c r="FZ459" s="194"/>
      <c r="GA459" s="194"/>
      <c r="GB459" s="194"/>
      <c r="GC459" s="194"/>
      <c r="GD459" s="194"/>
      <c r="GE459" s="194"/>
      <c r="GF459" s="194"/>
      <c r="GG459" s="194"/>
      <c r="GH459" s="194"/>
      <c r="GI459" s="194"/>
      <c r="GJ459" s="194"/>
      <c r="GK459" s="194"/>
      <c r="GL459" s="194"/>
      <c r="GM459" s="194"/>
      <c r="GN459" s="194"/>
      <c r="GO459" s="194"/>
      <c r="GP459" s="194"/>
      <c r="GQ459" s="194"/>
      <c r="GR459" s="194"/>
      <c r="GS459" s="194"/>
      <c r="GT459" s="194"/>
      <c r="GU459" s="194"/>
      <c r="GV459" s="194"/>
      <c r="GW459" s="194"/>
      <c r="GX459" s="194"/>
      <c r="GY459" s="194"/>
      <c r="GZ459" s="194"/>
      <c r="HA459" s="194"/>
      <c r="HB459" s="194"/>
      <c r="HC459" s="194"/>
      <c r="HD459" s="194"/>
      <c r="HE459" s="194"/>
      <c r="HF459" s="194"/>
      <c r="HG459" s="194"/>
      <c r="HH459" s="194"/>
      <c r="HI459" s="194"/>
      <c r="HJ459" s="194"/>
      <c r="HK459" s="194"/>
      <c r="HL459" s="194"/>
      <c r="HM459" s="194"/>
      <c r="HN459" s="194"/>
      <c r="HO459" s="194"/>
      <c r="HP459" s="194"/>
      <c r="HQ459" s="194"/>
      <c r="HR459" s="194"/>
      <c r="HS459" s="194"/>
      <c r="HT459" s="194"/>
      <c r="HU459" s="194"/>
      <c r="HV459" s="194"/>
      <c r="HW459" s="194"/>
      <c r="HX459" s="194"/>
      <c r="HY459" s="194"/>
      <c r="HZ459" s="194"/>
    </row>
    <row r="460" spans="1:15" ht="11.25">
      <c r="A460" s="74" t="s">
        <v>5</v>
      </c>
      <c r="B460" s="50"/>
      <c r="C460" s="50"/>
      <c r="D460" s="171"/>
      <c r="E460" s="171"/>
      <c r="F460" s="171"/>
      <c r="G460" s="171"/>
      <c r="H460" s="171"/>
      <c r="I460" s="171"/>
      <c r="J460" s="172"/>
      <c r="K460" s="171"/>
      <c r="L460" s="171"/>
      <c r="M460" s="171"/>
      <c r="N460" s="171"/>
      <c r="O460" s="171"/>
    </row>
    <row r="461" spans="1:15" ht="11.25">
      <c r="A461" s="75" t="s">
        <v>84</v>
      </c>
      <c r="B461" s="53"/>
      <c r="C461" s="53"/>
      <c r="D461" s="54"/>
      <c r="E461" s="54">
        <f>E459/E465</f>
        <v>11.417910447761194</v>
      </c>
      <c r="F461" s="54">
        <f>E461</f>
        <v>11.417910447761194</v>
      </c>
      <c r="G461" s="54"/>
      <c r="H461" s="54">
        <f>H459/H465</f>
        <v>7.835820895522388</v>
      </c>
      <c r="I461" s="54">
        <f>G461+H461</f>
        <v>7.835820895522388</v>
      </c>
      <c r="J461" s="54" t="e">
        <f>G461/D461*100</f>
        <v>#DIV/0!</v>
      </c>
      <c r="K461" s="54"/>
      <c r="L461" s="54"/>
      <c r="M461" s="54"/>
      <c r="N461" s="54">
        <v>8</v>
      </c>
      <c r="O461" s="54">
        <f>N461</f>
        <v>8</v>
      </c>
    </row>
    <row r="462" spans="1:15" ht="11.25">
      <c r="A462" s="74" t="s">
        <v>6</v>
      </c>
      <c r="B462" s="50"/>
      <c r="C462" s="50"/>
      <c r="D462" s="55"/>
      <c r="E462" s="55"/>
      <c r="F462" s="54"/>
      <c r="G462" s="55"/>
      <c r="H462" s="55"/>
      <c r="I462" s="54"/>
      <c r="J462" s="54"/>
      <c r="K462" s="55"/>
      <c r="L462" s="55"/>
      <c r="M462" s="55"/>
      <c r="N462" s="55"/>
      <c r="O462" s="54"/>
    </row>
    <row r="463" spans="1:15" ht="24" customHeight="1">
      <c r="A463" s="75" t="s">
        <v>85</v>
      </c>
      <c r="B463" s="53"/>
      <c r="C463" s="53"/>
      <c r="D463" s="54"/>
      <c r="E463" s="54">
        <v>11</v>
      </c>
      <c r="F463" s="54">
        <f>E463</f>
        <v>11</v>
      </c>
      <c r="G463" s="54"/>
      <c r="H463" s="54">
        <v>8</v>
      </c>
      <c r="I463" s="54">
        <f>G463+H463</f>
        <v>8</v>
      </c>
      <c r="J463" s="54" t="e">
        <f>G463/D463*100</f>
        <v>#DIV/0!</v>
      </c>
      <c r="K463" s="54"/>
      <c r="L463" s="54"/>
      <c r="M463" s="54"/>
      <c r="N463" s="54">
        <v>8</v>
      </c>
      <c r="O463" s="54">
        <f>N463</f>
        <v>8</v>
      </c>
    </row>
    <row r="464" spans="1:15" ht="24" customHeight="1">
      <c r="A464" s="74" t="s">
        <v>8</v>
      </c>
      <c r="B464" s="50"/>
      <c r="C464" s="50"/>
      <c r="D464" s="51"/>
      <c r="E464" s="51"/>
      <c r="F464" s="48"/>
      <c r="G464" s="51"/>
      <c r="H464" s="51"/>
      <c r="I464" s="48"/>
      <c r="J464" s="48"/>
      <c r="K464" s="51"/>
      <c r="L464" s="51"/>
      <c r="M464" s="51"/>
      <c r="N464" s="51"/>
      <c r="O464" s="48"/>
    </row>
    <row r="465" spans="1:15" ht="24" customHeight="1">
      <c r="A465" s="77" t="s">
        <v>86</v>
      </c>
      <c r="B465" s="178"/>
      <c r="C465" s="178"/>
      <c r="D465" s="179"/>
      <c r="E465" s="179">
        <v>16750</v>
      </c>
      <c r="F465" s="79">
        <f>E465</f>
        <v>16750</v>
      </c>
      <c r="G465" s="179"/>
      <c r="H465" s="180">
        <v>16750</v>
      </c>
      <c r="I465" s="79">
        <f>G465</f>
        <v>0</v>
      </c>
      <c r="J465" s="79" t="e">
        <f>G465/D465*100</f>
        <v>#DIV/0!</v>
      </c>
      <c r="K465" s="180"/>
      <c r="L465" s="179"/>
      <c r="M465" s="179"/>
      <c r="N465" s="179">
        <v>16750</v>
      </c>
      <c r="O465" s="79">
        <f>N465</f>
        <v>16750</v>
      </c>
    </row>
    <row r="466" spans="1:234" s="195" customFormat="1" ht="35.25" customHeight="1">
      <c r="A466" s="203" t="s">
        <v>389</v>
      </c>
      <c r="B466" s="219"/>
      <c r="C466" s="219"/>
      <c r="D466" s="220"/>
      <c r="E466" s="220"/>
      <c r="F466" s="209"/>
      <c r="G466" s="220"/>
      <c r="H466" s="210">
        <f>H468</f>
        <v>110000</v>
      </c>
      <c r="I466" s="209">
        <f>H466</f>
        <v>110000</v>
      </c>
      <c r="J466" s="209"/>
      <c r="K466" s="210"/>
      <c r="L466" s="220"/>
      <c r="M466" s="220"/>
      <c r="N466" s="220"/>
      <c r="O466" s="209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  <c r="AA466" s="194"/>
      <c r="AB466" s="194"/>
      <c r="AC466" s="194"/>
      <c r="AD466" s="194"/>
      <c r="AE466" s="194"/>
      <c r="AF466" s="194"/>
      <c r="AG466" s="194"/>
      <c r="AH466" s="194"/>
      <c r="AI466" s="19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194"/>
      <c r="AT466" s="194"/>
      <c r="AU466" s="194"/>
      <c r="AV466" s="194"/>
      <c r="AW466" s="194"/>
      <c r="AX466" s="194"/>
      <c r="AY466" s="194"/>
      <c r="AZ466" s="194"/>
      <c r="BA466" s="194"/>
      <c r="BB466" s="194"/>
      <c r="BC466" s="194"/>
      <c r="BD466" s="194"/>
      <c r="BE466" s="194"/>
      <c r="BF466" s="194"/>
      <c r="BG466" s="194"/>
      <c r="BH466" s="194"/>
      <c r="BI466" s="194"/>
      <c r="BJ466" s="194"/>
      <c r="BK466" s="194"/>
      <c r="BL466" s="194"/>
      <c r="BM466" s="194"/>
      <c r="BN466" s="194"/>
      <c r="BO466" s="194"/>
      <c r="BP466" s="194"/>
      <c r="BQ466" s="194"/>
      <c r="BR466" s="194"/>
      <c r="BS466" s="194"/>
      <c r="BT466" s="194"/>
      <c r="BU466" s="194"/>
      <c r="BV466" s="194"/>
      <c r="BW466" s="194"/>
      <c r="BX466" s="194"/>
      <c r="BY466" s="194"/>
      <c r="BZ466" s="194"/>
      <c r="CA466" s="194"/>
      <c r="CB466" s="194"/>
      <c r="CC466" s="194"/>
      <c r="CD466" s="194"/>
      <c r="CE466" s="194"/>
      <c r="CF466" s="194"/>
      <c r="CG466" s="194"/>
      <c r="CH466" s="194"/>
      <c r="CI466" s="194"/>
      <c r="CJ466" s="194"/>
      <c r="CK466" s="194"/>
      <c r="CL466" s="194"/>
      <c r="CM466" s="194"/>
      <c r="CN466" s="194"/>
      <c r="CO466" s="194"/>
      <c r="CP466" s="194"/>
      <c r="CQ466" s="194"/>
      <c r="CR466" s="194"/>
      <c r="CS466" s="194"/>
      <c r="CT466" s="194"/>
      <c r="CU466" s="194"/>
      <c r="CV466" s="194"/>
      <c r="CW466" s="194"/>
      <c r="CX466" s="194"/>
      <c r="CY466" s="194"/>
      <c r="CZ466" s="194"/>
      <c r="DA466" s="194"/>
      <c r="DB466" s="194"/>
      <c r="DC466" s="194"/>
      <c r="DD466" s="194"/>
      <c r="DE466" s="194"/>
      <c r="DF466" s="194"/>
      <c r="DG466" s="194"/>
      <c r="DH466" s="194"/>
      <c r="DI466" s="194"/>
      <c r="DJ466" s="194"/>
      <c r="DK466" s="194"/>
      <c r="DL466" s="194"/>
      <c r="DM466" s="194"/>
      <c r="DN466" s="194"/>
      <c r="DO466" s="194"/>
      <c r="DP466" s="194"/>
      <c r="DQ466" s="194"/>
      <c r="DR466" s="194"/>
      <c r="DS466" s="194"/>
      <c r="DT466" s="194"/>
      <c r="DU466" s="194"/>
      <c r="DV466" s="194"/>
      <c r="DW466" s="194"/>
      <c r="DX466" s="194"/>
      <c r="DY466" s="194"/>
      <c r="DZ466" s="194"/>
      <c r="EA466" s="194"/>
      <c r="EB466" s="194"/>
      <c r="EC466" s="194"/>
      <c r="ED466" s="194"/>
      <c r="EE466" s="194"/>
      <c r="EF466" s="194"/>
      <c r="EG466" s="194"/>
      <c r="EH466" s="194"/>
      <c r="EI466" s="194"/>
      <c r="EJ466" s="194"/>
      <c r="EK466" s="194"/>
      <c r="EL466" s="194"/>
      <c r="EM466" s="194"/>
      <c r="EN466" s="194"/>
      <c r="EO466" s="194"/>
      <c r="EP466" s="194"/>
      <c r="EQ466" s="194"/>
      <c r="ER466" s="194"/>
      <c r="ES466" s="194"/>
      <c r="ET466" s="194"/>
      <c r="EU466" s="194"/>
      <c r="EV466" s="194"/>
      <c r="EW466" s="194"/>
      <c r="EX466" s="194"/>
      <c r="EY466" s="194"/>
      <c r="EZ466" s="194"/>
      <c r="FA466" s="194"/>
      <c r="FB466" s="194"/>
      <c r="FC466" s="194"/>
      <c r="FD466" s="194"/>
      <c r="FE466" s="194"/>
      <c r="FF466" s="194"/>
      <c r="FG466" s="194"/>
      <c r="FH466" s="194"/>
      <c r="FI466" s="194"/>
      <c r="FJ466" s="194"/>
      <c r="FK466" s="194"/>
      <c r="FL466" s="194"/>
      <c r="FM466" s="194"/>
      <c r="FN466" s="194"/>
      <c r="FO466" s="194"/>
      <c r="FP466" s="194"/>
      <c r="FQ466" s="194"/>
      <c r="FR466" s="194"/>
      <c r="FS466" s="194"/>
      <c r="FT466" s="194"/>
      <c r="FU466" s="194"/>
      <c r="FV466" s="194"/>
      <c r="FW466" s="194"/>
      <c r="FX466" s="194"/>
      <c r="FY466" s="194"/>
      <c r="FZ466" s="194"/>
      <c r="GA466" s="194"/>
      <c r="GB466" s="194"/>
      <c r="GC466" s="194"/>
      <c r="GD466" s="194"/>
      <c r="GE466" s="194"/>
      <c r="GF466" s="194"/>
      <c r="GG466" s="194"/>
      <c r="GH466" s="194"/>
      <c r="GI466" s="194"/>
      <c r="GJ466" s="194"/>
      <c r="GK466" s="194"/>
      <c r="GL466" s="194"/>
      <c r="GM466" s="194"/>
      <c r="GN466" s="194"/>
      <c r="GO466" s="194"/>
      <c r="GP466" s="194"/>
      <c r="GQ466" s="194"/>
      <c r="GR466" s="194"/>
      <c r="GS466" s="194"/>
      <c r="GT466" s="194"/>
      <c r="GU466" s="194"/>
      <c r="GV466" s="194"/>
      <c r="GW466" s="194"/>
      <c r="GX466" s="194"/>
      <c r="GY466" s="194"/>
      <c r="GZ466" s="194"/>
      <c r="HA466" s="194"/>
      <c r="HB466" s="194"/>
      <c r="HC466" s="194"/>
      <c r="HD466" s="194"/>
      <c r="HE466" s="194"/>
      <c r="HF466" s="194"/>
      <c r="HG466" s="194"/>
      <c r="HH466" s="194"/>
      <c r="HI466" s="194"/>
      <c r="HJ466" s="194"/>
      <c r="HK466" s="194"/>
      <c r="HL466" s="194"/>
      <c r="HM466" s="194"/>
      <c r="HN466" s="194"/>
      <c r="HO466" s="194"/>
      <c r="HP466" s="194"/>
      <c r="HQ466" s="194"/>
      <c r="HR466" s="194"/>
      <c r="HS466" s="194"/>
      <c r="HT466" s="194"/>
      <c r="HU466" s="194"/>
      <c r="HV466" s="194"/>
      <c r="HW466" s="194"/>
      <c r="HX466" s="194"/>
      <c r="HY466" s="194"/>
      <c r="HZ466" s="194"/>
    </row>
    <row r="467" spans="1:15" ht="11.25">
      <c r="A467" s="74" t="s">
        <v>5</v>
      </c>
      <c r="B467" s="181"/>
      <c r="C467" s="181"/>
      <c r="D467" s="165"/>
      <c r="E467" s="165"/>
      <c r="F467" s="166"/>
      <c r="G467" s="165"/>
      <c r="H467" s="167"/>
      <c r="I467" s="166"/>
      <c r="J467" s="166"/>
      <c r="K467" s="167"/>
      <c r="L467" s="165"/>
      <c r="M467" s="165"/>
      <c r="N467" s="165"/>
      <c r="O467" s="166"/>
    </row>
    <row r="468" spans="1:15" ht="33.75">
      <c r="A468" s="75" t="s">
        <v>350</v>
      </c>
      <c r="B468" s="181"/>
      <c r="C468" s="181"/>
      <c r="D468" s="165"/>
      <c r="E468" s="165"/>
      <c r="F468" s="166"/>
      <c r="G468" s="165"/>
      <c r="H468" s="167">
        <v>110000</v>
      </c>
      <c r="I468" s="166">
        <f>H468</f>
        <v>110000</v>
      </c>
      <c r="J468" s="166"/>
      <c r="K468" s="167"/>
      <c r="L468" s="165"/>
      <c r="M468" s="165"/>
      <c r="N468" s="165"/>
      <c r="O468" s="166"/>
    </row>
    <row r="469" spans="1:15" ht="11.25">
      <c r="A469" s="74" t="s">
        <v>6</v>
      </c>
      <c r="B469" s="181"/>
      <c r="C469" s="181"/>
      <c r="D469" s="165"/>
      <c r="E469" s="165"/>
      <c r="F469" s="166"/>
      <c r="G469" s="165"/>
      <c r="H469" s="167"/>
      <c r="I469" s="166"/>
      <c r="J469" s="166"/>
      <c r="K469" s="167"/>
      <c r="L469" s="165"/>
      <c r="M469" s="165"/>
      <c r="N469" s="165"/>
      <c r="O469" s="166"/>
    </row>
    <row r="470" spans="1:15" ht="45">
      <c r="A470" s="224" t="s">
        <v>388</v>
      </c>
      <c r="B470" s="181"/>
      <c r="C470" s="181"/>
      <c r="D470" s="165"/>
      <c r="E470" s="165"/>
      <c r="F470" s="166"/>
      <c r="G470" s="165"/>
      <c r="H470" s="167">
        <v>1</v>
      </c>
      <c r="I470" s="166">
        <v>1</v>
      </c>
      <c r="J470" s="166"/>
      <c r="K470" s="167"/>
      <c r="L470" s="165"/>
      <c r="M470" s="165"/>
      <c r="N470" s="165"/>
      <c r="O470" s="166"/>
    </row>
    <row r="471" spans="1:15" ht="11.25">
      <c r="A471" s="74" t="s">
        <v>8</v>
      </c>
      <c r="B471" s="181"/>
      <c r="C471" s="181"/>
      <c r="D471" s="165"/>
      <c r="E471" s="165"/>
      <c r="F471" s="166"/>
      <c r="G471" s="165"/>
      <c r="H471" s="167"/>
      <c r="I471" s="166"/>
      <c r="J471" s="166"/>
      <c r="K471" s="167"/>
      <c r="L471" s="165"/>
      <c r="M471" s="165"/>
      <c r="N471" s="165"/>
      <c r="O471" s="166"/>
    </row>
    <row r="472" spans="1:15" ht="39" customHeight="1">
      <c r="A472" s="77" t="s">
        <v>351</v>
      </c>
      <c r="B472" s="181"/>
      <c r="C472" s="181"/>
      <c r="D472" s="165"/>
      <c r="E472" s="165"/>
      <c r="F472" s="166"/>
      <c r="G472" s="165"/>
      <c r="H472" s="167">
        <v>110000</v>
      </c>
      <c r="I472" s="166">
        <f>I468/H470</f>
        <v>110000</v>
      </c>
      <c r="J472" s="166"/>
      <c r="K472" s="167"/>
      <c r="L472" s="165"/>
      <c r="M472" s="165"/>
      <c r="N472" s="165"/>
      <c r="O472" s="166"/>
    </row>
    <row r="473" spans="1:234" s="195" customFormat="1" ht="39" customHeight="1">
      <c r="A473" s="211" t="s">
        <v>390</v>
      </c>
      <c r="B473" s="219"/>
      <c r="C473" s="219"/>
      <c r="D473" s="220"/>
      <c r="E473" s="220"/>
      <c r="F473" s="209"/>
      <c r="G473" s="220"/>
      <c r="H473" s="209">
        <v>199000</v>
      </c>
      <c r="I473" s="209">
        <f>G473+H473</f>
        <v>199000</v>
      </c>
      <c r="J473" s="209"/>
      <c r="K473" s="210"/>
      <c r="L473" s="220"/>
      <c r="M473" s="220"/>
      <c r="N473" s="220"/>
      <c r="O473" s="209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  <c r="AA473" s="194"/>
      <c r="AB473" s="194"/>
      <c r="AC473" s="194"/>
      <c r="AD473" s="194"/>
      <c r="AE473" s="194"/>
      <c r="AF473" s="194"/>
      <c r="AG473" s="194"/>
      <c r="AH473" s="194"/>
      <c r="AI473" s="194"/>
      <c r="AJ473" s="194"/>
      <c r="AK473" s="194"/>
      <c r="AL473" s="194"/>
      <c r="AM473" s="194"/>
      <c r="AN473" s="194"/>
      <c r="AO473" s="194"/>
      <c r="AP473" s="194"/>
      <c r="AQ473" s="194"/>
      <c r="AR473" s="194"/>
      <c r="AS473" s="194"/>
      <c r="AT473" s="194"/>
      <c r="AU473" s="194"/>
      <c r="AV473" s="194"/>
      <c r="AW473" s="194"/>
      <c r="AX473" s="194"/>
      <c r="AY473" s="194"/>
      <c r="AZ473" s="194"/>
      <c r="BA473" s="194"/>
      <c r="BB473" s="194"/>
      <c r="BC473" s="194"/>
      <c r="BD473" s="194"/>
      <c r="BE473" s="194"/>
      <c r="BF473" s="194"/>
      <c r="BG473" s="194"/>
      <c r="BH473" s="194"/>
      <c r="BI473" s="194"/>
      <c r="BJ473" s="194"/>
      <c r="BK473" s="194"/>
      <c r="BL473" s="194"/>
      <c r="BM473" s="194"/>
      <c r="BN473" s="194"/>
      <c r="BO473" s="194"/>
      <c r="BP473" s="194"/>
      <c r="BQ473" s="194"/>
      <c r="BR473" s="194"/>
      <c r="BS473" s="194"/>
      <c r="BT473" s="194"/>
      <c r="BU473" s="194"/>
      <c r="BV473" s="194"/>
      <c r="BW473" s="194"/>
      <c r="BX473" s="194"/>
      <c r="BY473" s="194"/>
      <c r="BZ473" s="194"/>
      <c r="CA473" s="194"/>
      <c r="CB473" s="194"/>
      <c r="CC473" s="194"/>
      <c r="CD473" s="194"/>
      <c r="CE473" s="194"/>
      <c r="CF473" s="194"/>
      <c r="CG473" s="194"/>
      <c r="CH473" s="194"/>
      <c r="CI473" s="194"/>
      <c r="CJ473" s="194"/>
      <c r="CK473" s="194"/>
      <c r="CL473" s="194"/>
      <c r="CM473" s="194"/>
      <c r="CN473" s="194"/>
      <c r="CO473" s="194"/>
      <c r="CP473" s="194"/>
      <c r="CQ473" s="194"/>
      <c r="CR473" s="194"/>
      <c r="CS473" s="194"/>
      <c r="CT473" s="194"/>
      <c r="CU473" s="194"/>
      <c r="CV473" s="194"/>
      <c r="CW473" s="194"/>
      <c r="CX473" s="194"/>
      <c r="CY473" s="194"/>
      <c r="CZ473" s="194"/>
      <c r="DA473" s="194"/>
      <c r="DB473" s="194"/>
      <c r="DC473" s="194"/>
      <c r="DD473" s="194"/>
      <c r="DE473" s="194"/>
      <c r="DF473" s="194"/>
      <c r="DG473" s="194"/>
      <c r="DH473" s="194"/>
      <c r="DI473" s="194"/>
      <c r="DJ473" s="194"/>
      <c r="DK473" s="194"/>
      <c r="DL473" s="194"/>
      <c r="DM473" s="194"/>
      <c r="DN473" s="194"/>
      <c r="DO473" s="194"/>
      <c r="DP473" s="194"/>
      <c r="DQ473" s="194"/>
      <c r="DR473" s="194"/>
      <c r="DS473" s="194"/>
      <c r="DT473" s="194"/>
      <c r="DU473" s="194"/>
      <c r="DV473" s="194"/>
      <c r="DW473" s="194"/>
      <c r="DX473" s="194"/>
      <c r="DY473" s="194"/>
      <c r="DZ473" s="194"/>
      <c r="EA473" s="194"/>
      <c r="EB473" s="194"/>
      <c r="EC473" s="194"/>
      <c r="ED473" s="194"/>
      <c r="EE473" s="194"/>
      <c r="EF473" s="194"/>
      <c r="EG473" s="194"/>
      <c r="EH473" s="194"/>
      <c r="EI473" s="194"/>
      <c r="EJ473" s="194"/>
      <c r="EK473" s="194"/>
      <c r="EL473" s="194"/>
      <c r="EM473" s="194"/>
      <c r="EN473" s="194"/>
      <c r="EO473" s="194"/>
      <c r="EP473" s="194"/>
      <c r="EQ473" s="194"/>
      <c r="ER473" s="194"/>
      <c r="ES473" s="194"/>
      <c r="ET473" s="194"/>
      <c r="EU473" s="194"/>
      <c r="EV473" s="194"/>
      <c r="EW473" s="194"/>
      <c r="EX473" s="194"/>
      <c r="EY473" s="194"/>
      <c r="EZ473" s="194"/>
      <c r="FA473" s="194"/>
      <c r="FB473" s="194"/>
      <c r="FC473" s="194"/>
      <c r="FD473" s="194"/>
      <c r="FE473" s="194"/>
      <c r="FF473" s="194"/>
      <c r="FG473" s="194"/>
      <c r="FH473" s="194"/>
      <c r="FI473" s="194"/>
      <c r="FJ473" s="194"/>
      <c r="FK473" s="194"/>
      <c r="FL473" s="194"/>
      <c r="FM473" s="194"/>
      <c r="FN473" s="194"/>
      <c r="FO473" s="194"/>
      <c r="FP473" s="194"/>
      <c r="FQ473" s="194"/>
      <c r="FR473" s="194"/>
      <c r="FS473" s="194"/>
      <c r="FT473" s="194"/>
      <c r="FU473" s="194"/>
      <c r="FV473" s="194"/>
      <c r="FW473" s="194"/>
      <c r="FX473" s="194"/>
      <c r="FY473" s="194"/>
      <c r="FZ473" s="194"/>
      <c r="GA473" s="194"/>
      <c r="GB473" s="194"/>
      <c r="GC473" s="194"/>
      <c r="GD473" s="194"/>
      <c r="GE473" s="194"/>
      <c r="GF473" s="194"/>
      <c r="GG473" s="194"/>
      <c r="GH473" s="194"/>
      <c r="GI473" s="194"/>
      <c r="GJ473" s="194"/>
      <c r="GK473" s="194"/>
      <c r="GL473" s="194"/>
      <c r="GM473" s="194"/>
      <c r="GN473" s="194"/>
      <c r="GO473" s="194"/>
      <c r="GP473" s="194"/>
      <c r="GQ473" s="194"/>
      <c r="GR473" s="194"/>
      <c r="GS473" s="194"/>
      <c r="GT473" s="194"/>
      <c r="GU473" s="194"/>
      <c r="GV473" s="194"/>
      <c r="GW473" s="194"/>
      <c r="GX473" s="194"/>
      <c r="GY473" s="194"/>
      <c r="GZ473" s="194"/>
      <c r="HA473" s="194"/>
      <c r="HB473" s="194"/>
      <c r="HC473" s="194"/>
      <c r="HD473" s="194"/>
      <c r="HE473" s="194"/>
      <c r="HF473" s="194"/>
      <c r="HG473" s="194"/>
      <c r="HH473" s="194"/>
      <c r="HI473" s="194"/>
      <c r="HJ473" s="194"/>
      <c r="HK473" s="194"/>
      <c r="HL473" s="194"/>
      <c r="HM473" s="194"/>
      <c r="HN473" s="194"/>
      <c r="HO473" s="194"/>
      <c r="HP473" s="194"/>
      <c r="HQ473" s="194"/>
      <c r="HR473" s="194"/>
      <c r="HS473" s="194"/>
      <c r="HT473" s="194"/>
      <c r="HU473" s="194"/>
      <c r="HV473" s="194"/>
      <c r="HW473" s="194"/>
      <c r="HX473" s="194"/>
      <c r="HY473" s="194"/>
      <c r="HZ473" s="194"/>
    </row>
    <row r="474" spans="1:15" ht="11.25">
      <c r="A474" s="189" t="s">
        <v>358</v>
      </c>
      <c r="B474" s="181"/>
      <c r="C474" s="181"/>
      <c r="D474" s="165"/>
      <c r="E474" s="165"/>
      <c r="F474" s="166"/>
      <c r="G474" s="165"/>
      <c r="H474" s="167"/>
      <c r="I474" s="166"/>
      <c r="J474" s="166"/>
      <c r="K474" s="167"/>
      <c r="L474" s="165"/>
      <c r="M474" s="165"/>
      <c r="N474" s="165"/>
      <c r="O474" s="166"/>
    </row>
    <row r="475" spans="1:15" ht="33.75">
      <c r="A475" s="188" t="s">
        <v>359</v>
      </c>
      <c r="B475" s="181"/>
      <c r="C475" s="181"/>
      <c r="D475" s="165"/>
      <c r="E475" s="165"/>
      <c r="F475" s="166"/>
      <c r="G475" s="165"/>
      <c r="H475" s="167">
        <v>1</v>
      </c>
      <c r="I475" s="190">
        <f>H475+G475</f>
        <v>1</v>
      </c>
      <c r="J475" s="166"/>
      <c r="K475" s="167"/>
      <c r="L475" s="165"/>
      <c r="M475" s="165"/>
      <c r="N475" s="165"/>
      <c r="O475" s="166"/>
    </row>
    <row r="476" spans="1:15" ht="11.25">
      <c r="A476" s="189" t="s">
        <v>360</v>
      </c>
      <c r="B476" s="181"/>
      <c r="C476" s="181"/>
      <c r="D476" s="165"/>
      <c r="E476" s="165"/>
      <c r="F476" s="166"/>
      <c r="G476" s="165"/>
      <c r="H476" s="167"/>
      <c r="I476" s="166"/>
      <c r="J476" s="166"/>
      <c r="K476" s="167"/>
      <c r="L476" s="165"/>
      <c r="M476" s="165"/>
      <c r="N476" s="165"/>
      <c r="O476" s="166"/>
    </row>
    <row r="477" spans="1:15" ht="33.75">
      <c r="A477" s="188" t="s">
        <v>361</v>
      </c>
      <c r="B477" s="181"/>
      <c r="C477" s="181"/>
      <c r="D477" s="165"/>
      <c r="E477" s="165"/>
      <c r="F477" s="166"/>
      <c r="G477" s="165"/>
      <c r="H477" s="166">
        <v>199000</v>
      </c>
      <c r="I477" s="166">
        <f>G477+H477</f>
        <v>199000</v>
      </c>
      <c r="J477" s="166"/>
      <c r="K477" s="167"/>
      <c r="L477" s="165"/>
      <c r="M477" s="165"/>
      <c r="N477" s="165"/>
      <c r="O477" s="166"/>
    </row>
    <row r="478" spans="1:15" ht="11.25">
      <c r="A478" s="189" t="s">
        <v>362</v>
      </c>
      <c r="B478" s="181"/>
      <c r="C478" s="181"/>
      <c r="D478" s="165"/>
      <c r="E478" s="165"/>
      <c r="F478" s="166"/>
      <c r="G478" s="165"/>
      <c r="H478" s="166"/>
      <c r="I478" s="166"/>
      <c r="J478" s="166"/>
      <c r="K478" s="167"/>
      <c r="L478" s="165"/>
      <c r="M478" s="165"/>
      <c r="N478" s="165"/>
      <c r="O478" s="166"/>
    </row>
    <row r="479" spans="1:15" ht="37.5" customHeight="1">
      <c r="A479" s="188" t="s">
        <v>363</v>
      </c>
      <c r="B479" s="181"/>
      <c r="C479" s="181"/>
      <c r="D479" s="165"/>
      <c r="E479" s="165"/>
      <c r="F479" s="166"/>
      <c r="G479" s="165"/>
      <c r="H479" s="166">
        <v>199000</v>
      </c>
      <c r="I479" s="166">
        <f>G479+H479</f>
        <v>199000</v>
      </c>
      <c r="J479" s="166"/>
      <c r="K479" s="167"/>
      <c r="L479" s="165"/>
      <c r="M479" s="165"/>
      <c r="N479" s="165"/>
      <c r="O479" s="166"/>
    </row>
    <row r="480" spans="1:15" ht="16.5" customHeight="1">
      <c r="A480" s="24">
        <v>100302</v>
      </c>
      <c r="B480" s="25"/>
      <c r="C480" s="25"/>
      <c r="D480" s="102">
        <f>D481</f>
        <v>2172800</v>
      </c>
      <c r="E480" s="102">
        <f>E489</f>
        <v>13000</v>
      </c>
      <c r="F480" s="102">
        <f>D480+E480</f>
        <v>2185800</v>
      </c>
      <c r="G480" s="102">
        <f>G481</f>
        <v>400000</v>
      </c>
      <c r="H480" s="102"/>
      <c r="I480" s="102">
        <f>G480</f>
        <v>400000</v>
      </c>
      <c r="J480" s="102" t="e">
        <f>#REF!+J481</f>
        <v>#REF!</v>
      </c>
      <c r="K480" s="102" t="e">
        <f>#REF!+K481</f>
        <v>#REF!</v>
      </c>
      <c r="L480" s="102" t="e">
        <f>#REF!+L481</f>
        <v>#REF!</v>
      </c>
      <c r="M480" s="102">
        <f>M481</f>
        <v>300000</v>
      </c>
      <c r="N480" s="102"/>
      <c r="O480" s="102">
        <f>M480</f>
        <v>300000</v>
      </c>
    </row>
    <row r="481" spans="1:234" s="195" customFormat="1" ht="29.25" customHeight="1">
      <c r="A481" s="182" t="s">
        <v>391</v>
      </c>
      <c r="B481" s="191"/>
      <c r="C481" s="191"/>
      <c r="D481" s="193">
        <f>D484</f>
        <v>2172800</v>
      </c>
      <c r="E481" s="193"/>
      <c r="F481" s="193">
        <f>D481</f>
        <v>2172800</v>
      </c>
      <c r="G481" s="193">
        <f>G484</f>
        <v>400000</v>
      </c>
      <c r="H481" s="193"/>
      <c r="I481" s="193">
        <f>G481</f>
        <v>400000</v>
      </c>
      <c r="J481" s="193"/>
      <c r="K481" s="193"/>
      <c r="L481" s="193"/>
      <c r="M481" s="193">
        <f>M484</f>
        <v>300000</v>
      </c>
      <c r="N481" s="193"/>
      <c r="O481" s="193">
        <f>M481</f>
        <v>300000</v>
      </c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194"/>
      <c r="AD481" s="194"/>
      <c r="AE481" s="194"/>
      <c r="AF481" s="194"/>
      <c r="AG481" s="194"/>
      <c r="AH481" s="194"/>
      <c r="AI481" s="194"/>
      <c r="AJ481" s="194"/>
      <c r="AK481" s="194"/>
      <c r="AL481" s="194"/>
      <c r="AM481" s="194"/>
      <c r="AN481" s="194"/>
      <c r="AO481" s="194"/>
      <c r="AP481" s="194"/>
      <c r="AQ481" s="194"/>
      <c r="AR481" s="194"/>
      <c r="AS481" s="194"/>
      <c r="AT481" s="194"/>
      <c r="AU481" s="194"/>
      <c r="AV481" s="194"/>
      <c r="AW481" s="194"/>
      <c r="AX481" s="194"/>
      <c r="AY481" s="194"/>
      <c r="AZ481" s="194"/>
      <c r="BA481" s="194"/>
      <c r="BB481" s="194"/>
      <c r="BC481" s="194"/>
      <c r="BD481" s="194"/>
      <c r="BE481" s="194"/>
      <c r="BF481" s="194"/>
      <c r="BG481" s="194"/>
      <c r="BH481" s="194"/>
      <c r="BI481" s="194"/>
      <c r="BJ481" s="194"/>
      <c r="BK481" s="194"/>
      <c r="BL481" s="194"/>
      <c r="BM481" s="194"/>
      <c r="BN481" s="194"/>
      <c r="BO481" s="194"/>
      <c r="BP481" s="194"/>
      <c r="BQ481" s="194"/>
      <c r="BR481" s="194"/>
      <c r="BS481" s="194"/>
      <c r="BT481" s="194"/>
      <c r="BU481" s="194"/>
      <c r="BV481" s="194"/>
      <c r="BW481" s="194"/>
      <c r="BX481" s="194"/>
      <c r="BY481" s="194"/>
      <c r="BZ481" s="194"/>
      <c r="CA481" s="194"/>
      <c r="CB481" s="194"/>
      <c r="CC481" s="194"/>
      <c r="CD481" s="194"/>
      <c r="CE481" s="194"/>
      <c r="CF481" s="194"/>
      <c r="CG481" s="194"/>
      <c r="CH481" s="194"/>
      <c r="CI481" s="194"/>
      <c r="CJ481" s="194"/>
      <c r="CK481" s="194"/>
      <c r="CL481" s="194"/>
      <c r="CM481" s="194"/>
      <c r="CN481" s="194"/>
      <c r="CO481" s="194"/>
      <c r="CP481" s="194"/>
      <c r="CQ481" s="194"/>
      <c r="CR481" s="194"/>
      <c r="CS481" s="194"/>
      <c r="CT481" s="194"/>
      <c r="CU481" s="194"/>
      <c r="CV481" s="194"/>
      <c r="CW481" s="194"/>
      <c r="CX481" s="194"/>
      <c r="CY481" s="194"/>
      <c r="CZ481" s="194"/>
      <c r="DA481" s="194"/>
      <c r="DB481" s="194"/>
      <c r="DC481" s="194"/>
      <c r="DD481" s="194"/>
      <c r="DE481" s="194"/>
      <c r="DF481" s="194"/>
      <c r="DG481" s="194"/>
      <c r="DH481" s="194"/>
      <c r="DI481" s="194"/>
      <c r="DJ481" s="194"/>
      <c r="DK481" s="194"/>
      <c r="DL481" s="194"/>
      <c r="DM481" s="194"/>
      <c r="DN481" s="194"/>
      <c r="DO481" s="194"/>
      <c r="DP481" s="194"/>
      <c r="DQ481" s="194"/>
      <c r="DR481" s="194"/>
      <c r="DS481" s="194"/>
      <c r="DT481" s="194"/>
      <c r="DU481" s="194"/>
      <c r="DV481" s="194"/>
      <c r="DW481" s="194"/>
      <c r="DX481" s="194"/>
      <c r="DY481" s="194"/>
      <c r="DZ481" s="194"/>
      <c r="EA481" s="194"/>
      <c r="EB481" s="194"/>
      <c r="EC481" s="194"/>
      <c r="ED481" s="194"/>
      <c r="EE481" s="194"/>
      <c r="EF481" s="194"/>
      <c r="EG481" s="194"/>
      <c r="EH481" s="194"/>
      <c r="EI481" s="194"/>
      <c r="EJ481" s="194"/>
      <c r="EK481" s="194"/>
      <c r="EL481" s="194"/>
      <c r="EM481" s="194"/>
      <c r="EN481" s="194"/>
      <c r="EO481" s="194"/>
      <c r="EP481" s="194"/>
      <c r="EQ481" s="194"/>
      <c r="ER481" s="194"/>
      <c r="ES481" s="194"/>
      <c r="ET481" s="194"/>
      <c r="EU481" s="194"/>
      <c r="EV481" s="194"/>
      <c r="EW481" s="194"/>
      <c r="EX481" s="194"/>
      <c r="EY481" s="194"/>
      <c r="EZ481" s="194"/>
      <c r="FA481" s="194"/>
      <c r="FB481" s="194"/>
      <c r="FC481" s="194"/>
      <c r="FD481" s="194"/>
      <c r="FE481" s="194"/>
      <c r="FF481" s="194"/>
      <c r="FG481" s="194"/>
      <c r="FH481" s="194"/>
      <c r="FI481" s="194"/>
      <c r="FJ481" s="194"/>
      <c r="FK481" s="194"/>
      <c r="FL481" s="194"/>
      <c r="FM481" s="194"/>
      <c r="FN481" s="194"/>
      <c r="FO481" s="194"/>
      <c r="FP481" s="194"/>
      <c r="FQ481" s="194"/>
      <c r="FR481" s="194"/>
      <c r="FS481" s="194"/>
      <c r="FT481" s="194"/>
      <c r="FU481" s="194"/>
      <c r="FV481" s="194"/>
      <c r="FW481" s="194"/>
      <c r="FX481" s="194"/>
      <c r="FY481" s="194"/>
      <c r="FZ481" s="194"/>
      <c r="GA481" s="194"/>
      <c r="GB481" s="194"/>
      <c r="GC481" s="194"/>
      <c r="GD481" s="194"/>
      <c r="GE481" s="194"/>
      <c r="GF481" s="194"/>
      <c r="GG481" s="194"/>
      <c r="GH481" s="194"/>
      <c r="GI481" s="194"/>
      <c r="GJ481" s="194"/>
      <c r="GK481" s="194"/>
      <c r="GL481" s="194"/>
      <c r="GM481" s="194"/>
      <c r="GN481" s="194"/>
      <c r="GO481" s="194"/>
      <c r="GP481" s="194"/>
      <c r="GQ481" s="194"/>
      <c r="GR481" s="194"/>
      <c r="GS481" s="194"/>
      <c r="GT481" s="194"/>
      <c r="GU481" s="194"/>
      <c r="GV481" s="194"/>
      <c r="GW481" s="194"/>
      <c r="GX481" s="194"/>
      <c r="GY481" s="194"/>
      <c r="GZ481" s="194"/>
      <c r="HA481" s="194"/>
      <c r="HB481" s="194"/>
      <c r="HC481" s="194"/>
      <c r="HD481" s="194"/>
      <c r="HE481" s="194"/>
      <c r="HF481" s="194"/>
      <c r="HG481" s="194"/>
      <c r="HH481" s="194"/>
      <c r="HI481" s="194"/>
      <c r="HJ481" s="194"/>
      <c r="HK481" s="194"/>
      <c r="HL481" s="194"/>
      <c r="HM481" s="194"/>
      <c r="HN481" s="194"/>
      <c r="HO481" s="194"/>
      <c r="HP481" s="194"/>
      <c r="HQ481" s="194"/>
      <c r="HR481" s="194"/>
      <c r="HS481" s="194"/>
      <c r="HT481" s="194"/>
      <c r="HU481" s="194"/>
      <c r="HV481" s="194"/>
      <c r="HW481" s="194"/>
      <c r="HX481" s="194"/>
      <c r="HY481" s="194"/>
      <c r="HZ481" s="194"/>
    </row>
    <row r="482" spans="1:15" ht="26.25" customHeight="1">
      <c r="A482" s="76" t="s">
        <v>241</v>
      </c>
      <c r="B482" s="8"/>
      <c r="C482" s="8"/>
      <c r="D482" s="97"/>
      <c r="E482" s="97"/>
      <c r="F482" s="97"/>
      <c r="G482" s="97"/>
      <c r="H482" s="97"/>
      <c r="I482" s="97"/>
      <c r="J482" s="7"/>
      <c r="K482" s="7"/>
      <c r="L482" s="7"/>
      <c r="M482" s="97"/>
      <c r="N482" s="97"/>
      <c r="O482" s="97"/>
    </row>
    <row r="483" spans="1:15" ht="11.25">
      <c r="A483" s="31" t="s">
        <v>5</v>
      </c>
      <c r="B483" s="8"/>
      <c r="C483" s="8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1:15" ht="35.25" customHeight="1">
      <c r="A484" s="92" t="s">
        <v>305</v>
      </c>
      <c r="B484" s="107"/>
      <c r="C484" s="107"/>
      <c r="D484" s="110">
        <f>458700+125100+1589000</f>
        <v>2172800</v>
      </c>
      <c r="E484" s="110"/>
      <c r="F484" s="110">
        <f>D484</f>
        <v>2172800</v>
      </c>
      <c r="G484" s="7">
        <f>300000+100000</f>
        <v>400000</v>
      </c>
      <c r="H484" s="7"/>
      <c r="I484" s="7">
        <f>G484</f>
        <v>400000</v>
      </c>
      <c r="J484" s="7"/>
      <c r="K484" s="7"/>
      <c r="L484" s="7"/>
      <c r="M484" s="7">
        <v>300000</v>
      </c>
      <c r="N484" s="7"/>
      <c r="O484" s="7">
        <f>M484</f>
        <v>300000</v>
      </c>
    </row>
    <row r="485" spans="1:15" ht="11.25">
      <c r="A485" s="91" t="s">
        <v>6</v>
      </c>
      <c r="B485" s="107"/>
      <c r="C485" s="107"/>
      <c r="D485" s="110"/>
      <c r="E485" s="110"/>
      <c r="F485" s="110"/>
      <c r="G485" s="7"/>
      <c r="H485" s="7"/>
      <c r="I485" s="7"/>
      <c r="J485" s="7"/>
      <c r="K485" s="7"/>
      <c r="L485" s="7"/>
      <c r="M485" s="7"/>
      <c r="N485" s="7"/>
      <c r="O485" s="7"/>
    </row>
    <row r="486" spans="1:15" ht="27" customHeight="1">
      <c r="A486" s="92" t="s">
        <v>273</v>
      </c>
      <c r="B486" s="107"/>
      <c r="C486" s="107"/>
      <c r="D486" s="108">
        <v>3</v>
      </c>
      <c r="E486" s="110"/>
      <c r="F486" s="108">
        <f>D486</f>
        <v>3</v>
      </c>
      <c r="G486" s="10">
        <v>3</v>
      </c>
      <c r="H486" s="10"/>
      <c r="I486" s="10">
        <f>G486</f>
        <v>3</v>
      </c>
      <c r="J486" s="10"/>
      <c r="K486" s="10"/>
      <c r="L486" s="10"/>
      <c r="M486" s="10">
        <v>2</v>
      </c>
      <c r="N486" s="10"/>
      <c r="O486" s="10">
        <f>M486</f>
        <v>2</v>
      </c>
    </row>
    <row r="487" spans="1:15" ht="11.25">
      <c r="A487" s="91" t="s">
        <v>8</v>
      </c>
      <c r="B487" s="107"/>
      <c r="C487" s="107"/>
      <c r="D487" s="110"/>
      <c r="E487" s="110"/>
      <c r="F487" s="110"/>
      <c r="G487" s="7"/>
      <c r="H487" s="7"/>
      <c r="I487" s="7"/>
      <c r="J487" s="7"/>
      <c r="K487" s="7"/>
      <c r="L487" s="7"/>
      <c r="M487" s="7"/>
      <c r="N487" s="7"/>
      <c r="O487" s="7"/>
    </row>
    <row r="488" spans="1:15" ht="24.75" customHeight="1">
      <c r="A488" s="32" t="s">
        <v>244</v>
      </c>
      <c r="B488" s="8"/>
      <c r="C488" s="8"/>
      <c r="D488" s="110">
        <f>D484/D486</f>
        <v>724266.6666666666</v>
      </c>
      <c r="E488" s="110"/>
      <c r="F488" s="110">
        <f>F484/F486</f>
        <v>724266.6666666666</v>
      </c>
      <c r="G488" s="7">
        <f>G484/G486</f>
        <v>133333.33333333334</v>
      </c>
      <c r="H488" s="7"/>
      <c r="I488" s="7">
        <f>I484/I486</f>
        <v>133333.33333333334</v>
      </c>
      <c r="J488" s="7"/>
      <c r="K488" s="7"/>
      <c r="L488" s="7"/>
      <c r="M488" s="7">
        <f>M484/M486</f>
        <v>150000</v>
      </c>
      <c r="N488" s="7"/>
      <c r="O488" s="7">
        <f>O484/O486</f>
        <v>150000</v>
      </c>
    </row>
    <row r="489" spans="1:234" s="195" customFormat="1" ht="33.75">
      <c r="A489" s="182" t="s">
        <v>392</v>
      </c>
      <c r="B489" s="191"/>
      <c r="C489" s="191"/>
      <c r="D489" s="193" t="str">
        <f>D491</f>
        <v> </v>
      </c>
      <c r="E489" s="193">
        <f>E491</f>
        <v>13000</v>
      </c>
      <c r="F489" s="193">
        <f>E489</f>
        <v>13000</v>
      </c>
      <c r="G489" s="193"/>
      <c r="H489" s="193"/>
      <c r="I489" s="193"/>
      <c r="J489" s="193"/>
      <c r="K489" s="193"/>
      <c r="L489" s="193"/>
      <c r="M489" s="193"/>
      <c r="N489" s="193"/>
      <c r="O489" s="193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94"/>
      <c r="AE489" s="194"/>
      <c r="AF489" s="194"/>
      <c r="AG489" s="194"/>
      <c r="AH489" s="194"/>
      <c r="AI489" s="194"/>
      <c r="AJ489" s="194"/>
      <c r="AK489" s="194"/>
      <c r="AL489" s="194"/>
      <c r="AM489" s="194"/>
      <c r="AN489" s="194"/>
      <c r="AO489" s="194"/>
      <c r="AP489" s="194"/>
      <c r="AQ489" s="194"/>
      <c r="AR489" s="194"/>
      <c r="AS489" s="194"/>
      <c r="AT489" s="194"/>
      <c r="AU489" s="194"/>
      <c r="AV489" s="194"/>
      <c r="AW489" s="194"/>
      <c r="AX489" s="194"/>
      <c r="AY489" s="194"/>
      <c r="AZ489" s="194"/>
      <c r="BA489" s="194"/>
      <c r="BB489" s="194"/>
      <c r="BC489" s="194"/>
      <c r="BD489" s="194"/>
      <c r="BE489" s="194"/>
      <c r="BF489" s="194"/>
      <c r="BG489" s="194"/>
      <c r="BH489" s="194"/>
      <c r="BI489" s="194"/>
      <c r="BJ489" s="194"/>
      <c r="BK489" s="194"/>
      <c r="BL489" s="194"/>
      <c r="BM489" s="194"/>
      <c r="BN489" s="194"/>
      <c r="BO489" s="194"/>
      <c r="BP489" s="194"/>
      <c r="BQ489" s="194"/>
      <c r="BR489" s="194"/>
      <c r="BS489" s="194"/>
      <c r="BT489" s="194"/>
      <c r="BU489" s="194"/>
      <c r="BV489" s="194"/>
      <c r="BW489" s="194"/>
      <c r="BX489" s="194"/>
      <c r="BY489" s="194"/>
      <c r="BZ489" s="194"/>
      <c r="CA489" s="194"/>
      <c r="CB489" s="194"/>
      <c r="CC489" s="194"/>
      <c r="CD489" s="194"/>
      <c r="CE489" s="194"/>
      <c r="CF489" s="194"/>
      <c r="CG489" s="194"/>
      <c r="CH489" s="194"/>
      <c r="CI489" s="194"/>
      <c r="CJ489" s="194"/>
      <c r="CK489" s="194"/>
      <c r="CL489" s="194"/>
      <c r="CM489" s="194"/>
      <c r="CN489" s="194"/>
      <c r="CO489" s="194"/>
      <c r="CP489" s="194"/>
      <c r="CQ489" s="194"/>
      <c r="CR489" s="194"/>
      <c r="CS489" s="194"/>
      <c r="CT489" s="194"/>
      <c r="CU489" s="194"/>
      <c r="CV489" s="194"/>
      <c r="CW489" s="194"/>
      <c r="CX489" s="194"/>
      <c r="CY489" s="194"/>
      <c r="CZ489" s="194"/>
      <c r="DA489" s="194"/>
      <c r="DB489" s="194"/>
      <c r="DC489" s="194"/>
      <c r="DD489" s="194"/>
      <c r="DE489" s="194"/>
      <c r="DF489" s="194"/>
      <c r="DG489" s="194"/>
      <c r="DH489" s="194"/>
      <c r="DI489" s="194"/>
      <c r="DJ489" s="194"/>
      <c r="DK489" s="194"/>
      <c r="DL489" s="194"/>
      <c r="DM489" s="194"/>
      <c r="DN489" s="194"/>
      <c r="DO489" s="194"/>
      <c r="DP489" s="194"/>
      <c r="DQ489" s="194"/>
      <c r="DR489" s="194"/>
      <c r="DS489" s="194"/>
      <c r="DT489" s="194"/>
      <c r="DU489" s="194"/>
      <c r="DV489" s="194"/>
      <c r="DW489" s="194"/>
      <c r="DX489" s="194"/>
      <c r="DY489" s="194"/>
      <c r="DZ489" s="194"/>
      <c r="EA489" s="194"/>
      <c r="EB489" s="194"/>
      <c r="EC489" s="194"/>
      <c r="ED489" s="194"/>
      <c r="EE489" s="194"/>
      <c r="EF489" s="194"/>
      <c r="EG489" s="194"/>
      <c r="EH489" s="194"/>
      <c r="EI489" s="194"/>
      <c r="EJ489" s="194"/>
      <c r="EK489" s="194"/>
      <c r="EL489" s="194"/>
      <c r="EM489" s="194"/>
      <c r="EN489" s="194"/>
      <c r="EO489" s="194"/>
      <c r="EP489" s="194"/>
      <c r="EQ489" s="194"/>
      <c r="ER489" s="194"/>
      <c r="ES489" s="194"/>
      <c r="ET489" s="194"/>
      <c r="EU489" s="194"/>
      <c r="EV489" s="194"/>
      <c r="EW489" s="194"/>
      <c r="EX489" s="194"/>
      <c r="EY489" s="194"/>
      <c r="EZ489" s="194"/>
      <c r="FA489" s="194"/>
      <c r="FB489" s="194"/>
      <c r="FC489" s="194"/>
      <c r="FD489" s="194"/>
      <c r="FE489" s="194"/>
      <c r="FF489" s="194"/>
      <c r="FG489" s="194"/>
      <c r="FH489" s="194"/>
      <c r="FI489" s="194"/>
      <c r="FJ489" s="194"/>
      <c r="FK489" s="194"/>
      <c r="FL489" s="194"/>
      <c r="FM489" s="194"/>
      <c r="FN489" s="194"/>
      <c r="FO489" s="194"/>
      <c r="FP489" s="194"/>
      <c r="FQ489" s="194"/>
      <c r="FR489" s="194"/>
      <c r="FS489" s="194"/>
      <c r="FT489" s="194"/>
      <c r="FU489" s="194"/>
      <c r="FV489" s="194"/>
      <c r="FW489" s="194"/>
      <c r="FX489" s="194"/>
      <c r="FY489" s="194"/>
      <c r="FZ489" s="194"/>
      <c r="GA489" s="194"/>
      <c r="GB489" s="194"/>
      <c r="GC489" s="194"/>
      <c r="GD489" s="194"/>
      <c r="GE489" s="194"/>
      <c r="GF489" s="194"/>
      <c r="GG489" s="194"/>
      <c r="GH489" s="194"/>
      <c r="GI489" s="194"/>
      <c r="GJ489" s="194"/>
      <c r="GK489" s="194"/>
      <c r="GL489" s="194"/>
      <c r="GM489" s="194"/>
      <c r="GN489" s="194"/>
      <c r="GO489" s="194"/>
      <c r="GP489" s="194"/>
      <c r="GQ489" s="194"/>
      <c r="GR489" s="194"/>
      <c r="GS489" s="194"/>
      <c r="GT489" s="194"/>
      <c r="GU489" s="194"/>
      <c r="GV489" s="194"/>
      <c r="GW489" s="194"/>
      <c r="GX489" s="194"/>
      <c r="GY489" s="194"/>
      <c r="GZ489" s="194"/>
      <c r="HA489" s="194"/>
      <c r="HB489" s="194"/>
      <c r="HC489" s="194"/>
      <c r="HD489" s="194"/>
      <c r="HE489" s="194"/>
      <c r="HF489" s="194"/>
      <c r="HG489" s="194"/>
      <c r="HH489" s="194"/>
      <c r="HI489" s="194"/>
      <c r="HJ489" s="194"/>
      <c r="HK489" s="194"/>
      <c r="HL489" s="194"/>
      <c r="HM489" s="194"/>
      <c r="HN489" s="194"/>
      <c r="HO489" s="194"/>
      <c r="HP489" s="194"/>
      <c r="HQ489" s="194"/>
      <c r="HR489" s="194"/>
      <c r="HS489" s="194"/>
      <c r="HT489" s="194"/>
      <c r="HU489" s="194"/>
      <c r="HV489" s="194"/>
      <c r="HW489" s="194"/>
      <c r="HX489" s="194"/>
      <c r="HY489" s="194"/>
      <c r="HZ489" s="194"/>
    </row>
    <row r="490" spans="1:15" ht="11.25">
      <c r="A490" s="91" t="s">
        <v>5</v>
      </c>
      <c r="B490" s="8"/>
      <c r="C490" s="8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1:15" ht="15" customHeight="1">
      <c r="A491" s="92" t="s">
        <v>82</v>
      </c>
      <c r="B491" s="8"/>
      <c r="C491" s="8"/>
      <c r="D491" s="7" t="s">
        <v>306</v>
      </c>
      <c r="E491" s="7">
        <v>13000</v>
      </c>
      <c r="F491" s="7">
        <f>E491</f>
        <v>13000</v>
      </c>
      <c r="G491" s="7"/>
      <c r="H491" s="7"/>
      <c r="I491" s="7"/>
      <c r="J491" s="7"/>
      <c r="K491" s="7"/>
      <c r="L491" s="7"/>
      <c r="M491" s="7"/>
      <c r="N491" s="7"/>
      <c r="O491" s="7"/>
    </row>
    <row r="492" spans="1:15" ht="11.25">
      <c r="A492" s="91" t="s">
        <v>6</v>
      </c>
      <c r="B492" s="8"/>
      <c r="C492" s="8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1:15" ht="41.25" customHeight="1">
      <c r="A493" s="92" t="s">
        <v>295</v>
      </c>
      <c r="B493" s="8"/>
      <c r="C493" s="8"/>
      <c r="D493" s="7" t="s">
        <v>306</v>
      </c>
      <c r="E493" s="7">
        <v>1</v>
      </c>
      <c r="F493" s="7">
        <f>E493</f>
        <v>1</v>
      </c>
      <c r="G493" s="7"/>
      <c r="H493" s="7"/>
      <c r="I493" s="7"/>
      <c r="J493" s="7"/>
      <c r="K493" s="7"/>
      <c r="L493" s="7"/>
      <c r="M493" s="7"/>
      <c r="N493" s="7"/>
      <c r="O493" s="7"/>
    </row>
    <row r="494" spans="1:15" ht="11.25">
      <c r="A494" s="91" t="s">
        <v>8</v>
      </c>
      <c r="B494" s="8"/>
      <c r="C494" s="8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1:15" ht="35.25" customHeight="1">
      <c r="A495" s="92" t="s">
        <v>296</v>
      </c>
      <c r="B495" s="8"/>
      <c r="C495" s="8"/>
      <c r="D495" s="7" t="s">
        <v>306</v>
      </c>
      <c r="E495" s="7">
        <v>13000</v>
      </c>
      <c r="F495" s="7">
        <f>E495</f>
        <v>13000</v>
      </c>
      <c r="G495" s="7"/>
      <c r="H495" s="7"/>
      <c r="I495" s="7"/>
      <c r="J495" s="7"/>
      <c r="K495" s="7"/>
      <c r="L495" s="7"/>
      <c r="M495" s="7"/>
      <c r="N495" s="7"/>
      <c r="O495" s="7"/>
    </row>
    <row r="496" spans="1:15" ht="15" customHeight="1">
      <c r="A496" s="24">
        <v>100202</v>
      </c>
      <c r="B496" s="8"/>
      <c r="C496" s="8"/>
      <c r="D496" s="38">
        <f>D498+D505+D512+D521+D528</f>
        <v>2702500</v>
      </c>
      <c r="E496" s="38"/>
      <c r="F496" s="38">
        <f>D496</f>
        <v>2702500</v>
      </c>
      <c r="G496" s="38">
        <f>G498+G505+G521+G535+G542+G512+G528+G549</f>
        <v>2470200</v>
      </c>
      <c r="H496" s="38">
        <f>H498+H505+H521+H535+H542+H512+H528+H549</f>
        <v>3430202</v>
      </c>
      <c r="I496" s="38">
        <f>G496+H496</f>
        <v>5900402</v>
      </c>
      <c r="J496" s="38"/>
      <c r="K496" s="38"/>
      <c r="L496" s="38"/>
      <c r="M496" s="38"/>
      <c r="N496" s="38"/>
      <c r="O496" s="38"/>
    </row>
    <row r="497" spans="1:15" ht="23.25" customHeight="1">
      <c r="A497" s="32" t="s">
        <v>242</v>
      </c>
      <c r="B497" s="8"/>
      <c r="C497" s="8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1:234" s="195" customFormat="1" ht="27.75" customHeight="1">
      <c r="A498" s="182" t="s">
        <v>393</v>
      </c>
      <c r="B498" s="191"/>
      <c r="C498" s="191"/>
      <c r="D498" s="192">
        <f>D500</f>
        <v>2200000</v>
      </c>
      <c r="E498" s="193"/>
      <c r="F498" s="193">
        <f>D498</f>
        <v>2200000</v>
      </c>
      <c r="G498" s="193">
        <f>G500</f>
        <v>2100000</v>
      </c>
      <c r="H498" s="193"/>
      <c r="I498" s="193">
        <f>G498</f>
        <v>2100000</v>
      </c>
      <c r="J498" s="193"/>
      <c r="K498" s="193"/>
      <c r="L498" s="193"/>
      <c r="M498" s="193"/>
      <c r="N498" s="193"/>
      <c r="O498" s="193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4"/>
      <c r="AT498" s="194"/>
      <c r="AU498" s="194"/>
      <c r="AV498" s="194"/>
      <c r="AW498" s="194"/>
      <c r="AX498" s="194"/>
      <c r="AY498" s="194"/>
      <c r="AZ498" s="194"/>
      <c r="BA498" s="194"/>
      <c r="BB498" s="194"/>
      <c r="BC498" s="194"/>
      <c r="BD498" s="194"/>
      <c r="BE498" s="194"/>
      <c r="BF498" s="194"/>
      <c r="BG498" s="194"/>
      <c r="BH498" s="194"/>
      <c r="BI498" s="194"/>
      <c r="BJ498" s="194"/>
      <c r="BK498" s="194"/>
      <c r="BL498" s="194"/>
      <c r="BM498" s="194"/>
      <c r="BN498" s="194"/>
      <c r="BO498" s="194"/>
      <c r="BP498" s="194"/>
      <c r="BQ498" s="194"/>
      <c r="BR498" s="194"/>
      <c r="BS498" s="194"/>
      <c r="BT498" s="194"/>
      <c r="BU498" s="194"/>
      <c r="BV498" s="194"/>
      <c r="BW498" s="194"/>
      <c r="BX498" s="194"/>
      <c r="BY498" s="194"/>
      <c r="BZ498" s="194"/>
      <c r="CA498" s="194"/>
      <c r="CB498" s="194"/>
      <c r="CC498" s="194"/>
      <c r="CD498" s="194"/>
      <c r="CE498" s="194"/>
      <c r="CF498" s="194"/>
      <c r="CG498" s="194"/>
      <c r="CH498" s="194"/>
      <c r="CI498" s="194"/>
      <c r="CJ498" s="194"/>
      <c r="CK498" s="194"/>
      <c r="CL498" s="194"/>
      <c r="CM498" s="194"/>
      <c r="CN498" s="194"/>
      <c r="CO498" s="194"/>
      <c r="CP498" s="194"/>
      <c r="CQ498" s="194"/>
      <c r="CR498" s="194"/>
      <c r="CS498" s="194"/>
      <c r="CT498" s="194"/>
      <c r="CU498" s="194"/>
      <c r="CV498" s="194"/>
      <c r="CW498" s="194"/>
      <c r="CX498" s="194"/>
      <c r="CY498" s="194"/>
      <c r="CZ498" s="194"/>
      <c r="DA498" s="194"/>
      <c r="DB498" s="194"/>
      <c r="DC498" s="194"/>
      <c r="DD498" s="194"/>
      <c r="DE498" s="194"/>
      <c r="DF498" s="194"/>
      <c r="DG498" s="194"/>
      <c r="DH498" s="194"/>
      <c r="DI498" s="194"/>
      <c r="DJ498" s="194"/>
      <c r="DK498" s="194"/>
      <c r="DL498" s="194"/>
      <c r="DM498" s="194"/>
      <c r="DN498" s="194"/>
      <c r="DO498" s="194"/>
      <c r="DP498" s="194"/>
      <c r="DQ498" s="194"/>
      <c r="DR498" s="194"/>
      <c r="DS498" s="194"/>
      <c r="DT498" s="194"/>
      <c r="DU498" s="194"/>
      <c r="DV498" s="194"/>
      <c r="DW498" s="194"/>
      <c r="DX498" s="194"/>
      <c r="DY498" s="194"/>
      <c r="DZ498" s="194"/>
      <c r="EA498" s="194"/>
      <c r="EB498" s="194"/>
      <c r="EC498" s="194"/>
      <c r="ED498" s="194"/>
      <c r="EE498" s="194"/>
      <c r="EF498" s="194"/>
      <c r="EG498" s="194"/>
      <c r="EH498" s="194"/>
      <c r="EI498" s="194"/>
      <c r="EJ498" s="194"/>
      <c r="EK498" s="194"/>
      <c r="EL498" s="194"/>
      <c r="EM498" s="194"/>
      <c r="EN498" s="194"/>
      <c r="EO498" s="194"/>
      <c r="EP498" s="194"/>
      <c r="EQ498" s="194"/>
      <c r="ER498" s="194"/>
      <c r="ES498" s="194"/>
      <c r="ET498" s="194"/>
      <c r="EU498" s="194"/>
      <c r="EV498" s="194"/>
      <c r="EW498" s="194"/>
      <c r="EX498" s="194"/>
      <c r="EY498" s="194"/>
      <c r="EZ498" s="194"/>
      <c r="FA498" s="194"/>
      <c r="FB498" s="194"/>
      <c r="FC498" s="194"/>
      <c r="FD498" s="194"/>
      <c r="FE498" s="194"/>
      <c r="FF498" s="194"/>
      <c r="FG498" s="194"/>
      <c r="FH498" s="194"/>
      <c r="FI498" s="194"/>
      <c r="FJ498" s="194"/>
      <c r="FK498" s="194"/>
      <c r="FL498" s="194"/>
      <c r="FM498" s="194"/>
      <c r="FN498" s="194"/>
      <c r="FO498" s="194"/>
      <c r="FP498" s="194"/>
      <c r="FQ498" s="194"/>
      <c r="FR498" s="194"/>
      <c r="FS498" s="194"/>
      <c r="FT498" s="194"/>
      <c r="FU498" s="194"/>
      <c r="FV498" s="194"/>
      <c r="FW498" s="194"/>
      <c r="FX498" s="194"/>
      <c r="FY498" s="194"/>
      <c r="FZ498" s="194"/>
      <c r="GA498" s="194"/>
      <c r="GB498" s="194"/>
      <c r="GC498" s="194"/>
      <c r="GD498" s="194"/>
      <c r="GE498" s="194"/>
      <c r="GF498" s="194"/>
      <c r="GG498" s="194"/>
      <c r="GH498" s="194"/>
      <c r="GI498" s="194"/>
      <c r="GJ498" s="194"/>
      <c r="GK498" s="194"/>
      <c r="GL498" s="194"/>
      <c r="GM498" s="194"/>
      <c r="GN498" s="194"/>
      <c r="GO498" s="194"/>
      <c r="GP498" s="194"/>
      <c r="GQ498" s="194"/>
      <c r="GR498" s="194"/>
      <c r="GS498" s="194"/>
      <c r="GT498" s="194"/>
      <c r="GU498" s="194"/>
      <c r="GV498" s="194"/>
      <c r="GW498" s="194"/>
      <c r="GX498" s="194"/>
      <c r="GY498" s="194"/>
      <c r="GZ498" s="194"/>
      <c r="HA498" s="194"/>
      <c r="HB498" s="194"/>
      <c r="HC498" s="194"/>
      <c r="HD498" s="194"/>
      <c r="HE498" s="194"/>
      <c r="HF498" s="194"/>
      <c r="HG498" s="194"/>
      <c r="HH498" s="194"/>
      <c r="HI498" s="194"/>
      <c r="HJ498" s="194"/>
      <c r="HK498" s="194"/>
      <c r="HL498" s="194"/>
      <c r="HM498" s="194"/>
      <c r="HN498" s="194"/>
      <c r="HO498" s="194"/>
      <c r="HP498" s="194"/>
      <c r="HQ498" s="194"/>
      <c r="HR498" s="194"/>
      <c r="HS498" s="194"/>
      <c r="HT498" s="194"/>
      <c r="HU498" s="194"/>
      <c r="HV498" s="194"/>
      <c r="HW498" s="194"/>
      <c r="HX498" s="194"/>
      <c r="HY498" s="194"/>
      <c r="HZ498" s="194"/>
    </row>
    <row r="499" spans="1:15" ht="12" customHeight="1">
      <c r="A499" s="31" t="s">
        <v>5</v>
      </c>
      <c r="B499" s="8"/>
      <c r="C499" s="8"/>
      <c r="D499" s="19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1:15" ht="13.5" customHeight="1">
      <c r="A500" s="32" t="s">
        <v>82</v>
      </c>
      <c r="B500" s="8"/>
      <c r="C500" s="8"/>
      <c r="D500" s="19">
        <v>2200000</v>
      </c>
      <c r="E500" s="7"/>
      <c r="F500" s="7">
        <f>D500</f>
        <v>2200000</v>
      </c>
      <c r="G500" s="7">
        <f>1600000+500000</f>
        <v>2100000</v>
      </c>
      <c r="H500" s="7"/>
      <c r="I500" s="7">
        <f>G500</f>
        <v>2100000</v>
      </c>
      <c r="J500" s="7"/>
      <c r="K500" s="7"/>
      <c r="L500" s="7"/>
      <c r="M500" s="7"/>
      <c r="N500" s="7"/>
      <c r="O500" s="7"/>
    </row>
    <row r="501" spans="1:15" ht="12" customHeight="1">
      <c r="A501" s="31" t="s">
        <v>6</v>
      </c>
      <c r="B501" s="8"/>
      <c r="C501" s="8"/>
      <c r="D501" s="19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1:15" ht="33" customHeight="1">
      <c r="A502" s="32" t="s">
        <v>83</v>
      </c>
      <c r="B502" s="8"/>
      <c r="C502" s="8"/>
      <c r="D502" s="19">
        <v>1</v>
      </c>
      <c r="E502" s="7"/>
      <c r="F502" s="7">
        <v>1</v>
      </c>
      <c r="G502" s="10">
        <v>1</v>
      </c>
      <c r="H502" s="10"/>
      <c r="I502" s="10">
        <v>1</v>
      </c>
      <c r="J502" s="10"/>
      <c r="K502" s="10"/>
      <c r="L502" s="10"/>
      <c r="M502" s="10"/>
      <c r="N502" s="10"/>
      <c r="O502" s="10"/>
    </row>
    <row r="503" spans="1:15" ht="11.25">
      <c r="A503" s="31" t="s">
        <v>8</v>
      </c>
      <c r="B503" s="8"/>
      <c r="C503" s="8"/>
      <c r="D503" s="19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1:15" ht="21" customHeight="1">
      <c r="A504" s="32" t="s">
        <v>244</v>
      </c>
      <c r="B504" s="8"/>
      <c r="C504" s="8"/>
      <c r="D504" s="19">
        <f>D500/D502</f>
        <v>2200000</v>
      </c>
      <c r="E504" s="7"/>
      <c r="F504" s="7">
        <f>D504</f>
        <v>2200000</v>
      </c>
      <c r="G504" s="7">
        <f>G498/G502</f>
        <v>2100000</v>
      </c>
      <c r="H504" s="7"/>
      <c r="I504" s="7">
        <f>G504</f>
        <v>2100000</v>
      </c>
      <c r="J504" s="7"/>
      <c r="K504" s="7"/>
      <c r="L504" s="7"/>
      <c r="M504" s="7"/>
      <c r="N504" s="7"/>
      <c r="O504" s="7"/>
    </row>
    <row r="505" spans="1:234" s="195" customFormat="1" ht="25.5" customHeight="1">
      <c r="A505" s="182" t="s">
        <v>394</v>
      </c>
      <c r="B505" s="191"/>
      <c r="C505" s="191"/>
      <c r="D505" s="192"/>
      <c r="E505" s="193"/>
      <c r="F505" s="193"/>
      <c r="G505" s="192">
        <f>G507</f>
        <v>120000</v>
      </c>
      <c r="H505" s="193"/>
      <c r="I505" s="193">
        <f>G505</f>
        <v>120000</v>
      </c>
      <c r="J505" s="193"/>
      <c r="K505" s="193"/>
      <c r="L505" s="193"/>
      <c r="M505" s="193"/>
      <c r="N505" s="193"/>
      <c r="O505" s="193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94"/>
      <c r="AE505" s="194"/>
      <c r="AF505" s="194"/>
      <c r="AG505" s="194"/>
      <c r="AH505" s="194"/>
      <c r="AI505" s="194"/>
      <c r="AJ505" s="194"/>
      <c r="AK505" s="194"/>
      <c r="AL505" s="194"/>
      <c r="AM505" s="194"/>
      <c r="AN505" s="194"/>
      <c r="AO505" s="194"/>
      <c r="AP505" s="194"/>
      <c r="AQ505" s="194"/>
      <c r="AR505" s="194"/>
      <c r="AS505" s="194"/>
      <c r="AT505" s="194"/>
      <c r="AU505" s="194"/>
      <c r="AV505" s="194"/>
      <c r="AW505" s="194"/>
      <c r="AX505" s="194"/>
      <c r="AY505" s="194"/>
      <c r="AZ505" s="194"/>
      <c r="BA505" s="194"/>
      <c r="BB505" s="194"/>
      <c r="BC505" s="194"/>
      <c r="BD505" s="194"/>
      <c r="BE505" s="194"/>
      <c r="BF505" s="194"/>
      <c r="BG505" s="194"/>
      <c r="BH505" s="194"/>
      <c r="BI505" s="194"/>
      <c r="BJ505" s="194"/>
      <c r="BK505" s="194"/>
      <c r="BL505" s="194"/>
      <c r="BM505" s="194"/>
      <c r="BN505" s="194"/>
      <c r="BO505" s="194"/>
      <c r="BP505" s="194"/>
      <c r="BQ505" s="194"/>
      <c r="BR505" s="194"/>
      <c r="BS505" s="194"/>
      <c r="BT505" s="194"/>
      <c r="BU505" s="194"/>
      <c r="BV505" s="194"/>
      <c r="BW505" s="194"/>
      <c r="BX505" s="194"/>
      <c r="BY505" s="194"/>
      <c r="BZ505" s="194"/>
      <c r="CA505" s="194"/>
      <c r="CB505" s="194"/>
      <c r="CC505" s="194"/>
      <c r="CD505" s="194"/>
      <c r="CE505" s="194"/>
      <c r="CF505" s="194"/>
      <c r="CG505" s="194"/>
      <c r="CH505" s="194"/>
      <c r="CI505" s="194"/>
      <c r="CJ505" s="194"/>
      <c r="CK505" s="194"/>
      <c r="CL505" s="194"/>
      <c r="CM505" s="194"/>
      <c r="CN505" s="194"/>
      <c r="CO505" s="194"/>
      <c r="CP505" s="194"/>
      <c r="CQ505" s="194"/>
      <c r="CR505" s="194"/>
      <c r="CS505" s="194"/>
      <c r="CT505" s="194"/>
      <c r="CU505" s="194"/>
      <c r="CV505" s="194"/>
      <c r="CW505" s="194"/>
      <c r="CX505" s="194"/>
      <c r="CY505" s="194"/>
      <c r="CZ505" s="194"/>
      <c r="DA505" s="194"/>
      <c r="DB505" s="194"/>
      <c r="DC505" s="194"/>
      <c r="DD505" s="194"/>
      <c r="DE505" s="194"/>
      <c r="DF505" s="194"/>
      <c r="DG505" s="194"/>
      <c r="DH505" s="194"/>
      <c r="DI505" s="194"/>
      <c r="DJ505" s="194"/>
      <c r="DK505" s="194"/>
      <c r="DL505" s="194"/>
      <c r="DM505" s="194"/>
      <c r="DN505" s="194"/>
      <c r="DO505" s="194"/>
      <c r="DP505" s="194"/>
      <c r="DQ505" s="194"/>
      <c r="DR505" s="194"/>
      <c r="DS505" s="194"/>
      <c r="DT505" s="194"/>
      <c r="DU505" s="194"/>
      <c r="DV505" s="194"/>
      <c r="DW505" s="194"/>
      <c r="DX505" s="194"/>
      <c r="DY505" s="194"/>
      <c r="DZ505" s="194"/>
      <c r="EA505" s="194"/>
      <c r="EB505" s="194"/>
      <c r="EC505" s="194"/>
      <c r="ED505" s="194"/>
      <c r="EE505" s="194"/>
      <c r="EF505" s="194"/>
      <c r="EG505" s="194"/>
      <c r="EH505" s="194"/>
      <c r="EI505" s="194"/>
      <c r="EJ505" s="194"/>
      <c r="EK505" s="194"/>
      <c r="EL505" s="194"/>
      <c r="EM505" s="194"/>
      <c r="EN505" s="194"/>
      <c r="EO505" s="194"/>
      <c r="EP505" s="194"/>
      <c r="EQ505" s="194"/>
      <c r="ER505" s="194"/>
      <c r="ES505" s="194"/>
      <c r="ET505" s="194"/>
      <c r="EU505" s="194"/>
      <c r="EV505" s="194"/>
      <c r="EW505" s="194"/>
      <c r="EX505" s="194"/>
      <c r="EY505" s="194"/>
      <c r="EZ505" s="194"/>
      <c r="FA505" s="194"/>
      <c r="FB505" s="194"/>
      <c r="FC505" s="194"/>
      <c r="FD505" s="194"/>
      <c r="FE505" s="194"/>
      <c r="FF505" s="194"/>
      <c r="FG505" s="194"/>
      <c r="FH505" s="194"/>
      <c r="FI505" s="194"/>
      <c r="FJ505" s="194"/>
      <c r="FK505" s="194"/>
      <c r="FL505" s="194"/>
      <c r="FM505" s="194"/>
      <c r="FN505" s="194"/>
      <c r="FO505" s="194"/>
      <c r="FP505" s="194"/>
      <c r="FQ505" s="194"/>
      <c r="FR505" s="194"/>
      <c r="FS505" s="194"/>
      <c r="FT505" s="194"/>
      <c r="FU505" s="194"/>
      <c r="FV505" s="194"/>
      <c r="FW505" s="194"/>
      <c r="FX505" s="194"/>
      <c r="FY505" s="194"/>
      <c r="FZ505" s="194"/>
      <c r="GA505" s="194"/>
      <c r="GB505" s="194"/>
      <c r="GC505" s="194"/>
      <c r="GD505" s="194"/>
      <c r="GE505" s="194"/>
      <c r="GF505" s="194"/>
      <c r="GG505" s="194"/>
      <c r="GH505" s="194"/>
      <c r="GI505" s="194"/>
      <c r="GJ505" s="194"/>
      <c r="GK505" s="194"/>
      <c r="GL505" s="194"/>
      <c r="GM505" s="194"/>
      <c r="GN505" s="194"/>
      <c r="GO505" s="194"/>
      <c r="GP505" s="194"/>
      <c r="GQ505" s="194"/>
      <c r="GR505" s="194"/>
      <c r="GS505" s="194"/>
      <c r="GT505" s="194"/>
      <c r="GU505" s="194"/>
      <c r="GV505" s="194"/>
      <c r="GW505" s="194"/>
      <c r="GX505" s="194"/>
      <c r="GY505" s="194"/>
      <c r="GZ505" s="194"/>
      <c r="HA505" s="194"/>
      <c r="HB505" s="194"/>
      <c r="HC505" s="194"/>
      <c r="HD505" s="194"/>
      <c r="HE505" s="194"/>
      <c r="HF505" s="194"/>
      <c r="HG505" s="194"/>
      <c r="HH505" s="194"/>
      <c r="HI505" s="194"/>
      <c r="HJ505" s="194"/>
      <c r="HK505" s="194"/>
      <c r="HL505" s="194"/>
      <c r="HM505" s="194"/>
      <c r="HN505" s="194"/>
      <c r="HO505" s="194"/>
      <c r="HP505" s="194"/>
      <c r="HQ505" s="194"/>
      <c r="HR505" s="194"/>
      <c r="HS505" s="194"/>
      <c r="HT505" s="194"/>
      <c r="HU505" s="194"/>
      <c r="HV505" s="194"/>
      <c r="HW505" s="194"/>
      <c r="HX505" s="194"/>
      <c r="HY505" s="194"/>
      <c r="HZ505" s="194"/>
    </row>
    <row r="506" spans="1:15" ht="11.25">
      <c r="A506" s="31" t="s">
        <v>5</v>
      </c>
      <c r="B506" s="8"/>
      <c r="C506" s="8"/>
      <c r="D506" s="19"/>
      <c r="E506" s="7"/>
      <c r="F506" s="7"/>
      <c r="G506" s="19"/>
      <c r="H506" s="7"/>
      <c r="I506" s="7"/>
      <c r="J506" s="7"/>
      <c r="K506" s="7"/>
      <c r="L506" s="7"/>
      <c r="M506" s="7"/>
      <c r="N506" s="7"/>
      <c r="O506" s="7"/>
    </row>
    <row r="507" spans="1:15" ht="14.25" customHeight="1">
      <c r="A507" s="32" t="s">
        <v>82</v>
      </c>
      <c r="B507" s="8"/>
      <c r="C507" s="8"/>
      <c r="D507" s="19"/>
      <c r="E507" s="7"/>
      <c r="F507" s="7"/>
      <c r="G507" s="19">
        <v>120000</v>
      </c>
      <c r="H507" s="7"/>
      <c r="I507" s="7">
        <f>G507</f>
        <v>120000</v>
      </c>
      <c r="J507" s="7"/>
      <c r="K507" s="7"/>
      <c r="L507" s="7"/>
      <c r="M507" s="7"/>
      <c r="N507" s="7"/>
      <c r="O507" s="7"/>
    </row>
    <row r="508" spans="1:15" ht="11.25">
      <c r="A508" s="31" t="s">
        <v>6</v>
      </c>
      <c r="B508" s="8"/>
      <c r="C508" s="8"/>
      <c r="D508" s="19"/>
      <c r="E508" s="7"/>
      <c r="F508" s="7"/>
      <c r="G508" s="19"/>
      <c r="H508" s="7"/>
      <c r="I508" s="7"/>
      <c r="J508" s="7"/>
      <c r="K508" s="7"/>
      <c r="L508" s="7"/>
      <c r="M508" s="7"/>
      <c r="N508" s="7"/>
      <c r="O508" s="7"/>
    </row>
    <row r="509" spans="1:15" ht="23.25" customHeight="1">
      <c r="A509" s="32" t="s">
        <v>243</v>
      </c>
      <c r="B509" s="8"/>
      <c r="C509" s="8"/>
      <c r="D509" s="10"/>
      <c r="E509" s="10"/>
      <c r="F509" s="10"/>
      <c r="G509" s="10">
        <v>2</v>
      </c>
      <c r="H509" s="10"/>
      <c r="I509" s="10">
        <v>2</v>
      </c>
      <c r="J509" s="10"/>
      <c r="K509" s="10"/>
      <c r="L509" s="10"/>
      <c r="M509" s="10"/>
      <c r="N509" s="10"/>
      <c r="O509" s="10"/>
    </row>
    <row r="510" spans="1:15" ht="11.25">
      <c r="A510" s="31" t="s">
        <v>8</v>
      </c>
      <c r="B510" s="8"/>
      <c r="C510" s="8"/>
      <c r="D510" s="19"/>
      <c r="E510" s="7"/>
      <c r="F510" s="7"/>
      <c r="G510" s="19"/>
      <c r="H510" s="7"/>
      <c r="I510" s="7"/>
      <c r="J510" s="7"/>
      <c r="K510" s="7"/>
      <c r="L510" s="7"/>
      <c r="M510" s="7"/>
      <c r="N510" s="7"/>
      <c r="O510" s="7"/>
    </row>
    <row r="511" spans="1:15" ht="24.75" customHeight="1">
      <c r="A511" s="32" t="s">
        <v>245</v>
      </c>
      <c r="B511" s="8"/>
      <c r="C511" s="8"/>
      <c r="D511" s="19"/>
      <c r="E511" s="7"/>
      <c r="F511" s="7"/>
      <c r="G511" s="19">
        <f>G507/G509</f>
        <v>60000</v>
      </c>
      <c r="H511" s="7"/>
      <c r="I511" s="7">
        <f>G511</f>
        <v>60000</v>
      </c>
      <c r="J511" s="7"/>
      <c r="K511" s="7"/>
      <c r="L511" s="7"/>
      <c r="M511" s="7"/>
      <c r="N511" s="7"/>
      <c r="O511" s="7"/>
    </row>
    <row r="512" spans="1:234" s="195" customFormat="1" ht="11.25">
      <c r="A512" s="182" t="s">
        <v>395</v>
      </c>
      <c r="B512" s="191"/>
      <c r="C512" s="191"/>
      <c r="D512" s="192">
        <f>D514</f>
        <v>150400</v>
      </c>
      <c r="E512" s="193"/>
      <c r="F512" s="193">
        <f>D512</f>
        <v>150400</v>
      </c>
      <c r="G512" s="193"/>
      <c r="H512" s="193"/>
      <c r="I512" s="193"/>
      <c r="J512" s="193"/>
      <c r="K512" s="193"/>
      <c r="L512" s="193"/>
      <c r="M512" s="193"/>
      <c r="N512" s="193"/>
      <c r="O512" s="193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194"/>
      <c r="AE512" s="194"/>
      <c r="AF512" s="194"/>
      <c r="AG512" s="194"/>
      <c r="AH512" s="194"/>
      <c r="AI512" s="194"/>
      <c r="AJ512" s="194"/>
      <c r="AK512" s="194"/>
      <c r="AL512" s="194"/>
      <c r="AM512" s="194"/>
      <c r="AN512" s="194"/>
      <c r="AO512" s="194"/>
      <c r="AP512" s="194"/>
      <c r="AQ512" s="194"/>
      <c r="AR512" s="194"/>
      <c r="AS512" s="194"/>
      <c r="AT512" s="194"/>
      <c r="AU512" s="194"/>
      <c r="AV512" s="194"/>
      <c r="AW512" s="194"/>
      <c r="AX512" s="194"/>
      <c r="AY512" s="194"/>
      <c r="AZ512" s="194"/>
      <c r="BA512" s="194"/>
      <c r="BB512" s="194"/>
      <c r="BC512" s="194"/>
      <c r="BD512" s="194"/>
      <c r="BE512" s="194"/>
      <c r="BF512" s="194"/>
      <c r="BG512" s="194"/>
      <c r="BH512" s="194"/>
      <c r="BI512" s="194"/>
      <c r="BJ512" s="194"/>
      <c r="BK512" s="194"/>
      <c r="BL512" s="194"/>
      <c r="BM512" s="194"/>
      <c r="BN512" s="194"/>
      <c r="BO512" s="194"/>
      <c r="BP512" s="194"/>
      <c r="BQ512" s="194"/>
      <c r="BR512" s="194"/>
      <c r="BS512" s="194"/>
      <c r="BT512" s="194"/>
      <c r="BU512" s="194"/>
      <c r="BV512" s="194"/>
      <c r="BW512" s="194"/>
      <c r="BX512" s="194"/>
      <c r="BY512" s="194"/>
      <c r="BZ512" s="194"/>
      <c r="CA512" s="194"/>
      <c r="CB512" s="194"/>
      <c r="CC512" s="194"/>
      <c r="CD512" s="194"/>
      <c r="CE512" s="194"/>
      <c r="CF512" s="194"/>
      <c r="CG512" s="194"/>
      <c r="CH512" s="194"/>
      <c r="CI512" s="194"/>
      <c r="CJ512" s="194"/>
      <c r="CK512" s="194"/>
      <c r="CL512" s="194"/>
      <c r="CM512" s="194"/>
      <c r="CN512" s="194"/>
      <c r="CO512" s="194"/>
      <c r="CP512" s="194"/>
      <c r="CQ512" s="194"/>
      <c r="CR512" s="194"/>
      <c r="CS512" s="194"/>
      <c r="CT512" s="194"/>
      <c r="CU512" s="194"/>
      <c r="CV512" s="194"/>
      <c r="CW512" s="194"/>
      <c r="CX512" s="194"/>
      <c r="CY512" s="194"/>
      <c r="CZ512" s="194"/>
      <c r="DA512" s="194"/>
      <c r="DB512" s="194"/>
      <c r="DC512" s="194"/>
      <c r="DD512" s="194"/>
      <c r="DE512" s="194"/>
      <c r="DF512" s="194"/>
      <c r="DG512" s="194"/>
      <c r="DH512" s="194"/>
      <c r="DI512" s="194"/>
      <c r="DJ512" s="194"/>
      <c r="DK512" s="194"/>
      <c r="DL512" s="194"/>
      <c r="DM512" s="194"/>
      <c r="DN512" s="194"/>
      <c r="DO512" s="194"/>
      <c r="DP512" s="194"/>
      <c r="DQ512" s="194"/>
      <c r="DR512" s="194"/>
      <c r="DS512" s="194"/>
      <c r="DT512" s="194"/>
      <c r="DU512" s="194"/>
      <c r="DV512" s="194"/>
      <c r="DW512" s="194"/>
      <c r="DX512" s="194"/>
      <c r="DY512" s="194"/>
      <c r="DZ512" s="194"/>
      <c r="EA512" s="194"/>
      <c r="EB512" s="194"/>
      <c r="EC512" s="194"/>
      <c r="ED512" s="194"/>
      <c r="EE512" s="194"/>
      <c r="EF512" s="194"/>
      <c r="EG512" s="194"/>
      <c r="EH512" s="194"/>
      <c r="EI512" s="194"/>
      <c r="EJ512" s="194"/>
      <c r="EK512" s="194"/>
      <c r="EL512" s="194"/>
      <c r="EM512" s="194"/>
      <c r="EN512" s="194"/>
      <c r="EO512" s="194"/>
      <c r="EP512" s="194"/>
      <c r="EQ512" s="194"/>
      <c r="ER512" s="194"/>
      <c r="ES512" s="194"/>
      <c r="ET512" s="194"/>
      <c r="EU512" s="194"/>
      <c r="EV512" s="194"/>
      <c r="EW512" s="194"/>
      <c r="EX512" s="194"/>
      <c r="EY512" s="194"/>
      <c r="EZ512" s="194"/>
      <c r="FA512" s="194"/>
      <c r="FB512" s="194"/>
      <c r="FC512" s="194"/>
      <c r="FD512" s="194"/>
      <c r="FE512" s="194"/>
      <c r="FF512" s="194"/>
      <c r="FG512" s="194"/>
      <c r="FH512" s="194"/>
      <c r="FI512" s="194"/>
      <c r="FJ512" s="194"/>
      <c r="FK512" s="194"/>
      <c r="FL512" s="194"/>
      <c r="FM512" s="194"/>
      <c r="FN512" s="194"/>
      <c r="FO512" s="194"/>
      <c r="FP512" s="194"/>
      <c r="FQ512" s="194"/>
      <c r="FR512" s="194"/>
      <c r="FS512" s="194"/>
      <c r="FT512" s="194"/>
      <c r="FU512" s="194"/>
      <c r="FV512" s="194"/>
      <c r="FW512" s="194"/>
      <c r="FX512" s="194"/>
      <c r="FY512" s="194"/>
      <c r="FZ512" s="194"/>
      <c r="GA512" s="194"/>
      <c r="GB512" s="194"/>
      <c r="GC512" s="194"/>
      <c r="GD512" s="194"/>
      <c r="GE512" s="194"/>
      <c r="GF512" s="194"/>
      <c r="GG512" s="194"/>
      <c r="GH512" s="194"/>
      <c r="GI512" s="194"/>
      <c r="GJ512" s="194"/>
      <c r="GK512" s="194"/>
      <c r="GL512" s="194"/>
      <c r="GM512" s="194"/>
      <c r="GN512" s="194"/>
      <c r="GO512" s="194"/>
      <c r="GP512" s="194"/>
      <c r="GQ512" s="194"/>
      <c r="GR512" s="194"/>
      <c r="GS512" s="194"/>
      <c r="GT512" s="194"/>
      <c r="GU512" s="194"/>
      <c r="GV512" s="194"/>
      <c r="GW512" s="194"/>
      <c r="GX512" s="194"/>
      <c r="GY512" s="194"/>
      <c r="GZ512" s="194"/>
      <c r="HA512" s="194"/>
      <c r="HB512" s="194"/>
      <c r="HC512" s="194"/>
      <c r="HD512" s="194"/>
      <c r="HE512" s="194"/>
      <c r="HF512" s="194"/>
      <c r="HG512" s="194"/>
      <c r="HH512" s="194"/>
      <c r="HI512" s="194"/>
      <c r="HJ512" s="194"/>
      <c r="HK512" s="194"/>
      <c r="HL512" s="194"/>
      <c r="HM512" s="194"/>
      <c r="HN512" s="194"/>
      <c r="HO512" s="194"/>
      <c r="HP512" s="194"/>
      <c r="HQ512" s="194"/>
      <c r="HR512" s="194"/>
      <c r="HS512" s="194"/>
      <c r="HT512" s="194"/>
      <c r="HU512" s="194"/>
      <c r="HV512" s="194"/>
      <c r="HW512" s="194"/>
      <c r="HX512" s="194"/>
      <c r="HY512" s="194"/>
      <c r="HZ512" s="194"/>
    </row>
    <row r="513" spans="1:15" ht="12" customHeight="1">
      <c r="A513" s="31" t="s">
        <v>5</v>
      </c>
      <c r="B513" s="8"/>
      <c r="C513" s="8"/>
      <c r="D513" s="19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1:15" ht="12" customHeight="1">
      <c r="A514" s="32" t="s">
        <v>82</v>
      </c>
      <c r="B514" s="8"/>
      <c r="C514" s="8"/>
      <c r="D514" s="19">
        <f>(D516*D519)+(D517*D520)-0.03</f>
        <v>150400</v>
      </c>
      <c r="E514" s="7"/>
      <c r="F514" s="7">
        <f>D514</f>
        <v>150400</v>
      </c>
      <c r="G514" s="7"/>
      <c r="H514" s="7"/>
      <c r="I514" s="7"/>
      <c r="J514" s="7"/>
      <c r="K514" s="7"/>
      <c r="L514" s="7"/>
      <c r="M514" s="7"/>
      <c r="N514" s="7"/>
      <c r="O514" s="7"/>
    </row>
    <row r="515" spans="1:15" ht="12" customHeight="1">
      <c r="A515" s="31" t="s">
        <v>6</v>
      </c>
      <c r="B515" s="8"/>
      <c r="C515" s="8"/>
      <c r="D515" s="19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1:15" ht="24.75" customHeight="1">
      <c r="A516" s="32" t="s">
        <v>276</v>
      </c>
      <c r="B516" s="8"/>
      <c r="C516" s="8"/>
      <c r="D516" s="10">
        <v>57</v>
      </c>
      <c r="E516" s="10"/>
      <c r="F516" s="10">
        <v>57</v>
      </c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5.75" customHeight="1">
      <c r="A517" s="32" t="s">
        <v>274</v>
      </c>
      <c r="B517" s="8"/>
      <c r="C517" s="8"/>
      <c r="D517" s="10">
        <v>145</v>
      </c>
      <c r="E517" s="10"/>
      <c r="F517" s="10">
        <f>D517</f>
        <v>145</v>
      </c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 customHeight="1">
      <c r="A518" s="31" t="s">
        <v>8</v>
      </c>
      <c r="B518" s="8"/>
      <c r="C518" s="8"/>
      <c r="D518" s="19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1:15" ht="24.75" customHeight="1">
      <c r="A519" s="32" t="s">
        <v>275</v>
      </c>
      <c r="B519" s="8"/>
      <c r="C519" s="8"/>
      <c r="D519" s="19">
        <v>1950.89</v>
      </c>
      <c r="E519" s="7"/>
      <c r="F519" s="7">
        <f>D519</f>
        <v>1950.89</v>
      </c>
      <c r="G519" s="7"/>
      <c r="H519" s="7"/>
      <c r="I519" s="7"/>
      <c r="J519" s="7"/>
      <c r="K519" s="7"/>
      <c r="L519" s="7"/>
      <c r="M519" s="7"/>
      <c r="N519" s="7"/>
      <c r="O519" s="7"/>
    </row>
    <row r="520" spans="1:15" ht="24.75" customHeight="1">
      <c r="A520" s="32" t="s">
        <v>277</v>
      </c>
      <c r="B520" s="8"/>
      <c r="C520" s="8"/>
      <c r="D520" s="19">
        <v>270.34</v>
      </c>
      <c r="E520" s="7"/>
      <c r="F520" s="7">
        <f>D520</f>
        <v>270.34</v>
      </c>
      <c r="G520" s="7"/>
      <c r="H520" s="7"/>
      <c r="I520" s="7"/>
      <c r="J520" s="7"/>
      <c r="K520" s="7"/>
      <c r="L520" s="7"/>
      <c r="M520" s="7"/>
      <c r="N520" s="7"/>
      <c r="O520" s="7"/>
    </row>
    <row r="521" spans="1:234" s="195" customFormat="1" ht="41.25" customHeight="1">
      <c r="A521" s="182" t="s">
        <v>396</v>
      </c>
      <c r="B521" s="191"/>
      <c r="C521" s="191"/>
      <c r="D521" s="192">
        <v>127900</v>
      </c>
      <c r="E521" s="193"/>
      <c r="F521" s="193">
        <f>D521</f>
        <v>127900</v>
      </c>
      <c r="G521" s="193">
        <f>G523</f>
        <v>130000</v>
      </c>
      <c r="H521" s="193"/>
      <c r="I521" s="193">
        <f>G521</f>
        <v>130000</v>
      </c>
      <c r="J521" s="193"/>
      <c r="K521" s="193"/>
      <c r="L521" s="193"/>
      <c r="M521" s="193"/>
      <c r="N521" s="193"/>
      <c r="O521" s="193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4"/>
      <c r="AT521" s="194"/>
      <c r="AU521" s="194"/>
      <c r="AV521" s="194"/>
      <c r="AW521" s="194"/>
      <c r="AX521" s="194"/>
      <c r="AY521" s="194"/>
      <c r="AZ521" s="194"/>
      <c r="BA521" s="194"/>
      <c r="BB521" s="194"/>
      <c r="BC521" s="194"/>
      <c r="BD521" s="194"/>
      <c r="BE521" s="194"/>
      <c r="BF521" s="194"/>
      <c r="BG521" s="194"/>
      <c r="BH521" s="194"/>
      <c r="BI521" s="194"/>
      <c r="BJ521" s="194"/>
      <c r="BK521" s="194"/>
      <c r="BL521" s="194"/>
      <c r="BM521" s="194"/>
      <c r="BN521" s="194"/>
      <c r="BO521" s="194"/>
      <c r="BP521" s="194"/>
      <c r="BQ521" s="194"/>
      <c r="BR521" s="194"/>
      <c r="BS521" s="194"/>
      <c r="BT521" s="194"/>
      <c r="BU521" s="194"/>
      <c r="BV521" s="194"/>
      <c r="BW521" s="194"/>
      <c r="BX521" s="194"/>
      <c r="BY521" s="194"/>
      <c r="BZ521" s="194"/>
      <c r="CA521" s="194"/>
      <c r="CB521" s="194"/>
      <c r="CC521" s="194"/>
      <c r="CD521" s="194"/>
      <c r="CE521" s="194"/>
      <c r="CF521" s="194"/>
      <c r="CG521" s="194"/>
      <c r="CH521" s="194"/>
      <c r="CI521" s="194"/>
      <c r="CJ521" s="194"/>
      <c r="CK521" s="194"/>
      <c r="CL521" s="194"/>
      <c r="CM521" s="194"/>
      <c r="CN521" s="194"/>
      <c r="CO521" s="194"/>
      <c r="CP521" s="194"/>
      <c r="CQ521" s="194"/>
      <c r="CR521" s="194"/>
      <c r="CS521" s="194"/>
      <c r="CT521" s="194"/>
      <c r="CU521" s="194"/>
      <c r="CV521" s="194"/>
      <c r="CW521" s="194"/>
      <c r="CX521" s="194"/>
      <c r="CY521" s="194"/>
      <c r="CZ521" s="194"/>
      <c r="DA521" s="194"/>
      <c r="DB521" s="194"/>
      <c r="DC521" s="194"/>
      <c r="DD521" s="194"/>
      <c r="DE521" s="194"/>
      <c r="DF521" s="194"/>
      <c r="DG521" s="194"/>
      <c r="DH521" s="194"/>
      <c r="DI521" s="194"/>
      <c r="DJ521" s="194"/>
      <c r="DK521" s="194"/>
      <c r="DL521" s="194"/>
      <c r="DM521" s="194"/>
      <c r="DN521" s="194"/>
      <c r="DO521" s="194"/>
      <c r="DP521" s="194"/>
      <c r="DQ521" s="194"/>
      <c r="DR521" s="194"/>
      <c r="DS521" s="194"/>
      <c r="DT521" s="194"/>
      <c r="DU521" s="194"/>
      <c r="DV521" s="194"/>
      <c r="DW521" s="194"/>
      <c r="DX521" s="194"/>
      <c r="DY521" s="194"/>
      <c r="DZ521" s="194"/>
      <c r="EA521" s="194"/>
      <c r="EB521" s="194"/>
      <c r="EC521" s="194"/>
      <c r="ED521" s="194"/>
      <c r="EE521" s="194"/>
      <c r="EF521" s="194"/>
      <c r="EG521" s="194"/>
      <c r="EH521" s="194"/>
      <c r="EI521" s="194"/>
      <c r="EJ521" s="194"/>
      <c r="EK521" s="194"/>
      <c r="EL521" s="194"/>
      <c r="EM521" s="194"/>
      <c r="EN521" s="194"/>
      <c r="EO521" s="194"/>
      <c r="EP521" s="194"/>
      <c r="EQ521" s="194"/>
      <c r="ER521" s="194"/>
      <c r="ES521" s="194"/>
      <c r="ET521" s="194"/>
      <c r="EU521" s="194"/>
      <c r="EV521" s="194"/>
      <c r="EW521" s="194"/>
      <c r="EX521" s="194"/>
      <c r="EY521" s="194"/>
      <c r="EZ521" s="194"/>
      <c r="FA521" s="194"/>
      <c r="FB521" s="194"/>
      <c r="FC521" s="194"/>
      <c r="FD521" s="194"/>
      <c r="FE521" s="194"/>
      <c r="FF521" s="194"/>
      <c r="FG521" s="194"/>
      <c r="FH521" s="194"/>
      <c r="FI521" s="194"/>
      <c r="FJ521" s="194"/>
      <c r="FK521" s="194"/>
      <c r="FL521" s="194"/>
      <c r="FM521" s="194"/>
      <c r="FN521" s="194"/>
      <c r="FO521" s="194"/>
      <c r="FP521" s="194"/>
      <c r="FQ521" s="194"/>
      <c r="FR521" s="194"/>
      <c r="FS521" s="194"/>
      <c r="FT521" s="194"/>
      <c r="FU521" s="194"/>
      <c r="FV521" s="194"/>
      <c r="FW521" s="194"/>
      <c r="FX521" s="194"/>
      <c r="FY521" s="194"/>
      <c r="FZ521" s="194"/>
      <c r="GA521" s="194"/>
      <c r="GB521" s="194"/>
      <c r="GC521" s="194"/>
      <c r="GD521" s="194"/>
      <c r="GE521" s="194"/>
      <c r="GF521" s="194"/>
      <c r="GG521" s="194"/>
      <c r="GH521" s="194"/>
      <c r="GI521" s="194"/>
      <c r="GJ521" s="194"/>
      <c r="GK521" s="194"/>
      <c r="GL521" s="194"/>
      <c r="GM521" s="194"/>
      <c r="GN521" s="194"/>
      <c r="GO521" s="194"/>
      <c r="GP521" s="194"/>
      <c r="GQ521" s="194"/>
      <c r="GR521" s="194"/>
      <c r="GS521" s="194"/>
      <c r="GT521" s="194"/>
      <c r="GU521" s="194"/>
      <c r="GV521" s="194"/>
      <c r="GW521" s="194"/>
      <c r="GX521" s="194"/>
      <c r="GY521" s="194"/>
      <c r="GZ521" s="194"/>
      <c r="HA521" s="194"/>
      <c r="HB521" s="194"/>
      <c r="HC521" s="194"/>
      <c r="HD521" s="194"/>
      <c r="HE521" s="194"/>
      <c r="HF521" s="194"/>
      <c r="HG521" s="194"/>
      <c r="HH521" s="194"/>
      <c r="HI521" s="194"/>
      <c r="HJ521" s="194"/>
      <c r="HK521" s="194"/>
      <c r="HL521" s="194"/>
      <c r="HM521" s="194"/>
      <c r="HN521" s="194"/>
      <c r="HO521" s="194"/>
      <c r="HP521" s="194"/>
      <c r="HQ521" s="194"/>
      <c r="HR521" s="194"/>
      <c r="HS521" s="194"/>
      <c r="HT521" s="194"/>
      <c r="HU521" s="194"/>
      <c r="HV521" s="194"/>
      <c r="HW521" s="194"/>
      <c r="HX521" s="194"/>
      <c r="HY521" s="194"/>
      <c r="HZ521" s="194"/>
    </row>
    <row r="522" spans="1:15" ht="11.25" customHeight="1">
      <c r="A522" s="31" t="s">
        <v>5</v>
      </c>
      <c r="B522" s="8"/>
      <c r="C522" s="8"/>
      <c r="D522" s="19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1:15" ht="14.25" customHeight="1">
      <c r="A523" s="32" t="s">
        <v>82</v>
      </c>
      <c r="B523" s="8"/>
      <c r="C523" s="8"/>
      <c r="D523" s="115">
        <f>D521</f>
        <v>127900</v>
      </c>
      <c r="E523" s="7"/>
      <c r="F523" s="7">
        <f>D523</f>
        <v>127900</v>
      </c>
      <c r="G523" s="7">
        <v>130000</v>
      </c>
      <c r="H523" s="7"/>
      <c r="I523" s="7">
        <f>G523</f>
        <v>130000</v>
      </c>
      <c r="J523" s="7"/>
      <c r="K523" s="7"/>
      <c r="L523" s="7"/>
      <c r="M523" s="7"/>
      <c r="N523" s="7"/>
      <c r="O523" s="7"/>
    </row>
    <row r="524" spans="1:15" ht="10.5" customHeight="1">
      <c r="A524" s="31" t="s">
        <v>6</v>
      </c>
      <c r="B524" s="8"/>
      <c r="C524" s="8"/>
      <c r="D524" s="115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1:15" ht="24.75" customHeight="1">
      <c r="A525" s="32" t="s">
        <v>281</v>
      </c>
      <c r="B525" s="8"/>
      <c r="C525" s="8"/>
      <c r="D525" s="122">
        <v>4</v>
      </c>
      <c r="E525" s="144"/>
      <c r="F525" s="144">
        <f>D525</f>
        <v>4</v>
      </c>
      <c r="G525" s="7">
        <v>4</v>
      </c>
      <c r="H525" s="7"/>
      <c r="I525" s="7">
        <v>4</v>
      </c>
      <c r="J525" s="7"/>
      <c r="K525" s="7"/>
      <c r="L525" s="7"/>
      <c r="M525" s="7"/>
      <c r="N525" s="7"/>
      <c r="O525" s="7"/>
    </row>
    <row r="526" spans="1:15" ht="11.25">
      <c r="A526" s="31" t="s">
        <v>8</v>
      </c>
      <c r="B526" s="8"/>
      <c r="C526" s="8"/>
      <c r="D526" s="115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1:15" ht="24.75" customHeight="1">
      <c r="A527" s="32" t="s">
        <v>280</v>
      </c>
      <c r="B527" s="8"/>
      <c r="C527" s="8"/>
      <c r="D527" s="115">
        <f>D521/D525</f>
        <v>31975</v>
      </c>
      <c r="E527" s="7"/>
      <c r="F527" s="7">
        <f>D527</f>
        <v>31975</v>
      </c>
      <c r="G527" s="7">
        <f>G523/G525</f>
        <v>32500</v>
      </c>
      <c r="H527" s="7"/>
      <c r="I527" s="7">
        <f>G527</f>
        <v>32500</v>
      </c>
      <c r="J527" s="7"/>
      <c r="K527" s="7"/>
      <c r="L527" s="7"/>
      <c r="M527" s="7"/>
      <c r="N527" s="7"/>
      <c r="O527" s="7"/>
    </row>
    <row r="528" spans="1:234" s="195" customFormat="1" ht="25.5" customHeight="1">
      <c r="A528" s="182" t="s">
        <v>397</v>
      </c>
      <c r="B528" s="191"/>
      <c r="C528" s="191"/>
      <c r="D528" s="192">
        <v>224200</v>
      </c>
      <c r="E528" s="193"/>
      <c r="F528" s="193">
        <f>D528</f>
        <v>224200</v>
      </c>
      <c r="G528" s="193"/>
      <c r="H528" s="193"/>
      <c r="I528" s="193"/>
      <c r="J528" s="193"/>
      <c r="K528" s="193"/>
      <c r="L528" s="193"/>
      <c r="M528" s="193"/>
      <c r="N528" s="193"/>
      <c r="O528" s="193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D528" s="194"/>
      <c r="AE528" s="194"/>
      <c r="AF528" s="194"/>
      <c r="AG528" s="194"/>
      <c r="AH528" s="194"/>
      <c r="AI528" s="194"/>
      <c r="AJ528" s="194"/>
      <c r="AK528" s="194"/>
      <c r="AL528" s="194"/>
      <c r="AM528" s="194"/>
      <c r="AN528" s="194"/>
      <c r="AO528" s="194"/>
      <c r="AP528" s="194"/>
      <c r="AQ528" s="194"/>
      <c r="AR528" s="194"/>
      <c r="AS528" s="194"/>
      <c r="AT528" s="194"/>
      <c r="AU528" s="194"/>
      <c r="AV528" s="194"/>
      <c r="AW528" s="194"/>
      <c r="AX528" s="194"/>
      <c r="AY528" s="194"/>
      <c r="AZ528" s="194"/>
      <c r="BA528" s="194"/>
      <c r="BB528" s="194"/>
      <c r="BC528" s="194"/>
      <c r="BD528" s="194"/>
      <c r="BE528" s="194"/>
      <c r="BF528" s="194"/>
      <c r="BG528" s="194"/>
      <c r="BH528" s="194"/>
      <c r="BI528" s="194"/>
      <c r="BJ528" s="194"/>
      <c r="BK528" s="194"/>
      <c r="BL528" s="194"/>
      <c r="BM528" s="194"/>
      <c r="BN528" s="194"/>
      <c r="BO528" s="194"/>
      <c r="BP528" s="194"/>
      <c r="BQ528" s="194"/>
      <c r="BR528" s="194"/>
      <c r="BS528" s="194"/>
      <c r="BT528" s="194"/>
      <c r="BU528" s="194"/>
      <c r="BV528" s="194"/>
      <c r="BW528" s="194"/>
      <c r="BX528" s="194"/>
      <c r="BY528" s="194"/>
      <c r="BZ528" s="194"/>
      <c r="CA528" s="194"/>
      <c r="CB528" s="194"/>
      <c r="CC528" s="194"/>
      <c r="CD528" s="194"/>
      <c r="CE528" s="194"/>
      <c r="CF528" s="194"/>
      <c r="CG528" s="194"/>
      <c r="CH528" s="194"/>
      <c r="CI528" s="194"/>
      <c r="CJ528" s="194"/>
      <c r="CK528" s="194"/>
      <c r="CL528" s="194"/>
      <c r="CM528" s="194"/>
      <c r="CN528" s="194"/>
      <c r="CO528" s="194"/>
      <c r="CP528" s="194"/>
      <c r="CQ528" s="194"/>
      <c r="CR528" s="194"/>
      <c r="CS528" s="194"/>
      <c r="CT528" s="194"/>
      <c r="CU528" s="194"/>
      <c r="CV528" s="194"/>
      <c r="CW528" s="194"/>
      <c r="CX528" s="194"/>
      <c r="CY528" s="194"/>
      <c r="CZ528" s="194"/>
      <c r="DA528" s="194"/>
      <c r="DB528" s="194"/>
      <c r="DC528" s="194"/>
      <c r="DD528" s="194"/>
      <c r="DE528" s="194"/>
      <c r="DF528" s="194"/>
      <c r="DG528" s="194"/>
      <c r="DH528" s="194"/>
      <c r="DI528" s="194"/>
      <c r="DJ528" s="194"/>
      <c r="DK528" s="194"/>
      <c r="DL528" s="194"/>
      <c r="DM528" s="194"/>
      <c r="DN528" s="194"/>
      <c r="DO528" s="194"/>
      <c r="DP528" s="194"/>
      <c r="DQ528" s="194"/>
      <c r="DR528" s="194"/>
      <c r="DS528" s="194"/>
      <c r="DT528" s="194"/>
      <c r="DU528" s="194"/>
      <c r="DV528" s="194"/>
      <c r="DW528" s="194"/>
      <c r="DX528" s="194"/>
      <c r="DY528" s="194"/>
      <c r="DZ528" s="194"/>
      <c r="EA528" s="194"/>
      <c r="EB528" s="194"/>
      <c r="EC528" s="194"/>
      <c r="ED528" s="194"/>
      <c r="EE528" s="194"/>
      <c r="EF528" s="194"/>
      <c r="EG528" s="194"/>
      <c r="EH528" s="194"/>
      <c r="EI528" s="194"/>
      <c r="EJ528" s="194"/>
      <c r="EK528" s="194"/>
      <c r="EL528" s="194"/>
      <c r="EM528" s="194"/>
      <c r="EN528" s="194"/>
      <c r="EO528" s="194"/>
      <c r="EP528" s="194"/>
      <c r="EQ528" s="194"/>
      <c r="ER528" s="194"/>
      <c r="ES528" s="194"/>
      <c r="ET528" s="194"/>
      <c r="EU528" s="194"/>
      <c r="EV528" s="194"/>
      <c r="EW528" s="194"/>
      <c r="EX528" s="194"/>
      <c r="EY528" s="194"/>
      <c r="EZ528" s="194"/>
      <c r="FA528" s="194"/>
      <c r="FB528" s="194"/>
      <c r="FC528" s="194"/>
      <c r="FD528" s="194"/>
      <c r="FE528" s="194"/>
      <c r="FF528" s="194"/>
      <c r="FG528" s="194"/>
      <c r="FH528" s="194"/>
      <c r="FI528" s="194"/>
      <c r="FJ528" s="194"/>
      <c r="FK528" s="194"/>
      <c r="FL528" s="194"/>
      <c r="FM528" s="194"/>
      <c r="FN528" s="194"/>
      <c r="FO528" s="194"/>
      <c r="FP528" s="194"/>
      <c r="FQ528" s="194"/>
      <c r="FR528" s="194"/>
      <c r="FS528" s="194"/>
      <c r="FT528" s="194"/>
      <c r="FU528" s="194"/>
      <c r="FV528" s="194"/>
      <c r="FW528" s="194"/>
      <c r="FX528" s="194"/>
      <c r="FY528" s="194"/>
      <c r="FZ528" s="194"/>
      <c r="GA528" s="194"/>
      <c r="GB528" s="194"/>
      <c r="GC528" s="194"/>
      <c r="GD528" s="194"/>
      <c r="GE528" s="194"/>
      <c r="GF528" s="194"/>
      <c r="GG528" s="194"/>
      <c r="GH528" s="194"/>
      <c r="GI528" s="194"/>
      <c r="GJ528" s="194"/>
      <c r="GK528" s="194"/>
      <c r="GL528" s="194"/>
      <c r="GM528" s="194"/>
      <c r="GN528" s="194"/>
      <c r="GO528" s="194"/>
      <c r="GP528" s="194"/>
      <c r="GQ528" s="194"/>
      <c r="GR528" s="194"/>
      <c r="GS528" s="194"/>
      <c r="GT528" s="194"/>
      <c r="GU528" s="194"/>
      <c r="GV528" s="194"/>
      <c r="GW528" s="194"/>
      <c r="GX528" s="194"/>
      <c r="GY528" s="194"/>
      <c r="GZ528" s="194"/>
      <c r="HA528" s="194"/>
      <c r="HB528" s="194"/>
      <c r="HC528" s="194"/>
      <c r="HD528" s="194"/>
      <c r="HE528" s="194"/>
      <c r="HF528" s="194"/>
      <c r="HG528" s="194"/>
      <c r="HH528" s="194"/>
      <c r="HI528" s="194"/>
      <c r="HJ528" s="194"/>
      <c r="HK528" s="194"/>
      <c r="HL528" s="194"/>
      <c r="HM528" s="194"/>
      <c r="HN528" s="194"/>
      <c r="HO528" s="194"/>
      <c r="HP528" s="194"/>
      <c r="HQ528" s="194"/>
      <c r="HR528" s="194"/>
      <c r="HS528" s="194"/>
      <c r="HT528" s="194"/>
      <c r="HU528" s="194"/>
      <c r="HV528" s="194"/>
      <c r="HW528" s="194"/>
      <c r="HX528" s="194"/>
      <c r="HY528" s="194"/>
      <c r="HZ528" s="194"/>
    </row>
    <row r="529" spans="1:15" ht="11.25" customHeight="1">
      <c r="A529" s="31" t="s">
        <v>5</v>
      </c>
      <c r="B529" s="8"/>
      <c r="C529" s="8"/>
      <c r="D529" s="19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1:15" ht="14.25" customHeight="1">
      <c r="A530" s="32" t="s">
        <v>82</v>
      </c>
      <c r="B530" s="8"/>
      <c r="C530" s="8"/>
      <c r="D530" s="115">
        <f>D528</f>
        <v>224200</v>
      </c>
      <c r="E530" s="7"/>
      <c r="F530" s="7">
        <v>224200</v>
      </c>
      <c r="G530" s="7"/>
      <c r="H530" s="7"/>
      <c r="I530" s="7"/>
      <c r="J530" s="7"/>
      <c r="K530" s="7"/>
      <c r="L530" s="7"/>
      <c r="M530" s="7"/>
      <c r="N530" s="7"/>
      <c r="O530" s="7"/>
    </row>
    <row r="531" spans="1:15" ht="10.5" customHeight="1">
      <c r="A531" s="31" t="s">
        <v>6</v>
      </c>
      <c r="B531" s="8"/>
      <c r="C531" s="8"/>
      <c r="D531" s="115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1:15" ht="24.75" customHeight="1">
      <c r="A532" s="32" t="s">
        <v>300</v>
      </c>
      <c r="B532" s="8"/>
      <c r="C532" s="8"/>
      <c r="D532" s="122">
        <v>398</v>
      </c>
      <c r="E532" s="144"/>
      <c r="F532" s="144">
        <f>D532</f>
        <v>398</v>
      </c>
      <c r="G532" s="7"/>
      <c r="H532" s="7"/>
      <c r="I532" s="7"/>
      <c r="J532" s="7"/>
      <c r="K532" s="7"/>
      <c r="L532" s="7"/>
      <c r="M532" s="7"/>
      <c r="N532" s="7"/>
      <c r="O532" s="7"/>
    </row>
    <row r="533" spans="1:15" ht="11.25">
      <c r="A533" s="31" t="s">
        <v>8</v>
      </c>
      <c r="B533" s="8"/>
      <c r="C533" s="8"/>
      <c r="D533" s="115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1:15" ht="24.75" customHeight="1">
      <c r="A534" s="32" t="s">
        <v>301</v>
      </c>
      <c r="B534" s="8"/>
      <c r="C534" s="8"/>
      <c r="D534" s="115">
        <f>D528/D532</f>
        <v>563.3165829145729</v>
      </c>
      <c r="E534" s="7"/>
      <c r="F534" s="7">
        <f>D534</f>
        <v>563.3165829145729</v>
      </c>
      <c r="G534" s="7"/>
      <c r="H534" s="7"/>
      <c r="I534" s="7"/>
      <c r="J534" s="7"/>
      <c r="K534" s="7"/>
      <c r="L534" s="7"/>
      <c r="M534" s="7"/>
      <c r="N534" s="7"/>
      <c r="O534" s="7"/>
    </row>
    <row r="535" spans="1:234" s="195" customFormat="1" ht="37.5" customHeight="1">
      <c r="A535" s="182" t="s">
        <v>398</v>
      </c>
      <c r="B535" s="191"/>
      <c r="C535" s="191"/>
      <c r="D535" s="192"/>
      <c r="E535" s="193"/>
      <c r="F535" s="193"/>
      <c r="G535" s="193">
        <v>70100</v>
      </c>
      <c r="H535" s="193"/>
      <c r="I535" s="193">
        <f>G535</f>
        <v>70100</v>
      </c>
      <c r="J535" s="193"/>
      <c r="K535" s="193"/>
      <c r="L535" s="193"/>
      <c r="M535" s="193"/>
      <c r="N535" s="193"/>
      <c r="O535" s="193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4"/>
      <c r="AT535" s="194"/>
      <c r="AU535" s="194"/>
      <c r="AV535" s="194"/>
      <c r="AW535" s="194"/>
      <c r="AX535" s="194"/>
      <c r="AY535" s="194"/>
      <c r="AZ535" s="194"/>
      <c r="BA535" s="194"/>
      <c r="BB535" s="194"/>
      <c r="BC535" s="194"/>
      <c r="BD535" s="194"/>
      <c r="BE535" s="194"/>
      <c r="BF535" s="194"/>
      <c r="BG535" s="194"/>
      <c r="BH535" s="194"/>
      <c r="BI535" s="194"/>
      <c r="BJ535" s="194"/>
      <c r="BK535" s="194"/>
      <c r="BL535" s="194"/>
      <c r="BM535" s="194"/>
      <c r="BN535" s="194"/>
      <c r="BO535" s="194"/>
      <c r="BP535" s="194"/>
      <c r="BQ535" s="194"/>
      <c r="BR535" s="194"/>
      <c r="BS535" s="194"/>
      <c r="BT535" s="194"/>
      <c r="BU535" s="194"/>
      <c r="BV535" s="194"/>
      <c r="BW535" s="194"/>
      <c r="BX535" s="194"/>
      <c r="BY535" s="194"/>
      <c r="BZ535" s="194"/>
      <c r="CA535" s="194"/>
      <c r="CB535" s="194"/>
      <c r="CC535" s="194"/>
      <c r="CD535" s="194"/>
      <c r="CE535" s="194"/>
      <c r="CF535" s="194"/>
      <c r="CG535" s="194"/>
      <c r="CH535" s="194"/>
      <c r="CI535" s="194"/>
      <c r="CJ535" s="194"/>
      <c r="CK535" s="194"/>
      <c r="CL535" s="194"/>
      <c r="CM535" s="194"/>
      <c r="CN535" s="194"/>
      <c r="CO535" s="194"/>
      <c r="CP535" s="194"/>
      <c r="CQ535" s="194"/>
      <c r="CR535" s="194"/>
      <c r="CS535" s="194"/>
      <c r="CT535" s="194"/>
      <c r="CU535" s="194"/>
      <c r="CV535" s="194"/>
      <c r="CW535" s="194"/>
      <c r="CX535" s="194"/>
      <c r="CY535" s="194"/>
      <c r="CZ535" s="194"/>
      <c r="DA535" s="194"/>
      <c r="DB535" s="194"/>
      <c r="DC535" s="194"/>
      <c r="DD535" s="194"/>
      <c r="DE535" s="194"/>
      <c r="DF535" s="194"/>
      <c r="DG535" s="194"/>
      <c r="DH535" s="194"/>
      <c r="DI535" s="194"/>
      <c r="DJ535" s="194"/>
      <c r="DK535" s="194"/>
      <c r="DL535" s="194"/>
      <c r="DM535" s="194"/>
      <c r="DN535" s="194"/>
      <c r="DO535" s="194"/>
      <c r="DP535" s="194"/>
      <c r="DQ535" s="194"/>
      <c r="DR535" s="194"/>
      <c r="DS535" s="194"/>
      <c r="DT535" s="194"/>
      <c r="DU535" s="194"/>
      <c r="DV535" s="194"/>
      <c r="DW535" s="194"/>
      <c r="DX535" s="194"/>
      <c r="DY535" s="194"/>
      <c r="DZ535" s="194"/>
      <c r="EA535" s="194"/>
      <c r="EB535" s="194"/>
      <c r="EC535" s="194"/>
      <c r="ED535" s="194"/>
      <c r="EE535" s="194"/>
      <c r="EF535" s="194"/>
      <c r="EG535" s="194"/>
      <c r="EH535" s="194"/>
      <c r="EI535" s="194"/>
      <c r="EJ535" s="194"/>
      <c r="EK535" s="194"/>
      <c r="EL535" s="194"/>
      <c r="EM535" s="194"/>
      <c r="EN535" s="194"/>
      <c r="EO535" s="194"/>
      <c r="EP535" s="194"/>
      <c r="EQ535" s="194"/>
      <c r="ER535" s="194"/>
      <c r="ES535" s="194"/>
      <c r="ET535" s="194"/>
      <c r="EU535" s="194"/>
      <c r="EV535" s="194"/>
      <c r="EW535" s="194"/>
      <c r="EX535" s="194"/>
      <c r="EY535" s="194"/>
      <c r="EZ535" s="194"/>
      <c r="FA535" s="194"/>
      <c r="FB535" s="194"/>
      <c r="FC535" s="194"/>
      <c r="FD535" s="194"/>
      <c r="FE535" s="194"/>
      <c r="FF535" s="194"/>
      <c r="FG535" s="194"/>
      <c r="FH535" s="194"/>
      <c r="FI535" s="194"/>
      <c r="FJ535" s="194"/>
      <c r="FK535" s="194"/>
      <c r="FL535" s="194"/>
      <c r="FM535" s="194"/>
      <c r="FN535" s="194"/>
      <c r="FO535" s="194"/>
      <c r="FP535" s="194"/>
      <c r="FQ535" s="194"/>
      <c r="FR535" s="194"/>
      <c r="FS535" s="194"/>
      <c r="FT535" s="194"/>
      <c r="FU535" s="194"/>
      <c r="FV535" s="194"/>
      <c r="FW535" s="194"/>
      <c r="FX535" s="194"/>
      <c r="FY535" s="194"/>
      <c r="FZ535" s="194"/>
      <c r="GA535" s="194"/>
      <c r="GB535" s="194"/>
      <c r="GC535" s="194"/>
      <c r="GD535" s="194"/>
      <c r="GE535" s="194"/>
      <c r="GF535" s="194"/>
      <c r="GG535" s="194"/>
      <c r="GH535" s="194"/>
      <c r="GI535" s="194"/>
      <c r="GJ535" s="194"/>
      <c r="GK535" s="194"/>
      <c r="GL535" s="194"/>
      <c r="GM535" s="194"/>
      <c r="GN535" s="194"/>
      <c r="GO535" s="194"/>
      <c r="GP535" s="194"/>
      <c r="GQ535" s="194"/>
      <c r="GR535" s="194"/>
      <c r="GS535" s="194"/>
      <c r="GT535" s="194"/>
      <c r="GU535" s="194"/>
      <c r="GV535" s="194"/>
      <c r="GW535" s="194"/>
      <c r="GX535" s="194"/>
      <c r="GY535" s="194"/>
      <c r="GZ535" s="194"/>
      <c r="HA535" s="194"/>
      <c r="HB535" s="194"/>
      <c r="HC535" s="194"/>
      <c r="HD535" s="194"/>
      <c r="HE535" s="194"/>
      <c r="HF535" s="194"/>
      <c r="HG535" s="194"/>
      <c r="HH535" s="194"/>
      <c r="HI535" s="194"/>
      <c r="HJ535" s="194"/>
      <c r="HK535" s="194"/>
      <c r="HL535" s="194"/>
      <c r="HM535" s="194"/>
      <c r="HN535" s="194"/>
      <c r="HO535" s="194"/>
      <c r="HP535" s="194"/>
      <c r="HQ535" s="194"/>
      <c r="HR535" s="194"/>
      <c r="HS535" s="194"/>
      <c r="HT535" s="194"/>
      <c r="HU535" s="194"/>
      <c r="HV535" s="194"/>
      <c r="HW535" s="194"/>
      <c r="HX535" s="194"/>
      <c r="HY535" s="194"/>
      <c r="HZ535" s="194"/>
    </row>
    <row r="536" spans="1:15" ht="12.75" customHeight="1">
      <c r="A536" s="31" t="s">
        <v>5</v>
      </c>
      <c r="B536" s="8"/>
      <c r="C536" s="8"/>
      <c r="D536" s="115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1:15" ht="11.25">
      <c r="A537" s="32" t="s">
        <v>82</v>
      </c>
      <c r="B537" s="8"/>
      <c r="C537" s="8"/>
      <c r="D537" s="115"/>
      <c r="E537" s="7"/>
      <c r="F537" s="7"/>
      <c r="G537" s="7">
        <v>70100</v>
      </c>
      <c r="H537" s="7"/>
      <c r="I537" s="7">
        <f>G537</f>
        <v>70100</v>
      </c>
      <c r="J537" s="7"/>
      <c r="K537" s="7"/>
      <c r="L537" s="7"/>
      <c r="M537" s="7"/>
      <c r="N537" s="7"/>
      <c r="O537" s="7"/>
    </row>
    <row r="538" spans="1:15" ht="11.25">
      <c r="A538" s="31" t="s">
        <v>6</v>
      </c>
      <c r="B538" s="8"/>
      <c r="C538" s="8"/>
      <c r="D538" s="115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1:15" ht="15" customHeight="1">
      <c r="A539" s="32" t="s">
        <v>339</v>
      </c>
      <c r="B539" s="8"/>
      <c r="C539" s="8"/>
      <c r="D539" s="115"/>
      <c r="E539" s="7"/>
      <c r="F539" s="7"/>
      <c r="G539" s="7">
        <v>1</v>
      </c>
      <c r="H539" s="7"/>
      <c r="I539" s="7">
        <v>1</v>
      </c>
      <c r="J539" s="7"/>
      <c r="K539" s="7"/>
      <c r="L539" s="7"/>
      <c r="M539" s="7"/>
      <c r="N539" s="7"/>
      <c r="O539" s="7"/>
    </row>
    <row r="540" spans="1:15" ht="11.25">
      <c r="A540" s="31" t="s">
        <v>8</v>
      </c>
      <c r="B540" s="8"/>
      <c r="C540" s="8"/>
      <c r="D540" s="115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1:15" ht="22.5">
      <c r="A541" s="32" t="s">
        <v>340</v>
      </c>
      <c r="B541" s="8"/>
      <c r="C541" s="8"/>
      <c r="D541" s="115"/>
      <c r="E541" s="7"/>
      <c r="F541" s="7"/>
      <c r="G541" s="7">
        <f>G537/G539</f>
        <v>70100</v>
      </c>
      <c r="H541" s="7"/>
      <c r="I541" s="7">
        <f>G541</f>
        <v>70100</v>
      </c>
      <c r="J541" s="7"/>
      <c r="K541" s="7"/>
      <c r="L541" s="7"/>
      <c r="M541" s="7"/>
      <c r="N541" s="7"/>
      <c r="O541" s="7"/>
    </row>
    <row r="542" spans="1:234" s="195" customFormat="1" ht="24.75" customHeight="1">
      <c r="A542" s="182" t="s">
        <v>399</v>
      </c>
      <c r="B542" s="191"/>
      <c r="C542" s="191"/>
      <c r="D542" s="192"/>
      <c r="E542" s="193"/>
      <c r="F542" s="193"/>
      <c r="G542" s="193">
        <v>50100</v>
      </c>
      <c r="H542" s="193"/>
      <c r="I542" s="193">
        <f>G542</f>
        <v>50100</v>
      </c>
      <c r="J542" s="193"/>
      <c r="K542" s="193"/>
      <c r="L542" s="193"/>
      <c r="M542" s="193"/>
      <c r="N542" s="193"/>
      <c r="O542" s="193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194"/>
      <c r="AT542" s="194"/>
      <c r="AU542" s="194"/>
      <c r="AV542" s="194"/>
      <c r="AW542" s="194"/>
      <c r="AX542" s="194"/>
      <c r="AY542" s="194"/>
      <c r="AZ542" s="194"/>
      <c r="BA542" s="194"/>
      <c r="BB542" s="194"/>
      <c r="BC542" s="194"/>
      <c r="BD542" s="194"/>
      <c r="BE542" s="194"/>
      <c r="BF542" s="194"/>
      <c r="BG542" s="194"/>
      <c r="BH542" s="194"/>
      <c r="BI542" s="194"/>
      <c r="BJ542" s="194"/>
      <c r="BK542" s="194"/>
      <c r="BL542" s="194"/>
      <c r="BM542" s="194"/>
      <c r="BN542" s="194"/>
      <c r="BO542" s="194"/>
      <c r="BP542" s="194"/>
      <c r="BQ542" s="194"/>
      <c r="BR542" s="194"/>
      <c r="BS542" s="194"/>
      <c r="BT542" s="194"/>
      <c r="BU542" s="194"/>
      <c r="BV542" s="194"/>
      <c r="BW542" s="194"/>
      <c r="BX542" s="194"/>
      <c r="BY542" s="194"/>
      <c r="BZ542" s="194"/>
      <c r="CA542" s="194"/>
      <c r="CB542" s="194"/>
      <c r="CC542" s="194"/>
      <c r="CD542" s="194"/>
      <c r="CE542" s="194"/>
      <c r="CF542" s="194"/>
      <c r="CG542" s="194"/>
      <c r="CH542" s="194"/>
      <c r="CI542" s="194"/>
      <c r="CJ542" s="194"/>
      <c r="CK542" s="194"/>
      <c r="CL542" s="194"/>
      <c r="CM542" s="194"/>
      <c r="CN542" s="194"/>
      <c r="CO542" s="194"/>
      <c r="CP542" s="194"/>
      <c r="CQ542" s="194"/>
      <c r="CR542" s="194"/>
      <c r="CS542" s="194"/>
      <c r="CT542" s="194"/>
      <c r="CU542" s="194"/>
      <c r="CV542" s="194"/>
      <c r="CW542" s="194"/>
      <c r="CX542" s="194"/>
      <c r="CY542" s="194"/>
      <c r="CZ542" s="194"/>
      <c r="DA542" s="194"/>
      <c r="DB542" s="194"/>
      <c r="DC542" s="194"/>
      <c r="DD542" s="194"/>
      <c r="DE542" s="194"/>
      <c r="DF542" s="194"/>
      <c r="DG542" s="194"/>
      <c r="DH542" s="194"/>
      <c r="DI542" s="194"/>
      <c r="DJ542" s="194"/>
      <c r="DK542" s="194"/>
      <c r="DL542" s="194"/>
      <c r="DM542" s="194"/>
      <c r="DN542" s="194"/>
      <c r="DO542" s="194"/>
      <c r="DP542" s="194"/>
      <c r="DQ542" s="194"/>
      <c r="DR542" s="194"/>
      <c r="DS542" s="194"/>
      <c r="DT542" s="194"/>
      <c r="DU542" s="194"/>
      <c r="DV542" s="194"/>
      <c r="DW542" s="194"/>
      <c r="DX542" s="194"/>
      <c r="DY542" s="194"/>
      <c r="DZ542" s="194"/>
      <c r="EA542" s="194"/>
      <c r="EB542" s="194"/>
      <c r="EC542" s="194"/>
      <c r="ED542" s="194"/>
      <c r="EE542" s="194"/>
      <c r="EF542" s="194"/>
      <c r="EG542" s="194"/>
      <c r="EH542" s="194"/>
      <c r="EI542" s="194"/>
      <c r="EJ542" s="194"/>
      <c r="EK542" s="194"/>
      <c r="EL542" s="194"/>
      <c r="EM542" s="194"/>
      <c r="EN542" s="194"/>
      <c r="EO542" s="194"/>
      <c r="EP542" s="194"/>
      <c r="EQ542" s="194"/>
      <c r="ER542" s="194"/>
      <c r="ES542" s="194"/>
      <c r="ET542" s="194"/>
      <c r="EU542" s="194"/>
      <c r="EV542" s="194"/>
      <c r="EW542" s="194"/>
      <c r="EX542" s="194"/>
      <c r="EY542" s="194"/>
      <c r="EZ542" s="194"/>
      <c r="FA542" s="194"/>
      <c r="FB542" s="194"/>
      <c r="FC542" s="194"/>
      <c r="FD542" s="194"/>
      <c r="FE542" s="194"/>
      <c r="FF542" s="194"/>
      <c r="FG542" s="194"/>
      <c r="FH542" s="194"/>
      <c r="FI542" s="194"/>
      <c r="FJ542" s="194"/>
      <c r="FK542" s="194"/>
      <c r="FL542" s="194"/>
      <c r="FM542" s="194"/>
      <c r="FN542" s="194"/>
      <c r="FO542" s="194"/>
      <c r="FP542" s="194"/>
      <c r="FQ542" s="194"/>
      <c r="FR542" s="194"/>
      <c r="FS542" s="194"/>
      <c r="FT542" s="194"/>
      <c r="FU542" s="194"/>
      <c r="FV542" s="194"/>
      <c r="FW542" s="194"/>
      <c r="FX542" s="194"/>
      <c r="FY542" s="194"/>
      <c r="FZ542" s="194"/>
      <c r="GA542" s="194"/>
      <c r="GB542" s="194"/>
      <c r="GC542" s="194"/>
      <c r="GD542" s="194"/>
      <c r="GE542" s="194"/>
      <c r="GF542" s="194"/>
      <c r="GG542" s="194"/>
      <c r="GH542" s="194"/>
      <c r="GI542" s="194"/>
      <c r="GJ542" s="194"/>
      <c r="GK542" s="194"/>
      <c r="GL542" s="194"/>
      <c r="GM542" s="194"/>
      <c r="GN542" s="194"/>
      <c r="GO542" s="194"/>
      <c r="GP542" s="194"/>
      <c r="GQ542" s="194"/>
      <c r="GR542" s="194"/>
      <c r="GS542" s="194"/>
      <c r="GT542" s="194"/>
      <c r="GU542" s="194"/>
      <c r="GV542" s="194"/>
      <c r="GW542" s="194"/>
      <c r="GX542" s="194"/>
      <c r="GY542" s="194"/>
      <c r="GZ542" s="194"/>
      <c r="HA542" s="194"/>
      <c r="HB542" s="194"/>
      <c r="HC542" s="194"/>
      <c r="HD542" s="194"/>
      <c r="HE542" s="194"/>
      <c r="HF542" s="194"/>
      <c r="HG542" s="194"/>
      <c r="HH542" s="194"/>
      <c r="HI542" s="194"/>
      <c r="HJ542" s="194"/>
      <c r="HK542" s="194"/>
      <c r="HL542" s="194"/>
      <c r="HM542" s="194"/>
      <c r="HN542" s="194"/>
      <c r="HO542" s="194"/>
      <c r="HP542" s="194"/>
      <c r="HQ542" s="194"/>
      <c r="HR542" s="194"/>
      <c r="HS542" s="194"/>
      <c r="HT542" s="194"/>
      <c r="HU542" s="194"/>
      <c r="HV542" s="194"/>
      <c r="HW542" s="194"/>
      <c r="HX542" s="194"/>
      <c r="HY542" s="194"/>
      <c r="HZ542" s="194"/>
    </row>
    <row r="543" spans="1:15" ht="11.25">
      <c r="A543" s="31" t="s">
        <v>5</v>
      </c>
      <c r="B543" s="8"/>
      <c r="C543" s="8"/>
      <c r="D543" s="115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1:15" ht="11.25">
      <c r="A544" s="32" t="s">
        <v>82</v>
      </c>
      <c r="B544" s="8"/>
      <c r="C544" s="8"/>
      <c r="D544" s="115"/>
      <c r="E544" s="7"/>
      <c r="F544" s="7"/>
      <c r="G544" s="7">
        <v>50100</v>
      </c>
      <c r="H544" s="7"/>
      <c r="I544" s="7">
        <f>G544</f>
        <v>50100</v>
      </c>
      <c r="J544" s="7"/>
      <c r="K544" s="7"/>
      <c r="L544" s="7"/>
      <c r="M544" s="7"/>
      <c r="N544" s="7"/>
      <c r="O544" s="7"/>
    </row>
    <row r="545" spans="1:15" ht="11.25">
      <c r="A545" s="31" t="s">
        <v>6</v>
      </c>
      <c r="B545" s="8"/>
      <c r="C545" s="8"/>
      <c r="D545" s="115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1:15" ht="14.25" customHeight="1">
      <c r="A546" s="32" t="s">
        <v>339</v>
      </c>
      <c r="B546" s="8"/>
      <c r="C546" s="8"/>
      <c r="D546" s="115"/>
      <c r="E546" s="7"/>
      <c r="F546" s="7"/>
      <c r="G546" s="7">
        <v>1</v>
      </c>
      <c r="H546" s="7"/>
      <c r="I546" s="7">
        <v>1</v>
      </c>
      <c r="J546" s="7"/>
      <c r="K546" s="7"/>
      <c r="L546" s="7"/>
      <c r="M546" s="7"/>
      <c r="N546" s="7"/>
      <c r="O546" s="7"/>
    </row>
    <row r="547" spans="1:15" ht="12" customHeight="1">
      <c r="A547" s="31" t="s">
        <v>8</v>
      </c>
      <c r="B547" s="8"/>
      <c r="C547" s="8"/>
      <c r="D547" s="115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1:15" ht="24.75" customHeight="1">
      <c r="A548" s="32" t="s">
        <v>340</v>
      </c>
      <c r="B548" s="8"/>
      <c r="C548" s="8"/>
      <c r="D548" s="115"/>
      <c r="E548" s="7"/>
      <c r="F548" s="7"/>
      <c r="G548" s="7">
        <f>G544/G546</f>
        <v>50100</v>
      </c>
      <c r="H548" s="7"/>
      <c r="I548" s="7">
        <f>G548</f>
        <v>50100</v>
      </c>
      <c r="J548" s="7"/>
      <c r="K548" s="7"/>
      <c r="L548" s="7"/>
      <c r="M548" s="7"/>
      <c r="N548" s="7"/>
      <c r="O548" s="7"/>
    </row>
    <row r="549" spans="1:234" s="195" customFormat="1" ht="24.75" customHeight="1">
      <c r="A549" s="182" t="s">
        <v>400</v>
      </c>
      <c r="B549" s="191"/>
      <c r="C549" s="191"/>
      <c r="D549" s="192"/>
      <c r="E549" s="193"/>
      <c r="F549" s="193"/>
      <c r="G549" s="193"/>
      <c r="H549" s="193">
        <f>H551</f>
        <v>3430202</v>
      </c>
      <c r="I549" s="193">
        <f>G549+H549</f>
        <v>3430202</v>
      </c>
      <c r="J549" s="193"/>
      <c r="K549" s="193"/>
      <c r="L549" s="193"/>
      <c r="M549" s="193"/>
      <c r="N549" s="193"/>
      <c r="O549" s="193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194"/>
      <c r="AT549" s="194"/>
      <c r="AU549" s="194"/>
      <c r="AV549" s="194"/>
      <c r="AW549" s="194"/>
      <c r="AX549" s="194"/>
      <c r="AY549" s="194"/>
      <c r="AZ549" s="194"/>
      <c r="BA549" s="194"/>
      <c r="BB549" s="194"/>
      <c r="BC549" s="194"/>
      <c r="BD549" s="194"/>
      <c r="BE549" s="194"/>
      <c r="BF549" s="194"/>
      <c r="BG549" s="194"/>
      <c r="BH549" s="194"/>
      <c r="BI549" s="194"/>
      <c r="BJ549" s="194"/>
      <c r="BK549" s="194"/>
      <c r="BL549" s="194"/>
      <c r="BM549" s="194"/>
      <c r="BN549" s="194"/>
      <c r="BO549" s="194"/>
      <c r="BP549" s="194"/>
      <c r="BQ549" s="194"/>
      <c r="BR549" s="194"/>
      <c r="BS549" s="194"/>
      <c r="BT549" s="194"/>
      <c r="BU549" s="194"/>
      <c r="BV549" s="194"/>
      <c r="BW549" s="194"/>
      <c r="BX549" s="194"/>
      <c r="BY549" s="194"/>
      <c r="BZ549" s="194"/>
      <c r="CA549" s="194"/>
      <c r="CB549" s="194"/>
      <c r="CC549" s="194"/>
      <c r="CD549" s="194"/>
      <c r="CE549" s="194"/>
      <c r="CF549" s="194"/>
      <c r="CG549" s="194"/>
      <c r="CH549" s="194"/>
      <c r="CI549" s="194"/>
      <c r="CJ549" s="194"/>
      <c r="CK549" s="194"/>
      <c r="CL549" s="194"/>
      <c r="CM549" s="194"/>
      <c r="CN549" s="194"/>
      <c r="CO549" s="194"/>
      <c r="CP549" s="194"/>
      <c r="CQ549" s="194"/>
      <c r="CR549" s="194"/>
      <c r="CS549" s="194"/>
      <c r="CT549" s="194"/>
      <c r="CU549" s="194"/>
      <c r="CV549" s="194"/>
      <c r="CW549" s="194"/>
      <c r="CX549" s="194"/>
      <c r="CY549" s="194"/>
      <c r="CZ549" s="194"/>
      <c r="DA549" s="194"/>
      <c r="DB549" s="194"/>
      <c r="DC549" s="194"/>
      <c r="DD549" s="194"/>
      <c r="DE549" s="194"/>
      <c r="DF549" s="194"/>
      <c r="DG549" s="194"/>
      <c r="DH549" s="194"/>
      <c r="DI549" s="194"/>
      <c r="DJ549" s="194"/>
      <c r="DK549" s="194"/>
      <c r="DL549" s="194"/>
      <c r="DM549" s="194"/>
      <c r="DN549" s="194"/>
      <c r="DO549" s="194"/>
      <c r="DP549" s="194"/>
      <c r="DQ549" s="194"/>
      <c r="DR549" s="194"/>
      <c r="DS549" s="194"/>
      <c r="DT549" s="194"/>
      <c r="DU549" s="194"/>
      <c r="DV549" s="194"/>
      <c r="DW549" s="194"/>
      <c r="DX549" s="194"/>
      <c r="DY549" s="194"/>
      <c r="DZ549" s="194"/>
      <c r="EA549" s="194"/>
      <c r="EB549" s="194"/>
      <c r="EC549" s="194"/>
      <c r="ED549" s="194"/>
      <c r="EE549" s="194"/>
      <c r="EF549" s="194"/>
      <c r="EG549" s="194"/>
      <c r="EH549" s="194"/>
      <c r="EI549" s="194"/>
      <c r="EJ549" s="194"/>
      <c r="EK549" s="194"/>
      <c r="EL549" s="194"/>
      <c r="EM549" s="194"/>
      <c r="EN549" s="194"/>
      <c r="EO549" s="194"/>
      <c r="EP549" s="194"/>
      <c r="EQ549" s="194"/>
      <c r="ER549" s="194"/>
      <c r="ES549" s="194"/>
      <c r="ET549" s="194"/>
      <c r="EU549" s="194"/>
      <c r="EV549" s="194"/>
      <c r="EW549" s="194"/>
      <c r="EX549" s="194"/>
      <c r="EY549" s="194"/>
      <c r="EZ549" s="194"/>
      <c r="FA549" s="194"/>
      <c r="FB549" s="194"/>
      <c r="FC549" s="194"/>
      <c r="FD549" s="194"/>
      <c r="FE549" s="194"/>
      <c r="FF549" s="194"/>
      <c r="FG549" s="194"/>
      <c r="FH549" s="194"/>
      <c r="FI549" s="194"/>
      <c r="FJ549" s="194"/>
      <c r="FK549" s="194"/>
      <c r="FL549" s="194"/>
      <c r="FM549" s="194"/>
      <c r="FN549" s="194"/>
      <c r="FO549" s="194"/>
      <c r="FP549" s="194"/>
      <c r="FQ549" s="194"/>
      <c r="FR549" s="194"/>
      <c r="FS549" s="194"/>
      <c r="FT549" s="194"/>
      <c r="FU549" s="194"/>
      <c r="FV549" s="194"/>
      <c r="FW549" s="194"/>
      <c r="FX549" s="194"/>
      <c r="FY549" s="194"/>
      <c r="FZ549" s="194"/>
      <c r="GA549" s="194"/>
      <c r="GB549" s="194"/>
      <c r="GC549" s="194"/>
      <c r="GD549" s="194"/>
      <c r="GE549" s="194"/>
      <c r="GF549" s="194"/>
      <c r="GG549" s="194"/>
      <c r="GH549" s="194"/>
      <c r="GI549" s="194"/>
      <c r="GJ549" s="194"/>
      <c r="GK549" s="194"/>
      <c r="GL549" s="194"/>
      <c r="GM549" s="194"/>
      <c r="GN549" s="194"/>
      <c r="GO549" s="194"/>
      <c r="GP549" s="194"/>
      <c r="GQ549" s="194"/>
      <c r="GR549" s="194"/>
      <c r="GS549" s="194"/>
      <c r="GT549" s="194"/>
      <c r="GU549" s="194"/>
      <c r="GV549" s="194"/>
      <c r="GW549" s="194"/>
      <c r="GX549" s="194"/>
      <c r="GY549" s="194"/>
      <c r="GZ549" s="194"/>
      <c r="HA549" s="194"/>
      <c r="HB549" s="194"/>
      <c r="HC549" s="194"/>
      <c r="HD549" s="194"/>
      <c r="HE549" s="194"/>
      <c r="HF549" s="194"/>
      <c r="HG549" s="194"/>
      <c r="HH549" s="194"/>
      <c r="HI549" s="194"/>
      <c r="HJ549" s="194"/>
      <c r="HK549" s="194"/>
      <c r="HL549" s="194"/>
      <c r="HM549" s="194"/>
      <c r="HN549" s="194"/>
      <c r="HO549" s="194"/>
      <c r="HP549" s="194"/>
      <c r="HQ549" s="194"/>
      <c r="HR549" s="194"/>
      <c r="HS549" s="194"/>
      <c r="HT549" s="194"/>
      <c r="HU549" s="194"/>
      <c r="HV549" s="194"/>
      <c r="HW549" s="194"/>
      <c r="HX549" s="194"/>
      <c r="HY549" s="194"/>
      <c r="HZ549" s="194"/>
    </row>
    <row r="550" spans="1:15" ht="11.25">
      <c r="A550" s="31" t="s">
        <v>5</v>
      </c>
      <c r="B550" s="8"/>
      <c r="C550" s="8"/>
      <c r="D550" s="115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1:15" ht="11.25">
      <c r="A551" s="32" t="s">
        <v>82</v>
      </c>
      <c r="B551" s="8"/>
      <c r="C551" s="8"/>
      <c r="D551" s="115"/>
      <c r="E551" s="7"/>
      <c r="F551" s="7"/>
      <c r="G551" s="7"/>
      <c r="H551" s="10">
        <f>3129500+300702</f>
        <v>3430202</v>
      </c>
      <c r="I551" s="10">
        <f>G551+H551</f>
        <v>3430202</v>
      </c>
      <c r="J551" s="7"/>
      <c r="K551" s="7"/>
      <c r="L551" s="7"/>
      <c r="M551" s="7"/>
      <c r="N551" s="7"/>
      <c r="O551" s="7"/>
    </row>
    <row r="552" spans="1:15" ht="11.25">
      <c r="A552" s="31" t="s">
        <v>6</v>
      </c>
      <c r="B552" s="8"/>
      <c r="C552" s="8"/>
      <c r="D552" s="115"/>
      <c r="E552" s="7"/>
      <c r="F552" s="7"/>
      <c r="G552" s="7"/>
      <c r="H552" s="10"/>
      <c r="I552" s="10"/>
      <c r="J552" s="7"/>
      <c r="K552" s="7"/>
      <c r="L552" s="7"/>
      <c r="M552" s="7"/>
      <c r="N552" s="7"/>
      <c r="O552" s="7"/>
    </row>
    <row r="553" spans="1:15" ht="22.5">
      <c r="A553" s="196" t="s">
        <v>364</v>
      </c>
      <c r="B553" s="8"/>
      <c r="C553" s="8"/>
      <c r="D553" s="115"/>
      <c r="E553" s="7"/>
      <c r="F553" s="7"/>
      <c r="G553" s="7"/>
      <c r="H553" s="10">
        <v>3</v>
      </c>
      <c r="I553" s="10">
        <f>G553+H553</f>
        <v>3</v>
      </c>
      <c r="J553" s="7"/>
      <c r="K553" s="7"/>
      <c r="L553" s="7"/>
      <c r="M553" s="7"/>
      <c r="N553" s="7"/>
      <c r="O553" s="7"/>
    </row>
    <row r="554" spans="1:15" ht="11.25">
      <c r="A554" s="31" t="s">
        <v>8</v>
      </c>
      <c r="B554" s="8"/>
      <c r="C554" s="8"/>
      <c r="D554" s="115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1:15" ht="22.5">
      <c r="A555" s="92" t="s">
        <v>204</v>
      </c>
      <c r="B555" s="8"/>
      <c r="C555" s="8"/>
      <c r="D555" s="115"/>
      <c r="E555" s="7"/>
      <c r="F555" s="7"/>
      <c r="G555" s="7"/>
      <c r="H555" s="7">
        <f>H551/H553</f>
        <v>1143400.6666666667</v>
      </c>
      <c r="I555" s="7">
        <f>G555+H555</f>
        <v>1143400.6666666667</v>
      </c>
      <c r="J555" s="7"/>
      <c r="K555" s="7"/>
      <c r="L555" s="7"/>
      <c r="M555" s="7"/>
      <c r="N555" s="7"/>
      <c r="O555" s="7"/>
    </row>
    <row r="556" spans="1:16" ht="13.5" customHeight="1">
      <c r="A556" s="24">
        <v>160101</v>
      </c>
      <c r="B556" s="41"/>
      <c r="C556" s="41"/>
      <c r="D556" s="38">
        <f>D559</f>
        <v>6000</v>
      </c>
      <c r="E556" s="38">
        <v>0</v>
      </c>
      <c r="F556" s="38">
        <f>D556</f>
        <v>6000</v>
      </c>
      <c r="G556" s="38">
        <f>G559</f>
        <v>4461000</v>
      </c>
      <c r="H556" s="38">
        <f>H559</f>
        <v>0</v>
      </c>
      <c r="I556" s="38">
        <f>G556</f>
        <v>4461000</v>
      </c>
      <c r="J556" s="38"/>
      <c r="K556" s="38"/>
      <c r="L556" s="38"/>
      <c r="M556" s="38"/>
      <c r="N556" s="38"/>
      <c r="O556" s="38"/>
      <c r="P556" s="18">
        <v>5500</v>
      </c>
    </row>
    <row r="557" spans="1:16" ht="35.25" customHeight="1">
      <c r="A557" s="33" t="s">
        <v>282</v>
      </c>
      <c r="B557" s="8"/>
      <c r="C557" s="8"/>
      <c r="D557" s="19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24.75" customHeight="1">
      <c r="A558" s="32" t="s">
        <v>279</v>
      </c>
      <c r="B558" s="8"/>
      <c r="C558" s="8"/>
      <c r="D558" s="115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234" s="195" customFormat="1" ht="15" customHeight="1">
      <c r="A559" s="182" t="s">
        <v>401</v>
      </c>
      <c r="B559" s="191"/>
      <c r="C559" s="191"/>
      <c r="D559" s="221">
        <f>D561</f>
        <v>6000</v>
      </c>
      <c r="E559" s="222"/>
      <c r="F559" s="221">
        <f>D559</f>
        <v>6000</v>
      </c>
      <c r="G559" s="192">
        <f>G561</f>
        <v>4461000</v>
      </c>
      <c r="H559" s="193"/>
      <c r="I559" s="193">
        <f>G559</f>
        <v>4461000</v>
      </c>
      <c r="J559" s="193"/>
      <c r="K559" s="193"/>
      <c r="L559" s="193"/>
      <c r="M559" s="193"/>
      <c r="N559" s="193"/>
      <c r="O559" s="193"/>
      <c r="P559" s="193">
        <v>5500</v>
      </c>
      <c r="Q559" s="194"/>
      <c r="R559" s="194"/>
      <c r="S559" s="194"/>
      <c r="T559" s="194"/>
      <c r="U559" s="194"/>
      <c r="V559" s="194"/>
      <c r="W559" s="194"/>
      <c r="X559" s="194"/>
      <c r="Y559" s="194"/>
      <c r="Z559" s="194"/>
      <c r="AA559" s="194"/>
      <c r="AB559" s="194"/>
      <c r="AC559" s="194"/>
      <c r="AD559" s="194"/>
      <c r="AE559" s="194"/>
      <c r="AF559" s="194"/>
      <c r="AG559" s="194"/>
      <c r="AH559" s="194"/>
      <c r="AI559" s="194"/>
      <c r="AJ559" s="194"/>
      <c r="AK559" s="194"/>
      <c r="AL559" s="194"/>
      <c r="AM559" s="194"/>
      <c r="AN559" s="194"/>
      <c r="AO559" s="194"/>
      <c r="AP559" s="194"/>
      <c r="AQ559" s="194"/>
      <c r="AR559" s="194"/>
      <c r="AS559" s="194"/>
      <c r="AT559" s="194"/>
      <c r="AU559" s="194"/>
      <c r="AV559" s="194"/>
      <c r="AW559" s="194"/>
      <c r="AX559" s="194"/>
      <c r="AY559" s="194"/>
      <c r="AZ559" s="194"/>
      <c r="BA559" s="194"/>
      <c r="BB559" s="194"/>
      <c r="BC559" s="194"/>
      <c r="BD559" s="194"/>
      <c r="BE559" s="194"/>
      <c r="BF559" s="194"/>
      <c r="BG559" s="194"/>
      <c r="BH559" s="194"/>
      <c r="BI559" s="194"/>
      <c r="BJ559" s="194"/>
      <c r="BK559" s="194"/>
      <c r="BL559" s="194"/>
      <c r="BM559" s="194"/>
      <c r="BN559" s="194"/>
      <c r="BO559" s="194"/>
      <c r="BP559" s="194"/>
      <c r="BQ559" s="194"/>
      <c r="BR559" s="194"/>
      <c r="BS559" s="194"/>
      <c r="BT559" s="194"/>
      <c r="BU559" s="194"/>
      <c r="BV559" s="194"/>
      <c r="BW559" s="194"/>
      <c r="BX559" s="194"/>
      <c r="BY559" s="194"/>
      <c r="BZ559" s="194"/>
      <c r="CA559" s="194"/>
      <c r="CB559" s="194"/>
      <c r="CC559" s="194"/>
      <c r="CD559" s="194"/>
      <c r="CE559" s="194"/>
      <c r="CF559" s="194"/>
      <c r="CG559" s="194"/>
      <c r="CH559" s="194"/>
      <c r="CI559" s="194"/>
      <c r="CJ559" s="194"/>
      <c r="CK559" s="194"/>
      <c r="CL559" s="194"/>
      <c r="CM559" s="194"/>
      <c r="CN559" s="194"/>
      <c r="CO559" s="194"/>
      <c r="CP559" s="194"/>
      <c r="CQ559" s="194"/>
      <c r="CR559" s="194"/>
      <c r="CS559" s="194"/>
      <c r="CT559" s="194"/>
      <c r="CU559" s="194"/>
      <c r="CV559" s="194"/>
      <c r="CW559" s="194"/>
      <c r="CX559" s="194"/>
      <c r="CY559" s="194"/>
      <c r="CZ559" s="194"/>
      <c r="DA559" s="194"/>
      <c r="DB559" s="194"/>
      <c r="DC559" s="194"/>
      <c r="DD559" s="194"/>
      <c r="DE559" s="194"/>
      <c r="DF559" s="194"/>
      <c r="DG559" s="194"/>
      <c r="DH559" s="194"/>
      <c r="DI559" s="194"/>
      <c r="DJ559" s="194"/>
      <c r="DK559" s="194"/>
      <c r="DL559" s="194"/>
      <c r="DM559" s="194"/>
      <c r="DN559" s="194"/>
      <c r="DO559" s="194"/>
      <c r="DP559" s="194"/>
      <c r="DQ559" s="194"/>
      <c r="DR559" s="194"/>
      <c r="DS559" s="194"/>
      <c r="DT559" s="194"/>
      <c r="DU559" s="194"/>
      <c r="DV559" s="194"/>
      <c r="DW559" s="194"/>
      <c r="DX559" s="194"/>
      <c r="DY559" s="194"/>
      <c r="DZ559" s="194"/>
      <c r="EA559" s="194"/>
      <c r="EB559" s="194"/>
      <c r="EC559" s="194"/>
      <c r="ED559" s="194"/>
      <c r="EE559" s="194"/>
      <c r="EF559" s="194"/>
      <c r="EG559" s="194"/>
      <c r="EH559" s="194"/>
      <c r="EI559" s="194"/>
      <c r="EJ559" s="194"/>
      <c r="EK559" s="194"/>
      <c r="EL559" s="194"/>
      <c r="EM559" s="194"/>
      <c r="EN559" s="194"/>
      <c r="EO559" s="194"/>
      <c r="EP559" s="194"/>
      <c r="EQ559" s="194"/>
      <c r="ER559" s="194"/>
      <c r="ES559" s="194"/>
      <c r="ET559" s="194"/>
      <c r="EU559" s="194"/>
      <c r="EV559" s="194"/>
      <c r="EW559" s="194"/>
      <c r="EX559" s="194"/>
      <c r="EY559" s="194"/>
      <c r="EZ559" s="194"/>
      <c r="FA559" s="194"/>
      <c r="FB559" s="194"/>
      <c r="FC559" s="194"/>
      <c r="FD559" s="194"/>
      <c r="FE559" s="194"/>
      <c r="FF559" s="194"/>
      <c r="FG559" s="194"/>
      <c r="FH559" s="194"/>
      <c r="FI559" s="194"/>
      <c r="FJ559" s="194"/>
      <c r="FK559" s="194"/>
      <c r="FL559" s="194"/>
      <c r="FM559" s="194"/>
      <c r="FN559" s="194"/>
      <c r="FO559" s="194"/>
      <c r="FP559" s="194"/>
      <c r="FQ559" s="194"/>
      <c r="FR559" s="194"/>
      <c r="FS559" s="194"/>
      <c r="FT559" s="194"/>
      <c r="FU559" s="194"/>
      <c r="FV559" s="194"/>
      <c r="FW559" s="194"/>
      <c r="FX559" s="194"/>
      <c r="FY559" s="194"/>
      <c r="FZ559" s="194"/>
      <c r="GA559" s="194"/>
      <c r="GB559" s="194"/>
      <c r="GC559" s="194"/>
      <c r="GD559" s="194"/>
      <c r="GE559" s="194"/>
      <c r="GF559" s="194"/>
      <c r="GG559" s="194"/>
      <c r="GH559" s="194"/>
      <c r="GI559" s="194"/>
      <c r="GJ559" s="194"/>
      <c r="GK559" s="194"/>
      <c r="GL559" s="194"/>
      <c r="GM559" s="194"/>
      <c r="GN559" s="194"/>
      <c r="GO559" s="194"/>
      <c r="GP559" s="194"/>
      <c r="GQ559" s="194"/>
      <c r="GR559" s="194"/>
      <c r="GS559" s="194"/>
      <c r="GT559" s="194"/>
      <c r="GU559" s="194"/>
      <c r="GV559" s="194"/>
      <c r="GW559" s="194"/>
      <c r="GX559" s="194"/>
      <c r="GY559" s="194"/>
      <c r="GZ559" s="194"/>
      <c r="HA559" s="194"/>
      <c r="HB559" s="194"/>
      <c r="HC559" s="194"/>
      <c r="HD559" s="194"/>
      <c r="HE559" s="194"/>
      <c r="HF559" s="194"/>
      <c r="HG559" s="194"/>
      <c r="HH559" s="194"/>
      <c r="HI559" s="194"/>
      <c r="HJ559" s="194"/>
      <c r="HK559" s="194"/>
      <c r="HL559" s="194"/>
      <c r="HM559" s="194"/>
      <c r="HN559" s="194"/>
      <c r="HO559" s="194"/>
      <c r="HP559" s="194"/>
      <c r="HQ559" s="194"/>
      <c r="HR559" s="194"/>
      <c r="HS559" s="194"/>
      <c r="HT559" s="194"/>
      <c r="HU559" s="194"/>
      <c r="HV559" s="194"/>
      <c r="HW559" s="194"/>
      <c r="HX559" s="194"/>
      <c r="HY559" s="194"/>
      <c r="HZ559" s="194"/>
    </row>
    <row r="560" spans="1:16" ht="12" customHeight="1">
      <c r="A560" s="31" t="s">
        <v>5</v>
      </c>
      <c r="B560" s="8"/>
      <c r="C560" s="8"/>
      <c r="D560" s="148"/>
      <c r="E560" s="145"/>
      <c r="F560" s="145"/>
      <c r="G560" s="19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2" customHeight="1">
      <c r="A561" s="32" t="s">
        <v>82</v>
      </c>
      <c r="B561" s="8"/>
      <c r="C561" s="8"/>
      <c r="D561" s="147">
        <f>(D563*D567)+(D564*D568)</f>
        <v>6000</v>
      </c>
      <c r="E561" s="145"/>
      <c r="F561" s="146">
        <f>D561</f>
        <v>6000</v>
      </c>
      <c r="G561" s="19">
        <v>4461000</v>
      </c>
      <c r="H561" s="7"/>
      <c r="I561" s="7">
        <f>G561</f>
        <v>4461000</v>
      </c>
      <c r="J561" s="7"/>
      <c r="K561" s="7"/>
      <c r="L561" s="7"/>
      <c r="M561" s="7"/>
      <c r="N561" s="7"/>
      <c r="O561" s="7"/>
      <c r="P561" s="7">
        <v>5500</v>
      </c>
    </row>
    <row r="562" spans="1:16" ht="12.75" customHeight="1">
      <c r="A562" s="31" t="s">
        <v>6</v>
      </c>
      <c r="B562" s="8"/>
      <c r="C562" s="8"/>
      <c r="D562" s="148"/>
      <c r="E562" s="145"/>
      <c r="F562" s="145"/>
      <c r="G562" s="19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23.25" customHeight="1">
      <c r="A563" s="32" t="s">
        <v>284</v>
      </c>
      <c r="B563" s="8"/>
      <c r="C563" s="8"/>
      <c r="D563" s="148">
        <v>1</v>
      </c>
      <c r="E563" s="145"/>
      <c r="F563" s="145">
        <f>D563</f>
        <v>1</v>
      </c>
      <c r="G563" s="19"/>
      <c r="H563" s="7"/>
      <c r="I563" s="7"/>
      <c r="J563" s="10"/>
      <c r="K563" s="10"/>
      <c r="L563" s="10"/>
      <c r="M563" s="10"/>
      <c r="N563" s="10"/>
      <c r="O563" s="10"/>
      <c r="P563" s="10">
        <v>1</v>
      </c>
    </row>
    <row r="564" spans="1:16" ht="22.5">
      <c r="A564" s="32" t="s">
        <v>303</v>
      </c>
      <c r="B564" s="8"/>
      <c r="C564" s="8"/>
      <c r="D564" s="148">
        <v>1</v>
      </c>
      <c r="E564" s="145"/>
      <c r="F564" s="145">
        <v>1</v>
      </c>
      <c r="G564" s="19"/>
      <c r="H564" s="7"/>
      <c r="I564" s="7"/>
      <c r="J564" s="10"/>
      <c r="K564" s="10"/>
      <c r="L564" s="10"/>
      <c r="M564" s="10"/>
      <c r="N564" s="10"/>
      <c r="O564" s="10"/>
      <c r="P564" s="10"/>
    </row>
    <row r="565" spans="1:16" ht="22.5">
      <c r="A565" s="32" t="s">
        <v>337</v>
      </c>
      <c r="B565" s="8"/>
      <c r="C565" s="8"/>
      <c r="D565" s="148"/>
      <c r="E565" s="145"/>
      <c r="F565" s="145"/>
      <c r="G565" s="19">
        <v>1487</v>
      </c>
      <c r="H565" s="7"/>
      <c r="I565" s="7">
        <f>G565</f>
        <v>1487</v>
      </c>
      <c r="J565" s="10"/>
      <c r="K565" s="10"/>
      <c r="L565" s="10"/>
      <c r="M565" s="10"/>
      <c r="N565" s="10"/>
      <c r="O565" s="10"/>
      <c r="P565" s="10"/>
    </row>
    <row r="566" spans="1:16" ht="12.75" customHeight="1">
      <c r="A566" s="31" t="s">
        <v>8</v>
      </c>
      <c r="B566" s="8"/>
      <c r="C566" s="8"/>
      <c r="D566" s="148"/>
      <c r="E566" s="145"/>
      <c r="F566" s="145"/>
      <c r="G566" s="19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24" customHeight="1">
      <c r="A567" s="32" t="s">
        <v>283</v>
      </c>
      <c r="B567" s="8"/>
      <c r="C567" s="8"/>
      <c r="D567" s="147">
        <v>3000</v>
      </c>
      <c r="E567" s="145"/>
      <c r="F567" s="146">
        <f>D567</f>
        <v>3000</v>
      </c>
      <c r="G567" s="19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26.25" customHeight="1">
      <c r="A568" s="32" t="s">
        <v>304</v>
      </c>
      <c r="B568" s="8"/>
      <c r="C568" s="8"/>
      <c r="D568" s="154">
        <v>3000</v>
      </c>
      <c r="E568" s="89"/>
      <c r="F568" s="90">
        <f>D568</f>
        <v>3000</v>
      </c>
      <c r="G568" s="19"/>
      <c r="H568" s="7"/>
      <c r="I568" s="7"/>
      <c r="J568" s="7"/>
      <c r="K568" s="7"/>
      <c r="L568" s="7"/>
      <c r="M568" s="7"/>
      <c r="N568" s="7"/>
      <c r="O568" s="7"/>
      <c r="P568" s="7">
        <v>5500</v>
      </c>
    </row>
    <row r="569" spans="1:16" ht="22.5">
      <c r="A569" s="32" t="s">
        <v>338</v>
      </c>
      <c r="B569" s="8"/>
      <c r="C569" s="8"/>
      <c r="D569" s="154"/>
      <c r="E569" s="89"/>
      <c r="F569" s="90"/>
      <c r="G569" s="19">
        <v>3000</v>
      </c>
      <c r="H569" s="7"/>
      <c r="I569" s="7">
        <f>G569</f>
        <v>3000</v>
      </c>
      <c r="J569" s="7"/>
      <c r="K569" s="7"/>
      <c r="L569" s="7"/>
      <c r="M569" s="7"/>
      <c r="N569" s="7"/>
      <c r="O569" s="7"/>
      <c r="P569" s="160"/>
    </row>
    <row r="570" spans="1:16" ht="12">
      <c r="A570" s="24">
        <v>250903</v>
      </c>
      <c r="B570" s="41"/>
      <c r="C570" s="41"/>
      <c r="D570" s="38">
        <f>D573</f>
        <v>1214000</v>
      </c>
      <c r="E570" s="38">
        <v>0</v>
      </c>
      <c r="F570" s="38">
        <f>D570</f>
        <v>1214000</v>
      </c>
      <c r="G570" s="38">
        <f>G573</f>
        <v>8080000</v>
      </c>
      <c r="H570" s="38"/>
      <c r="I570" s="38">
        <f>I573</f>
        <v>8080000</v>
      </c>
      <c r="J570" s="38"/>
      <c r="K570" s="38"/>
      <c r="L570" s="38"/>
      <c r="M570" s="38"/>
      <c r="N570" s="38"/>
      <c r="O570" s="38"/>
      <c r="P570" s="160"/>
    </row>
    <row r="571" spans="1:16" ht="33.75">
      <c r="A571" s="33" t="s">
        <v>282</v>
      </c>
      <c r="B571" s="8"/>
      <c r="C571" s="8"/>
      <c r="D571" s="19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160"/>
    </row>
    <row r="572" spans="1:16" ht="67.5">
      <c r="A572" s="32" t="s">
        <v>365</v>
      </c>
      <c r="B572" s="8"/>
      <c r="C572" s="8"/>
      <c r="D572" s="115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160"/>
    </row>
    <row r="573" spans="1:16" ht="102.75" customHeight="1">
      <c r="A573" s="30" t="s">
        <v>402</v>
      </c>
      <c r="B573" s="41"/>
      <c r="C573" s="41"/>
      <c r="D573" s="183">
        <f>D575</f>
        <v>1214000</v>
      </c>
      <c r="E573" s="184"/>
      <c r="F573" s="183">
        <f>D573</f>
        <v>1214000</v>
      </c>
      <c r="G573" s="103">
        <f>G575</f>
        <v>8080000</v>
      </c>
      <c r="H573" s="86"/>
      <c r="I573" s="86">
        <f>I575</f>
        <v>8080000</v>
      </c>
      <c r="J573" s="36"/>
      <c r="K573" s="36"/>
      <c r="L573" s="36"/>
      <c r="M573" s="86"/>
      <c r="N573" s="86"/>
      <c r="O573" s="86"/>
      <c r="P573" s="160"/>
    </row>
    <row r="574" spans="1:16" ht="11.25">
      <c r="A574" s="31" t="s">
        <v>5</v>
      </c>
      <c r="B574" s="8"/>
      <c r="C574" s="8"/>
      <c r="D574" s="148"/>
      <c r="E574" s="145"/>
      <c r="F574" s="145"/>
      <c r="G574" s="7"/>
      <c r="H574" s="7"/>
      <c r="I574" s="7"/>
      <c r="J574" s="7"/>
      <c r="K574" s="7"/>
      <c r="L574" s="7"/>
      <c r="M574" s="7"/>
      <c r="N574" s="7"/>
      <c r="O574" s="7"/>
      <c r="P574" s="160"/>
    </row>
    <row r="575" spans="1:16" ht="11.25">
      <c r="A575" s="32" t="s">
        <v>82</v>
      </c>
      <c r="B575" s="8"/>
      <c r="C575" s="8"/>
      <c r="D575" s="147">
        <f>D580*D577</f>
        <v>1214000</v>
      </c>
      <c r="E575" s="145"/>
      <c r="F575" s="146">
        <f>D575</f>
        <v>1214000</v>
      </c>
      <c r="G575" s="7">
        <f>G580*G577</f>
        <v>8080000</v>
      </c>
      <c r="H575" s="7"/>
      <c r="I575" s="7">
        <f>G575</f>
        <v>8080000</v>
      </c>
      <c r="J575" s="7"/>
      <c r="K575" s="7"/>
      <c r="L575" s="7"/>
      <c r="M575" s="7"/>
      <c r="N575" s="7"/>
      <c r="O575" s="7"/>
      <c r="P575" s="160"/>
    </row>
    <row r="576" spans="1:16" ht="11.25">
      <c r="A576" s="31" t="s">
        <v>6</v>
      </c>
      <c r="B576" s="8"/>
      <c r="C576" s="8"/>
      <c r="D576" s="148"/>
      <c r="E576" s="145"/>
      <c r="F576" s="145"/>
      <c r="G576" s="7"/>
      <c r="H576" s="7"/>
      <c r="I576" s="7"/>
      <c r="J576" s="7"/>
      <c r="K576" s="7"/>
      <c r="L576" s="7"/>
      <c r="M576" s="7"/>
      <c r="N576" s="7"/>
      <c r="O576" s="7"/>
      <c r="P576" s="160"/>
    </row>
    <row r="577" spans="1:16" ht="22.5">
      <c r="A577" s="32" t="s">
        <v>354</v>
      </c>
      <c r="B577" s="8"/>
      <c r="C577" s="8"/>
      <c r="D577" s="148">
        <v>2</v>
      </c>
      <c r="E577" s="145"/>
      <c r="F577" s="145">
        <v>2</v>
      </c>
      <c r="G577" s="7">
        <v>1</v>
      </c>
      <c r="H577" s="7"/>
      <c r="I577" s="7">
        <f>G577</f>
        <v>1</v>
      </c>
      <c r="J577" s="10"/>
      <c r="K577" s="10"/>
      <c r="L577" s="10"/>
      <c r="M577" s="10"/>
      <c r="N577" s="10"/>
      <c r="O577" s="10"/>
      <c r="P577" s="160"/>
    </row>
    <row r="578" spans="1:16" ht="22.5" hidden="1">
      <c r="A578" s="32" t="s">
        <v>303</v>
      </c>
      <c r="B578" s="8"/>
      <c r="C578" s="8"/>
      <c r="D578" s="148"/>
      <c r="E578" s="145"/>
      <c r="F578" s="145"/>
      <c r="G578" s="7"/>
      <c r="H578" s="7"/>
      <c r="I578" s="7"/>
      <c r="J578" s="10"/>
      <c r="K578" s="10"/>
      <c r="L578" s="10"/>
      <c r="M578" s="10"/>
      <c r="N578" s="10"/>
      <c r="O578" s="10"/>
      <c r="P578" s="160"/>
    </row>
    <row r="579" spans="1:16" ht="11.25">
      <c r="A579" s="31" t="s">
        <v>8</v>
      </c>
      <c r="B579" s="8"/>
      <c r="C579" s="8"/>
      <c r="D579" s="148"/>
      <c r="E579" s="145"/>
      <c r="F579" s="145"/>
      <c r="G579" s="7"/>
      <c r="H579" s="7"/>
      <c r="I579" s="7"/>
      <c r="J579" s="7"/>
      <c r="K579" s="7"/>
      <c r="L579" s="7"/>
      <c r="M579" s="7"/>
      <c r="N579" s="7"/>
      <c r="O579" s="7"/>
      <c r="P579" s="160"/>
    </row>
    <row r="580" spans="1:16" ht="22.5">
      <c r="A580" s="32" t="s">
        <v>355</v>
      </c>
      <c r="B580" s="8"/>
      <c r="C580" s="8"/>
      <c r="D580" s="147">
        <v>607000</v>
      </c>
      <c r="E580" s="145"/>
      <c r="F580" s="146">
        <f>D580</f>
        <v>607000</v>
      </c>
      <c r="G580" s="7">
        <f>8000000+80000</f>
        <v>8080000</v>
      </c>
      <c r="H580" s="7"/>
      <c r="I580" s="7">
        <f>G580</f>
        <v>8080000</v>
      </c>
      <c r="J580" s="7"/>
      <c r="K580" s="7"/>
      <c r="L580" s="7"/>
      <c r="M580" s="7"/>
      <c r="N580" s="7"/>
      <c r="O580" s="7"/>
      <c r="P580" s="160"/>
    </row>
    <row r="581" spans="1:234" ht="33.75" hidden="1">
      <c r="A581" s="32" t="s">
        <v>304</v>
      </c>
      <c r="B581" s="8"/>
      <c r="C581" s="8"/>
      <c r="D581" s="154"/>
      <c r="E581" s="89"/>
      <c r="F581" s="90"/>
      <c r="G581" s="7"/>
      <c r="H581" s="7"/>
      <c r="I581" s="7"/>
      <c r="J581" s="7"/>
      <c r="K581" s="7"/>
      <c r="L581" s="7"/>
      <c r="M581" s="7"/>
      <c r="N581" s="7"/>
      <c r="O581" s="7"/>
      <c r="P581" s="160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</row>
    <row r="582" spans="1:234" ht="12">
      <c r="A582" s="24">
        <v>180107</v>
      </c>
      <c r="B582" s="41"/>
      <c r="C582" s="41"/>
      <c r="D582" s="38">
        <f>D585</f>
        <v>0</v>
      </c>
      <c r="E582" s="38">
        <v>0</v>
      </c>
      <c r="F582" s="38">
        <f>D582</f>
        <v>0</v>
      </c>
      <c r="G582" s="38">
        <f>G585</f>
        <v>1200000</v>
      </c>
      <c r="H582" s="38"/>
      <c r="I582" s="38">
        <f>I585</f>
        <v>1200000</v>
      </c>
      <c r="J582" s="38"/>
      <c r="K582" s="38"/>
      <c r="L582" s="38"/>
      <c r="M582" s="38">
        <f>M585</f>
        <v>500000</v>
      </c>
      <c r="N582" s="38"/>
      <c r="O582" s="38">
        <f>O585</f>
        <v>500000</v>
      </c>
      <c r="P582" s="160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</row>
    <row r="583" spans="1:234" ht="33.75">
      <c r="A583" s="33" t="s">
        <v>282</v>
      </c>
      <c r="B583" s="8"/>
      <c r="C583" s="8"/>
      <c r="D583" s="19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160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</row>
    <row r="584" spans="1:234" ht="67.5">
      <c r="A584" s="32" t="s">
        <v>307</v>
      </c>
      <c r="B584" s="8"/>
      <c r="C584" s="8"/>
      <c r="D584" s="115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160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</row>
    <row r="585" spans="1:234" ht="22.5">
      <c r="A585" s="30" t="s">
        <v>403</v>
      </c>
      <c r="B585" s="41"/>
      <c r="C585" s="41"/>
      <c r="D585" s="152">
        <f>200000-200000</f>
        <v>0</v>
      </c>
      <c r="E585" s="153"/>
      <c r="F585" s="152">
        <f>D585</f>
        <v>0</v>
      </c>
      <c r="G585" s="103">
        <f>500000+200000+500000</f>
        <v>1200000</v>
      </c>
      <c r="H585" s="86"/>
      <c r="I585" s="86">
        <f>G585</f>
        <v>1200000</v>
      </c>
      <c r="J585" s="36"/>
      <c r="K585" s="36"/>
      <c r="L585" s="36"/>
      <c r="M585" s="86">
        <v>500000</v>
      </c>
      <c r="N585" s="86"/>
      <c r="O585" s="86">
        <f>M585</f>
        <v>500000</v>
      </c>
      <c r="P585" s="160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</row>
    <row r="586" spans="1:234" ht="11.25">
      <c r="A586" s="31" t="s">
        <v>5</v>
      </c>
      <c r="B586" s="8"/>
      <c r="C586" s="8"/>
      <c r="D586" s="148"/>
      <c r="E586" s="145"/>
      <c r="F586" s="145"/>
      <c r="G586" s="19"/>
      <c r="H586" s="7"/>
      <c r="I586" s="7"/>
      <c r="J586" s="7"/>
      <c r="K586" s="7"/>
      <c r="L586" s="7"/>
      <c r="M586" s="7"/>
      <c r="N586" s="7"/>
      <c r="O586" s="7"/>
      <c r="P586" s="160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</row>
    <row r="587" spans="1:234" ht="33.75">
      <c r="A587" s="32" t="s">
        <v>314</v>
      </c>
      <c r="B587" s="8"/>
      <c r="C587" s="8"/>
      <c r="D587" s="161">
        <v>120</v>
      </c>
      <c r="E587" s="162"/>
      <c r="F587" s="162">
        <f>D587</f>
        <v>120</v>
      </c>
      <c r="G587" s="162">
        <v>120</v>
      </c>
      <c r="H587" s="162"/>
      <c r="I587" s="162">
        <f aca="true" t="shared" si="45" ref="I587:O587">G587</f>
        <v>120</v>
      </c>
      <c r="J587" s="162">
        <f t="shared" si="45"/>
        <v>0</v>
      </c>
      <c r="K587" s="162">
        <f t="shared" si="45"/>
        <v>120</v>
      </c>
      <c r="L587" s="162">
        <f t="shared" si="45"/>
        <v>0</v>
      </c>
      <c r="M587" s="162">
        <f t="shared" si="45"/>
        <v>120</v>
      </c>
      <c r="N587" s="162"/>
      <c r="O587" s="162">
        <f t="shared" si="45"/>
        <v>120</v>
      </c>
      <c r="P587" s="160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</row>
    <row r="588" spans="1:234" ht="11.25">
      <c r="A588" s="31" t="s">
        <v>6</v>
      </c>
      <c r="B588" s="8"/>
      <c r="C588" s="8"/>
      <c r="D588" s="148"/>
      <c r="E588" s="145"/>
      <c r="F588" s="145"/>
      <c r="G588" s="19"/>
      <c r="H588" s="7"/>
      <c r="I588" s="7"/>
      <c r="J588" s="7"/>
      <c r="K588" s="7"/>
      <c r="L588" s="7"/>
      <c r="M588" s="7"/>
      <c r="N588" s="7"/>
      <c r="O588" s="7"/>
      <c r="P588" s="160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</row>
    <row r="589" spans="1:234" ht="32.25" customHeight="1">
      <c r="A589" s="32" t="s">
        <v>315</v>
      </c>
      <c r="B589" s="8"/>
      <c r="C589" s="8"/>
      <c r="D589" s="148">
        <v>120</v>
      </c>
      <c r="E589" s="145"/>
      <c r="F589" s="145">
        <v>120</v>
      </c>
      <c r="G589" s="10">
        <v>120</v>
      </c>
      <c r="H589" s="10"/>
      <c r="I589" s="10">
        <f>G589</f>
        <v>120</v>
      </c>
      <c r="J589" s="10"/>
      <c r="K589" s="10"/>
      <c r="L589" s="10"/>
      <c r="M589" s="10">
        <v>120</v>
      </c>
      <c r="N589" s="10"/>
      <c r="O589" s="10">
        <f>M589</f>
        <v>120</v>
      </c>
      <c r="P589" s="160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</row>
    <row r="590" spans="1:234" ht="22.5" hidden="1">
      <c r="A590" s="32" t="s">
        <v>303</v>
      </c>
      <c r="B590" s="8"/>
      <c r="C590" s="8"/>
      <c r="D590" s="148"/>
      <c r="E590" s="145"/>
      <c r="F590" s="145"/>
      <c r="G590" s="19"/>
      <c r="H590" s="7"/>
      <c r="I590" s="7"/>
      <c r="J590" s="10"/>
      <c r="K590" s="10"/>
      <c r="L590" s="10"/>
      <c r="M590" s="10"/>
      <c r="N590" s="10"/>
      <c r="O590" s="10"/>
      <c r="P590" s="16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</row>
    <row r="591" spans="1:234" ht="11.25">
      <c r="A591" s="31" t="s">
        <v>8</v>
      </c>
      <c r="B591" s="8"/>
      <c r="C591" s="8"/>
      <c r="D591" s="148"/>
      <c r="E591" s="145"/>
      <c r="F591" s="145"/>
      <c r="G591" s="19"/>
      <c r="H591" s="7"/>
      <c r="I591" s="7"/>
      <c r="J591" s="7"/>
      <c r="K591" s="7"/>
      <c r="L591" s="7"/>
      <c r="M591" s="7"/>
      <c r="N591" s="7"/>
      <c r="O591" s="7"/>
      <c r="P591" s="160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</row>
    <row r="592" spans="1:234" ht="22.5">
      <c r="A592" s="32" t="s">
        <v>316</v>
      </c>
      <c r="B592" s="8"/>
      <c r="C592" s="8"/>
      <c r="D592" s="147">
        <f>D585/D589</f>
        <v>0</v>
      </c>
      <c r="E592" s="145"/>
      <c r="F592" s="146">
        <f>D592</f>
        <v>0</v>
      </c>
      <c r="G592" s="19">
        <f>G585/G589</f>
        <v>10000</v>
      </c>
      <c r="H592" s="7"/>
      <c r="I592" s="7">
        <f>G592</f>
        <v>10000</v>
      </c>
      <c r="J592" s="7"/>
      <c r="K592" s="7"/>
      <c r="L592" s="7"/>
      <c r="M592" s="7">
        <f>M585/M589</f>
        <v>4166.666666666667</v>
      </c>
      <c r="N592" s="7"/>
      <c r="O592" s="7">
        <f>M592</f>
        <v>4166.666666666667</v>
      </c>
      <c r="P592" s="160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</row>
    <row r="593" spans="1:234" ht="11.25" hidden="1">
      <c r="A593" s="155"/>
      <c r="B593" s="85"/>
      <c r="C593" s="85"/>
      <c r="D593" s="156"/>
      <c r="E593" s="157"/>
      <c r="F593" s="158"/>
      <c r="G593" s="159"/>
      <c r="H593" s="160"/>
      <c r="I593" s="160"/>
      <c r="J593" s="160"/>
      <c r="K593" s="160"/>
      <c r="L593" s="160"/>
      <c r="M593" s="160"/>
      <c r="N593" s="160"/>
      <c r="O593" s="160"/>
      <c r="P593" s="160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</row>
    <row r="594" spans="1:234" ht="11.25" hidden="1">
      <c r="A594" s="155"/>
      <c r="B594" s="85"/>
      <c r="C594" s="85"/>
      <c r="D594" s="156"/>
      <c r="E594" s="157"/>
      <c r="F594" s="158"/>
      <c r="G594" s="159"/>
      <c r="H594" s="160"/>
      <c r="I594" s="160"/>
      <c r="J594" s="160"/>
      <c r="K594" s="160"/>
      <c r="L594" s="160"/>
      <c r="M594" s="160"/>
      <c r="N594" s="160"/>
      <c r="O594" s="160"/>
      <c r="P594" s="160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</row>
    <row r="595" spans="1:234" ht="11.25" hidden="1">
      <c r="A595" s="155"/>
      <c r="B595" s="85"/>
      <c r="C595" s="85"/>
      <c r="D595" s="156"/>
      <c r="E595" s="157"/>
      <c r="F595" s="158"/>
      <c r="G595" s="159"/>
      <c r="H595" s="160"/>
      <c r="I595" s="160"/>
      <c r="J595" s="160"/>
      <c r="K595" s="160"/>
      <c r="L595" s="160"/>
      <c r="M595" s="160"/>
      <c r="N595" s="160"/>
      <c r="O595" s="160"/>
      <c r="P595" s="160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</row>
    <row r="596" spans="1:234" ht="11.25" hidden="1">
      <c r="A596" s="155"/>
      <c r="B596" s="85"/>
      <c r="C596" s="85"/>
      <c r="D596" s="156"/>
      <c r="E596" s="157"/>
      <c r="F596" s="158"/>
      <c r="G596" s="159"/>
      <c r="H596" s="160"/>
      <c r="I596" s="160"/>
      <c r="J596" s="160"/>
      <c r="K596" s="160"/>
      <c r="L596" s="160"/>
      <c r="M596" s="160"/>
      <c r="N596" s="160"/>
      <c r="O596" s="160"/>
      <c r="P596" s="160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</row>
    <row r="597" spans="1:234" ht="12">
      <c r="A597" s="24">
        <v>100208</v>
      </c>
      <c r="B597" s="8"/>
      <c r="C597" s="8"/>
      <c r="D597" s="38">
        <f>D600</f>
        <v>0</v>
      </c>
      <c r="E597" s="38">
        <f>E600</f>
        <v>1084420</v>
      </c>
      <c r="F597" s="38">
        <f>D597+E597</f>
        <v>1084420</v>
      </c>
      <c r="G597" s="38"/>
      <c r="H597" s="38">
        <f>H600</f>
        <v>3700000</v>
      </c>
      <c r="I597" s="38">
        <f>I600</f>
        <v>3700000</v>
      </c>
      <c r="J597" s="38"/>
      <c r="K597" s="38"/>
      <c r="L597" s="38"/>
      <c r="M597" s="38"/>
      <c r="N597" s="38"/>
      <c r="O597" s="38"/>
      <c r="P597" s="160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</row>
    <row r="598" spans="1:234" ht="33.75">
      <c r="A598" s="33" t="s">
        <v>282</v>
      </c>
      <c r="B598" s="8"/>
      <c r="C598" s="8"/>
      <c r="D598" s="19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160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</row>
    <row r="599" spans="1:234" ht="22.5">
      <c r="A599" s="32" t="s">
        <v>317</v>
      </c>
      <c r="B599" s="8"/>
      <c r="C599" s="8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160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</row>
    <row r="600" spans="1:16" s="195" customFormat="1" ht="22.5">
      <c r="A600" s="182" t="s">
        <v>404</v>
      </c>
      <c r="B600" s="191"/>
      <c r="C600" s="191"/>
      <c r="D600" s="192"/>
      <c r="E600" s="193">
        <v>1084420</v>
      </c>
      <c r="F600" s="193">
        <f>D600+E600</f>
        <v>1084420</v>
      </c>
      <c r="G600" s="193"/>
      <c r="H600" s="193">
        <v>3700000</v>
      </c>
      <c r="I600" s="193">
        <f>H600</f>
        <v>3700000</v>
      </c>
      <c r="J600" s="193"/>
      <c r="K600" s="193"/>
      <c r="L600" s="193"/>
      <c r="M600" s="193"/>
      <c r="N600" s="193"/>
      <c r="O600" s="193"/>
      <c r="P600" s="223"/>
    </row>
    <row r="601" spans="1:234" ht="11.25">
      <c r="A601" s="31" t="s">
        <v>5</v>
      </c>
      <c r="B601" s="8"/>
      <c r="C601" s="8"/>
      <c r="D601" s="19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160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</row>
    <row r="602" spans="1:234" ht="11.25">
      <c r="A602" s="32" t="s">
        <v>82</v>
      </c>
      <c r="B602" s="8"/>
      <c r="C602" s="8"/>
      <c r="D602" s="19"/>
      <c r="E602" s="7">
        <f>E600</f>
        <v>1084420</v>
      </c>
      <c r="F602" s="7">
        <f>D602+E602</f>
        <v>1084420</v>
      </c>
      <c r="G602" s="7"/>
      <c r="H602" s="7">
        <f>H600</f>
        <v>3700000</v>
      </c>
      <c r="I602" s="7">
        <f>H602</f>
        <v>3700000</v>
      </c>
      <c r="J602" s="7"/>
      <c r="K602" s="7"/>
      <c r="L602" s="7"/>
      <c r="M602" s="7"/>
      <c r="N602" s="7"/>
      <c r="O602" s="7"/>
      <c r="P602" s="160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</row>
    <row r="603" spans="1:234" ht="11.25">
      <c r="A603" s="31" t="s">
        <v>6</v>
      </c>
      <c r="B603" s="8"/>
      <c r="C603" s="8"/>
      <c r="D603" s="19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160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</row>
    <row r="604" spans="1:234" ht="26.25" customHeight="1">
      <c r="A604" s="32" t="s">
        <v>318</v>
      </c>
      <c r="B604" s="8"/>
      <c r="C604" s="8"/>
      <c r="D604" s="10"/>
      <c r="E604" s="10">
        <v>39</v>
      </c>
      <c r="F604" s="10">
        <f>D604+E604</f>
        <v>39</v>
      </c>
      <c r="G604" s="10"/>
      <c r="H604" s="10">
        <f>H602/H607</f>
        <v>133.06652894880318</v>
      </c>
      <c r="I604" s="10">
        <f>H604</f>
        <v>133.06652894880318</v>
      </c>
      <c r="J604" s="10"/>
      <c r="K604" s="10"/>
      <c r="L604" s="10"/>
      <c r="M604" s="10"/>
      <c r="N604" s="10"/>
      <c r="O604" s="10"/>
      <c r="P604" s="160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</row>
    <row r="605" spans="1:234" ht="11.25" hidden="1">
      <c r="A605" s="32" t="s">
        <v>274</v>
      </c>
      <c r="B605" s="8"/>
      <c r="C605" s="8"/>
      <c r="D605" s="10">
        <v>145</v>
      </c>
      <c r="E605" s="10"/>
      <c r="F605" s="10">
        <f>D605</f>
        <v>145</v>
      </c>
      <c r="G605" s="10"/>
      <c r="H605" s="10"/>
      <c r="I605" s="10"/>
      <c r="J605" s="10"/>
      <c r="K605" s="10"/>
      <c r="L605" s="10"/>
      <c r="M605" s="10"/>
      <c r="N605" s="10"/>
      <c r="O605" s="10"/>
      <c r="P605" s="160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</row>
    <row r="606" spans="1:234" ht="11.25">
      <c r="A606" s="31" t="s">
        <v>8</v>
      </c>
      <c r="B606" s="8"/>
      <c r="C606" s="8"/>
      <c r="D606" s="19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160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</row>
    <row r="607" spans="1:234" ht="22.5">
      <c r="A607" s="32" t="s">
        <v>319</v>
      </c>
      <c r="B607" s="8"/>
      <c r="C607" s="8"/>
      <c r="D607" s="19"/>
      <c r="E607" s="7">
        <f>E602/E604</f>
        <v>27805.641025641027</v>
      </c>
      <c r="F607" s="7">
        <f>F602/F604</f>
        <v>27805.641025641027</v>
      </c>
      <c r="G607" s="7"/>
      <c r="H607" s="7">
        <v>27805.64</v>
      </c>
      <c r="I607" s="7">
        <f>H607</f>
        <v>27805.64</v>
      </c>
      <c r="J607" s="7"/>
      <c r="K607" s="7"/>
      <c r="L607" s="7"/>
      <c r="M607" s="7"/>
      <c r="N607" s="7"/>
      <c r="O607" s="7"/>
      <c r="P607" s="160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</row>
    <row r="608" spans="1:234" ht="22.5" hidden="1">
      <c r="A608" s="32" t="s">
        <v>277</v>
      </c>
      <c r="B608" s="8"/>
      <c r="C608" s="8"/>
      <c r="D608" s="19">
        <v>270.34</v>
      </c>
      <c r="E608" s="7"/>
      <c r="F608" s="7">
        <f>D608</f>
        <v>270.34</v>
      </c>
      <c r="G608" s="7"/>
      <c r="H608" s="7"/>
      <c r="I608" s="7"/>
      <c r="J608" s="7"/>
      <c r="K608" s="7"/>
      <c r="L608" s="7"/>
      <c r="M608" s="7"/>
      <c r="N608" s="7"/>
      <c r="O608" s="7"/>
      <c r="P608" s="160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</row>
    <row r="609" spans="1:234" ht="12">
      <c r="A609" s="24">
        <v>150202</v>
      </c>
      <c r="B609" s="41"/>
      <c r="C609" s="41"/>
      <c r="D609" s="38">
        <f>D612</f>
        <v>0</v>
      </c>
      <c r="E609" s="38">
        <v>0</v>
      </c>
      <c r="F609" s="38">
        <f>D609</f>
        <v>0</v>
      </c>
      <c r="G609" s="38">
        <f>G612</f>
        <v>465000</v>
      </c>
      <c r="H609" s="38"/>
      <c r="I609" s="38">
        <f>I612</f>
        <v>465000</v>
      </c>
      <c r="J609" s="38"/>
      <c r="K609" s="38"/>
      <c r="L609" s="38"/>
      <c r="M609" s="38">
        <f>M612</f>
        <v>0</v>
      </c>
      <c r="N609" s="38"/>
      <c r="O609" s="38">
        <f>O612</f>
        <v>0</v>
      </c>
      <c r="P609" s="160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</row>
    <row r="610" spans="1:234" ht="33.75">
      <c r="A610" s="33" t="s">
        <v>282</v>
      </c>
      <c r="B610" s="8"/>
      <c r="C610" s="8"/>
      <c r="D610" s="19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16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</row>
    <row r="611" spans="1:234" ht="11.25">
      <c r="A611" s="32" t="s">
        <v>342</v>
      </c>
      <c r="B611" s="8"/>
      <c r="C611" s="8"/>
      <c r="D611" s="115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160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</row>
    <row r="612" spans="1:16" s="195" customFormat="1" ht="22.5">
      <c r="A612" s="182" t="s">
        <v>405</v>
      </c>
      <c r="B612" s="191"/>
      <c r="C612" s="191"/>
      <c r="D612" s="221"/>
      <c r="E612" s="222"/>
      <c r="F612" s="221">
        <f>D612</f>
        <v>0</v>
      </c>
      <c r="G612" s="192">
        <f>465000</f>
        <v>465000</v>
      </c>
      <c r="H612" s="193"/>
      <c r="I612" s="193">
        <f>G612</f>
        <v>465000</v>
      </c>
      <c r="J612" s="193"/>
      <c r="K612" s="193"/>
      <c r="L612" s="193"/>
      <c r="M612" s="193"/>
      <c r="N612" s="193"/>
      <c r="O612" s="193"/>
      <c r="P612" s="223"/>
    </row>
    <row r="613" spans="1:234" ht="11.25">
      <c r="A613" s="31" t="s">
        <v>5</v>
      </c>
      <c r="B613" s="8"/>
      <c r="C613" s="8"/>
      <c r="D613" s="148"/>
      <c r="E613" s="145"/>
      <c r="F613" s="145"/>
      <c r="G613" s="19"/>
      <c r="H613" s="7"/>
      <c r="I613" s="7"/>
      <c r="J613" s="7"/>
      <c r="K613" s="7"/>
      <c r="L613" s="7"/>
      <c r="M613" s="7"/>
      <c r="N613" s="7"/>
      <c r="O613" s="7"/>
      <c r="P613" s="160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</row>
    <row r="614" spans="1:234" ht="10.5" customHeight="1">
      <c r="A614" s="32" t="s">
        <v>82</v>
      </c>
      <c r="B614" s="8"/>
      <c r="C614" s="8"/>
      <c r="D614" s="148"/>
      <c r="E614" s="145"/>
      <c r="F614" s="145"/>
      <c r="G614" s="19">
        <f>465000</f>
        <v>465000</v>
      </c>
      <c r="H614" s="7"/>
      <c r="I614" s="7">
        <f>G614</f>
        <v>465000</v>
      </c>
      <c r="J614" s="7"/>
      <c r="K614" s="7"/>
      <c r="L614" s="7"/>
      <c r="M614" s="7"/>
      <c r="N614" s="7"/>
      <c r="O614" s="7"/>
      <c r="P614" s="160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</row>
    <row r="615" spans="1:234" ht="11.25" hidden="1">
      <c r="A615" s="32" t="s">
        <v>82</v>
      </c>
      <c r="B615" s="8"/>
      <c r="C615" s="8"/>
      <c r="D615" s="148"/>
      <c r="E615" s="145"/>
      <c r="F615" s="145"/>
      <c r="G615" s="19"/>
      <c r="H615" s="7"/>
      <c r="I615" s="7"/>
      <c r="J615" s="7"/>
      <c r="K615" s="7"/>
      <c r="L615" s="7"/>
      <c r="M615" s="7"/>
      <c r="N615" s="7"/>
      <c r="O615" s="7"/>
      <c r="P615" s="160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</row>
    <row r="616" spans="1:234" ht="11.25">
      <c r="A616" s="31" t="s">
        <v>6</v>
      </c>
      <c r="B616" s="8"/>
      <c r="C616" s="8"/>
      <c r="D616" s="148"/>
      <c r="E616" s="145"/>
      <c r="F616" s="145"/>
      <c r="G616" s="19"/>
      <c r="H616" s="7"/>
      <c r="I616" s="7"/>
      <c r="J616" s="7"/>
      <c r="K616" s="7"/>
      <c r="L616" s="7"/>
      <c r="M616" s="7"/>
      <c r="N616" s="7"/>
      <c r="O616" s="7"/>
      <c r="P616" s="160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</row>
    <row r="617" spans="1:234" ht="10.5" customHeight="1">
      <c r="A617" s="32" t="s">
        <v>320</v>
      </c>
      <c r="B617" s="8"/>
      <c r="C617" s="8"/>
      <c r="D617" s="161"/>
      <c r="E617" s="162"/>
      <c r="F617" s="162">
        <f>D617</f>
        <v>0</v>
      </c>
      <c r="G617" s="162">
        <v>1</v>
      </c>
      <c r="H617" s="162"/>
      <c r="I617" s="162">
        <f>G617</f>
        <v>1</v>
      </c>
      <c r="J617" s="162">
        <f>H617</f>
        <v>0</v>
      </c>
      <c r="K617" s="162">
        <f>I617</f>
        <v>1</v>
      </c>
      <c r="L617" s="162">
        <f>J617</f>
        <v>0</v>
      </c>
      <c r="M617" s="162"/>
      <c r="N617" s="162"/>
      <c r="O617" s="162"/>
      <c r="P617" s="160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</row>
    <row r="618" spans="1:234" ht="11.25" hidden="1">
      <c r="A618" s="32" t="s">
        <v>335</v>
      </c>
      <c r="B618" s="8"/>
      <c r="C618" s="8"/>
      <c r="D618" s="161"/>
      <c r="E618" s="162"/>
      <c r="F618" s="162"/>
      <c r="G618" s="162">
        <v>1487</v>
      </c>
      <c r="H618" s="162"/>
      <c r="I618" s="162">
        <f>G618</f>
        <v>1487</v>
      </c>
      <c r="J618" s="162"/>
      <c r="K618" s="162"/>
      <c r="L618" s="162"/>
      <c r="M618" s="162"/>
      <c r="N618" s="162"/>
      <c r="O618" s="162"/>
      <c r="P618" s="160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</row>
    <row r="619" spans="1:234" ht="11.25">
      <c r="A619" s="31" t="s">
        <v>8</v>
      </c>
      <c r="B619" s="8"/>
      <c r="C619" s="8"/>
      <c r="D619" s="148"/>
      <c r="E619" s="145"/>
      <c r="F619" s="145"/>
      <c r="G619" s="19"/>
      <c r="H619" s="7"/>
      <c r="I619" s="7"/>
      <c r="J619" s="7"/>
      <c r="K619" s="7"/>
      <c r="L619" s="7"/>
      <c r="M619" s="7"/>
      <c r="N619" s="7"/>
      <c r="O619" s="7"/>
      <c r="P619" s="160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</row>
    <row r="620" spans="1:234" ht="11.25">
      <c r="A620" s="32" t="s">
        <v>321</v>
      </c>
      <c r="B620" s="8"/>
      <c r="C620" s="8"/>
      <c r="D620" s="147"/>
      <c r="E620" s="145"/>
      <c r="F620" s="146"/>
      <c r="G620" s="19">
        <v>465000</v>
      </c>
      <c r="H620" s="7"/>
      <c r="I620" s="7">
        <f>G620</f>
        <v>465000</v>
      </c>
      <c r="J620" s="7"/>
      <c r="K620" s="7"/>
      <c r="L620" s="7"/>
      <c r="M620" s="7"/>
      <c r="N620" s="7"/>
      <c r="O620" s="7"/>
      <c r="P620" s="16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</row>
    <row r="621" spans="1:234" ht="11.25" hidden="1">
      <c r="A621" s="32"/>
      <c r="B621" s="8"/>
      <c r="C621" s="8"/>
      <c r="D621" s="19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160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</row>
    <row r="622" spans="1:234" ht="11.25" hidden="1">
      <c r="A622" s="32"/>
      <c r="B622" s="8"/>
      <c r="C622" s="8"/>
      <c r="D622" s="19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160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</row>
    <row r="623" spans="1:234" ht="11.25" hidden="1">
      <c r="A623" s="32"/>
      <c r="B623" s="8"/>
      <c r="C623" s="8"/>
      <c r="D623" s="19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160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</row>
    <row r="624" spans="1:234" ht="11.25" hidden="1">
      <c r="A624" s="32"/>
      <c r="B624" s="8"/>
      <c r="C624" s="8"/>
      <c r="D624" s="19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160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</row>
    <row r="625" spans="1:234" ht="11.25" hidden="1">
      <c r="A625" s="32"/>
      <c r="B625" s="8"/>
      <c r="C625" s="8"/>
      <c r="D625" s="19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160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</row>
    <row r="626" spans="1:234" ht="21" customHeight="1" hidden="1">
      <c r="A626" s="32" t="s">
        <v>336</v>
      </c>
      <c r="B626" s="8"/>
      <c r="C626" s="8"/>
      <c r="D626" s="19"/>
      <c r="E626" s="7"/>
      <c r="F626" s="7"/>
      <c r="G626" s="7">
        <v>3000</v>
      </c>
      <c r="H626" s="7"/>
      <c r="I626" s="7">
        <f>G626</f>
        <v>3000</v>
      </c>
      <c r="J626" s="7"/>
      <c r="K626" s="7"/>
      <c r="L626" s="7"/>
      <c r="M626" s="7"/>
      <c r="N626" s="7"/>
      <c r="O626" s="7"/>
      <c r="P626" s="160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</row>
    <row r="627" spans="1:16" s="187" customFormat="1" ht="12">
      <c r="A627" s="225">
        <v>180409</v>
      </c>
      <c r="B627" s="174"/>
      <c r="C627" s="174"/>
      <c r="D627" s="192">
        <f>D629+D643+D682+D691+D698</f>
        <v>0</v>
      </c>
      <c r="E627" s="192"/>
      <c r="F627" s="192">
        <f>D627</f>
        <v>0</v>
      </c>
      <c r="G627" s="192"/>
      <c r="H627" s="192">
        <f>H629</f>
        <v>64548181</v>
      </c>
      <c r="I627" s="192">
        <f>H627</f>
        <v>64548181</v>
      </c>
      <c r="J627" s="192"/>
      <c r="K627" s="192"/>
      <c r="L627" s="192"/>
      <c r="M627" s="192"/>
      <c r="N627" s="192"/>
      <c r="O627" s="193"/>
      <c r="P627" s="186"/>
    </row>
    <row r="628" spans="1:234" ht="22.5">
      <c r="A628" s="32" t="s">
        <v>322</v>
      </c>
      <c r="B628" s="8"/>
      <c r="C628" s="8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160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</row>
    <row r="629" spans="1:16" s="195" customFormat="1" ht="33.75">
      <c r="A629" s="182" t="s">
        <v>406</v>
      </c>
      <c r="B629" s="191"/>
      <c r="C629" s="191"/>
      <c r="D629" s="192"/>
      <c r="E629" s="193"/>
      <c r="F629" s="193">
        <f>D629</f>
        <v>0</v>
      </c>
      <c r="G629" s="193"/>
      <c r="H629" s="193">
        <f>H631</f>
        <v>64548181</v>
      </c>
      <c r="I629" s="193">
        <f>H629</f>
        <v>64548181</v>
      </c>
      <c r="J629" s="193"/>
      <c r="K629" s="193"/>
      <c r="L629" s="193"/>
      <c r="M629" s="193"/>
      <c r="N629" s="193"/>
      <c r="O629" s="193"/>
      <c r="P629" s="223"/>
    </row>
    <row r="630" spans="1:234" ht="11.25">
      <c r="A630" s="31" t="s">
        <v>5</v>
      </c>
      <c r="B630" s="8"/>
      <c r="C630" s="8"/>
      <c r="D630" s="19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16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</row>
    <row r="631" spans="1:234" ht="11.25">
      <c r="A631" s="32" t="s">
        <v>82</v>
      </c>
      <c r="B631" s="8"/>
      <c r="C631" s="8"/>
      <c r="D631" s="19"/>
      <c r="E631" s="7"/>
      <c r="F631" s="7">
        <f>D631</f>
        <v>0</v>
      </c>
      <c r="G631" s="7"/>
      <c r="H631" s="7">
        <f>49855600+12000000+250000+1116250+339900+677700+277200+14159+17372</f>
        <v>64548181</v>
      </c>
      <c r="I631" s="7">
        <f>H631</f>
        <v>64548181</v>
      </c>
      <c r="J631" s="7"/>
      <c r="K631" s="7"/>
      <c r="L631" s="7"/>
      <c r="M631" s="7"/>
      <c r="N631" s="7"/>
      <c r="O631" s="10"/>
      <c r="P631" s="160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</row>
    <row r="632" spans="1:234" ht="11.25">
      <c r="A632" s="31" t="s">
        <v>6</v>
      </c>
      <c r="B632" s="8"/>
      <c r="C632" s="8"/>
      <c r="D632" s="19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10"/>
      <c r="P632" s="160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</row>
    <row r="633" spans="1:234" ht="33.75">
      <c r="A633" s="32" t="s">
        <v>323</v>
      </c>
      <c r="B633" s="8"/>
      <c r="C633" s="8"/>
      <c r="D633" s="19"/>
      <c r="E633" s="7"/>
      <c r="F633" s="7"/>
      <c r="G633" s="10"/>
      <c r="H633" s="10">
        <v>7</v>
      </c>
      <c r="I633" s="10">
        <v>7</v>
      </c>
      <c r="J633" s="10"/>
      <c r="K633" s="10"/>
      <c r="L633" s="10"/>
      <c r="M633" s="10"/>
      <c r="N633" s="10"/>
      <c r="O633" s="7"/>
      <c r="P633" s="160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</row>
    <row r="634" spans="1:234" ht="11.25">
      <c r="A634" s="31" t="s">
        <v>8</v>
      </c>
      <c r="B634" s="8"/>
      <c r="C634" s="8"/>
      <c r="D634" s="19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160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</row>
    <row r="635" spans="1:234" ht="24.75" customHeight="1">
      <c r="A635" s="32" t="s">
        <v>324</v>
      </c>
      <c r="B635" s="8"/>
      <c r="C635" s="8"/>
      <c r="D635" s="19"/>
      <c r="E635" s="7"/>
      <c r="F635" s="7"/>
      <c r="G635" s="7"/>
      <c r="H635" s="7">
        <f>H631/H633</f>
        <v>9221168.714285715</v>
      </c>
      <c r="I635" s="7">
        <f>I631/I633</f>
        <v>9221168.714285715</v>
      </c>
      <c r="J635" s="7"/>
      <c r="K635" s="7"/>
      <c r="L635" s="7"/>
      <c r="M635" s="7"/>
      <c r="N635" s="7"/>
      <c r="O635" s="160"/>
      <c r="P635" s="160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</row>
    <row r="636" spans="1:234" ht="11.25" hidden="1">
      <c r="A636" s="32"/>
      <c r="B636" s="8"/>
      <c r="C636" s="8"/>
      <c r="D636" s="19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160"/>
      <c r="P636" s="160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</row>
    <row r="637" spans="1:234" ht="11.25" hidden="1">
      <c r="A637" s="32"/>
      <c r="B637" s="8"/>
      <c r="C637" s="8"/>
      <c r="D637" s="19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160"/>
      <c r="P637" s="160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</row>
    <row r="638" spans="1:234" ht="11.25" hidden="1">
      <c r="A638" s="32"/>
      <c r="B638" s="8"/>
      <c r="C638" s="8"/>
      <c r="D638" s="19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160"/>
      <c r="P638" s="160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</row>
    <row r="639" spans="1:234" ht="11.25" hidden="1">
      <c r="A639" s="32"/>
      <c r="B639" s="8"/>
      <c r="C639" s="8"/>
      <c r="D639" s="19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160"/>
      <c r="P639" s="160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</row>
    <row r="640" spans="1:234" ht="11.25" hidden="1">
      <c r="A640" s="32"/>
      <c r="B640" s="8"/>
      <c r="C640" s="8"/>
      <c r="D640" s="19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160"/>
      <c r="P640" s="16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</row>
    <row r="641" spans="1:234" ht="11.25" hidden="1">
      <c r="A641" s="32"/>
      <c r="B641" s="8"/>
      <c r="C641" s="8"/>
      <c r="D641" s="19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160"/>
      <c r="P641" s="160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</row>
    <row r="642" spans="1:234" ht="11.25" hidden="1">
      <c r="A642" s="32"/>
      <c r="B642" s="8"/>
      <c r="C642" s="8"/>
      <c r="D642" s="19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160"/>
      <c r="P642" s="160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</row>
    <row r="643" spans="1:234" ht="12">
      <c r="A643" s="24">
        <v>250380</v>
      </c>
      <c r="B643" s="8"/>
      <c r="C643" s="8"/>
      <c r="D643" s="38">
        <f>D645+D680+D691+D700+D708</f>
        <v>0</v>
      </c>
      <c r="E643" s="38"/>
      <c r="F643" s="38">
        <f>D643</f>
        <v>0</v>
      </c>
      <c r="G643" s="38">
        <f>G645</f>
        <v>229500</v>
      </c>
      <c r="H643" s="38">
        <f>H645</f>
        <v>750500</v>
      </c>
      <c r="I643" s="38">
        <f>G643+H643</f>
        <v>980000</v>
      </c>
      <c r="J643" s="38"/>
      <c r="K643" s="38"/>
      <c r="L643" s="38"/>
      <c r="M643" s="38"/>
      <c r="N643" s="38"/>
      <c r="O643" s="36"/>
      <c r="P643" s="160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</row>
    <row r="644" spans="1:234" ht="56.25">
      <c r="A644" s="32" t="s">
        <v>349</v>
      </c>
      <c r="B644" s="8"/>
      <c r="C644" s="8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160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</row>
    <row r="645" spans="1:16" s="195" customFormat="1" ht="36" customHeight="1">
      <c r="A645" s="182" t="s">
        <v>407</v>
      </c>
      <c r="B645" s="191"/>
      <c r="C645" s="191"/>
      <c r="D645" s="192"/>
      <c r="E645" s="193"/>
      <c r="F645" s="193">
        <f>D645</f>
        <v>0</v>
      </c>
      <c r="G645" s="193">
        <f>G647</f>
        <v>229500</v>
      </c>
      <c r="H645" s="193">
        <f>H647</f>
        <v>750500</v>
      </c>
      <c r="I645" s="193">
        <f>G645+H645</f>
        <v>980000</v>
      </c>
      <c r="J645" s="193"/>
      <c r="K645" s="193"/>
      <c r="L645" s="193"/>
      <c r="M645" s="193"/>
      <c r="N645" s="193"/>
      <c r="O645" s="193"/>
      <c r="P645" s="223"/>
    </row>
    <row r="646" spans="1:234" ht="11.25">
      <c r="A646" s="31" t="s">
        <v>5</v>
      </c>
      <c r="B646" s="8"/>
      <c r="C646" s="8"/>
      <c r="D646" s="19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160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</row>
    <row r="647" spans="1:234" ht="11.25">
      <c r="A647" s="32" t="s">
        <v>82</v>
      </c>
      <c r="B647" s="8"/>
      <c r="C647" s="8"/>
      <c r="D647" s="19"/>
      <c r="E647" s="7"/>
      <c r="F647" s="7">
        <f>D647</f>
        <v>0</v>
      </c>
      <c r="G647" s="7">
        <v>229500</v>
      </c>
      <c r="H647" s="7">
        <v>750500</v>
      </c>
      <c r="I647" s="7">
        <f>G647+H647</f>
        <v>980000</v>
      </c>
      <c r="J647" s="7"/>
      <c r="K647" s="7"/>
      <c r="L647" s="7"/>
      <c r="M647" s="7"/>
      <c r="N647" s="7"/>
      <c r="O647" s="10"/>
      <c r="P647" s="160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</row>
    <row r="648" spans="1:234" ht="11.25">
      <c r="A648" s="31" t="s">
        <v>6</v>
      </c>
      <c r="B648" s="8"/>
      <c r="C648" s="8"/>
      <c r="D648" s="19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10"/>
      <c r="P648" s="160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</row>
    <row r="649" spans="1:234" ht="22.5">
      <c r="A649" s="32" t="s">
        <v>352</v>
      </c>
      <c r="B649" s="8"/>
      <c r="C649" s="8"/>
      <c r="D649" s="19"/>
      <c r="E649" s="7"/>
      <c r="F649" s="7"/>
      <c r="G649" s="10">
        <v>1</v>
      </c>
      <c r="H649" s="10">
        <v>1</v>
      </c>
      <c r="I649" s="10">
        <v>1</v>
      </c>
      <c r="J649" s="10"/>
      <c r="K649" s="10"/>
      <c r="L649" s="10"/>
      <c r="M649" s="10"/>
      <c r="N649" s="10"/>
      <c r="O649" s="7"/>
      <c r="P649" s="160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</row>
    <row r="650" spans="1:234" ht="11.25">
      <c r="A650" s="31" t="s">
        <v>8</v>
      </c>
      <c r="B650" s="8"/>
      <c r="C650" s="8"/>
      <c r="D650" s="19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16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</row>
    <row r="651" spans="1:234" ht="22.5">
      <c r="A651" s="32" t="s">
        <v>353</v>
      </c>
      <c r="B651" s="8"/>
      <c r="C651" s="8"/>
      <c r="D651" s="19"/>
      <c r="E651" s="7"/>
      <c r="F651" s="7"/>
      <c r="G651" s="7">
        <f>G647/G649</f>
        <v>229500</v>
      </c>
      <c r="H651" s="7">
        <f>H647/H649</f>
        <v>750500</v>
      </c>
      <c r="I651" s="177">
        <f>I647/I649</f>
        <v>980000</v>
      </c>
      <c r="J651" s="177"/>
      <c r="K651" s="177"/>
      <c r="L651" s="177"/>
      <c r="M651" s="177"/>
      <c r="N651" s="177"/>
      <c r="O651" s="160"/>
      <c r="P651" s="160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</row>
    <row r="652" spans="1:234" ht="12">
      <c r="A652" s="24">
        <v>100101</v>
      </c>
      <c r="B652" s="41"/>
      <c r="C652" s="41"/>
      <c r="D652" s="38">
        <f>D655</f>
        <v>0</v>
      </c>
      <c r="E652" s="38">
        <v>0</v>
      </c>
      <c r="F652" s="38">
        <f>D652</f>
        <v>0</v>
      </c>
      <c r="G652" s="38">
        <f>G655</f>
        <v>4461000</v>
      </c>
      <c r="H652" s="38"/>
      <c r="I652" s="38">
        <f>I655</f>
        <v>4461000</v>
      </c>
      <c r="J652" s="38"/>
      <c r="K652" s="38"/>
      <c r="L652" s="38"/>
      <c r="M652" s="38">
        <f>M655</f>
        <v>0</v>
      </c>
      <c r="N652" s="38"/>
      <c r="O652" s="38">
        <f>O655</f>
        <v>0</v>
      </c>
      <c r="P652" s="160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</row>
    <row r="653" spans="1:234" ht="33.75">
      <c r="A653" s="33" t="s">
        <v>282</v>
      </c>
      <c r="B653" s="8"/>
      <c r="C653" s="8"/>
      <c r="D653" s="19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160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</row>
    <row r="654" spans="1:234" ht="22.5">
      <c r="A654" s="32" t="s">
        <v>341</v>
      </c>
      <c r="B654" s="8"/>
      <c r="C654" s="8"/>
      <c r="D654" s="115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160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</row>
    <row r="655" spans="1:16" s="195" customFormat="1" ht="37.5" customHeight="1">
      <c r="A655" s="182" t="s">
        <v>408</v>
      </c>
      <c r="B655" s="191"/>
      <c r="C655" s="191"/>
      <c r="D655" s="221"/>
      <c r="E655" s="222"/>
      <c r="F655" s="221">
        <f>D655</f>
        <v>0</v>
      </c>
      <c r="G655" s="192">
        <f>4461000</f>
        <v>4461000</v>
      </c>
      <c r="H655" s="193"/>
      <c r="I655" s="193">
        <f>G655</f>
        <v>4461000</v>
      </c>
      <c r="J655" s="193"/>
      <c r="K655" s="193"/>
      <c r="L655" s="193"/>
      <c r="M655" s="193"/>
      <c r="N655" s="193"/>
      <c r="O655" s="193"/>
      <c r="P655" s="223"/>
    </row>
    <row r="656" spans="1:234" ht="11.25">
      <c r="A656" s="31" t="s">
        <v>5</v>
      </c>
      <c r="B656" s="8"/>
      <c r="C656" s="8"/>
      <c r="D656" s="148"/>
      <c r="E656" s="145"/>
      <c r="F656" s="145"/>
      <c r="G656" s="19"/>
      <c r="H656" s="7"/>
      <c r="I656" s="7"/>
      <c r="J656" s="7"/>
      <c r="K656" s="7"/>
      <c r="L656" s="7"/>
      <c r="M656" s="7"/>
      <c r="N656" s="7"/>
      <c r="O656" s="7"/>
      <c r="P656" s="160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</row>
    <row r="657" spans="1:234" ht="10.5" customHeight="1">
      <c r="A657" s="32" t="s">
        <v>82</v>
      </c>
      <c r="B657" s="8"/>
      <c r="C657" s="8"/>
      <c r="D657" s="148"/>
      <c r="E657" s="145"/>
      <c r="F657" s="145"/>
      <c r="G657" s="19">
        <f>4461000</f>
        <v>4461000</v>
      </c>
      <c r="H657" s="7"/>
      <c r="I657" s="7">
        <f>G657</f>
        <v>4461000</v>
      </c>
      <c r="J657" s="7"/>
      <c r="K657" s="7"/>
      <c r="L657" s="7"/>
      <c r="M657" s="7"/>
      <c r="N657" s="7"/>
      <c r="O657" s="7"/>
      <c r="P657" s="160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</row>
    <row r="658" spans="1:234" ht="11.25" hidden="1">
      <c r="A658" s="32" t="s">
        <v>82</v>
      </c>
      <c r="B658" s="8"/>
      <c r="C658" s="8"/>
      <c r="D658" s="148"/>
      <c r="E658" s="145"/>
      <c r="F658" s="145"/>
      <c r="G658" s="19"/>
      <c r="H658" s="7"/>
      <c r="I658" s="7"/>
      <c r="J658" s="7"/>
      <c r="K658" s="7"/>
      <c r="L658" s="7"/>
      <c r="M658" s="7"/>
      <c r="N658" s="7"/>
      <c r="O658" s="7"/>
      <c r="P658" s="160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</row>
    <row r="659" spans="1:234" ht="11.25">
      <c r="A659" s="31" t="s">
        <v>6</v>
      </c>
      <c r="B659" s="8"/>
      <c r="C659" s="8"/>
      <c r="D659" s="148"/>
      <c r="E659" s="145"/>
      <c r="F659" s="145"/>
      <c r="G659" s="19"/>
      <c r="H659" s="7"/>
      <c r="I659" s="7"/>
      <c r="J659" s="7"/>
      <c r="K659" s="7"/>
      <c r="L659" s="7"/>
      <c r="M659" s="7"/>
      <c r="N659" s="7"/>
      <c r="O659" s="7"/>
      <c r="P659" s="160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</row>
    <row r="660" spans="1:234" ht="0.75" customHeight="1" hidden="1">
      <c r="A660" s="32" t="s">
        <v>320</v>
      </c>
      <c r="B660" s="8"/>
      <c r="C660" s="8"/>
      <c r="D660" s="161"/>
      <c r="E660" s="162"/>
      <c r="F660" s="162">
        <f>D660</f>
        <v>0</v>
      </c>
      <c r="G660" s="162">
        <v>1</v>
      </c>
      <c r="H660" s="162"/>
      <c r="I660" s="162">
        <f>G660</f>
        <v>1</v>
      </c>
      <c r="J660" s="7"/>
      <c r="K660" s="7"/>
      <c r="L660" s="7"/>
      <c r="M660" s="7"/>
      <c r="N660" s="7"/>
      <c r="O660" s="7"/>
      <c r="P660" s="1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</row>
    <row r="661" spans="1:234" ht="11.25">
      <c r="A661" s="32" t="s">
        <v>335</v>
      </c>
      <c r="B661" s="8"/>
      <c r="C661" s="8"/>
      <c r="D661" s="161"/>
      <c r="E661" s="162"/>
      <c r="F661" s="162"/>
      <c r="G661" s="162">
        <v>1487</v>
      </c>
      <c r="H661" s="162"/>
      <c r="I661" s="162">
        <f>G661</f>
        <v>1487</v>
      </c>
      <c r="J661" s="7"/>
      <c r="K661" s="7"/>
      <c r="L661" s="7"/>
      <c r="M661" s="7"/>
      <c r="N661" s="7"/>
      <c r="O661" s="7"/>
      <c r="P661" s="160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</row>
    <row r="662" spans="1:234" ht="10.5" customHeight="1">
      <c r="A662" s="31" t="s">
        <v>8</v>
      </c>
      <c r="B662" s="8"/>
      <c r="C662" s="8"/>
      <c r="D662" s="148"/>
      <c r="E662" s="145"/>
      <c r="F662" s="145"/>
      <c r="G662" s="19"/>
      <c r="H662" s="7"/>
      <c r="I662" s="7"/>
      <c r="J662" s="7"/>
      <c r="K662" s="7"/>
      <c r="L662" s="7"/>
      <c r="M662" s="7"/>
      <c r="N662" s="7"/>
      <c r="O662" s="7"/>
      <c r="P662" s="160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</row>
    <row r="663" spans="1:234" ht="15" customHeight="1" hidden="1">
      <c r="A663" s="32" t="s">
        <v>321</v>
      </c>
      <c r="B663" s="8"/>
      <c r="C663" s="8"/>
      <c r="D663" s="147"/>
      <c r="E663" s="145"/>
      <c r="F663" s="146"/>
      <c r="G663" s="19">
        <v>465000</v>
      </c>
      <c r="H663" s="7"/>
      <c r="I663" s="7">
        <f>G663</f>
        <v>465000</v>
      </c>
      <c r="J663" s="7"/>
      <c r="K663" s="7"/>
      <c r="L663" s="7"/>
      <c r="M663" s="7"/>
      <c r="N663" s="7"/>
      <c r="O663" s="7"/>
      <c r="P663" s="160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</row>
    <row r="664" spans="1:234" ht="11.25" hidden="1">
      <c r="A664" s="32"/>
      <c r="B664" s="8"/>
      <c r="C664" s="8"/>
      <c r="D664" s="19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160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</row>
    <row r="665" spans="1:234" ht="11.25" hidden="1">
      <c r="A665" s="32"/>
      <c r="B665" s="8"/>
      <c r="C665" s="8"/>
      <c r="D665" s="19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160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</row>
    <row r="666" spans="1:234" ht="11.25" hidden="1">
      <c r="A666" s="32"/>
      <c r="B666" s="8"/>
      <c r="C666" s="8"/>
      <c r="D666" s="19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160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</row>
    <row r="667" spans="1:234" ht="11.25" hidden="1">
      <c r="A667" s="32"/>
      <c r="B667" s="8"/>
      <c r="C667" s="8"/>
      <c r="D667" s="19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160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</row>
    <row r="668" spans="1:234" ht="11.25" hidden="1">
      <c r="A668" s="32"/>
      <c r="B668" s="8"/>
      <c r="C668" s="8"/>
      <c r="D668" s="19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160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</row>
    <row r="669" spans="1:234" ht="15.75" customHeight="1">
      <c r="A669" s="32" t="s">
        <v>336</v>
      </c>
      <c r="B669" s="8"/>
      <c r="C669" s="8"/>
      <c r="D669" s="19"/>
      <c r="E669" s="7"/>
      <c r="F669" s="7"/>
      <c r="G669" s="7">
        <v>3000</v>
      </c>
      <c r="H669" s="7"/>
      <c r="I669" s="7">
        <f>G669</f>
        <v>3000</v>
      </c>
      <c r="J669" s="7"/>
      <c r="K669" s="7"/>
      <c r="L669" s="7"/>
      <c r="M669" s="7"/>
      <c r="N669" s="7"/>
      <c r="O669" s="7"/>
      <c r="P669" s="160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</row>
    <row r="670" spans="1:16" s="187" customFormat="1" ht="12.75">
      <c r="A670" s="185" t="s">
        <v>356</v>
      </c>
      <c r="B670" s="174"/>
      <c r="C670" s="174"/>
      <c r="D670" s="175"/>
      <c r="E670" s="176"/>
      <c r="F670" s="176"/>
      <c r="G670" s="176">
        <f>G671</f>
        <v>350000</v>
      </c>
      <c r="H670" s="176"/>
      <c r="I670" s="176">
        <f>G670</f>
        <v>350000</v>
      </c>
      <c r="J670" s="176"/>
      <c r="K670" s="176"/>
      <c r="L670" s="176"/>
      <c r="M670" s="176"/>
      <c r="N670" s="176"/>
      <c r="O670" s="176"/>
      <c r="P670" s="186"/>
    </row>
    <row r="671" spans="1:16" s="195" customFormat="1" ht="22.5">
      <c r="A671" s="182" t="s">
        <v>409</v>
      </c>
      <c r="B671" s="191"/>
      <c r="C671" s="191"/>
      <c r="D671" s="192"/>
      <c r="E671" s="193"/>
      <c r="F671" s="193"/>
      <c r="G671" s="193">
        <f>G673</f>
        <v>350000</v>
      </c>
      <c r="H671" s="193"/>
      <c r="I671" s="193">
        <f>G671</f>
        <v>350000</v>
      </c>
      <c r="J671" s="193"/>
      <c r="K671" s="193"/>
      <c r="L671" s="193"/>
      <c r="M671" s="193"/>
      <c r="N671" s="193"/>
      <c r="O671" s="193"/>
      <c r="P671" s="223"/>
    </row>
    <row r="672" spans="1:234" ht="11.25">
      <c r="A672" s="31" t="s">
        <v>5</v>
      </c>
      <c r="B672" s="8"/>
      <c r="C672" s="8"/>
      <c r="D672" s="19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160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</row>
    <row r="673" spans="1:234" ht="22.5">
      <c r="A673" s="92" t="s">
        <v>98</v>
      </c>
      <c r="B673" s="8"/>
      <c r="C673" s="8"/>
      <c r="D673" s="19"/>
      <c r="E673" s="7"/>
      <c r="F673" s="7"/>
      <c r="G673" s="7">
        <f>300000+50000</f>
        <v>350000</v>
      </c>
      <c r="H673" s="7"/>
      <c r="I673" s="7">
        <f>G673</f>
        <v>350000</v>
      </c>
      <c r="J673" s="7"/>
      <c r="K673" s="7"/>
      <c r="L673" s="7"/>
      <c r="M673" s="7"/>
      <c r="N673" s="7"/>
      <c r="O673" s="7"/>
      <c r="P673" s="160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</row>
    <row r="674" spans="1:234" ht="11.25">
      <c r="A674" s="31" t="s">
        <v>6</v>
      </c>
      <c r="B674" s="8"/>
      <c r="C674" s="8"/>
      <c r="D674" s="19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160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</row>
    <row r="675" spans="1:234" ht="27.75" customHeight="1">
      <c r="A675" s="92" t="s">
        <v>97</v>
      </c>
      <c r="B675" s="8"/>
      <c r="C675" s="8"/>
      <c r="D675" s="19"/>
      <c r="E675" s="7"/>
      <c r="F675" s="7"/>
      <c r="G675" s="7">
        <v>12</v>
      </c>
      <c r="H675" s="7"/>
      <c r="I675" s="7">
        <f>G675</f>
        <v>12</v>
      </c>
      <c r="J675" s="7"/>
      <c r="K675" s="7"/>
      <c r="L675" s="7"/>
      <c r="M675" s="7"/>
      <c r="N675" s="7"/>
      <c r="O675" s="7"/>
      <c r="P675" s="160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</row>
    <row r="676" spans="1:234" ht="11.25">
      <c r="A676" s="31" t="s">
        <v>8</v>
      </c>
      <c r="B676" s="8"/>
      <c r="C676" s="8"/>
      <c r="D676" s="19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160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</row>
    <row r="677" spans="1:234" ht="33.75">
      <c r="A677" s="92" t="s">
        <v>101</v>
      </c>
      <c r="B677" s="8"/>
      <c r="C677" s="8"/>
      <c r="D677" s="19"/>
      <c r="E677" s="7"/>
      <c r="F677" s="7"/>
      <c r="G677" s="7">
        <f>G673/G675</f>
        <v>29166.666666666668</v>
      </c>
      <c r="H677" s="7"/>
      <c r="I677" s="7">
        <f>G677</f>
        <v>29166.666666666668</v>
      </c>
      <c r="J677" s="7"/>
      <c r="K677" s="7"/>
      <c r="L677" s="7"/>
      <c r="M677" s="7"/>
      <c r="N677" s="7"/>
      <c r="O677" s="7"/>
      <c r="P677" s="160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</row>
    <row r="678" spans="1:234" ht="11.25">
      <c r="A678" s="155"/>
      <c r="B678" s="85"/>
      <c r="C678" s="85"/>
      <c r="D678" s="159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</row>
    <row r="679" spans="1:234" ht="11.25">
      <c r="A679" s="155"/>
      <c r="B679" s="85"/>
      <c r="C679" s="85"/>
      <c r="D679" s="159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</row>
    <row r="680" spans="1:234" ht="6.75" customHeight="1">
      <c r="A680" s="155"/>
      <c r="B680" s="85"/>
      <c r="C680" s="85"/>
      <c r="D680" s="159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</row>
    <row r="681" spans="1:234" ht="11.25" hidden="1">
      <c r="A681" s="155"/>
      <c r="B681" s="85"/>
      <c r="C681" s="85"/>
      <c r="D681" s="159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</row>
    <row r="682" spans="1:234" ht="11.25" hidden="1">
      <c r="A682" s="155"/>
      <c r="B682" s="85"/>
      <c r="C682" s="85"/>
      <c r="D682" s="159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</row>
    <row r="683" spans="1:234" ht="11.25" hidden="1">
      <c r="A683" s="155"/>
      <c r="B683" s="85"/>
      <c r="C683" s="85"/>
      <c r="D683" s="159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</row>
    <row r="684" spans="1:234" ht="11.25" hidden="1">
      <c r="A684" s="155"/>
      <c r="B684" s="85"/>
      <c r="C684" s="85"/>
      <c r="D684" s="159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</row>
    <row r="685" spans="1:234" ht="11.25" hidden="1">
      <c r="A685" s="155"/>
      <c r="B685" s="85"/>
      <c r="C685" s="85"/>
      <c r="D685" s="159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</row>
    <row r="686" spans="1:234" ht="11.25" hidden="1">
      <c r="A686" s="155"/>
      <c r="B686" s="85"/>
      <c r="C686" s="85"/>
      <c r="D686" s="159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</row>
    <row r="687" spans="1:234" ht="11.25" hidden="1">
      <c r="A687" s="155"/>
      <c r="B687" s="85"/>
      <c r="C687" s="85"/>
      <c r="D687" s="159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</row>
    <row r="688" spans="1:234" ht="11.25" hidden="1">
      <c r="A688" s="155"/>
      <c r="B688" s="85"/>
      <c r="C688" s="85"/>
      <c r="D688" s="159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</row>
    <row r="689" spans="1:234" ht="11.25" hidden="1">
      <c r="A689" s="155"/>
      <c r="B689" s="85"/>
      <c r="C689" s="85"/>
      <c r="D689" s="159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</row>
    <row r="690" spans="1:234" ht="10.5" customHeight="1" hidden="1">
      <c r="A690" s="155"/>
      <c r="B690" s="85"/>
      <c r="C690" s="85"/>
      <c r="D690" s="156"/>
      <c r="E690" s="157"/>
      <c r="F690" s="158"/>
      <c r="G690" s="159"/>
      <c r="H690" s="160"/>
      <c r="I690" s="160"/>
      <c r="J690" s="160"/>
      <c r="K690" s="160"/>
      <c r="L690" s="160"/>
      <c r="M690" s="160"/>
      <c r="N690" s="160"/>
      <c r="O690" s="160"/>
      <c r="P690" s="16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</row>
    <row r="691" spans="1:234" ht="11.25" hidden="1">
      <c r="A691" s="155"/>
      <c r="B691" s="85"/>
      <c r="C691" s="85"/>
      <c r="D691" s="156"/>
      <c r="E691" s="157"/>
      <c r="F691" s="158"/>
      <c r="G691" s="159"/>
      <c r="H691" s="160"/>
      <c r="I691" s="160"/>
      <c r="J691" s="160"/>
      <c r="K691" s="160"/>
      <c r="L691" s="160"/>
      <c r="M691" s="160"/>
      <c r="N691" s="160"/>
      <c r="O691" s="160"/>
      <c r="P691" s="160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</row>
    <row r="692" spans="1:234" ht="11.25" hidden="1">
      <c r="A692" s="155"/>
      <c r="B692" s="85"/>
      <c r="C692" s="85"/>
      <c r="D692" s="156"/>
      <c r="E692" s="157"/>
      <c r="F692" s="158"/>
      <c r="G692" s="159"/>
      <c r="H692" s="160"/>
      <c r="I692" s="160"/>
      <c r="J692" s="160"/>
      <c r="K692" s="160"/>
      <c r="L692" s="160"/>
      <c r="M692" s="160"/>
      <c r="N692" s="160"/>
      <c r="O692" s="160"/>
      <c r="P692" s="160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</row>
    <row r="693" spans="1:234" ht="11.25" hidden="1">
      <c r="A693" s="155"/>
      <c r="B693" s="85"/>
      <c r="C693" s="85"/>
      <c r="D693" s="156"/>
      <c r="E693" s="157"/>
      <c r="F693" s="158"/>
      <c r="G693" s="159"/>
      <c r="H693" s="160"/>
      <c r="I693" s="160"/>
      <c r="J693" s="160"/>
      <c r="K693" s="160"/>
      <c r="L693" s="160"/>
      <c r="M693" s="160"/>
      <c r="N693" s="160"/>
      <c r="O693" s="160"/>
      <c r="P693" s="160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</row>
    <row r="694" spans="1:234" ht="11.25" hidden="1">
      <c r="A694" s="155"/>
      <c r="B694" s="85"/>
      <c r="C694" s="85"/>
      <c r="D694" s="156"/>
      <c r="E694" s="157"/>
      <c r="F694" s="158"/>
      <c r="G694" s="159"/>
      <c r="H694" s="160"/>
      <c r="I694" s="160"/>
      <c r="J694" s="160"/>
      <c r="K694" s="160"/>
      <c r="L694" s="160"/>
      <c r="M694" s="160"/>
      <c r="N694" s="160"/>
      <c r="O694" s="160"/>
      <c r="P694" s="160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</row>
    <row r="695" spans="1:234" ht="11.25" hidden="1">
      <c r="A695" s="155"/>
      <c r="B695" s="85"/>
      <c r="C695" s="85"/>
      <c r="D695" s="156"/>
      <c r="E695" s="157"/>
      <c r="F695" s="158"/>
      <c r="G695" s="159"/>
      <c r="H695" s="160"/>
      <c r="I695" s="160"/>
      <c r="J695" s="160"/>
      <c r="K695" s="160"/>
      <c r="L695" s="160"/>
      <c r="M695" s="160"/>
      <c r="N695" s="160"/>
      <c r="O695" s="160"/>
      <c r="P695" s="160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</row>
    <row r="696" spans="1:234" ht="11.25" hidden="1">
      <c r="A696" s="155"/>
      <c r="B696" s="85"/>
      <c r="C696" s="85"/>
      <c r="D696" s="156"/>
      <c r="E696" s="157"/>
      <c r="F696" s="158"/>
      <c r="G696" s="159"/>
      <c r="H696" s="160"/>
      <c r="I696" s="160"/>
      <c r="J696" s="160"/>
      <c r="K696" s="160"/>
      <c r="L696" s="160"/>
      <c r="M696" s="160"/>
      <c r="N696" s="160"/>
      <c r="O696" s="160"/>
      <c r="P696" s="160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</row>
    <row r="697" spans="1:234" ht="11.25" hidden="1">
      <c r="A697" s="155"/>
      <c r="B697" s="85"/>
      <c r="C697" s="85"/>
      <c r="D697" s="156"/>
      <c r="E697" s="157"/>
      <c r="F697" s="158"/>
      <c r="G697" s="159"/>
      <c r="H697" s="160"/>
      <c r="I697" s="160"/>
      <c r="J697" s="160"/>
      <c r="K697" s="160"/>
      <c r="L697" s="160"/>
      <c r="M697" s="160"/>
      <c r="N697" s="160"/>
      <c r="O697" s="160"/>
      <c r="P697" s="160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</row>
    <row r="698" spans="1:234" ht="11.25" hidden="1">
      <c r="A698" s="155"/>
      <c r="B698" s="85"/>
      <c r="C698" s="85"/>
      <c r="D698" s="156"/>
      <c r="E698" s="157"/>
      <c r="F698" s="158"/>
      <c r="G698" s="159"/>
      <c r="H698" s="160"/>
      <c r="I698" s="160"/>
      <c r="J698" s="160"/>
      <c r="K698" s="160"/>
      <c r="L698" s="160"/>
      <c r="M698" s="160"/>
      <c r="N698" s="160"/>
      <c r="O698" s="160"/>
      <c r="P698" s="160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</row>
    <row r="699" spans="1:234" ht="12" customHeight="1" hidden="1">
      <c r="A699" s="155"/>
      <c r="B699" s="85"/>
      <c r="C699" s="85"/>
      <c r="D699" s="156"/>
      <c r="E699" s="157"/>
      <c r="F699" s="158"/>
      <c r="G699" s="159"/>
      <c r="H699" s="160"/>
      <c r="I699" s="160"/>
      <c r="J699" s="160"/>
      <c r="K699" s="160"/>
      <c r="L699" s="160"/>
      <c r="M699" s="160"/>
      <c r="N699" s="160"/>
      <c r="O699" s="160"/>
      <c r="P699" s="160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</row>
    <row r="700" spans="1:234" ht="11.25" hidden="1">
      <c r="A700" s="155"/>
      <c r="B700" s="85"/>
      <c r="C700" s="85"/>
      <c r="D700" s="156"/>
      <c r="E700" s="157"/>
      <c r="F700" s="158"/>
      <c r="G700" s="159"/>
      <c r="H700" s="160"/>
      <c r="I700" s="160"/>
      <c r="J700" s="160"/>
      <c r="K700" s="160"/>
      <c r="L700" s="160"/>
      <c r="M700" s="160"/>
      <c r="N700" s="160"/>
      <c r="O700" s="160"/>
      <c r="P700" s="16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</row>
    <row r="701" spans="1:234" ht="29.25" customHeight="1" hidden="1">
      <c r="A701" s="140"/>
      <c r="B701" s="140"/>
      <c r="C701" s="140"/>
      <c r="D701" s="140"/>
      <c r="E701" s="136"/>
      <c r="F701" s="136"/>
      <c r="G701" s="136"/>
      <c r="H701" s="136"/>
      <c r="I701" s="139"/>
      <c r="J701" s="139"/>
      <c r="K701" s="139"/>
      <c r="L701" s="139"/>
      <c r="M701" s="139"/>
      <c r="N701" s="139"/>
      <c r="O701" s="139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</row>
    <row r="702" spans="1:234" ht="20.25" customHeight="1">
      <c r="A702" s="243" t="s">
        <v>267</v>
      </c>
      <c r="B702" s="243"/>
      <c r="C702" s="243"/>
      <c r="D702" s="138"/>
      <c r="E702" s="138"/>
      <c r="F702" s="142"/>
      <c r="G702" s="173"/>
      <c r="H702" s="173"/>
      <c r="I702" s="137"/>
      <c r="J702" s="137"/>
      <c r="K702" s="137"/>
      <c r="L702" s="137"/>
      <c r="M702" s="173"/>
      <c r="N702" s="228" t="s">
        <v>268</v>
      </c>
      <c r="O702" s="228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</row>
    <row r="703" spans="1:234" ht="20.25" customHeight="1">
      <c r="A703" s="197"/>
      <c r="B703" s="197"/>
      <c r="C703" s="197"/>
      <c r="D703" s="138"/>
      <c r="E703" s="138"/>
      <c r="F703" s="142"/>
      <c r="G703" s="173"/>
      <c r="H703" s="173"/>
      <c r="I703" s="137"/>
      <c r="J703" s="137"/>
      <c r="K703" s="137"/>
      <c r="L703" s="137"/>
      <c r="M703" s="173"/>
      <c r="N703" s="198"/>
      <c r="O703" s="198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</row>
    <row r="704" spans="1:234" ht="18.75" customHeight="1">
      <c r="A704" s="242" t="s">
        <v>302</v>
      </c>
      <c r="B704" s="242"/>
      <c r="C704" s="141"/>
      <c r="D704" s="42"/>
      <c r="E704" s="138"/>
      <c r="F704" s="173"/>
      <c r="G704" s="138"/>
      <c r="H704" s="138"/>
      <c r="I704" s="143"/>
      <c r="J704" s="143"/>
      <c r="K704" s="143"/>
      <c r="L704" s="143"/>
      <c r="M704" s="143"/>
      <c r="N704" s="143"/>
      <c r="O704" s="143"/>
      <c r="P704" s="143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</row>
    <row r="705" spans="1:234" ht="27.75" customHeight="1">
      <c r="A705" s="80" t="s">
        <v>269</v>
      </c>
      <c r="B705" s="80"/>
      <c r="C705" s="45"/>
      <c r="D705" s="4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</row>
    <row r="706" spans="1:234" ht="28.5" customHeight="1">
      <c r="A706" s="43"/>
      <c r="B706" s="44"/>
      <c r="C706" s="35"/>
      <c r="D706" s="35"/>
      <c r="E706" s="35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</row>
    <row r="707" spans="1:234" ht="11.25">
      <c r="A707" s="5"/>
      <c r="B707" s="5"/>
      <c r="C707" s="5"/>
      <c r="D707" s="5"/>
      <c r="E707" s="5"/>
      <c r="F707" s="5"/>
      <c r="G707" s="5"/>
      <c r="H707" s="5"/>
      <c r="I707" s="5"/>
      <c r="J707" s="2"/>
      <c r="K707" s="2"/>
      <c r="L707" s="2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</row>
    <row r="708" spans="1:234" ht="11.25">
      <c r="A708" s="5"/>
      <c r="B708" s="5"/>
      <c r="C708" s="5"/>
      <c r="D708" s="5"/>
      <c r="E708" s="5"/>
      <c r="F708" s="5"/>
      <c r="G708" s="5"/>
      <c r="H708" s="5"/>
      <c r="I708" s="5"/>
      <c r="J708" s="2"/>
      <c r="K708" s="2"/>
      <c r="L708" s="2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</row>
    <row r="709" spans="1:234" ht="11.25">
      <c r="A709" s="5"/>
      <c r="B709" s="5"/>
      <c r="C709" s="5"/>
      <c r="D709" s="5"/>
      <c r="E709" s="5"/>
      <c r="F709" s="5"/>
      <c r="G709" s="5"/>
      <c r="H709" s="5"/>
      <c r="I709" s="5"/>
      <c r="J709" s="2"/>
      <c r="K709" s="2"/>
      <c r="L709" s="2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</row>
    <row r="710" spans="1:234" ht="11.25">
      <c r="A710" s="5"/>
      <c r="B710" s="5"/>
      <c r="C710" s="5"/>
      <c r="D710" s="5"/>
      <c r="E710" s="5"/>
      <c r="F710" s="5"/>
      <c r="G710" s="5"/>
      <c r="H710" s="5"/>
      <c r="I710" s="5"/>
      <c r="J710" s="2"/>
      <c r="K710" s="2"/>
      <c r="L710" s="2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</row>
    <row r="711" spans="1:234" ht="11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</row>
    <row r="712" spans="1:234" ht="11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</row>
    <row r="713" spans="1:234" ht="11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</row>
    <row r="714" spans="1:234" ht="11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</row>
    <row r="715" spans="1:234" ht="11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</row>
    <row r="716" spans="1:234" ht="11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</row>
    <row r="717" spans="1:234" ht="11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</row>
    <row r="718" spans="1:234" ht="11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</row>
    <row r="719" spans="1:234" ht="11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</row>
    <row r="720" spans="1:234" ht="11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</row>
    <row r="721" spans="1:234" ht="11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</row>
    <row r="722" spans="1:234" ht="11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</row>
    <row r="723" spans="1:234" ht="11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</row>
    <row r="724" spans="1:234" ht="11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</row>
    <row r="725" spans="1:234" ht="11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</row>
    <row r="726" spans="1:234" ht="11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</row>
    <row r="727" spans="1:234" ht="11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</row>
    <row r="728" spans="1:234" ht="11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</row>
    <row r="729" spans="1:234" ht="11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</row>
    <row r="730" spans="1:234" ht="11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</row>
    <row r="731" spans="1:234" ht="11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</row>
    <row r="732" spans="1:234" ht="11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</row>
    <row r="733" spans="1:234" ht="11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</row>
    <row r="734" spans="1:234" ht="11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</row>
    <row r="735" spans="1:234" ht="11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</row>
    <row r="736" spans="1:234" ht="11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</row>
    <row r="737" spans="1:234" ht="11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</row>
    <row r="738" spans="1:234" ht="11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</row>
    <row r="739" spans="1:234" ht="11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</row>
    <row r="740" spans="1:234" ht="11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</row>
    <row r="741" spans="1:234" ht="11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</row>
    <row r="742" spans="1:234" ht="11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</row>
    <row r="743" spans="1:234" ht="11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</row>
    <row r="744" spans="1:234" ht="11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</row>
    <row r="745" spans="1:234" ht="11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</row>
    <row r="746" spans="1:234" ht="11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</row>
    <row r="747" spans="1:234" ht="11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</row>
    <row r="748" spans="1:234" ht="11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</row>
    <row r="749" spans="1:234" ht="11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</row>
    <row r="750" spans="1:234" ht="11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</row>
    <row r="751" spans="1:234" ht="11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</row>
    <row r="752" spans="1:234" ht="11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</row>
    <row r="753" spans="1:234" ht="11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</row>
    <row r="754" spans="1:234" ht="11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</row>
    <row r="755" spans="1:234" ht="11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</row>
    <row r="756" spans="1:234" ht="11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</row>
    <row r="757" spans="1:234" ht="11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</row>
    <row r="758" spans="1:234" ht="11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</row>
    <row r="759" spans="1:234" ht="11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</row>
    <row r="760" spans="1:234" ht="11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</row>
    <row r="761" spans="1:234" ht="11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</row>
    <row r="762" spans="1:234" ht="11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</row>
    <row r="763" spans="1:234" ht="11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</row>
    <row r="764" spans="1:234" ht="11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</row>
    <row r="765" spans="1:234" ht="11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</row>
    <row r="766" spans="1:234" ht="11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</row>
    <row r="767" spans="1:234" ht="11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</row>
    <row r="768" spans="1:234" ht="11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</row>
    <row r="769" spans="1:234" ht="11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</row>
    <row r="770" spans="1:234" ht="11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</row>
    <row r="771" spans="1:234" ht="11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</row>
    <row r="772" spans="1:234" ht="11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</row>
    <row r="773" spans="1:234" ht="11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</row>
    <row r="774" spans="1:234" ht="11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</row>
    <row r="775" spans="1:234" ht="11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</row>
    <row r="776" spans="1:234" ht="11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</row>
    <row r="777" spans="1:234" ht="11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</row>
    <row r="778" spans="1:234" ht="11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</row>
    <row r="779" spans="1:234" ht="11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</row>
    <row r="780" spans="1:234" ht="11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</row>
    <row r="781" spans="1:234" ht="11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</row>
    <row r="782" spans="1:234" ht="11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</row>
    <row r="783" spans="1:234" ht="11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</row>
    <row r="784" spans="1:234" ht="11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</row>
    <row r="785" spans="1:234" ht="11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</row>
    <row r="786" spans="1:234" ht="11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</row>
    <row r="787" spans="1:234" ht="11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</row>
    <row r="788" spans="1:234" ht="11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</row>
    <row r="789" spans="1:234" ht="11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</row>
    <row r="790" spans="1:234" ht="11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</row>
    <row r="791" spans="1:234" ht="11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</row>
    <row r="792" spans="1:234" ht="11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</row>
    <row r="793" spans="1:234" ht="11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</row>
    <row r="794" spans="1:234" ht="11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</row>
    <row r="795" spans="1:234" ht="11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</row>
    <row r="796" spans="1:234" ht="11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</row>
    <row r="797" spans="1:234" ht="11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</row>
    <row r="798" spans="1:234" ht="11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</row>
    <row r="799" spans="1:234" ht="11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</row>
    <row r="800" spans="1:234" ht="11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</row>
    <row r="801" spans="1:234" ht="11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</row>
    <row r="802" spans="1:234" ht="11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</row>
  </sheetData>
  <sheetProtection/>
  <mergeCells count="24">
    <mergeCell ref="C12:C14"/>
    <mergeCell ref="D13:E13"/>
    <mergeCell ref="G12:I12"/>
    <mergeCell ref="G13:H13"/>
    <mergeCell ref="A704:B704"/>
    <mergeCell ref="A702:C702"/>
    <mergeCell ref="F13:F14"/>
    <mergeCell ref="D12:F12"/>
    <mergeCell ref="A10:O10"/>
    <mergeCell ref="N702:O702"/>
    <mergeCell ref="M7:O7"/>
    <mergeCell ref="M12:O12"/>
    <mergeCell ref="M13:N13"/>
    <mergeCell ref="O13:O14"/>
    <mergeCell ref="I13:I14"/>
    <mergeCell ref="J13:L13"/>
    <mergeCell ref="A12:A14"/>
    <mergeCell ref="B12:B14"/>
    <mergeCell ref="M5:O5"/>
    <mergeCell ref="M6:O6"/>
    <mergeCell ref="M1:O1"/>
    <mergeCell ref="M2:O2"/>
    <mergeCell ref="M3:O3"/>
    <mergeCell ref="M4:O4"/>
  </mergeCells>
  <printOptions horizontalCentered="1"/>
  <pageMargins left="0.3937007874015748" right="0.3937007874015748" top="0.3937007874015748" bottom="0.3937007874015748" header="0" footer="0"/>
  <pageSetup fitToWidth="0" horizontalDpi="600" verticalDpi="600" orientation="landscape" paperSize="9" scale="80" r:id="rId1"/>
  <rowBreaks count="17" manualBreakCount="17">
    <brk id="35" max="15" man="1"/>
    <brk id="72" max="15" man="1"/>
    <brk id="105" max="15" man="1"/>
    <brk id="138" max="15" man="1"/>
    <brk id="167" max="15" man="1"/>
    <brk id="197" max="15" man="1"/>
    <brk id="233" max="15" man="1"/>
    <brk id="268" max="15" man="1"/>
    <brk id="304" max="15" man="1"/>
    <brk id="338" max="15" man="1"/>
    <brk id="370" max="15" man="1"/>
    <brk id="420" max="15" man="1"/>
    <brk id="452" max="15" man="1"/>
    <brk id="483" max="15" man="1"/>
    <brk id="520" max="15" man="1"/>
    <brk id="561" max="15" man="1"/>
    <brk id="59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2016-04-14T07:03:00Z</cp:lastPrinted>
  <dcterms:created xsi:type="dcterms:W3CDTF">2014-04-22T08:24:49Z</dcterms:created>
  <dcterms:modified xsi:type="dcterms:W3CDTF">2016-04-14T07:04:37Z</dcterms:modified>
  <cp:category/>
  <cp:version/>
  <cp:contentType/>
  <cp:contentStatus/>
</cp:coreProperties>
</file>