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1"/>
  </bookViews>
  <sheets>
    <sheet name="Диаграмма1" sheetId="1" r:id="rId1"/>
    <sheet name="Sheet1" sheetId="2" r:id="rId2"/>
  </sheets>
  <definedNames>
    <definedName name="_xlnm.Print_Area" localSheetId="1">'Sheet1'!$A$1:$Q$675</definedName>
  </definedNames>
  <calcPr fullCalcOnLoad="1"/>
</workbook>
</file>

<file path=xl/sharedStrings.xml><?xml version="1.0" encoding="utf-8"?>
<sst xmlns="http://schemas.openxmlformats.org/spreadsheetml/2006/main" count="619" uniqueCount="389">
  <si>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</si>
  <si>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</si>
  <si>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</si>
  <si>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</si>
  <si>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</si>
  <si>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</si>
  <si>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</si>
  <si>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</si>
  <si>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</si>
  <si>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</si>
  <si>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</si>
  <si>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</si>
  <si>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</si>
  <si>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</si>
  <si>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</si>
  <si>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</si>
  <si>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</si>
  <si>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</si>
  <si>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</si>
  <si>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</si>
  <si>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</si>
  <si>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</si>
  <si>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</si>
  <si>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</si>
  <si>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</si>
  <si>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 xml:space="preserve">    Показник: % електромереж зовнішнього освітлення з проведеним капітальним ремонтом від їх загальної довжини</t>
  </si>
  <si>
    <t xml:space="preserve">    Показник: кількість видалених дерев, од.</t>
  </si>
  <si>
    <t xml:space="preserve">    Показник: середня вартість видалення 1 дерева, грн.</t>
  </si>
  <si>
    <t xml:space="preserve">    Показник: кількість спецслужб, од.</t>
  </si>
  <si>
    <t xml:space="preserve">    Показник: загальна протяжність водопроводу, пог. м</t>
  </si>
  <si>
    <t xml:space="preserve">    Показник: кількість контейнерів на кладовищах, які підлягають поточному ремонту, од.</t>
  </si>
  <si>
    <t xml:space="preserve">    Показник: кількість похованих безрідних громадян, чол.</t>
  </si>
  <si>
    <t xml:space="preserve">    Показник: кількість встановлених додаткових контейнерів на кладовищах, од.</t>
  </si>
  <si>
    <t xml:space="preserve">    Показник: кількість відремонтованих контейнерів (поточний ремонт), од.</t>
  </si>
  <si>
    <t xml:space="preserve">    Показник: довжина відновленого водопроводу на кладовищі, пог. м</t>
  </si>
  <si>
    <t xml:space="preserve">    Показник: середня вартість встановлення 1 додаткового контейнера на кладовищах, грн</t>
  </si>
  <si>
    <t xml:space="preserve">    Показник: середня вартість монтажу та демонтажу  1 пог.м водопроводу, грн.</t>
  </si>
  <si>
    <t xml:space="preserve">    Показник: середня вартість поточного ремонту 1 контейнера, грн.</t>
  </si>
  <si>
    <t xml:space="preserve">    Показник: кількість вивезених ТПВ з озера Чеха, куб. м</t>
  </si>
  <si>
    <t xml:space="preserve">    Показник: % зменшення скарг населення, пов"язаних з бродячими тваринами в порівнянні з минулим роком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</si>
  <si>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</si>
  <si>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</si>
  <si>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</si>
  <si>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</si>
  <si>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</si>
  <si>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</si>
  <si>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</si>
  <si>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</si>
  <si>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</si>
  <si>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 xml:space="preserve">  Завдання: 7. Забезпечення проведення ремонту та утримання зелених насаджень</t>
  </si>
  <si>
    <t xml:space="preserve">  Завдання: 9. Забезпечення проведення утримання кладовищта  об"єктів благоустрою міста </t>
  </si>
  <si>
    <t xml:space="preserve">  Завдання: 10. Забезпечення санітарного стану місць загального користування громадян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</si>
  <si>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</si>
  <si>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</si>
  <si>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</si>
  <si>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середня вартість вивезення 1 куб. м ТПВ з озера Чеха, грн.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</si>
  <si>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</si>
  <si>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</si>
  <si>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</si>
  <si>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</si>
  <si>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</si>
  <si>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</si>
  <si>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</si>
  <si>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</si>
  <si>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 xml:space="preserve">    Показник: кількість підприємств водопровідно-каналізаційного господарства, яким планується надання фінансової підтримки, од.</t>
  </si>
  <si>
    <t xml:space="preserve">    Показник: загальна кількість святкових днів</t>
  </si>
  <si>
    <t xml:space="preserve">    Показник: кількість святкових днів, які підлягають оформленню до свят</t>
  </si>
  <si>
    <t xml:space="preserve">    Показник: середня вартість святкового оформлення одного дня, грн.</t>
  </si>
  <si>
    <t>В т.ч:</t>
  </si>
  <si>
    <t xml:space="preserve">    Показник: кількість незаконно встановлених тимчасових споруд, які підлягають демонтажу</t>
  </si>
  <si>
    <t xml:space="preserve">    Показник: середня вартість демонтажу однієї незаконно встановленої тимчасової споруди, грн.</t>
  </si>
  <si>
    <t xml:space="preserve">    Показник: середній обсяг спожитої електроенергії на одну світлоточку в рік, кВт/год.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</si>
  <si>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</si>
  <si>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</si>
  <si>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</si>
  <si>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Виконавчий комітет Сумської міської ради</t>
  </si>
  <si>
    <t>Департамент інфраструктури міста  Сумської міської ради</t>
  </si>
  <si>
    <t>Департамент містобудування та земельних відносин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</si>
  <si>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</si>
  <si>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</si>
  <si>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   Показник: середня вартість 1 заходу в рік, який буде виконуватися  з проведенням оплачуваних громадських робіт, грн.</t>
  </si>
  <si>
    <t xml:space="preserve">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</si>
  <si>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</si>
  <si>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>до рішення Сумської міської ради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</si>
  <si>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</si>
  <si>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</si>
  <si>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</si>
  <si>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</si>
  <si>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>ДМтаЗВ СМР</t>
  </si>
  <si>
    <t>240900 ДМтаЗВ СМР</t>
  </si>
  <si>
    <t xml:space="preserve">комунального господарства міста Суми </t>
  </si>
  <si>
    <t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на 2015-2017 роки</t>
  </si>
  <si>
    <t>2015 рік</t>
  </si>
  <si>
    <t>2016 рік</t>
  </si>
  <si>
    <t>2017 рік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</si>
  <si>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</si>
  <si>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Завдання: 3.  Забезпечення проведення утримання вулично-дорожньої мережі та штучних споруд</t>
  </si>
  <si>
    <t xml:space="preserve">  Завдання: 4. Забезпечення проведення поточного ремонту проїздів, тротуарів, внутрішньоквартальних проїзних доріг</t>
  </si>
  <si>
    <t xml:space="preserve">  Завдання: 5. Забезпечення проведення капітального ремонту проїздів, тротуарів, внутрішньоквартальних проїзних доріг</t>
  </si>
  <si>
    <t>Показник: загальна площа проїздів, тротуарів і внутрішньоквартальних доріг,  що потребує поточного ремонту, кв. м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</si>
  <si>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</si>
  <si>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</si>
  <si>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</si>
  <si>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</si>
  <si>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</si>
  <si>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обсяг видатків на будівництво, грн.</t>
  </si>
  <si>
    <t>Показник: кількість об'єктів, які планується побудувати, од.</t>
  </si>
  <si>
    <t xml:space="preserve"> Показник: середні витрати на будівництво одного  об'єкту, грн.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</si>
  <si>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</si>
  <si>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</si>
  <si>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</si>
  <si>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</si>
  <si>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</si>
  <si>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</si>
  <si>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</si>
  <si>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</si>
  <si>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</si>
  <si>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</si>
  <si>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</si>
  <si>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</si>
  <si>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</si>
  <si>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</si>
  <si>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</si>
  <si>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</si>
  <si>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</si>
  <si>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</si>
  <si>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</si>
  <si>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</si>
  <si>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</si>
  <si>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середня вартість 1 кВт/год електроенергії необхідної для безперебійної роботи вуличного освітлення, кВт/год.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</si>
  <si>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</si>
  <si>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</si>
  <si>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</si>
  <si>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</si>
  <si>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</si>
  <si>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</si>
  <si>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</si>
  <si>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</si>
  <si>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</si>
  <si>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</si>
  <si>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</si>
  <si>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кількість заходів із санітарної очистки території, од.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</si>
  <si>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</si>
  <si>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</si>
  <si>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</si>
  <si>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</si>
  <si>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</si>
  <si>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середня вартість одного заходу із санітарної очистки території,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</si>
  <si>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</si>
  <si>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</si>
  <si>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</si>
  <si>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</si>
  <si>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</si>
  <si>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Показник: кількість громадських вбиралень, од.</t>
  </si>
  <si>
    <t>Показник: загальна площа кладовищ, що потребує благоустрою, га</t>
  </si>
  <si>
    <t xml:space="preserve">    Показник: площа кладовищ, благоустрій яких планується здійснюваати, га</t>
  </si>
  <si>
    <t xml:space="preserve">    Показник: кількість громадських вбиралень, які планується утримувати, од.</t>
  </si>
  <si>
    <t xml:space="preserve">    Показник: середньорічні витрати на благоустрій 1 га кладовища, грн.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</si>
  <si>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</si>
  <si>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</si>
  <si>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</si>
  <si>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</si>
  <si>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</si>
  <si>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</si>
  <si>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</si>
  <si>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</si>
  <si>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користування, м3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</si>
  <si>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</si>
  <si>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середні витрати на прибирання, ліквідацію             1 м3 сміття на об'єктах благоустрою загального користування, грн.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</si>
  <si>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</si>
  <si>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</si>
  <si>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</si>
  <si>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</si>
  <si>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</si>
  <si>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</si>
  <si>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</si>
  <si>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</si>
  <si>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</si>
  <si>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</si>
  <si>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</si>
  <si>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</si>
  <si>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</si>
  <si>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</si>
  <si>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</si>
  <si>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Показник: кількість ліфтів, що потребують заміни, грн.</t>
  </si>
  <si>
    <t>Показник: кількість ліфтів, що потребують капітального ремонту та модернізації, грн.</t>
  </si>
  <si>
    <t>Показник: кількість ліфтів, що потребують капітального ремонту  системи ОДС, грн.</t>
  </si>
  <si>
    <t>Показник: кількість ліфтів, що потребують експертного обстеження (технічного діагностування), грн.</t>
  </si>
  <si>
    <t>Показник: кількість ліфтів, що планується заміни, грн.</t>
  </si>
  <si>
    <t>Показник: кількість ліфтів, системи ОДС яких планується капітально відремонтувати , грн.</t>
  </si>
  <si>
    <t>Показник: кількість ліфтів, на яких планується провести експертне обстеження (технічне діагностування), грн.</t>
  </si>
  <si>
    <t>Показник: середня вартість проведення заміни одного ліфта, грн.</t>
  </si>
  <si>
    <t>Показник: середня вартість проведення капітального ремонту та модернізації одного ліфта, грн.</t>
  </si>
  <si>
    <t>Показник: середня вартість проведення капітального ремонту системи ОДС одного ліфта, грн.</t>
  </si>
  <si>
    <t>Показник: середня вартість проведення експертного обстеження (технічне діагностування) одного ліфта, грн.</t>
  </si>
  <si>
    <t>Показник: кількість ліфтів, що планується  капітально відремонтувати та провести  модернізацію, грн.</t>
  </si>
  <si>
    <t xml:space="preserve">    Показник: Питома вага кількості ліфтів, які планується замінити, до кількості ліфтів, що потребують заміни, %</t>
  </si>
  <si>
    <t xml:space="preserve">    Показник: Питома вага кількості ліфтів, які планується капітально відремонтувати та модернізувати  до кількості ліфтів, що потребують капітального ремонту та модернізації , %</t>
  </si>
  <si>
    <t xml:space="preserve">    Показник: Питома вага кількості ліфтів, які на яких планується  проведення капітального ремонту системи ОДС  до кількості ліфтів, що потребують капітального ремонту системи ОДС , %</t>
  </si>
  <si>
    <t xml:space="preserve">    Показник: Питома вага кількості ліфтів, які на яких планується  проведення експертного обстеження (технічного діагностування)  до кількості ліфтів, що потребують експертного обстеження (технічного діагностування) , %</t>
  </si>
  <si>
    <t>Підпрограма 2. Капітальний ремонт житлового фонду об'єднань співвласників багатоквартирних будинків</t>
  </si>
  <si>
    <t>КТКВК 100102, 100106</t>
  </si>
  <si>
    <t>Підпрограма 1. Капітальний ремонт житлового фонду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</si>
  <si>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ремонту, %</t>
  </si>
  <si>
    <t>КТКВК 250404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</si>
  <si>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</si>
  <si>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загальна кількість святкових заходів, які підлягають святковому оформленню </t>
  </si>
  <si>
    <t xml:space="preserve">    Показник: середня вартість 1 святкового заходу, грн.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</si>
  <si>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</si>
  <si>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</si>
  <si>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</si>
  <si>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Показник: кількість рекламних засобів, що підлягають демонтажу, од. всього;</t>
  </si>
  <si>
    <t>Рекламні засоби, розміщені на висоті до 3 м (сіті-лайт, штендер, щит)</t>
  </si>
  <si>
    <t>Рекламні засоби, розміщені на висоті більше 3 м (біг-борд, банер на фасаді, перетяг, вказівник)</t>
  </si>
  <si>
    <t xml:space="preserve">   Показник: середня вартість демонтажу одного рекламного засобу, розміщеного самовільно та з порушенням порядку розміщення зовнішньої реклами, грн.</t>
  </si>
  <si>
    <t xml:space="preserve">    Показник: кількість законно встановлених тимчасових споруд</t>
  </si>
  <si>
    <t xml:space="preserve">    Показник: % демонтованих тимчасових споруд до законно встановлених споруд, %</t>
  </si>
  <si>
    <t xml:space="preserve">    Показник: загальна площа території для зберігання демонтованих тимчасових споруд та рекламних засобів, кв.м</t>
  </si>
  <si>
    <t xml:space="preserve">    Показник: загальні витрати на зберігання демонтованих тимчасових споруд та рекламних засобів, грн.</t>
  </si>
  <si>
    <t xml:space="preserve">    Мета:  Забезпечення належної та безперебійної роботи об'єктів комунального господарства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</si>
  <si>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</si>
  <si>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</si>
  <si>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середня сума  підпримки  одного підприємства,  грн.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</si>
  <si>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</si>
  <si>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зелених насаджень, що потребують заміни, од.</t>
  </si>
  <si>
    <t xml:space="preserve">    Показник: кількість зелених насаджень, що планується висадити, од.</t>
  </si>
  <si>
    <t xml:space="preserve">    Показник: середні витрати на  висадження одного дерева,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</si>
  <si>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</si>
  <si>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</si>
  <si>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>виконавчий комітет</t>
  </si>
  <si>
    <t>КТКВК 100203, 170703</t>
  </si>
  <si>
    <t xml:space="preserve">РАЗОМ </t>
  </si>
  <si>
    <t xml:space="preserve">    Мета:  Підвищення рівня благоустрою, забезпечення проведення ремонту доріг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</si>
  <si>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</si>
  <si>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</si>
  <si>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</si>
  <si>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</si>
  <si>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</si>
  <si>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</si>
  <si>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</si>
  <si>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</si>
  <si>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</si>
  <si>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</si>
  <si>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</si>
  <si>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 xml:space="preserve">Міський голова </t>
  </si>
  <si>
    <t>О.М.Лисенко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</si>
  <si>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</si>
  <si>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</si>
  <si>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</si>
  <si>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</si>
  <si>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підприємств, яким планується надання фінансової підтримки, од.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</si>
  <si>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</si>
  <si>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</si>
  <si>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</si>
  <si>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</si>
  <si>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«Про внесення змін до  Комплексної цільової </t>
  </si>
  <si>
    <t xml:space="preserve">    Мета: Забезпечення виконання заходів із землеустрою міста Суми</t>
  </si>
  <si>
    <t xml:space="preserve">    Показник: середня вартість обслуговування одного місяця,  грн.</t>
  </si>
  <si>
    <t xml:space="preserve">    Показник: кількість місяців обслуговування каналізаційно-насосної станції, шт.</t>
  </si>
  <si>
    <t>Програма  реформування і розвиткужитлово-комунального господарства м. Суми на 2015-2017 роки</t>
  </si>
  <si>
    <t xml:space="preserve">    Показник: вартість розробки 1  проекту відведення земельної ділянки,  грн.</t>
  </si>
  <si>
    <t xml:space="preserve">    Показник: кількість проектів відведення земельної ділянки , од.</t>
  </si>
  <si>
    <t>на 2015 - 2017 роки» (зі змінами)</t>
  </si>
  <si>
    <t xml:space="preserve">  Завдання: 6. Забезпечення проведення обстеження об'єктів транспортної інфраструктури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</si>
  <si>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</si>
  <si>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</si>
  <si>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</si>
  <si>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Завдання: 7. Будівництво об'єктів транспортної інфраструктури</t>
  </si>
  <si>
    <t xml:space="preserve">  Завдання: 9. Забезпечення функціонування мереж зовнішнього освітлення </t>
  </si>
  <si>
    <t xml:space="preserve">  Завдання:10. Збереження та утримання на належному рівні зеленої зони міста Суми та поліпшення його екологічних умов </t>
  </si>
  <si>
    <t xml:space="preserve">  Завдання: 11. Забезпечення благоустрою кладовищ, діяльності спецслужби, поховання безрідних та функціонування громадських вбиралень</t>
  </si>
  <si>
    <t xml:space="preserve"> Показник: кількість камер відеоспостереження, якими необхідно облаштувати Алею Почесних громадян на Центральному кладовищі, од.</t>
  </si>
  <si>
    <t>Показник: середня вартість облаштування Алеї Почесних громадян на Центральному кладовищі 1 камерою відеоспостереження, грн.</t>
  </si>
  <si>
    <t>Показник: кількість об'єктів житлового фонду (будинків), що потребують ремонту покрівель, грн.</t>
  </si>
  <si>
    <t xml:space="preserve">    Показник: кількість об'єктів житлового фонду (будинків), що планується відремонтувати покрівлю,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</si>
  <si>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</si>
  <si>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</si>
  <si>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</si>
  <si>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>Виконавець: Яременко Г.І.</t>
  </si>
  <si>
    <t xml:space="preserve">    Показник: кількість проектів землеустрою щодо відведення земельних ділянок, од.</t>
  </si>
  <si>
    <t xml:space="preserve">  Показник: вартість розробки 1  проекту землеустрою щодо відведення земельних ділянок,  грн.</t>
  </si>
  <si>
    <t xml:space="preserve">    Показник: обсяг видатків, передбачений на надання фінансової підтримки підприємствам, грн.</t>
  </si>
  <si>
    <t xml:space="preserve"> 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</si>
  <si>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</si>
  <si>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Підпрограма 3. Капітальний ремонт житлового фонду </t>
  </si>
  <si>
    <t xml:space="preserve">  Завдання: 16.5. Встановлення індивідуального опалення в квартирах житлового будинку №110 по вул.Роменській</t>
  </si>
  <si>
    <t>Показник: кількість квартир житлового будинку, що потребують встановлення індивідуального  опалення, грн.</t>
  </si>
  <si>
    <t xml:space="preserve">    Показник: середня вартість встановлення індивідуального  опалення в одній квартирі, грн.</t>
  </si>
  <si>
    <t xml:space="preserve">    Показник: Питома вага кількості квартир житлового будинку, на яких планується встановити індивідуальне опалення, до кількості квартир, що потребують встановлення індивідуального опалення, %</t>
  </si>
  <si>
    <t xml:space="preserve">    Показник: кількість квартир у житловому будинку, в яких планується встановити індивідуальне  опалення, грн.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</si>
  <si>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</si>
  <si>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</si>
  <si>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</si>
  <si>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Мета:Встановлення лічильників теплової енергії в житлових будинках</t>
  </si>
  <si>
    <t xml:space="preserve">    Показник: кількість лічильників, які планується встановити, шт.</t>
  </si>
  <si>
    <t xml:space="preserve">    Показник: середня вартість встановлення одного лічильника,  грн.</t>
  </si>
  <si>
    <t xml:space="preserve">    Показник:кількість схем, шт.</t>
  </si>
  <si>
    <t xml:space="preserve">    Показник: вартість розробки схеми,  грн.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</si>
  <si>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</si>
  <si>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</si>
  <si>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</si>
  <si>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</si>
  <si>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</si>
  <si>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кількість нових урн які планується придбати і встановити  по місту Суми, од.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</si>
  <si>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</si>
  <si>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кількість заходів з реконструкції об'єктів благоустрою, од.</t>
  </si>
  <si>
    <t xml:space="preserve">    Показник: середня вартість одного заходу з реконструкції об'єктів благоустрою, грн.</t>
  </si>
  <si>
    <t>Показник: кількість місяців, за які сплачується орендна плата за землю по вул.Боженко (майданчик для складування рослинних відходів, деревини та опалого листя), од</t>
  </si>
  <si>
    <t xml:space="preserve">    Показник: середня вартість 1 місяця оплати орендної плати за землю по вул.Боженко (майданчик для складування рослинних відходів, деревини та опалого листя), грн.</t>
  </si>
  <si>
    <t>Показник: кількість місяців, за які сплачується податку на земельну ділянку за адресою: м.Суми, вул.Привокзальна, 4/13 (каналізаційно-насосна станція), од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</si>
  <si>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</si>
  <si>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</si>
  <si>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</si>
  <si>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кількість виготовлених технічних документацій на земельну ділянку, од.</t>
  </si>
  <si>
    <t xml:space="preserve">  Показник: вартість виготовлення 1  технічної документації на земельну ділянку,  грн.</t>
  </si>
  <si>
    <t xml:space="preserve">    Показник: кількість науково-технічної продукції, шт.</t>
  </si>
  <si>
    <t xml:space="preserve">    Показник: середня вартість однієї науково-технічної продукції,  грн.</t>
  </si>
  <si>
    <t xml:space="preserve">    Мета: Розробка ткхнічних паспортів на багатоквартирні житлові будинки</t>
  </si>
  <si>
    <t xml:space="preserve">    Мета: Розробка схеми теплопостачання м.Суми </t>
  </si>
  <si>
    <t xml:space="preserve">    Показник: кількість безпритульних тварин, які планується регулювати, од.</t>
  </si>
  <si>
    <t xml:space="preserve">    Показник: середні витрати на проведення регулювання тварини,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</si>
  <si>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</si>
  <si>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</si>
  <si>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пунктів приймання тварин (центрів гуманного поводження з тваринами), які планується провести облаштування, од.</t>
  </si>
  <si>
    <t xml:space="preserve">    Показник: середні витрати на проведення облаштування пункту приймання тварин (центрів гуманного поводження з тваринами), грн.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</si>
  <si>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</si>
  <si>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вартість розробки Комплексної схеми і зонування розміщення рекламних засобів на території м. Суми</t>
  </si>
  <si>
    <t xml:space="preserve">    Показник: середня вартість розробки однієї Комплексної схеми і зонування розміщення рекламних засобів на території м. Суми, грн.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</si>
  <si>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</si>
  <si>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</si>
  <si>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 xml:space="preserve">    Показник: загальна кількість підприємств, яким надається бюджетна позичка, шт.</t>
  </si>
  <si>
    <t xml:space="preserve">    Показник: середня вартість однієї бюджетної позички,  грн.</t>
  </si>
  <si>
    <t>090501</t>
  </si>
  <si>
    <t xml:space="preserve">    Мета:  Забезпечення демонтажу та зберігання незаконно встановлених тимчасових споруд та рекламних засобів; виготовлення та розміщення рекламних матеріалів до святкових та урочистих подій; збереження стилю, притаманного урочистому упорядженню об'єктів забудови історичної частини міста, упорядкування розміщення тимчасових споруд та зовнішньої реклами на території м. Суми</t>
  </si>
  <si>
    <t>Тип показника: Продукту</t>
  </si>
  <si>
    <t>Показник: кількість комплексних схем розміщення тимчасових споруд для провадження підприємницької діяльності у місті Суми</t>
  </si>
  <si>
    <t>Тип показника: Витрати</t>
  </si>
  <si>
    <t>Показник: вартість розробки Комплексної схеми розміщення тимчасових споруд для провадження підприємницької діяльності у місті Суми</t>
  </si>
  <si>
    <t xml:space="preserve">Тип показника: Ефективності </t>
  </si>
  <si>
    <t>Показник: середня вартість розробки однієї Комплексної схеми розміщення тимчасових споруд для провадження підприємницької діяльності у місті Суми</t>
  </si>
  <si>
    <t>Показник: кількість об'єктів, що планується відремонтувати, грн.</t>
  </si>
  <si>
    <t xml:space="preserve">    Мета: Забезпечення підготовки житлових будинків до опалювального періоду,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 та погашення заборгованості перед міським бюджетом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</si>
  <si>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</si>
  <si>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</si>
  <si>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 xml:space="preserve">Показник: кількість комплексних схем і зонування розміщення рекламних засобів на території 
м. Суми
</t>
  </si>
  <si>
    <t>власні кошти підприємства</t>
  </si>
  <si>
    <t xml:space="preserve">від___________року № _____-МР </t>
  </si>
  <si>
    <t xml:space="preserve">  Завдання: 12. Забезпечення санітарної очистки території</t>
  </si>
  <si>
    <t xml:space="preserve">  Завдання: 13. Поточний ремонт та утримання в належному стані об'єктів благоустрою</t>
  </si>
  <si>
    <t xml:space="preserve">  Завдання: 14. Забезпечення сприятливих умов для співіснування людей та тварин</t>
  </si>
  <si>
    <t xml:space="preserve">  Завдання: 15. Капітальний ремонт та утримання в належному стані об'єктів благоустрою </t>
  </si>
  <si>
    <t xml:space="preserve">  Завдання: 16. 1 Проведення капітального ремонту житлових будинків</t>
  </si>
  <si>
    <t xml:space="preserve">  Завдання: 16.2. Проведення капітального ремонту покрівель житлових будинків</t>
  </si>
  <si>
    <t xml:space="preserve">  Завдання: 16.3. Проведення капітального ремонту, модернізації, заміни, експертного обстеження (технічного діагностування) ліфтів</t>
  </si>
  <si>
    <t xml:space="preserve">  Завдання: 16.4. Встановлення індивідуального опалення в квартирах житлового будинку №110 по вул.Роменській</t>
  </si>
  <si>
    <t xml:space="preserve">  Завдання: 16.5. Проведення капітального ремонту житлових будинків об'єднань співвласників багатоквартирних будинків</t>
  </si>
  <si>
    <t xml:space="preserve">  Завдання: 17. Забезпечення святкового оформлення міста</t>
  </si>
  <si>
    <t xml:space="preserve">  Завдання: 18. Придбання та монтаж покажчиків вулиць</t>
  </si>
  <si>
    <t xml:space="preserve">  Завдання: 19. Виготовлення та розміщення рекламних матеріалів до святкових та урочистих подій </t>
  </si>
  <si>
    <t xml:space="preserve">  Завдання: 20. Демонтаж  рекламних засобів, розміщених самовільно та з порушенням порядку розміщення зовнішньої реклами</t>
  </si>
  <si>
    <t xml:space="preserve">  Завдання: 21. Забезпечення постачання природного газу монументу "Вічна Слава"</t>
  </si>
  <si>
    <t xml:space="preserve">  Завдання: 22. Орендна плата за землю по вул.Боженко (майданчик для складування рослинних відходів, деревини та опалого листя)</t>
  </si>
  <si>
    <t xml:space="preserve">  Завдання: 23. Оплата податку на земельну ділянку за адресою: м.Суми, вул.Привокзальна, 4/13 (каналізаційно-насосна станція)</t>
  </si>
  <si>
    <t xml:space="preserve">  Завдання: 24. Демонтаж незаконно встановлених тимчасових споруд</t>
  </si>
  <si>
    <t xml:space="preserve">  Завдання: 25. Зберігання демонтованих тимчасових споруд та рекламних засобів</t>
  </si>
  <si>
    <t xml:space="preserve">  Завдання:26. Виготовлення та розміщення рекламних матеріалів до святкових та урочистих подій </t>
  </si>
  <si>
    <t xml:space="preserve">  Завдання: 27. Розроблення  Комплексної схеми і зонування розміщення рекламних засобів на території м. Суми </t>
  </si>
  <si>
    <t>Завдання: 28. Розроблення  Комплексної схеми розміщення тимчасових споруд для провадження підприємницької діяльності у місті Суми</t>
  </si>
  <si>
    <t xml:space="preserve">  Завдання: 29. Забезпечення функціонування об'єктів комунального господарства</t>
  </si>
  <si>
    <t xml:space="preserve">  Завдання: 30. Запобігання знищення чи пошкодження Алеї Почесних громадян на Центральному кладовищі</t>
  </si>
  <si>
    <t xml:space="preserve">  Завдання: 31. Забезпечення функціонування водопровідно-каналізаційного господарства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</si>
  <si>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</si>
  <si>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</si>
  <si>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Забезпечення належного облуговування каналізаційно-насосної станції за адресою: м. Суми, вул. Привокзальна,4/13</t>
  </si>
  <si>
    <t>Завдання: 35. Придбання водопровідних та каналізаційних люків</t>
  </si>
  <si>
    <t>Завдання: 36. Розрахунок допустимих  концентрацій (ДК) забруднюючих речовин в скидах стічних вод споживачів у каналізаційну мережу м.Суми</t>
  </si>
  <si>
    <t>Завдання: 37. Коригування Правил приймання стічних вод в систему каналізації м.Суми</t>
  </si>
  <si>
    <t>Завдання: 38. Проведення капітального ремонту колекторів та каналізаційних мереж"</t>
  </si>
  <si>
    <t xml:space="preserve">  Завдання: 39. Заходи із землеутрою міста Суми</t>
  </si>
  <si>
    <t xml:space="preserve">  Завдання: 40. Забезпечення належного утримання житлового фонду та забезпечення населення якісними послугами з утримання будинків, споруд та прибудинкових територій,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доріг, погашення заборгованості перед міським бюджетом</t>
  </si>
  <si>
    <t xml:space="preserve">  Завдання: 41. Впровадження енергозберігаючих заходів</t>
  </si>
  <si>
    <t xml:space="preserve">  Завдання: 42.  Встановлення лічильників теплової енергії</t>
  </si>
  <si>
    <t xml:space="preserve">  Завдання: 43. Розробка схем та проектних рішень масового застосування міста Суми</t>
  </si>
  <si>
    <t xml:space="preserve">  Завдання: 44. Забезпечення зміцнення матеріально-технічної бази підприємств комунальної форми власності</t>
  </si>
  <si>
    <t xml:space="preserve">  Завдання: 45. Створення сприятливих умов проживання населення та забезпечення надання життєво необхідних послуг</t>
  </si>
  <si>
    <t xml:space="preserve">  Завдання: 46. Забезпечення надійного та безперебійного функціонування житлово-експлуатаційного господарства</t>
  </si>
  <si>
    <t xml:space="preserve">  Завдання: 47. Організація та проведення громадських робіт</t>
  </si>
  <si>
    <t xml:space="preserve">                     Додаток 6</t>
  </si>
  <si>
    <t xml:space="preserve">  Завдання: 8.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</si>
</sst>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61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1"/>
      <name val="Times New Roman"/>
      <family val="1"/>
    </font>
    <font>
      <sz val="8"/>
      <color indexed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/>
    </xf>
    <xf numFmtId="0" fontId="5" fillId="34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198" fontId="8" fillId="34" borderId="11" xfId="0" applyNumberFormat="1" applyFont="1" applyFill="1" applyBorder="1" applyAlignment="1">
      <alignment horizontal="center" vertical="center"/>
    </xf>
    <xf numFmtId="198" fontId="5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2" fontId="1" fillId="3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wrapText="1"/>
    </xf>
    <xf numFmtId="2" fontId="5" fillId="38" borderId="11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4" fontId="11" fillId="38" borderId="11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180" fontId="4" fillId="38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180" fontId="3" fillId="37" borderId="10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84" fontId="1" fillId="37" borderId="10" xfId="0" applyNumberFormat="1" applyFont="1" applyFill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01" fontId="1" fillId="37" borderId="10" xfId="0" applyNumberFormat="1" applyFont="1" applyFill="1" applyBorder="1" applyAlignment="1">
      <alignment horizontal="center" vertical="center" wrapText="1"/>
    </xf>
    <xf numFmtId="201" fontId="3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2" fontId="8" fillId="34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8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84" fontId="1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1" fillId="37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center"/>
    </xf>
    <xf numFmtId="200" fontId="8" fillId="34" borderId="11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9" borderId="10" xfId="0" applyFont="1" applyFill="1" applyBorder="1" applyAlignment="1">
      <alignment horizontal="center" vertical="center" wrapText="1"/>
    </xf>
    <xf numFmtId="4" fontId="1" fillId="39" borderId="10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24" fillId="39" borderId="10" xfId="0" applyNumberFormat="1" applyFont="1" applyFill="1" applyBorder="1" applyAlignment="1">
      <alignment horizontal="center" vertical="center" wrapText="1"/>
    </xf>
    <xf numFmtId="2" fontId="1" fillId="39" borderId="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  <xf numFmtId="0" fontId="5" fillId="39" borderId="0" xfId="0" applyFont="1" applyFill="1" applyAlignment="1">
      <alignment/>
    </xf>
    <xf numFmtId="0" fontId="25" fillId="39" borderId="0" xfId="0" applyFont="1" applyFill="1" applyAlignment="1">
      <alignment/>
    </xf>
    <xf numFmtId="0" fontId="1" fillId="37" borderId="10" xfId="0" applyFont="1" applyFill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" fontId="4" fillId="39" borderId="10" xfId="0" applyNumberFormat="1" applyFont="1" applyFill="1" applyBorder="1" applyAlignment="1">
      <alignment horizontal="center" vertical="center" wrapText="1"/>
    </xf>
    <xf numFmtId="180" fontId="4" fillId="39" borderId="10" xfId="0" applyNumberFormat="1" applyFont="1" applyFill="1" applyBorder="1" applyAlignment="1">
      <alignment horizontal="center" vertical="center" wrapText="1"/>
    </xf>
    <xf numFmtId="180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wrapText="1"/>
    </xf>
    <xf numFmtId="2" fontId="5" fillId="41" borderId="14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2" fontId="5" fillId="41" borderId="11" xfId="0" applyNumberFormat="1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left" wrapText="1"/>
    </xf>
    <xf numFmtId="2" fontId="5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wrapText="1"/>
    </xf>
    <xf numFmtId="4" fontId="5" fillId="41" borderId="11" xfId="0" applyNumberFormat="1" applyFont="1" applyFill="1" applyBorder="1" applyAlignment="1">
      <alignment horizontal="center" vertical="center"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1" fontId="5" fillId="39" borderId="10" xfId="0" applyNumberFormat="1" applyFont="1" applyFill="1" applyBorder="1" applyAlignment="1">
      <alignment horizontal="center" vertical="center" wrapText="1"/>
    </xf>
    <xf numFmtId="2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4" fontId="5" fillId="40" borderId="11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wrapText="1"/>
    </xf>
    <xf numFmtId="4" fontId="5" fillId="41" borderId="10" xfId="0" applyNumberFormat="1" applyFont="1" applyFill="1" applyBorder="1" applyAlignment="1">
      <alignment horizontal="center" vertical="center"/>
    </xf>
    <xf numFmtId="2" fontId="5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2" fontId="5" fillId="39" borderId="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left" vertical="center" wrapText="1"/>
    </xf>
    <xf numFmtId="0" fontId="1" fillId="42" borderId="10" xfId="0" applyFont="1" applyFill="1" applyBorder="1" applyAlignment="1">
      <alignment horizontal="center" vertical="center" wrapText="1"/>
    </xf>
    <xf numFmtId="2" fontId="1" fillId="42" borderId="10" xfId="0" applyNumberFormat="1" applyFont="1" applyFill="1" applyBorder="1" applyAlignment="1">
      <alignment horizontal="center" vertical="center" wrapText="1"/>
    </xf>
    <xf numFmtId="4" fontId="3" fillId="42" borderId="10" xfId="0" applyNumberFormat="1" applyFont="1" applyFill="1" applyBorder="1" applyAlignment="1">
      <alignment horizontal="center" vertical="center" wrapText="1"/>
    </xf>
    <xf numFmtId="180" fontId="3" fillId="42" borderId="10" xfId="0" applyNumberFormat="1" applyFont="1" applyFill="1" applyBorder="1" applyAlignment="1">
      <alignment horizontal="center" vertical="center" wrapText="1"/>
    </xf>
    <xf numFmtId="0" fontId="1" fillId="42" borderId="0" xfId="0" applyFont="1" applyFill="1" applyAlignment="1">
      <alignment/>
    </xf>
    <xf numFmtId="0" fontId="0" fillId="42" borderId="0" xfId="0" applyFill="1" applyAlignment="1">
      <alignment/>
    </xf>
    <xf numFmtId="183" fontId="1" fillId="42" borderId="10" xfId="0" applyNumberFormat="1" applyFont="1" applyFill="1" applyBorder="1" applyAlignment="1">
      <alignment horizontal="center" vertical="center" wrapText="1"/>
    </xf>
    <xf numFmtId="1" fontId="1" fillId="42" borderId="10" xfId="0" applyNumberFormat="1" applyFont="1" applyFill="1" applyBorder="1" applyAlignment="1">
      <alignment horizontal="center" vertical="center" wrapText="1"/>
    </xf>
    <xf numFmtId="1" fontId="3" fillId="42" borderId="10" xfId="0" applyNumberFormat="1" applyFont="1" applyFill="1" applyBorder="1" applyAlignment="1">
      <alignment horizontal="center" vertical="center" wrapText="1"/>
    </xf>
    <xf numFmtId="4" fontId="1" fillId="42" borderId="10" xfId="0" applyNumberFormat="1" applyFont="1" applyFill="1" applyBorder="1" applyAlignment="1">
      <alignment horizontal="center" vertical="center" wrapText="1"/>
    </xf>
    <xf numFmtId="190" fontId="1" fillId="37" borderId="10" xfId="0" applyNumberFormat="1" applyFont="1" applyFill="1" applyBorder="1" applyAlignment="1">
      <alignment horizontal="center" vertical="center" wrapText="1"/>
    </xf>
    <xf numFmtId="4" fontId="5" fillId="43" borderId="10" xfId="0" applyNumberFormat="1" applyFont="1" applyFill="1" applyBorder="1" applyAlignment="1">
      <alignment horizontal="center" vertical="center" wrapText="1"/>
    </xf>
    <xf numFmtId="2" fontId="5" fillId="43" borderId="10" xfId="0" applyNumberFormat="1" applyFont="1" applyFill="1" applyBorder="1" applyAlignment="1">
      <alignment horizontal="center" vertical="center" wrapText="1"/>
    </xf>
    <xf numFmtId="180" fontId="5" fillId="43" borderId="10" xfId="0" applyNumberFormat="1" applyFont="1" applyFill="1" applyBorder="1" applyAlignment="1">
      <alignment horizontal="center" vertical="center" wrapText="1"/>
    </xf>
    <xf numFmtId="2" fontId="11" fillId="43" borderId="10" xfId="0" applyNumberFormat="1" applyFont="1" applyFill="1" applyBorder="1" applyAlignment="1">
      <alignment horizontal="center" vertical="center" wrapText="1"/>
    </xf>
    <xf numFmtId="2" fontId="1" fillId="43" borderId="10" xfId="0" applyNumberFormat="1" applyFont="1" applyFill="1" applyBorder="1" applyAlignment="1">
      <alignment horizontal="center" vertical="center" wrapText="1"/>
    </xf>
    <xf numFmtId="2" fontId="5" fillId="43" borderId="10" xfId="0" applyNumberFormat="1" applyFont="1" applyFill="1" applyBorder="1" applyAlignment="1">
      <alignment horizontal="center" vertical="center"/>
    </xf>
    <xf numFmtId="2" fontId="5" fillId="44" borderId="14" xfId="0" applyNumberFormat="1" applyFont="1" applyFill="1" applyBorder="1" applyAlignment="1">
      <alignment horizontal="center" vertical="center"/>
    </xf>
    <xf numFmtId="2" fontId="5" fillId="44" borderId="11" xfId="0" applyNumberFormat="1" applyFont="1" applyFill="1" applyBorder="1" applyAlignment="1">
      <alignment horizontal="center" vertical="center"/>
    </xf>
    <xf numFmtId="2" fontId="5" fillId="44" borderId="10" xfId="0" applyNumberFormat="1" applyFont="1" applyFill="1" applyBorder="1" applyAlignment="1">
      <alignment horizontal="center" vertical="center"/>
    </xf>
    <xf numFmtId="2" fontId="5" fillId="45" borderId="11" xfId="0" applyNumberFormat="1" applyFont="1" applyFill="1" applyBorder="1" applyAlignment="1">
      <alignment horizontal="center" vertical="center"/>
    </xf>
    <xf numFmtId="4" fontId="11" fillId="46" borderId="10" xfId="0" applyNumberFormat="1" applyFont="1" applyFill="1" applyBorder="1" applyAlignment="1">
      <alignment horizontal="center" vertical="center" wrapText="1"/>
    </xf>
    <xf numFmtId="4" fontId="11" fillId="47" borderId="11" xfId="0" applyNumberFormat="1" applyFont="1" applyFill="1" applyBorder="1" applyAlignment="1">
      <alignment horizontal="center" vertical="center"/>
    </xf>
    <xf numFmtId="4" fontId="5" fillId="46" borderId="10" xfId="0" applyNumberFormat="1" applyFont="1" applyFill="1" applyBorder="1" applyAlignment="1">
      <alignment horizontal="center" vertical="center" wrapText="1"/>
    </xf>
    <xf numFmtId="2" fontId="1" fillId="4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42" borderId="0" xfId="0" applyFont="1" applyFill="1" applyBorder="1" applyAlignment="1">
      <alignment/>
    </xf>
    <xf numFmtId="0" fontId="60" fillId="42" borderId="0" xfId="0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2" fontId="1" fillId="42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3" fillId="39" borderId="10" xfId="0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375"/>
          <c:h val="0.96575"/>
        </c:manualLayout>
      </c:layout>
      <c:barChart>
        <c:barDir val="col"/>
        <c:grouping val="clustered"/>
        <c:varyColors val="0"/>
        <c:axId val="33246827"/>
        <c:axId val="30785988"/>
      </c:bar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2"/>
  <sheetViews>
    <sheetView tabSelected="1" view="pageBreakPreview" zoomScale="115" zoomScaleNormal="85" zoomScaleSheetLayoutView="115" workbookViewId="0" topLeftCell="A16">
      <selection activeCell="A23" sqref="A23:J24"/>
    </sheetView>
  </sheetViews>
  <sheetFormatPr defaultColWidth="9.33203125" defaultRowHeight="11.25"/>
  <cols>
    <col min="1" max="1" width="45.33203125" style="1" customWidth="1"/>
    <col min="2" max="2" width="9.5" style="1" hidden="1" customWidth="1"/>
    <col min="3" max="3" width="9.66015625" style="1" hidden="1" customWidth="1"/>
    <col min="4" max="4" width="17.16015625" style="1" customWidth="1"/>
    <col min="5" max="5" width="16.66015625" style="1" customWidth="1"/>
    <col min="6" max="6" width="17.66015625" style="1" customWidth="1"/>
    <col min="7" max="7" width="17.5" style="1" customWidth="1"/>
    <col min="8" max="9" width="16.16015625" style="1" customWidth="1"/>
    <col min="10" max="10" width="17.16015625" style="1" customWidth="1"/>
    <col min="11" max="13" width="16" style="1" hidden="1" customWidth="1"/>
    <col min="14" max="14" width="15.83203125" style="1" customWidth="1"/>
    <col min="15" max="15" width="17.5" style="1" customWidth="1"/>
    <col min="16" max="16" width="16.16015625" style="1" customWidth="1"/>
    <col min="17" max="17" width="0.328125" style="1" customWidth="1"/>
    <col min="18" max="235" width="10.33203125" style="1" customWidth="1"/>
  </cols>
  <sheetData>
    <row r="1" spans="14:16" ht="12.75">
      <c r="N1" s="249" t="s">
        <v>387</v>
      </c>
      <c r="O1" s="249"/>
      <c r="P1" s="249"/>
    </row>
    <row r="2" spans="1:16" ht="12.75">
      <c r="A2" s="269"/>
      <c r="B2" s="269"/>
      <c r="C2" s="269"/>
      <c r="D2" s="269"/>
      <c r="E2" s="269"/>
      <c r="F2" s="269"/>
      <c r="G2" s="269"/>
      <c r="H2" s="269"/>
      <c r="I2" s="269"/>
      <c r="N2" s="249" t="s">
        <v>83</v>
      </c>
      <c r="O2" s="249"/>
      <c r="P2" s="249"/>
    </row>
    <row r="3" spans="1:16" ht="12.75">
      <c r="A3" s="269"/>
      <c r="B3" s="269"/>
      <c r="C3" s="269"/>
      <c r="D3" s="270"/>
      <c r="E3" s="270"/>
      <c r="F3" s="270"/>
      <c r="G3" s="270"/>
      <c r="H3" s="270"/>
      <c r="I3" s="269"/>
      <c r="N3" s="249" t="s">
        <v>255</v>
      </c>
      <c r="O3" s="249"/>
      <c r="P3" s="249"/>
    </row>
    <row r="4" spans="1:16" ht="12.75">
      <c r="A4" s="269"/>
      <c r="B4" s="269"/>
      <c r="C4" s="269"/>
      <c r="D4" s="270"/>
      <c r="E4" s="271"/>
      <c r="F4" s="270"/>
      <c r="G4" s="270"/>
      <c r="H4" s="272"/>
      <c r="I4" s="269"/>
      <c r="N4" s="249" t="s">
        <v>62</v>
      </c>
      <c r="O4" s="249"/>
      <c r="P4" s="249"/>
    </row>
    <row r="5" spans="1:16" ht="12.75">
      <c r="A5" s="269"/>
      <c r="B5" s="269"/>
      <c r="C5" s="269"/>
      <c r="D5" s="270"/>
      <c r="E5" s="271"/>
      <c r="F5" s="270"/>
      <c r="G5" s="270"/>
      <c r="H5" s="270"/>
      <c r="I5" s="269"/>
      <c r="N5" s="249" t="s">
        <v>90</v>
      </c>
      <c r="O5" s="249"/>
      <c r="P5" s="249"/>
    </row>
    <row r="6" spans="1:16" ht="12.75">
      <c r="A6" s="269"/>
      <c r="B6" s="269"/>
      <c r="C6" s="269"/>
      <c r="D6" s="270"/>
      <c r="E6" s="270"/>
      <c r="F6" s="270"/>
      <c r="G6" s="270"/>
      <c r="H6" s="270"/>
      <c r="I6" s="269"/>
      <c r="N6" s="249" t="s">
        <v>262</v>
      </c>
      <c r="O6" s="249"/>
      <c r="P6" s="249"/>
    </row>
    <row r="7" spans="1:17" ht="15.75">
      <c r="A7" s="269"/>
      <c r="B7" s="269"/>
      <c r="C7" s="269"/>
      <c r="D7" s="270"/>
      <c r="E7" s="270"/>
      <c r="F7" s="270"/>
      <c r="G7" s="270"/>
      <c r="H7" s="273"/>
      <c r="I7" s="274"/>
      <c r="N7" s="249" t="s">
        <v>346</v>
      </c>
      <c r="O7" s="249"/>
      <c r="P7" s="249"/>
      <c r="Q7" s="41"/>
    </row>
    <row r="8" spans="1:17" ht="15.75">
      <c r="A8" s="269"/>
      <c r="B8" s="269"/>
      <c r="C8" s="269"/>
      <c r="D8" s="270"/>
      <c r="E8" s="270"/>
      <c r="F8" s="270"/>
      <c r="G8" s="270"/>
      <c r="H8" s="272"/>
      <c r="I8" s="275"/>
      <c r="N8" s="146"/>
      <c r="O8" s="146"/>
      <c r="P8" s="146"/>
      <c r="Q8" s="41"/>
    </row>
    <row r="9" spans="1:9" ht="11.25">
      <c r="A9" s="269"/>
      <c r="B9" s="269"/>
      <c r="C9" s="269"/>
      <c r="D9" s="270"/>
      <c r="E9" s="270"/>
      <c r="F9" s="270"/>
      <c r="G9" s="270"/>
      <c r="H9" s="270"/>
      <c r="I9" s="269"/>
    </row>
    <row r="10" spans="1:16" ht="31.5" customHeight="1">
      <c r="A10" s="250" t="s">
        <v>91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1:16" ht="16.5" customHeight="1">
      <c r="A11" s="4"/>
      <c r="B11" s="4"/>
      <c r="C11" s="4"/>
      <c r="D11" s="4"/>
      <c r="E11" s="4"/>
      <c r="F11" s="160"/>
      <c r="G11" s="160"/>
      <c r="H11" s="160"/>
      <c r="I11" s="160"/>
      <c r="J11" s="72"/>
      <c r="K11" s="4"/>
      <c r="N11" s="72"/>
      <c r="P11" s="4" t="s">
        <v>59</v>
      </c>
    </row>
    <row r="12" spans="1:241" ht="11.25" customHeight="1">
      <c r="A12" s="260"/>
      <c r="B12" s="263" t="s">
        <v>52</v>
      </c>
      <c r="C12" s="263" t="s">
        <v>53</v>
      </c>
      <c r="D12" s="252" t="s">
        <v>92</v>
      </c>
      <c r="E12" s="253"/>
      <c r="F12" s="254"/>
      <c r="G12" s="259" t="s">
        <v>93</v>
      </c>
      <c r="H12" s="259"/>
      <c r="I12" s="259"/>
      <c r="J12" s="259"/>
      <c r="K12" s="3"/>
      <c r="L12" s="3"/>
      <c r="M12" s="3"/>
      <c r="N12" s="252" t="s">
        <v>94</v>
      </c>
      <c r="O12" s="253"/>
      <c r="P12" s="254"/>
      <c r="IB12" s="1"/>
      <c r="IC12" s="1"/>
      <c r="ID12" s="1"/>
      <c r="IE12" s="1"/>
      <c r="IF12" s="1"/>
      <c r="IG12" s="1"/>
    </row>
    <row r="13" spans="1:241" ht="12" customHeight="1">
      <c r="A13" s="261"/>
      <c r="B13" s="264"/>
      <c r="C13" s="264"/>
      <c r="D13" s="255" t="s">
        <v>54</v>
      </c>
      <c r="E13" s="256"/>
      <c r="F13" s="257" t="s">
        <v>41</v>
      </c>
      <c r="G13" s="268" t="s">
        <v>54</v>
      </c>
      <c r="H13" s="268"/>
      <c r="I13" s="268"/>
      <c r="J13" s="259" t="s">
        <v>41</v>
      </c>
      <c r="K13" s="252" t="s">
        <v>40</v>
      </c>
      <c r="L13" s="253"/>
      <c r="M13" s="254"/>
      <c r="N13" s="255" t="s">
        <v>54</v>
      </c>
      <c r="O13" s="256"/>
      <c r="P13" s="257" t="s">
        <v>41</v>
      </c>
      <c r="IB13" s="1"/>
      <c r="IC13" s="1"/>
      <c r="ID13" s="1"/>
      <c r="IE13" s="1"/>
      <c r="IF13" s="1"/>
      <c r="IG13" s="1"/>
    </row>
    <row r="14" spans="1:241" ht="24.75" customHeight="1">
      <c r="A14" s="262"/>
      <c r="B14" s="265"/>
      <c r="C14" s="265"/>
      <c r="D14" s="3" t="s">
        <v>0</v>
      </c>
      <c r="E14" s="3" t="s">
        <v>1</v>
      </c>
      <c r="F14" s="258"/>
      <c r="G14" s="3" t="s">
        <v>0</v>
      </c>
      <c r="H14" s="3" t="s">
        <v>1</v>
      </c>
      <c r="I14" s="3" t="s">
        <v>345</v>
      </c>
      <c r="J14" s="259"/>
      <c r="K14" s="3" t="s">
        <v>0</v>
      </c>
      <c r="L14" s="3" t="s">
        <v>1</v>
      </c>
      <c r="M14" s="3" t="s">
        <v>41</v>
      </c>
      <c r="N14" s="3" t="s">
        <v>0</v>
      </c>
      <c r="O14" s="3" t="s">
        <v>1</v>
      </c>
      <c r="P14" s="258"/>
      <c r="IB14" s="1"/>
      <c r="IC14" s="1"/>
      <c r="ID14" s="1"/>
      <c r="IE14" s="1"/>
      <c r="IF14" s="1"/>
      <c r="IG14" s="1"/>
    </row>
    <row r="15" spans="1:241" ht="11.25">
      <c r="A15" s="3">
        <v>1</v>
      </c>
      <c r="B15" s="3"/>
      <c r="C15" s="3"/>
      <c r="D15" s="3" t="s">
        <v>2</v>
      </c>
      <c r="E15" s="3" t="s">
        <v>3</v>
      </c>
      <c r="F15" s="3">
        <v>7</v>
      </c>
      <c r="G15" s="3">
        <v>8</v>
      </c>
      <c r="H15" s="3">
        <v>9</v>
      </c>
      <c r="I15" s="3">
        <v>10</v>
      </c>
      <c r="J15" s="3">
        <v>11</v>
      </c>
      <c r="K15" s="3">
        <v>12</v>
      </c>
      <c r="L15" s="3">
        <v>13</v>
      </c>
      <c r="M15" s="3">
        <v>14</v>
      </c>
      <c r="N15" s="3">
        <v>12</v>
      </c>
      <c r="O15" s="3">
        <v>13</v>
      </c>
      <c r="P15" s="3">
        <v>14</v>
      </c>
      <c r="IB15" s="1"/>
      <c r="IC15" s="1"/>
      <c r="ID15" s="1"/>
      <c r="IE15" s="1"/>
      <c r="IF15" s="1"/>
      <c r="IG15" s="1"/>
    </row>
    <row r="16" spans="1:16" s="1" customFormat="1" ht="28.5" customHeight="1">
      <c r="A16" s="103" t="s">
        <v>76</v>
      </c>
      <c r="B16" s="103"/>
      <c r="C16" s="103"/>
      <c r="D16" s="104">
        <f>D23+D280+D358+D450+D466+D526+D540+D552+D567</f>
        <v>42115300.002</v>
      </c>
      <c r="E16" s="104">
        <f>E23+E280+E358+E450+E466+E526+E570</f>
        <v>42792920</v>
      </c>
      <c r="F16" s="104">
        <f>F23+F280+F358+F450+F466+F526+F540+F552+F570</f>
        <v>84908220.002</v>
      </c>
      <c r="G16" s="104">
        <f>G23+G280+G358+G450+G466+G552+G579+G613+G526+G622+G640+G567+G597</f>
        <v>66495454.99583</v>
      </c>
      <c r="H16" s="104">
        <f>H23+H280+H358+H450+H466+H552+H579+H613+H526+H622+H640+H567+H597-12000000</f>
        <v>189383365.00435</v>
      </c>
      <c r="I16" s="104">
        <f>I23+I280+I358+I450+I466+I567+I597+I613</f>
        <v>47000</v>
      </c>
      <c r="J16" s="104">
        <f>G16+H16+I16</f>
        <v>255925820.00018</v>
      </c>
      <c r="K16" s="104" t="e">
        <f>K23+K280+K358+K450+K466</f>
        <v>#REF!</v>
      </c>
      <c r="L16" s="104" t="e">
        <f>L23+L280+L358+L450+L466</f>
        <v>#REF!</v>
      </c>
      <c r="M16" s="104" t="e">
        <f>M23+M280+M358+M450+M466</f>
        <v>#REF!</v>
      </c>
      <c r="N16" s="104">
        <f>N23+N280+N358+N450+N466+N552+N526</f>
        <v>54506000</v>
      </c>
      <c r="O16" s="104">
        <f>O23+O280+O358+O450+O466</f>
        <v>43812500</v>
      </c>
      <c r="P16" s="104">
        <f>N16+O16</f>
        <v>98318500</v>
      </c>
    </row>
    <row r="17" spans="1:16" s="1" customFormat="1" ht="41.25" customHeight="1">
      <c r="A17" s="103" t="s">
        <v>61</v>
      </c>
      <c r="B17" s="103"/>
      <c r="C17" s="103"/>
      <c r="D17" s="104">
        <f>D24</f>
        <v>50736000</v>
      </c>
      <c r="E17" s="104">
        <f>E24</f>
        <v>58817800</v>
      </c>
      <c r="F17" s="104">
        <f>D17+E17</f>
        <v>109553800</v>
      </c>
      <c r="G17" s="104">
        <f>G24+G540</f>
        <v>71963199.9979428</v>
      </c>
      <c r="H17" s="104">
        <f>H24+12000000</f>
        <v>130625000</v>
      </c>
      <c r="I17" s="104">
        <f>I24</f>
        <v>0</v>
      </c>
      <c r="J17" s="104">
        <f>G17+H17</f>
        <v>202588199.9979428</v>
      </c>
      <c r="K17" s="104">
        <f>K24</f>
        <v>0</v>
      </c>
      <c r="L17" s="104">
        <f>L24</f>
        <v>0</v>
      </c>
      <c r="M17" s="104">
        <f>M24</f>
        <v>0</v>
      </c>
      <c r="N17" s="104">
        <f>N24</f>
        <v>73060000</v>
      </c>
      <c r="O17" s="104">
        <f>O24</f>
        <v>78512500</v>
      </c>
      <c r="P17" s="104">
        <f>N17+O17</f>
        <v>151572500</v>
      </c>
    </row>
    <row r="18" spans="1:17" ht="41.25" customHeight="1">
      <c r="A18" s="103" t="s">
        <v>77</v>
      </c>
      <c r="B18" s="103"/>
      <c r="C18" s="103"/>
      <c r="D18" s="104">
        <f>D359+D414</f>
        <v>353680</v>
      </c>
      <c r="E18" s="104">
        <f>E359+E414</f>
        <v>534080</v>
      </c>
      <c r="F18" s="104">
        <f>D18+E18</f>
        <v>887760</v>
      </c>
      <c r="G18" s="104">
        <f>G359+G414</f>
        <v>220000</v>
      </c>
      <c r="H18" s="104">
        <f>H359+H414</f>
        <v>1183080</v>
      </c>
      <c r="I18" s="104">
        <f>I359+I414</f>
        <v>0</v>
      </c>
      <c r="J18" s="104">
        <f>G18+H18</f>
        <v>1403080</v>
      </c>
      <c r="K18" s="104">
        <f>K359+K414</f>
        <v>0</v>
      </c>
      <c r="L18" s="104">
        <f>L359+L414</f>
        <v>0</v>
      </c>
      <c r="M18" s="104">
        <f>M359+M414</f>
        <v>0</v>
      </c>
      <c r="N18" s="104">
        <f>N359+N414</f>
        <v>413680</v>
      </c>
      <c r="O18" s="104">
        <f>O359+O414</f>
        <v>474080</v>
      </c>
      <c r="P18" s="104">
        <f>N18+O18</f>
        <v>887760</v>
      </c>
      <c r="Q18" s="72"/>
    </row>
    <row r="19" spans="1:17" ht="29.25" customHeight="1">
      <c r="A19" s="103" t="s">
        <v>75</v>
      </c>
      <c r="B19" s="103"/>
      <c r="C19" s="103"/>
      <c r="D19" s="104">
        <f>D26</f>
        <v>132300</v>
      </c>
      <c r="E19" s="104">
        <f>E26</f>
        <v>0</v>
      </c>
      <c r="F19" s="104">
        <f>D19+E19</f>
        <v>132300</v>
      </c>
      <c r="G19" s="104">
        <f>G26</f>
        <v>172439.79</v>
      </c>
      <c r="H19" s="104">
        <f>H26</f>
        <v>0</v>
      </c>
      <c r="I19" s="104">
        <f>I26</f>
        <v>0</v>
      </c>
      <c r="J19" s="104">
        <f>G19+H19</f>
        <v>172439.79</v>
      </c>
      <c r="K19" s="104">
        <f>K26</f>
        <v>0</v>
      </c>
      <c r="L19" s="104">
        <f>L26</f>
        <v>0</v>
      </c>
      <c r="M19" s="104">
        <f>M26</f>
        <v>0</v>
      </c>
      <c r="N19" s="104">
        <f>N26</f>
        <v>165000</v>
      </c>
      <c r="O19" s="104">
        <f>O26</f>
        <v>0</v>
      </c>
      <c r="P19" s="104">
        <f>N19+O19</f>
        <v>165000</v>
      </c>
      <c r="Q19" s="72"/>
    </row>
    <row r="20" spans="1:17" ht="20.25" customHeight="1">
      <c r="A20" s="103" t="s">
        <v>231</v>
      </c>
      <c r="B20" s="103"/>
      <c r="C20" s="103"/>
      <c r="D20" s="104">
        <f>D16+D17+D18+D19</f>
        <v>93337280.002</v>
      </c>
      <c r="E20" s="104">
        <f>E16+E17+E18+E19</f>
        <v>102144800</v>
      </c>
      <c r="F20" s="104">
        <f>F16+F17+F18+F19</f>
        <v>195482080.002</v>
      </c>
      <c r="G20" s="104">
        <f aca="true" t="shared" si="0" ref="G20:P20">G16+G17+G18+G19</f>
        <v>138851094.7837728</v>
      </c>
      <c r="H20" s="104">
        <f>H16+H17+H18+H19</f>
        <v>321191445.00435</v>
      </c>
      <c r="I20" s="104">
        <f>I16+I17+I18+I19</f>
        <v>47000</v>
      </c>
      <c r="J20" s="104">
        <f t="shared" si="0"/>
        <v>460089539.78812283</v>
      </c>
      <c r="K20" s="104" t="e">
        <f t="shared" si="0"/>
        <v>#REF!</v>
      </c>
      <c r="L20" s="104" t="e">
        <f t="shared" si="0"/>
        <v>#REF!</v>
      </c>
      <c r="M20" s="104" t="e">
        <f t="shared" si="0"/>
        <v>#REF!</v>
      </c>
      <c r="N20" s="104">
        <f t="shared" si="0"/>
        <v>128144680</v>
      </c>
      <c r="O20" s="104">
        <f t="shared" si="0"/>
        <v>122799080</v>
      </c>
      <c r="P20" s="104">
        <f t="shared" si="0"/>
        <v>250943760</v>
      </c>
      <c r="Q20" s="72"/>
    </row>
    <row r="21" spans="1:17" ht="18.75" customHeight="1">
      <c r="A21" s="276" t="s">
        <v>230</v>
      </c>
      <c r="B21" s="187"/>
      <c r="C21" s="187"/>
      <c r="D21" s="277">
        <f>D23+D24+D26</f>
        <v>85352300</v>
      </c>
      <c r="E21" s="277">
        <f aca="true" t="shared" si="1" ref="E21:P21">E23+E24+E26</f>
        <v>73485300</v>
      </c>
      <c r="F21" s="277">
        <f>F23+F24+F26</f>
        <v>158837600</v>
      </c>
      <c r="G21" s="277">
        <f>G23+G24+G26</f>
        <v>114394394.7856428</v>
      </c>
      <c r="H21" s="277">
        <f>H23+H24+H26</f>
        <v>148476300</v>
      </c>
      <c r="I21" s="277">
        <f>I23+I24+I26</f>
        <v>0</v>
      </c>
      <c r="J21" s="277">
        <f t="shared" si="1"/>
        <v>262870694.7856428</v>
      </c>
      <c r="K21" s="277">
        <f t="shared" si="1"/>
        <v>-1039.33</v>
      </c>
      <c r="L21" s="277">
        <f t="shared" si="1"/>
        <v>-1039.33</v>
      </c>
      <c r="M21" s="277">
        <f t="shared" si="1"/>
        <v>-1039.33</v>
      </c>
      <c r="N21" s="277">
        <f t="shared" si="1"/>
        <v>124841000</v>
      </c>
      <c r="O21" s="101">
        <f t="shared" si="1"/>
        <v>96595000</v>
      </c>
      <c r="P21" s="101">
        <f t="shared" si="1"/>
        <v>221436000</v>
      </c>
      <c r="Q21" s="72"/>
    </row>
    <row r="22" spans="1:17" ht="27" customHeight="1">
      <c r="A22" s="29" t="s">
        <v>232</v>
      </c>
      <c r="B22" s="9"/>
      <c r="C22" s="9"/>
      <c r="D22" s="13"/>
      <c r="E22" s="12"/>
      <c r="F22" s="13"/>
      <c r="G22" s="13"/>
      <c r="H22" s="13"/>
      <c r="I22" s="13"/>
      <c r="J22" s="13"/>
      <c r="K22" s="14"/>
      <c r="L22" s="14"/>
      <c r="M22" s="15"/>
      <c r="N22" s="13"/>
      <c r="O22" s="12"/>
      <c r="P22" s="13"/>
      <c r="Q22" s="72"/>
    </row>
    <row r="23" spans="1:16" ht="15" customHeight="1">
      <c r="A23" s="221" t="s">
        <v>103</v>
      </c>
      <c r="B23" s="221"/>
      <c r="C23" s="221"/>
      <c r="D23" s="277">
        <f>D64+(D79*D82)+D128+D156+D193+D229+D241+D261+D271+D86</f>
        <v>34484000</v>
      </c>
      <c r="E23" s="277">
        <f>E64+(E79*E82)+E128+E156+E193+E229+E241+E261+E271</f>
        <v>14667500</v>
      </c>
      <c r="F23" s="277">
        <f>D23+E23</f>
        <v>49151500</v>
      </c>
      <c r="G23" s="277">
        <f>G64+(G79*G82)+G128+G156+G193+G229+G241+G261+G271+G86-49950+124950</f>
        <v>50338754.9977</v>
      </c>
      <c r="H23" s="277">
        <f>H64+(H79*H82)+H128+H156+H193+H229+H241+H261+H271-300-H277+3000000+500000</f>
        <v>29851300</v>
      </c>
      <c r="I23" s="277">
        <f>I64+(I79*I82)+I128+I156+I193+I229+I241+I261+I271-I277</f>
        <v>0</v>
      </c>
      <c r="J23" s="277">
        <f>G23+H23</f>
        <v>80190054.9977</v>
      </c>
      <c r="K23" s="101">
        <f>K64+(K79*K82)+K128+K156+K193+K229+K241+K261+K271</f>
        <v>-1039.33</v>
      </c>
      <c r="L23" s="101">
        <f>L64+(L79*L82)+L128+L156+L193+L229+L241+L261+L271</f>
        <v>-1039.33</v>
      </c>
      <c r="M23" s="101">
        <f>M64+(M79*M82)+M128+M156+M193+M229+M241+M261+M271</f>
        <v>-1039.33</v>
      </c>
      <c r="N23" s="101">
        <f>N64+(N79*N82)+N128+N156+N193+N229+N241+N261+N271</f>
        <v>51616000</v>
      </c>
      <c r="O23" s="101">
        <f>O64+(O79*O82)+O128+O156+O193+O229+O241+O261+O271</f>
        <v>18082500</v>
      </c>
      <c r="P23" s="101">
        <f>N23+O23</f>
        <v>69698500</v>
      </c>
    </row>
    <row r="24" spans="1:16" ht="13.5" customHeight="1">
      <c r="A24" s="221" t="s">
        <v>104</v>
      </c>
      <c r="B24" s="221"/>
      <c r="C24" s="221"/>
      <c r="D24" s="277">
        <f>D27+D37+D46+D93+D100-D26</f>
        <v>50736000</v>
      </c>
      <c r="E24" s="277">
        <f>E27+E37+E46+E93+E100-E26+(E78*E81)</f>
        <v>58817800</v>
      </c>
      <c r="F24" s="277">
        <f>D24+E24</f>
        <v>109553800</v>
      </c>
      <c r="G24" s="277">
        <f>G27+G37+G46+G93+G100-G26</f>
        <v>63883199.9979428</v>
      </c>
      <c r="H24" s="277">
        <f>H27+H37+H46+H93+H100-H26+(J78*J81)+150+H277-2925000</f>
        <v>118625000</v>
      </c>
      <c r="I24" s="277">
        <f>I27+I37+I46+I93+I100-I26+(K78*K81)+I277</f>
        <v>0</v>
      </c>
      <c r="J24" s="277">
        <f>G24+H24</f>
        <v>182508199.9979428</v>
      </c>
      <c r="K24" s="101">
        <f>K27+K37+K46+K93+K100-K26+(L78*L81)</f>
        <v>0</v>
      </c>
      <c r="L24" s="101">
        <f>L27+L37+L46+L93+L100-L26+(M78*M81)</f>
        <v>0</v>
      </c>
      <c r="M24" s="101">
        <f>M27+M37+M46+M93+M100-M26+(N78*N81)</f>
        <v>0</v>
      </c>
      <c r="N24" s="101">
        <f>N27+N37+N46+N93+N100-N26</f>
        <v>73060000</v>
      </c>
      <c r="O24" s="101">
        <f>O27+O37+O46+O93+O100-O26+(P78*P81)-737500</f>
        <v>78512500</v>
      </c>
      <c r="P24" s="101">
        <f>N24+O24</f>
        <v>151572500</v>
      </c>
    </row>
    <row r="25" spans="1:16" ht="30.75" customHeight="1" hidden="1">
      <c r="A25" s="24"/>
      <c r="B25" s="16"/>
      <c r="C25" s="16"/>
      <c r="D25" s="101">
        <f aca="true" t="shared" si="2" ref="D25:N25">D27+D37+D64+D46+D100</f>
        <v>57221000</v>
      </c>
      <c r="E25" s="101">
        <f t="shared" si="2"/>
        <v>25700000</v>
      </c>
      <c r="F25" s="101">
        <f>D25+E25</f>
        <v>82921000</v>
      </c>
      <c r="G25" s="101">
        <f t="shared" si="2"/>
        <v>73655639.78644279</v>
      </c>
      <c r="H25" s="101">
        <f t="shared" si="2"/>
        <v>72700000</v>
      </c>
      <c r="I25" s="101"/>
      <c r="J25" s="101">
        <f>G25+H25</f>
        <v>146355639.7864428</v>
      </c>
      <c r="K25" s="101">
        <f t="shared" si="2"/>
        <v>0</v>
      </c>
      <c r="L25" s="101">
        <f t="shared" si="2"/>
        <v>0</v>
      </c>
      <c r="M25" s="101">
        <f t="shared" si="2"/>
        <v>0</v>
      </c>
      <c r="N25" s="101">
        <f t="shared" si="2"/>
        <v>84725000</v>
      </c>
      <c r="O25" s="101" t="e">
        <f>O28+O38+#REF!+#REF!</f>
        <v>#REF!</v>
      </c>
      <c r="P25" s="101" t="e">
        <f>N25+O25</f>
        <v>#REF!</v>
      </c>
    </row>
    <row r="26" spans="1:16" ht="13.5" customHeight="1">
      <c r="A26" s="24" t="s">
        <v>229</v>
      </c>
      <c r="B26" s="16"/>
      <c r="C26" s="16"/>
      <c r="D26" s="101">
        <v>132300</v>
      </c>
      <c r="E26" s="101"/>
      <c r="F26" s="101">
        <f>D26+E26</f>
        <v>132300</v>
      </c>
      <c r="G26" s="101">
        <f>135000+37439.79</f>
        <v>172439.79</v>
      </c>
      <c r="H26" s="101"/>
      <c r="I26" s="101"/>
      <c r="J26" s="101">
        <f>G26+H26</f>
        <v>172439.79</v>
      </c>
      <c r="K26" s="101"/>
      <c r="L26" s="101"/>
      <c r="M26" s="101"/>
      <c r="N26" s="101">
        <v>165000</v>
      </c>
      <c r="O26" s="101"/>
      <c r="P26" s="101">
        <f>N26+O26</f>
        <v>165000</v>
      </c>
    </row>
    <row r="27" spans="1:235" s="210" customFormat="1" ht="33.75">
      <c r="A27" s="178" t="s">
        <v>44</v>
      </c>
      <c r="B27" s="187"/>
      <c r="C27" s="187"/>
      <c r="D27" s="188"/>
      <c r="E27" s="188">
        <f>E33*E31</f>
        <v>22500000</v>
      </c>
      <c r="F27" s="188">
        <f>F33*F31</f>
        <v>22500000</v>
      </c>
      <c r="G27" s="188"/>
      <c r="H27" s="188">
        <v>71500000</v>
      </c>
      <c r="I27" s="188"/>
      <c r="J27" s="235">
        <f>H27</f>
        <v>71500000</v>
      </c>
      <c r="K27" s="195"/>
      <c r="L27" s="195"/>
      <c r="M27" s="196"/>
      <c r="N27" s="188"/>
      <c r="O27" s="188">
        <f>(O33*O31)</f>
        <v>32400000</v>
      </c>
      <c r="P27" s="188">
        <f>(P33*P31)</f>
        <v>32400000</v>
      </c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</row>
    <row r="28" spans="1:235" s="81" customFormat="1" ht="12">
      <c r="A28" s="90" t="s">
        <v>4</v>
      </c>
      <c r="B28" s="111"/>
      <c r="C28" s="111"/>
      <c r="D28" s="125"/>
      <c r="E28" s="109"/>
      <c r="F28" s="125"/>
      <c r="G28" s="125"/>
      <c r="H28" s="109"/>
      <c r="I28" s="109"/>
      <c r="J28" s="125"/>
      <c r="K28" s="114"/>
      <c r="L28" s="114"/>
      <c r="M28" s="115"/>
      <c r="N28" s="125"/>
      <c r="O28" s="109"/>
      <c r="P28" s="125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</row>
    <row r="29" spans="1:235" s="81" customFormat="1" ht="27" customHeight="1">
      <c r="A29" s="91" t="s">
        <v>9</v>
      </c>
      <c r="B29" s="105"/>
      <c r="C29" s="105"/>
      <c r="D29" s="105"/>
      <c r="E29" s="113">
        <v>270000</v>
      </c>
      <c r="F29" s="113">
        <f>E29</f>
        <v>270000</v>
      </c>
      <c r="G29" s="105"/>
      <c r="H29" s="113">
        <v>270000</v>
      </c>
      <c r="I29" s="113"/>
      <c r="J29" s="113">
        <f>H29</f>
        <v>270000</v>
      </c>
      <c r="K29" s="114"/>
      <c r="L29" s="114"/>
      <c r="M29" s="115"/>
      <c r="N29" s="105"/>
      <c r="O29" s="113">
        <v>300000</v>
      </c>
      <c r="P29" s="113">
        <f>O29</f>
        <v>300000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</row>
    <row r="30" spans="1:235" s="81" customFormat="1" ht="12">
      <c r="A30" s="90" t="s">
        <v>5</v>
      </c>
      <c r="B30" s="111"/>
      <c r="C30" s="111"/>
      <c r="D30" s="105"/>
      <c r="E30" s="125"/>
      <c r="F30" s="125"/>
      <c r="G30" s="105"/>
      <c r="H30" s="125"/>
      <c r="I30" s="125"/>
      <c r="J30" s="125"/>
      <c r="K30" s="114"/>
      <c r="L30" s="114"/>
      <c r="M30" s="115"/>
      <c r="N30" s="105"/>
      <c r="O30" s="125"/>
      <c r="P30" s="125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</row>
    <row r="31" spans="1:235" s="81" customFormat="1" ht="22.5">
      <c r="A31" s="91" t="s">
        <v>12</v>
      </c>
      <c r="B31" s="105"/>
      <c r="C31" s="105"/>
      <c r="D31" s="105"/>
      <c r="E31" s="113">
        <f>50000+25000</f>
        <v>75000</v>
      </c>
      <c r="F31" s="113">
        <f>E31</f>
        <v>75000</v>
      </c>
      <c r="G31" s="105"/>
      <c r="H31" s="108">
        <f>50000+25000+103750</f>
        <v>178750</v>
      </c>
      <c r="I31" s="108"/>
      <c r="J31" s="113">
        <f>H31</f>
        <v>178750</v>
      </c>
      <c r="K31" s="114"/>
      <c r="L31" s="114"/>
      <c r="M31" s="115"/>
      <c r="N31" s="105"/>
      <c r="O31" s="113">
        <f>54000+27000</f>
        <v>81000</v>
      </c>
      <c r="P31" s="113">
        <f>O31</f>
        <v>81000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</row>
    <row r="32" spans="1:235" s="81" customFormat="1" ht="12">
      <c r="A32" s="90" t="s">
        <v>7</v>
      </c>
      <c r="B32" s="111"/>
      <c r="C32" s="111"/>
      <c r="D32" s="105"/>
      <c r="E32" s="125"/>
      <c r="F32" s="125"/>
      <c r="G32" s="105"/>
      <c r="H32" s="110"/>
      <c r="I32" s="110"/>
      <c r="J32" s="125"/>
      <c r="K32" s="114"/>
      <c r="L32" s="114"/>
      <c r="M32" s="115"/>
      <c r="N32" s="105"/>
      <c r="O32" s="125"/>
      <c r="P32" s="125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</row>
    <row r="33" spans="1:235" s="81" customFormat="1" ht="22.5">
      <c r="A33" s="91" t="s">
        <v>17</v>
      </c>
      <c r="B33" s="105"/>
      <c r="C33" s="105"/>
      <c r="D33" s="105"/>
      <c r="E33" s="108">
        <v>300</v>
      </c>
      <c r="F33" s="108">
        <f>E33</f>
        <v>300</v>
      </c>
      <c r="G33" s="105"/>
      <c r="H33" s="108">
        <v>400</v>
      </c>
      <c r="I33" s="108"/>
      <c r="J33" s="108">
        <f>H33</f>
        <v>400</v>
      </c>
      <c r="K33" s="114"/>
      <c r="L33" s="114"/>
      <c r="M33" s="115"/>
      <c r="N33" s="105"/>
      <c r="O33" s="108">
        <v>400</v>
      </c>
      <c r="P33" s="108">
        <f>O33</f>
        <v>400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</row>
    <row r="34" spans="1:235" s="81" customFormat="1" ht="12">
      <c r="A34" s="90" t="s">
        <v>6</v>
      </c>
      <c r="B34" s="111"/>
      <c r="C34" s="111"/>
      <c r="D34" s="105"/>
      <c r="E34" s="125"/>
      <c r="F34" s="125"/>
      <c r="G34" s="105"/>
      <c r="H34" s="110"/>
      <c r="I34" s="110"/>
      <c r="J34" s="125"/>
      <c r="K34" s="114"/>
      <c r="L34" s="114"/>
      <c r="M34" s="115"/>
      <c r="N34" s="105"/>
      <c r="O34" s="125"/>
      <c r="P34" s="125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</row>
    <row r="35" spans="1:235" s="81" customFormat="1" ht="22.5">
      <c r="A35" s="91" t="s">
        <v>23</v>
      </c>
      <c r="B35" s="105"/>
      <c r="C35" s="105"/>
      <c r="D35" s="105"/>
      <c r="E35" s="108">
        <f>E31/E29*100</f>
        <v>27.77777777777778</v>
      </c>
      <c r="F35" s="108">
        <f>F31/F29*100</f>
        <v>27.77777777777778</v>
      </c>
      <c r="G35" s="105"/>
      <c r="H35" s="108">
        <f>H31/H29*100</f>
        <v>66.20370370370371</v>
      </c>
      <c r="I35" s="108"/>
      <c r="J35" s="108">
        <f>J31/J29*100</f>
        <v>66.20370370370371</v>
      </c>
      <c r="K35" s="114"/>
      <c r="L35" s="114"/>
      <c r="M35" s="115"/>
      <c r="N35" s="105"/>
      <c r="O35" s="108">
        <f>O31/O29*100</f>
        <v>27</v>
      </c>
      <c r="P35" s="108">
        <f>P31/P29*100</f>
        <v>27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</row>
    <row r="36" spans="1:235" s="81" customFormat="1" ht="15.75" customHeight="1">
      <c r="A36" s="24" t="s">
        <v>230</v>
      </c>
      <c r="B36" s="40"/>
      <c r="C36" s="40"/>
      <c r="D36" s="40"/>
      <c r="E36" s="85"/>
      <c r="F36" s="85"/>
      <c r="G36" s="40"/>
      <c r="H36" s="85"/>
      <c r="I36" s="85"/>
      <c r="J36" s="85"/>
      <c r="K36" s="38"/>
      <c r="L36" s="38"/>
      <c r="M36" s="39"/>
      <c r="N36" s="40"/>
      <c r="O36" s="85"/>
      <c r="P36" s="85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</row>
    <row r="37" spans="1:235" s="210" customFormat="1" ht="35.25" customHeight="1">
      <c r="A37" s="178" t="s">
        <v>95</v>
      </c>
      <c r="B37" s="187"/>
      <c r="C37" s="187"/>
      <c r="D37" s="189">
        <f>D43*D41+100</f>
        <v>29500000</v>
      </c>
      <c r="E37" s="189"/>
      <c r="F37" s="189">
        <f>F43*F41+100</f>
        <v>29500000</v>
      </c>
      <c r="G37" s="189">
        <f>G41*G43</f>
        <v>38399999.9985</v>
      </c>
      <c r="H37" s="189"/>
      <c r="I37" s="189"/>
      <c r="J37" s="236">
        <f>G37</f>
        <v>38399999.9985</v>
      </c>
      <c r="K37" s="195"/>
      <c r="L37" s="195"/>
      <c r="M37" s="196"/>
      <c r="N37" s="189">
        <f>N41*N43</f>
        <v>42480000</v>
      </c>
      <c r="O37" s="189"/>
      <c r="P37" s="189">
        <f>N37</f>
        <v>42480000</v>
      </c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</row>
    <row r="38" spans="1:235" s="81" customFormat="1" ht="12">
      <c r="A38" s="90" t="s">
        <v>4</v>
      </c>
      <c r="B38" s="111"/>
      <c r="C38" s="111"/>
      <c r="D38" s="108"/>
      <c r="E38" s="105"/>
      <c r="F38" s="108"/>
      <c r="G38" s="108"/>
      <c r="H38" s="105"/>
      <c r="I38" s="105"/>
      <c r="J38" s="108"/>
      <c r="K38" s="114"/>
      <c r="L38" s="114"/>
      <c r="M38" s="115"/>
      <c r="N38" s="108"/>
      <c r="O38" s="105"/>
      <c r="P38" s="108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</row>
    <row r="39" spans="1:235" s="81" customFormat="1" ht="22.5">
      <c r="A39" s="91" t="s">
        <v>10</v>
      </c>
      <c r="B39" s="105"/>
      <c r="C39" s="105"/>
      <c r="D39" s="113">
        <v>292000</v>
      </c>
      <c r="E39" s="105"/>
      <c r="F39" s="113">
        <f>D39</f>
        <v>292000</v>
      </c>
      <c r="G39" s="113">
        <v>292000</v>
      </c>
      <c r="H39" s="105"/>
      <c r="I39" s="105"/>
      <c r="J39" s="113">
        <f>G39</f>
        <v>292000</v>
      </c>
      <c r="K39" s="114"/>
      <c r="L39" s="114"/>
      <c r="M39" s="115"/>
      <c r="N39" s="113">
        <v>300000</v>
      </c>
      <c r="O39" s="105"/>
      <c r="P39" s="113">
        <f>N39</f>
        <v>300000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</row>
    <row r="40" spans="1:235" s="81" customFormat="1" ht="12">
      <c r="A40" s="90" t="s">
        <v>5</v>
      </c>
      <c r="B40" s="111"/>
      <c r="C40" s="111"/>
      <c r="D40" s="108"/>
      <c r="E40" s="105"/>
      <c r="F40" s="108"/>
      <c r="G40" s="108"/>
      <c r="H40" s="105"/>
      <c r="I40" s="105"/>
      <c r="J40" s="108"/>
      <c r="K40" s="114"/>
      <c r="L40" s="114"/>
      <c r="M40" s="115"/>
      <c r="N40" s="108"/>
      <c r="O40" s="105"/>
      <c r="P40" s="108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</row>
    <row r="41" spans="1:235" s="81" customFormat="1" ht="22.5">
      <c r="A41" s="91" t="s">
        <v>11</v>
      </c>
      <c r="B41" s="105"/>
      <c r="C41" s="105"/>
      <c r="D41" s="113">
        <f>73333+25000</f>
        <v>98333</v>
      </c>
      <c r="E41" s="105"/>
      <c r="F41" s="113">
        <f>D41</f>
        <v>98333</v>
      </c>
      <c r="G41" s="234">
        <f>73333+25000+8333</f>
        <v>106666</v>
      </c>
      <c r="H41" s="105"/>
      <c r="I41" s="105"/>
      <c r="J41" s="113">
        <f>G41</f>
        <v>106666</v>
      </c>
      <c r="K41" s="114"/>
      <c r="L41" s="114"/>
      <c r="M41" s="115"/>
      <c r="N41" s="113">
        <f>79200+27000</f>
        <v>106200</v>
      </c>
      <c r="O41" s="105"/>
      <c r="P41" s="113">
        <f>N41</f>
        <v>106200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</row>
    <row r="42" spans="1:235" s="81" customFormat="1" ht="12">
      <c r="A42" s="90" t="s">
        <v>7</v>
      </c>
      <c r="B42" s="111"/>
      <c r="C42" s="111"/>
      <c r="D42" s="108"/>
      <c r="E42" s="105"/>
      <c r="F42" s="108"/>
      <c r="G42" s="108"/>
      <c r="H42" s="105"/>
      <c r="I42" s="105"/>
      <c r="J42" s="108"/>
      <c r="K42" s="114"/>
      <c r="L42" s="114"/>
      <c r="M42" s="115"/>
      <c r="N42" s="108"/>
      <c r="O42" s="105"/>
      <c r="P42" s="108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</row>
    <row r="43" spans="1:235" s="81" customFormat="1" ht="24" customHeight="1">
      <c r="A43" s="91" t="s">
        <v>20</v>
      </c>
      <c r="B43" s="105"/>
      <c r="C43" s="105"/>
      <c r="D43" s="108">
        <v>300</v>
      </c>
      <c r="E43" s="105"/>
      <c r="F43" s="108">
        <f>D43</f>
        <v>300</v>
      </c>
      <c r="G43" s="108">
        <v>360.00225</v>
      </c>
      <c r="H43" s="105"/>
      <c r="I43" s="105"/>
      <c r="J43" s="108">
        <f>G43</f>
        <v>360.00225</v>
      </c>
      <c r="K43" s="114"/>
      <c r="L43" s="114"/>
      <c r="M43" s="115"/>
      <c r="N43" s="108">
        <v>400</v>
      </c>
      <c r="O43" s="105"/>
      <c r="P43" s="108">
        <f>N43</f>
        <v>400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</row>
    <row r="44" spans="1:235" s="81" customFormat="1" ht="12">
      <c r="A44" s="90" t="s">
        <v>6</v>
      </c>
      <c r="B44" s="111"/>
      <c r="C44" s="111"/>
      <c r="D44" s="108"/>
      <c r="E44" s="105"/>
      <c r="F44" s="108"/>
      <c r="G44" s="108"/>
      <c r="H44" s="105"/>
      <c r="I44" s="105"/>
      <c r="J44" s="108"/>
      <c r="K44" s="114"/>
      <c r="L44" s="114"/>
      <c r="M44" s="115"/>
      <c r="N44" s="108"/>
      <c r="O44" s="105"/>
      <c r="P44" s="108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</row>
    <row r="45" spans="1:235" s="81" customFormat="1" ht="21.75" customHeight="1">
      <c r="A45" s="91" t="s">
        <v>22</v>
      </c>
      <c r="B45" s="105"/>
      <c r="C45" s="105"/>
      <c r="D45" s="108">
        <f aca="true" t="shared" si="3" ref="D45:J45">D41/D39*100</f>
        <v>33.67568493150685</v>
      </c>
      <c r="E45" s="108"/>
      <c r="F45" s="108">
        <f t="shared" si="3"/>
        <v>33.67568493150685</v>
      </c>
      <c r="G45" s="108">
        <f t="shared" si="3"/>
        <v>36.52945205479452</v>
      </c>
      <c r="H45" s="108"/>
      <c r="I45" s="108"/>
      <c r="J45" s="108">
        <f t="shared" si="3"/>
        <v>36.52945205479452</v>
      </c>
      <c r="K45" s="114"/>
      <c r="L45" s="114"/>
      <c r="M45" s="115"/>
      <c r="N45" s="108">
        <f>N41/N39*100</f>
        <v>35.4</v>
      </c>
      <c r="O45" s="108"/>
      <c r="P45" s="108">
        <f>P41/P39*100</f>
        <v>35.4</v>
      </c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</row>
    <row r="46" spans="1:235" s="210" customFormat="1" ht="28.5" customHeight="1">
      <c r="A46" s="178" t="s">
        <v>96</v>
      </c>
      <c r="B46" s="187"/>
      <c r="C46" s="187"/>
      <c r="D46" s="189">
        <f>(D50*D52)+0.4</f>
        <v>19000000</v>
      </c>
      <c r="E46" s="189"/>
      <c r="F46" s="189">
        <f>(F50*F52)+0.4</f>
        <v>19000000</v>
      </c>
      <c r="G46" s="189">
        <f>G50*G52+0.48</f>
        <v>22800000</v>
      </c>
      <c r="H46" s="189"/>
      <c r="I46" s="189"/>
      <c r="J46" s="236">
        <f>G46</f>
        <v>22800000</v>
      </c>
      <c r="K46" s="195"/>
      <c r="L46" s="195"/>
      <c r="M46" s="196"/>
      <c r="N46" s="189">
        <f>N50*N52</f>
        <v>27360000</v>
      </c>
      <c r="O46" s="189"/>
      <c r="P46" s="189">
        <f>N46</f>
        <v>27360000</v>
      </c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</row>
    <row r="47" spans="1:235" s="81" customFormat="1" ht="12">
      <c r="A47" s="90" t="s">
        <v>4</v>
      </c>
      <c r="B47" s="111"/>
      <c r="C47" s="111"/>
      <c r="D47" s="108"/>
      <c r="E47" s="105"/>
      <c r="F47" s="108"/>
      <c r="G47" s="108"/>
      <c r="H47" s="105"/>
      <c r="I47" s="105"/>
      <c r="J47" s="108"/>
      <c r="K47" s="114"/>
      <c r="L47" s="114"/>
      <c r="M47" s="115"/>
      <c r="N47" s="108"/>
      <c r="O47" s="105"/>
      <c r="P47" s="108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</row>
    <row r="48" spans="1:235" s="81" customFormat="1" ht="22.5">
      <c r="A48" s="91" t="s">
        <v>84</v>
      </c>
      <c r="B48" s="105"/>
      <c r="C48" s="105"/>
      <c r="D48" s="113">
        <v>3372600</v>
      </c>
      <c r="E48" s="105"/>
      <c r="F48" s="113">
        <f>D48</f>
        <v>3372600</v>
      </c>
      <c r="G48" s="113">
        <v>3372600</v>
      </c>
      <c r="H48" s="105"/>
      <c r="I48" s="105"/>
      <c r="J48" s="113">
        <f>G48</f>
        <v>3372600</v>
      </c>
      <c r="K48" s="114"/>
      <c r="L48" s="114"/>
      <c r="M48" s="115"/>
      <c r="N48" s="113">
        <v>3372600</v>
      </c>
      <c r="O48" s="105"/>
      <c r="P48" s="113">
        <f>N48</f>
        <v>3372600</v>
      </c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</row>
    <row r="49" spans="1:235" s="81" customFormat="1" ht="12">
      <c r="A49" s="90" t="s">
        <v>5</v>
      </c>
      <c r="B49" s="111"/>
      <c r="C49" s="111"/>
      <c r="D49" s="108"/>
      <c r="E49" s="105"/>
      <c r="F49" s="108"/>
      <c r="G49" s="108"/>
      <c r="H49" s="105"/>
      <c r="I49" s="105"/>
      <c r="J49" s="108"/>
      <c r="K49" s="114"/>
      <c r="L49" s="114"/>
      <c r="M49" s="115"/>
      <c r="N49" s="108"/>
      <c r="O49" s="105"/>
      <c r="P49" s="108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</row>
    <row r="50" spans="1:235" s="81" customFormat="1" ht="21.75" customHeight="1">
      <c r="A50" s="91" t="s">
        <v>85</v>
      </c>
      <c r="B50" s="105"/>
      <c r="C50" s="105"/>
      <c r="D50" s="113">
        <v>1310344.8</v>
      </c>
      <c r="E50" s="105"/>
      <c r="F50" s="113">
        <f>D50</f>
        <v>1310344.8</v>
      </c>
      <c r="G50" s="113">
        <v>1310344.8</v>
      </c>
      <c r="H50" s="105"/>
      <c r="I50" s="105"/>
      <c r="J50" s="113">
        <f>G50</f>
        <v>1310344.8</v>
      </c>
      <c r="K50" s="114"/>
      <c r="L50" s="114"/>
      <c r="M50" s="115"/>
      <c r="N50" s="113">
        <v>1425000</v>
      </c>
      <c r="O50" s="105"/>
      <c r="P50" s="113">
        <f>N50</f>
        <v>1425000</v>
      </c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</row>
    <row r="51" spans="1:235" s="81" customFormat="1" ht="12">
      <c r="A51" s="90" t="s">
        <v>7</v>
      </c>
      <c r="B51" s="111"/>
      <c r="C51" s="111"/>
      <c r="D51" s="108"/>
      <c r="E51" s="105"/>
      <c r="F51" s="108"/>
      <c r="G51" s="108"/>
      <c r="H51" s="105"/>
      <c r="I51" s="105"/>
      <c r="J51" s="108"/>
      <c r="K51" s="114"/>
      <c r="L51" s="114"/>
      <c r="M51" s="115"/>
      <c r="N51" s="108"/>
      <c r="O51" s="105"/>
      <c r="P51" s="108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</row>
    <row r="52" spans="1:235" s="81" customFormat="1" ht="21.75" customHeight="1">
      <c r="A52" s="91" t="s">
        <v>18</v>
      </c>
      <c r="B52" s="105"/>
      <c r="C52" s="105"/>
      <c r="D52" s="108">
        <v>14.5</v>
      </c>
      <c r="E52" s="105"/>
      <c r="F52" s="108">
        <f>D52</f>
        <v>14.5</v>
      </c>
      <c r="G52" s="108">
        <v>17.4</v>
      </c>
      <c r="H52" s="105"/>
      <c r="I52" s="105"/>
      <c r="J52" s="108">
        <f>G52</f>
        <v>17.4</v>
      </c>
      <c r="K52" s="114"/>
      <c r="L52" s="114"/>
      <c r="M52" s="115"/>
      <c r="N52" s="108">
        <v>19.2</v>
      </c>
      <c r="O52" s="105"/>
      <c r="P52" s="108">
        <f>N52</f>
        <v>19.2</v>
      </c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</row>
    <row r="53" spans="1:235" s="81" customFormat="1" ht="12">
      <c r="A53" s="90" t="s">
        <v>6</v>
      </c>
      <c r="B53" s="111"/>
      <c r="C53" s="111"/>
      <c r="D53" s="108"/>
      <c r="E53" s="105"/>
      <c r="F53" s="108"/>
      <c r="G53" s="108"/>
      <c r="H53" s="105"/>
      <c r="I53" s="105"/>
      <c r="J53" s="108"/>
      <c r="K53" s="114"/>
      <c r="L53" s="114"/>
      <c r="M53" s="115"/>
      <c r="N53" s="108"/>
      <c r="O53" s="105"/>
      <c r="P53" s="108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</row>
    <row r="54" spans="1:235" s="81" customFormat="1" ht="26.25" customHeight="1">
      <c r="A54" s="91" t="s">
        <v>86</v>
      </c>
      <c r="B54" s="105"/>
      <c r="C54" s="105"/>
      <c r="D54" s="108">
        <f>D50/D48*100</f>
        <v>38.852659669098024</v>
      </c>
      <c r="E54" s="108"/>
      <c r="F54" s="108">
        <f>F50/F48*100</f>
        <v>38.852659669098024</v>
      </c>
      <c r="G54" s="108">
        <f>G50/G48*100</f>
        <v>38.852659669098024</v>
      </c>
      <c r="H54" s="108"/>
      <c r="I54" s="108"/>
      <c r="J54" s="108">
        <f>J50/J48*100</f>
        <v>38.852659669098024</v>
      </c>
      <c r="K54" s="114"/>
      <c r="L54" s="114"/>
      <c r="M54" s="115"/>
      <c r="N54" s="108">
        <f>N50/N48*100</f>
        <v>42.252268279665536</v>
      </c>
      <c r="O54" s="108"/>
      <c r="P54" s="108">
        <f>P50/P48*100</f>
        <v>42.252268279665536</v>
      </c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</row>
    <row r="55" spans="1:235" s="81" customFormat="1" ht="0.75" customHeight="1" hidden="1">
      <c r="A55" s="91"/>
      <c r="B55" s="105"/>
      <c r="C55" s="105"/>
      <c r="D55" s="108"/>
      <c r="E55" s="108"/>
      <c r="F55" s="108"/>
      <c r="G55" s="108"/>
      <c r="H55" s="108"/>
      <c r="I55" s="108"/>
      <c r="J55" s="108"/>
      <c r="K55" s="114"/>
      <c r="L55" s="114"/>
      <c r="M55" s="115"/>
      <c r="N55" s="108"/>
      <c r="O55" s="108"/>
      <c r="P55" s="108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</row>
    <row r="56" spans="1:235" s="81" customFormat="1" ht="21.75" customHeight="1" hidden="1">
      <c r="A56" s="91"/>
      <c r="B56" s="105"/>
      <c r="C56" s="105"/>
      <c r="D56" s="108"/>
      <c r="E56" s="108"/>
      <c r="F56" s="108"/>
      <c r="G56" s="108"/>
      <c r="H56" s="108"/>
      <c r="I56" s="108"/>
      <c r="J56" s="108"/>
      <c r="K56" s="114"/>
      <c r="L56" s="114"/>
      <c r="M56" s="115"/>
      <c r="N56" s="108"/>
      <c r="O56" s="108"/>
      <c r="P56" s="108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</row>
    <row r="57" spans="1:235" s="81" customFormat="1" ht="21.75" customHeight="1" hidden="1">
      <c r="A57" s="91"/>
      <c r="B57" s="105"/>
      <c r="C57" s="105"/>
      <c r="D57" s="108"/>
      <c r="E57" s="108"/>
      <c r="F57" s="108"/>
      <c r="G57" s="108"/>
      <c r="H57" s="108"/>
      <c r="I57" s="108"/>
      <c r="J57" s="108"/>
      <c r="K57" s="114"/>
      <c r="L57" s="114"/>
      <c r="M57" s="115"/>
      <c r="N57" s="108"/>
      <c r="O57" s="108"/>
      <c r="P57" s="108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</row>
    <row r="58" spans="1:235" s="81" customFormat="1" ht="1.5" customHeight="1" hidden="1">
      <c r="A58" s="91"/>
      <c r="B58" s="105"/>
      <c r="C58" s="105"/>
      <c r="D58" s="108"/>
      <c r="E58" s="108"/>
      <c r="F58" s="108"/>
      <c r="G58" s="108"/>
      <c r="H58" s="108"/>
      <c r="I58" s="108"/>
      <c r="J58" s="108"/>
      <c r="K58" s="114"/>
      <c r="L58" s="114"/>
      <c r="M58" s="115"/>
      <c r="N58" s="108"/>
      <c r="O58" s="108"/>
      <c r="P58" s="108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</row>
    <row r="59" spans="1:235" s="81" customFormat="1" ht="21.75" customHeight="1" hidden="1">
      <c r="A59" s="91"/>
      <c r="B59" s="105"/>
      <c r="C59" s="105"/>
      <c r="D59" s="108"/>
      <c r="E59" s="108"/>
      <c r="F59" s="108"/>
      <c r="G59" s="108"/>
      <c r="H59" s="108"/>
      <c r="I59" s="108"/>
      <c r="J59" s="108"/>
      <c r="K59" s="114"/>
      <c r="L59" s="114"/>
      <c r="M59" s="115"/>
      <c r="N59" s="108"/>
      <c r="O59" s="108"/>
      <c r="P59" s="108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</row>
    <row r="60" spans="1:235" s="81" customFormat="1" ht="21.75" customHeight="1" hidden="1">
      <c r="A60" s="91"/>
      <c r="B60" s="105"/>
      <c r="C60" s="105"/>
      <c r="D60" s="108"/>
      <c r="E60" s="108"/>
      <c r="F60" s="108"/>
      <c r="G60" s="108"/>
      <c r="H60" s="108"/>
      <c r="I60" s="108"/>
      <c r="J60" s="108"/>
      <c r="K60" s="114"/>
      <c r="L60" s="114"/>
      <c r="M60" s="115"/>
      <c r="N60" s="108"/>
      <c r="O60" s="108"/>
      <c r="P60" s="108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</row>
    <row r="61" spans="1:235" s="81" customFormat="1" ht="21.75" customHeight="1" hidden="1">
      <c r="A61" s="91"/>
      <c r="B61" s="105"/>
      <c r="C61" s="105"/>
      <c r="D61" s="108"/>
      <c r="E61" s="108"/>
      <c r="F61" s="108"/>
      <c r="G61" s="108"/>
      <c r="H61" s="108"/>
      <c r="I61" s="108"/>
      <c r="J61" s="108"/>
      <c r="K61" s="114"/>
      <c r="L61" s="114"/>
      <c r="M61" s="115"/>
      <c r="N61" s="108"/>
      <c r="O61" s="108"/>
      <c r="P61" s="108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</row>
    <row r="62" spans="1:235" s="81" customFormat="1" ht="21.75" customHeight="1" hidden="1">
      <c r="A62" s="91"/>
      <c r="B62" s="105"/>
      <c r="C62" s="105"/>
      <c r="D62" s="108"/>
      <c r="E62" s="108"/>
      <c r="F62" s="108"/>
      <c r="G62" s="108"/>
      <c r="H62" s="108"/>
      <c r="I62" s="108"/>
      <c r="J62" s="108"/>
      <c r="K62" s="114"/>
      <c r="L62" s="114"/>
      <c r="M62" s="115"/>
      <c r="N62" s="108"/>
      <c r="O62" s="108"/>
      <c r="P62" s="108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</row>
    <row r="63" spans="1:235" s="81" customFormat="1" ht="0.75" customHeight="1" hidden="1">
      <c r="A63" s="91"/>
      <c r="B63" s="105"/>
      <c r="C63" s="105"/>
      <c r="D63" s="108"/>
      <c r="E63" s="108"/>
      <c r="F63" s="108"/>
      <c r="G63" s="108"/>
      <c r="H63" s="108"/>
      <c r="I63" s="108"/>
      <c r="J63" s="108"/>
      <c r="K63" s="114"/>
      <c r="L63" s="114"/>
      <c r="M63" s="115"/>
      <c r="N63" s="108"/>
      <c r="O63" s="108"/>
      <c r="P63" s="108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</row>
    <row r="64" spans="1:235" s="191" customFormat="1" ht="38.25" customHeight="1">
      <c r="A64" s="178" t="s">
        <v>97</v>
      </c>
      <c r="B64" s="187"/>
      <c r="C64" s="187"/>
      <c r="D64" s="189">
        <f>(D68*D70)</f>
        <v>6352700</v>
      </c>
      <c r="E64" s="189"/>
      <c r="F64" s="189">
        <f>(F70*F68)</f>
        <v>6352700</v>
      </c>
      <c r="G64" s="189">
        <f>(G70*G68)</f>
        <v>9599999.9985</v>
      </c>
      <c r="H64" s="189"/>
      <c r="I64" s="189"/>
      <c r="J64" s="236">
        <f>G64+H64</f>
        <v>9599999.9985</v>
      </c>
      <c r="K64" s="195"/>
      <c r="L64" s="195"/>
      <c r="M64" s="196"/>
      <c r="N64" s="189">
        <f>(N68*N70)</f>
        <v>11500000</v>
      </c>
      <c r="O64" s="189"/>
      <c r="P64" s="189">
        <f>(P68*P70)</f>
        <v>11500000</v>
      </c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190"/>
      <c r="GB64" s="190"/>
      <c r="GC64" s="190"/>
      <c r="GD64" s="190"/>
      <c r="GE64" s="190"/>
      <c r="GF64" s="190"/>
      <c r="GG64" s="190"/>
      <c r="GH64" s="190"/>
      <c r="GI64" s="190"/>
      <c r="GJ64" s="190"/>
      <c r="GK64" s="190"/>
      <c r="GL64" s="190"/>
      <c r="GM64" s="190"/>
      <c r="GN64" s="190"/>
      <c r="GO64" s="190"/>
      <c r="GP64" s="190"/>
      <c r="GQ64" s="190"/>
      <c r="GR64" s="190"/>
      <c r="GS64" s="190"/>
      <c r="GT64" s="190"/>
      <c r="GU64" s="190"/>
      <c r="GV64" s="190"/>
      <c r="GW64" s="190"/>
      <c r="GX64" s="190"/>
      <c r="GY64" s="190"/>
      <c r="GZ64" s="190"/>
      <c r="HA64" s="190"/>
      <c r="HB64" s="190"/>
      <c r="HC64" s="190"/>
      <c r="HD64" s="190"/>
      <c r="HE64" s="190"/>
      <c r="HF64" s="190"/>
      <c r="HG64" s="190"/>
      <c r="HH64" s="190"/>
      <c r="HI64" s="190"/>
      <c r="HJ64" s="190"/>
      <c r="HK64" s="190"/>
      <c r="HL64" s="190"/>
      <c r="HM64" s="190"/>
      <c r="HN64" s="190"/>
      <c r="HO64" s="190"/>
      <c r="HP64" s="190"/>
      <c r="HQ64" s="190"/>
      <c r="HR64" s="190"/>
      <c r="HS64" s="190"/>
      <c r="HT64" s="190"/>
      <c r="HU64" s="190"/>
      <c r="HV64" s="190"/>
      <c r="HW64" s="190"/>
      <c r="HX64" s="190"/>
      <c r="HY64" s="190"/>
      <c r="HZ64" s="190"/>
      <c r="IA64" s="190"/>
    </row>
    <row r="65" spans="1:16" ht="12">
      <c r="A65" s="90" t="s">
        <v>4</v>
      </c>
      <c r="B65" s="111"/>
      <c r="C65" s="111"/>
      <c r="D65" s="108"/>
      <c r="E65" s="105"/>
      <c r="F65" s="108"/>
      <c r="G65" s="108"/>
      <c r="H65" s="105"/>
      <c r="I65" s="105"/>
      <c r="J65" s="108"/>
      <c r="K65" s="114"/>
      <c r="L65" s="114"/>
      <c r="M65" s="115"/>
      <c r="N65" s="108"/>
      <c r="O65" s="105"/>
      <c r="P65" s="108"/>
    </row>
    <row r="66" spans="1:16" ht="33" customHeight="1">
      <c r="A66" s="91" t="s">
        <v>99</v>
      </c>
      <c r="B66" s="105"/>
      <c r="C66" s="105"/>
      <c r="D66" s="113">
        <v>500000</v>
      </c>
      <c r="E66" s="105"/>
      <c r="F66" s="113">
        <f>D66</f>
        <v>500000</v>
      </c>
      <c r="G66" s="113">
        <f>D66</f>
        <v>500000</v>
      </c>
      <c r="H66" s="105"/>
      <c r="I66" s="105"/>
      <c r="J66" s="113">
        <f>G66</f>
        <v>500000</v>
      </c>
      <c r="K66" s="114"/>
      <c r="L66" s="114"/>
      <c r="M66" s="115"/>
      <c r="N66" s="113">
        <f>D66</f>
        <v>500000</v>
      </c>
      <c r="O66" s="105"/>
      <c r="P66" s="113">
        <f>N66</f>
        <v>500000</v>
      </c>
    </row>
    <row r="67" spans="1:16" ht="12">
      <c r="A67" s="90" t="s">
        <v>5</v>
      </c>
      <c r="B67" s="111"/>
      <c r="C67" s="111"/>
      <c r="D67" s="108"/>
      <c r="E67" s="105"/>
      <c r="F67" s="108"/>
      <c r="G67" s="108"/>
      <c r="H67" s="105"/>
      <c r="I67" s="105"/>
      <c r="J67" s="108"/>
      <c r="K67" s="114"/>
      <c r="L67" s="114"/>
      <c r="M67" s="115"/>
      <c r="N67" s="108"/>
      <c r="O67" s="105"/>
      <c r="P67" s="108"/>
    </row>
    <row r="68" spans="1:16" ht="34.5" customHeight="1">
      <c r="A68" s="91" t="s">
        <v>100</v>
      </c>
      <c r="B68" s="105"/>
      <c r="C68" s="105"/>
      <c r="D68" s="19">
        <v>15881.75</v>
      </c>
      <c r="E68" s="105"/>
      <c r="F68" s="113">
        <f>D68</f>
        <v>15881.75</v>
      </c>
      <c r="G68" s="120">
        <v>21333.33333</v>
      </c>
      <c r="H68" s="105"/>
      <c r="I68" s="105"/>
      <c r="J68" s="113">
        <f>G68</f>
        <v>21333.33333</v>
      </c>
      <c r="K68" s="114"/>
      <c r="L68" s="114"/>
      <c r="M68" s="115"/>
      <c r="N68" s="113">
        <v>23000</v>
      </c>
      <c r="O68" s="105"/>
      <c r="P68" s="113">
        <f>N68</f>
        <v>23000</v>
      </c>
    </row>
    <row r="69" spans="1:16" ht="12">
      <c r="A69" s="90" t="s">
        <v>7</v>
      </c>
      <c r="B69" s="111"/>
      <c r="C69" s="111"/>
      <c r="D69" s="108"/>
      <c r="E69" s="105"/>
      <c r="F69" s="108"/>
      <c r="G69" s="108"/>
      <c r="H69" s="105"/>
      <c r="I69" s="105"/>
      <c r="J69" s="108"/>
      <c r="K69" s="114"/>
      <c r="L69" s="114"/>
      <c r="M69" s="115"/>
      <c r="N69" s="108"/>
      <c r="O69" s="105"/>
      <c r="P69" s="108"/>
    </row>
    <row r="70" spans="1:16" ht="33.75">
      <c r="A70" s="91" t="s">
        <v>101</v>
      </c>
      <c r="B70" s="105"/>
      <c r="C70" s="105"/>
      <c r="D70" s="108">
        <v>400</v>
      </c>
      <c r="E70" s="105"/>
      <c r="F70" s="108">
        <f>D70</f>
        <v>400</v>
      </c>
      <c r="G70" s="108">
        <v>450</v>
      </c>
      <c r="H70" s="105"/>
      <c r="I70" s="105"/>
      <c r="J70" s="108">
        <f>G70</f>
        <v>450</v>
      </c>
      <c r="K70" s="114"/>
      <c r="L70" s="114"/>
      <c r="M70" s="115"/>
      <c r="N70" s="108">
        <v>500</v>
      </c>
      <c r="O70" s="105"/>
      <c r="P70" s="108">
        <f>N70</f>
        <v>500</v>
      </c>
    </row>
    <row r="71" spans="1:16" ht="12">
      <c r="A71" s="90" t="s">
        <v>6</v>
      </c>
      <c r="B71" s="111"/>
      <c r="C71" s="111"/>
      <c r="D71" s="108"/>
      <c r="E71" s="105"/>
      <c r="F71" s="108"/>
      <c r="G71" s="108"/>
      <c r="H71" s="105"/>
      <c r="I71" s="105"/>
      <c r="J71" s="108"/>
      <c r="K71" s="114"/>
      <c r="L71" s="114"/>
      <c r="M71" s="115"/>
      <c r="N71" s="108"/>
      <c r="O71" s="105"/>
      <c r="P71" s="108"/>
    </row>
    <row r="72" spans="1:16" ht="45">
      <c r="A72" s="91" t="s">
        <v>102</v>
      </c>
      <c r="B72" s="105"/>
      <c r="C72" s="105"/>
      <c r="D72" s="108">
        <f>D68/D66*100</f>
        <v>3.1763500000000002</v>
      </c>
      <c r="E72" s="108"/>
      <c r="F72" s="108">
        <f>F68/F66*100</f>
        <v>3.1763500000000002</v>
      </c>
      <c r="G72" s="108">
        <f>G68/G66*100</f>
        <v>4.266666666000001</v>
      </c>
      <c r="H72" s="108"/>
      <c r="I72" s="108"/>
      <c r="J72" s="108">
        <f>J68/J66*100</f>
        <v>4.266666666000001</v>
      </c>
      <c r="K72" s="114"/>
      <c r="L72" s="114"/>
      <c r="M72" s="115"/>
      <c r="N72" s="108">
        <f>N68/N66*100</f>
        <v>4.6</v>
      </c>
      <c r="O72" s="108"/>
      <c r="P72" s="108">
        <f>P68/P66*100</f>
        <v>4.6</v>
      </c>
    </row>
    <row r="73" spans="1:235" s="191" customFormat="1" ht="39" customHeight="1">
      <c r="A73" s="178" t="s">
        <v>98</v>
      </c>
      <c r="B73" s="187"/>
      <c r="C73" s="187"/>
      <c r="D73" s="189"/>
      <c r="E73" s="189">
        <f>(E78*E81)+(E79*E82)</f>
        <v>32417800</v>
      </c>
      <c r="F73" s="189">
        <f>E73</f>
        <v>32417800</v>
      </c>
      <c r="G73" s="189"/>
      <c r="H73" s="189">
        <f>(H78*H81)+(H79*H82)-150+150000</f>
        <v>43200000</v>
      </c>
      <c r="I73" s="189"/>
      <c r="J73" s="236">
        <f>H73</f>
        <v>43200000</v>
      </c>
      <c r="K73" s="189">
        <f aca="true" t="shared" si="4" ref="K73:P73">(K78*K81)+(K79*K82)</f>
        <v>0</v>
      </c>
      <c r="L73" s="189">
        <f t="shared" si="4"/>
        <v>0</v>
      </c>
      <c r="M73" s="189">
        <f t="shared" si="4"/>
        <v>0</v>
      </c>
      <c r="N73" s="189"/>
      <c r="O73" s="189">
        <f>(O78*O81)+(O79*O82)</f>
        <v>44600000</v>
      </c>
      <c r="P73" s="189">
        <f t="shared" si="4"/>
        <v>44600000</v>
      </c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0"/>
      <c r="FM73" s="190"/>
      <c r="FN73" s="190"/>
      <c r="FO73" s="190"/>
      <c r="FP73" s="190"/>
      <c r="FQ73" s="190"/>
      <c r="FR73" s="190"/>
      <c r="FS73" s="190"/>
      <c r="FT73" s="190"/>
      <c r="FU73" s="190"/>
      <c r="FV73" s="190"/>
      <c r="FW73" s="190"/>
      <c r="FX73" s="190"/>
      <c r="FY73" s="190"/>
      <c r="FZ73" s="190"/>
      <c r="GA73" s="190"/>
      <c r="GB73" s="190"/>
      <c r="GC73" s="190"/>
      <c r="GD73" s="190"/>
      <c r="GE73" s="190"/>
      <c r="GF73" s="190"/>
      <c r="GG73" s="190"/>
      <c r="GH73" s="190"/>
      <c r="GI73" s="190"/>
      <c r="GJ73" s="190"/>
      <c r="GK73" s="190"/>
      <c r="GL73" s="190"/>
      <c r="GM73" s="190"/>
      <c r="GN73" s="190"/>
      <c r="GO73" s="190"/>
      <c r="GP73" s="190"/>
      <c r="GQ73" s="190"/>
      <c r="GR73" s="190"/>
      <c r="GS73" s="190"/>
      <c r="GT73" s="190"/>
      <c r="GU73" s="190"/>
      <c r="GV73" s="190"/>
      <c r="GW73" s="190"/>
      <c r="GX73" s="190"/>
      <c r="GY73" s="190"/>
      <c r="GZ73" s="190"/>
      <c r="HA73" s="190"/>
      <c r="HB73" s="190"/>
      <c r="HC73" s="190"/>
      <c r="HD73" s="190"/>
      <c r="HE73" s="190"/>
      <c r="HF73" s="190"/>
      <c r="HG73" s="190"/>
      <c r="HH73" s="190"/>
      <c r="HI73" s="190"/>
      <c r="HJ73" s="190"/>
      <c r="HK73" s="190"/>
      <c r="HL73" s="190"/>
      <c r="HM73" s="190"/>
      <c r="HN73" s="190"/>
      <c r="HO73" s="190"/>
      <c r="HP73" s="190"/>
      <c r="HQ73" s="190"/>
      <c r="HR73" s="190"/>
      <c r="HS73" s="190"/>
      <c r="HT73" s="190"/>
      <c r="HU73" s="190"/>
      <c r="HV73" s="190"/>
      <c r="HW73" s="190"/>
      <c r="HX73" s="190"/>
      <c r="HY73" s="190"/>
      <c r="HZ73" s="190"/>
      <c r="IA73" s="190"/>
    </row>
    <row r="74" spans="1:16" ht="12">
      <c r="A74" s="90" t="s">
        <v>4</v>
      </c>
      <c r="B74" s="105"/>
      <c r="C74" s="105"/>
      <c r="D74" s="108"/>
      <c r="E74" s="108"/>
      <c r="F74" s="108"/>
      <c r="G74" s="108"/>
      <c r="H74" s="108"/>
      <c r="I74" s="108"/>
      <c r="J74" s="110"/>
      <c r="K74" s="114"/>
      <c r="L74" s="114"/>
      <c r="M74" s="115"/>
      <c r="N74" s="108"/>
      <c r="O74" s="108"/>
      <c r="P74" s="108"/>
    </row>
    <row r="75" spans="1:16" ht="33.75">
      <c r="A75" s="91" t="s">
        <v>233</v>
      </c>
      <c r="B75" s="105"/>
      <c r="C75" s="105"/>
      <c r="D75" s="108"/>
      <c r="E75" s="108">
        <v>380000</v>
      </c>
      <c r="F75" s="108">
        <f>E75</f>
        <v>380000</v>
      </c>
      <c r="G75" s="108"/>
      <c r="H75" s="108">
        <f>E75</f>
        <v>380000</v>
      </c>
      <c r="I75" s="108"/>
      <c r="J75" s="110">
        <f aca="true" t="shared" si="5" ref="J75:J81">H75</f>
        <v>380000</v>
      </c>
      <c r="K75" s="114"/>
      <c r="L75" s="114"/>
      <c r="M75" s="115"/>
      <c r="N75" s="108"/>
      <c r="O75" s="108">
        <f>H75</f>
        <v>380000</v>
      </c>
      <c r="P75" s="110">
        <f>O75</f>
        <v>380000</v>
      </c>
    </row>
    <row r="76" spans="1:16" ht="29.25" customHeight="1">
      <c r="A76" s="91" t="s">
        <v>234</v>
      </c>
      <c r="B76" s="105"/>
      <c r="C76" s="105"/>
      <c r="D76" s="108"/>
      <c r="E76" s="108">
        <v>76000</v>
      </c>
      <c r="F76" s="108">
        <f>E76</f>
        <v>76000</v>
      </c>
      <c r="G76" s="108"/>
      <c r="H76" s="108">
        <f>E76</f>
        <v>76000</v>
      </c>
      <c r="I76" s="108"/>
      <c r="J76" s="110">
        <f>H76</f>
        <v>76000</v>
      </c>
      <c r="K76" s="114"/>
      <c r="L76" s="114"/>
      <c r="M76" s="115"/>
      <c r="N76" s="108"/>
      <c r="O76" s="108">
        <f>H76</f>
        <v>76000</v>
      </c>
      <c r="P76" s="110">
        <f>O76</f>
        <v>76000</v>
      </c>
    </row>
    <row r="77" spans="1:16" ht="12">
      <c r="A77" s="90" t="s">
        <v>5</v>
      </c>
      <c r="B77" s="105"/>
      <c r="C77" s="105"/>
      <c r="D77" s="108"/>
      <c r="E77" s="108"/>
      <c r="F77" s="108"/>
      <c r="G77" s="108"/>
      <c r="H77" s="108"/>
      <c r="I77" s="108"/>
      <c r="J77" s="110"/>
      <c r="K77" s="114"/>
      <c r="L77" s="114"/>
      <c r="M77" s="115"/>
      <c r="N77" s="108"/>
      <c r="O77" s="108"/>
      <c r="P77" s="108"/>
    </row>
    <row r="78" spans="1:16" ht="34.5" customHeight="1">
      <c r="A78" s="91" t="s">
        <v>235</v>
      </c>
      <c r="B78" s="105"/>
      <c r="C78" s="105"/>
      <c r="D78" s="108"/>
      <c r="E78" s="108">
        <f>65000+5294.5</f>
        <v>70294.5</v>
      </c>
      <c r="F78" s="108">
        <f>E78</f>
        <v>70294.5</v>
      </c>
      <c r="G78" s="108"/>
      <c r="H78" s="108">
        <v>80333</v>
      </c>
      <c r="I78" s="108"/>
      <c r="J78" s="110">
        <f t="shared" si="5"/>
        <v>80333</v>
      </c>
      <c r="K78" s="114"/>
      <c r="L78" s="114"/>
      <c r="M78" s="115"/>
      <c r="N78" s="108"/>
      <c r="O78" s="108">
        <v>74800</v>
      </c>
      <c r="P78" s="110">
        <f>O78</f>
        <v>74800</v>
      </c>
    </row>
    <row r="79" spans="1:16" ht="26.25" customHeight="1">
      <c r="A79" s="91" t="s">
        <v>236</v>
      </c>
      <c r="B79" s="105"/>
      <c r="C79" s="105"/>
      <c r="D79" s="108"/>
      <c r="E79" s="7">
        <v>10750</v>
      </c>
      <c r="F79" s="108">
        <f>E79</f>
        <v>10750</v>
      </c>
      <c r="G79" s="108"/>
      <c r="H79" s="108">
        <v>15334</v>
      </c>
      <c r="I79" s="108"/>
      <c r="J79" s="110">
        <f>H79</f>
        <v>15334</v>
      </c>
      <c r="K79" s="114"/>
      <c r="L79" s="114"/>
      <c r="M79" s="115"/>
      <c r="N79" s="108"/>
      <c r="O79" s="108">
        <v>14400</v>
      </c>
      <c r="P79" s="110">
        <f>O79</f>
        <v>14400</v>
      </c>
    </row>
    <row r="80" spans="1:16" ht="12">
      <c r="A80" s="90" t="s">
        <v>7</v>
      </c>
      <c r="B80" s="105"/>
      <c r="C80" s="105"/>
      <c r="D80" s="108"/>
      <c r="E80" s="108"/>
      <c r="F80" s="108"/>
      <c r="G80" s="108"/>
      <c r="H80" s="108"/>
      <c r="I80" s="108"/>
      <c r="J80" s="110"/>
      <c r="K80" s="114"/>
      <c r="L80" s="114"/>
      <c r="M80" s="115"/>
      <c r="N80" s="108"/>
      <c r="O80" s="108"/>
      <c r="P80" s="108"/>
    </row>
    <row r="81" spans="1:16" ht="22.5" customHeight="1">
      <c r="A81" s="91" t="s">
        <v>239</v>
      </c>
      <c r="B81" s="105"/>
      <c r="C81" s="105"/>
      <c r="D81" s="108"/>
      <c r="E81" s="108">
        <v>400</v>
      </c>
      <c r="F81" s="108">
        <f>E81</f>
        <v>400</v>
      </c>
      <c r="G81" s="108"/>
      <c r="H81" s="108">
        <v>450</v>
      </c>
      <c r="I81" s="108"/>
      <c r="J81" s="110">
        <f t="shared" si="5"/>
        <v>450</v>
      </c>
      <c r="K81" s="114"/>
      <c r="L81" s="114"/>
      <c r="M81" s="115"/>
      <c r="N81" s="108"/>
      <c r="O81" s="108">
        <v>500</v>
      </c>
      <c r="P81" s="110">
        <v>500</v>
      </c>
    </row>
    <row r="82" spans="1:16" ht="22.5" customHeight="1">
      <c r="A82" s="91" t="s">
        <v>240</v>
      </c>
      <c r="B82" s="105"/>
      <c r="C82" s="105"/>
      <c r="D82" s="108"/>
      <c r="E82" s="108">
        <v>400</v>
      </c>
      <c r="F82" s="108">
        <f>E82</f>
        <v>400</v>
      </c>
      <c r="G82" s="108"/>
      <c r="H82" s="108">
        <v>450</v>
      </c>
      <c r="I82" s="108"/>
      <c r="J82" s="110">
        <f>H82</f>
        <v>450</v>
      </c>
      <c r="K82" s="114"/>
      <c r="L82" s="114"/>
      <c r="M82" s="115"/>
      <c r="N82" s="108"/>
      <c r="O82" s="108">
        <v>500</v>
      </c>
      <c r="P82" s="110">
        <f>O82</f>
        <v>500</v>
      </c>
    </row>
    <row r="83" spans="1:16" ht="12">
      <c r="A83" s="90" t="s">
        <v>6</v>
      </c>
      <c r="B83" s="105"/>
      <c r="C83" s="105"/>
      <c r="D83" s="108"/>
      <c r="E83" s="108"/>
      <c r="F83" s="108"/>
      <c r="G83" s="108"/>
      <c r="H83" s="108"/>
      <c r="I83" s="108"/>
      <c r="J83" s="110"/>
      <c r="K83" s="114"/>
      <c r="L83" s="114"/>
      <c r="M83" s="115"/>
      <c r="N83" s="108"/>
      <c r="O83" s="108"/>
      <c r="P83" s="108"/>
    </row>
    <row r="84" spans="1:16" ht="38.25" customHeight="1">
      <c r="A84" s="91" t="s">
        <v>237</v>
      </c>
      <c r="B84" s="105"/>
      <c r="C84" s="105"/>
      <c r="D84" s="108"/>
      <c r="E84" s="106">
        <f>E78/E75*100</f>
        <v>18.498552631578946</v>
      </c>
      <c r="F84" s="106">
        <f aca="true" t="shared" si="6" ref="F84:P84">F78/F75*100</f>
        <v>18.498552631578946</v>
      </c>
      <c r="G84" s="106"/>
      <c r="H84" s="106">
        <f t="shared" si="6"/>
        <v>21.140263157894736</v>
      </c>
      <c r="I84" s="106"/>
      <c r="J84" s="106">
        <f t="shared" si="6"/>
        <v>21.140263157894736</v>
      </c>
      <c r="K84" s="106" t="e">
        <f t="shared" si="6"/>
        <v>#DIV/0!</v>
      </c>
      <c r="L84" s="106" t="e">
        <f t="shared" si="6"/>
        <v>#DIV/0!</v>
      </c>
      <c r="M84" s="106" t="e">
        <f t="shared" si="6"/>
        <v>#DIV/0!</v>
      </c>
      <c r="N84" s="106"/>
      <c r="O84" s="106">
        <f t="shared" si="6"/>
        <v>19.68421052631579</v>
      </c>
      <c r="P84" s="106">
        <f t="shared" si="6"/>
        <v>19.68421052631579</v>
      </c>
    </row>
    <row r="85" spans="1:16" ht="38.25" customHeight="1">
      <c r="A85" s="91" t="s">
        <v>238</v>
      </c>
      <c r="B85" s="105"/>
      <c r="C85" s="105"/>
      <c r="D85" s="108"/>
      <c r="E85" s="106">
        <f>E79/E76*100</f>
        <v>14.144736842105262</v>
      </c>
      <c r="F85" s="106">
        <f aca="true" t="shared" si="7" ref="F85:P85">F79/F76*100</f>
        <v>14.144736842105262</v>
      </c>
      <c r="G85" s="106"/>
      <c r="H85" s="106">
        <f t="shared" si="7"/>
        <v>20.176315789473684</v>
      </c>
      <c r="I85" s="106"/>
      <c r="J85" s="106">
        <f t="shared" si="7"/>
        <v>20.176315789473684</v>
      </c>
      <c r="K85" s="106" t="e">
        <f t="shared" si="7"/>
        <v>#DIV/0!</v>
      </c>
      <c r="L85" s="106" t="e">
        <f t="shared" si="7"/>
        <v>#DIV/0!</v>
      </c>
      <c r="M85" s="106" t="e">
        <f t="shared" si="7"/>
        <v>#DIV/0!</v>
      </c>
      <c r="N85" s="106"/>
      <c r="O85" s="106">
        <f t="shared" si="7"/>
        <v>18.947368421052634</v>
      </c>
      <c r="P85" s="106">
        <f t="shared" si="7"/>
        <v>18.947368421052634</v>
      </c>
    </row>
    <row r="86" spans="1:235" s="191" customFormat="1" ht="33.75">
      <c r="A86" s="178" t="s">
        <v>263</v>
      </c>
      <c r="B86" s="187"/>
      <c r="C86" s="187"/>
      <c r="D86" s="189">
        <f>D88</f>
        <v>37000</v>
      </c>
      <c r="E86" s="211"/>
      <c r="F86" s="189">
        <f>D86</f>
        <v>37000</v>
      </c>
      <c r="G86" s="189">
        <f>G88</f>
        <v>200000</v>
      </c>
      <c r="H86" s="211"/>
      <c r="I86" s="211"/>
      <c r="J86" s="236">
        <f>G86</f>
        <v>200000</v>
      </c>
      <c r="K86" s="211"/>
      <c r="L86" s="211"/>
      <c r="M86" s="211"/>
      <c r="N86" s="211"/>
      <c r="O86" s="211"/>
      <c r="P86" s="211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  <c r="GN86" s="190"/>
      <c r="GO86" s="190"/>
      <c r="GP86" s="190"/>
      <c r="GQ86" s="190"/>
      <c r="GR86" s="190"/>
      <c r="GS86" s="190"/>
      <c r="GT86" s="190"/>
      <c r="GU86" s="190"/>
      <c r="GV86" s="190"/>
      <c r="GW86" s="190"/>
      <c r="GX86" s="190"/>
      <c r="GY86" s="190"/>
      <c r="GZ86" s="190"/>
      <c r="HA86" s="190"/>
      <c r="HB86" s="190"/>
      <c r="HC86" s="190"/>
      <c r="HD86" s="190"/>
      <c r="HE86" s="190"/>
      <c r="HF86" s="190"/>
      <c r="HG86" s="190"/>
      <c r="HH86" s="190"/>
      <c r="HI86" s="190"/>
      <c r="HJ86" s="190"/>
      <c r="HK86" s="190"/>
      <c r="HL86" s="190"/>
      <c r="HM86" s="190"/>
      <c r="HN86" s="190"/>
      <c r="HO86" s="190"/>
      <c r="HP86" s="190"/>
      <c r="HQ86" s="190"/>
      <c r="HR86" s="190"/>
      <c r="HS86" s="190"/>
      <c r="HT86" s="190"/>
      <c r="HU86" s="190"/>
      <c r="HV86" s="190"/>
      <c r="HW86" s="190"/>
      <c r="HX86" s="190"/>
      <c r="HY86" s="190"/>
      <c r="HZ86" s="190"/>
      <c r="IA86" s="190"/>
    </row>
    <row r="87" spans="1:16" ht="11.25">
      <c r="A87" s="90" t="s">
        <v>4</v>
      </c>
      <c r="B87" s="105"/>
      <c r="C87" s="105"/>
      <c r="D87" s="108"/>
      <c r="E87" s="106"/>
      <c r="F87" s="108"/>
      <c r="G87" s="108"/>
      <c r="H87" s="106"/>
      <c r="I87" s="106"/>
      <c r="J87" s="108"/>
      <c r="K87" s="106"/>
      <c r="L87" s="106"/>
      <c r="M87" s="106"/>
      <c r="N87" s="106"/>
      <c r="O87" s="106"/>
      <c r="P87" s="106"/>
    </row>
    <row r="88" spans="1:16" ht="27" customHeight="1">
      <c r="A88" s="91" t="s">
        <v>264</v>
      </c>
      <c r="B88" s="105"/>
      <c r="C88" s="105"/>
      <c r="D88" s="7">
        <v>37000</v>
      </c>
      <c r="E88" s="106"/>
      <c r="F88" s="108">
        <f>D88</f>
        <v>37000</v>
      </c>
      <c r="G88" s="7">
        <v>200000</v>
      </c>
      <c r="H88" s="106"/>
      <c r="I88" s="106"/>
      <c r="J88" s="108">
        <f>G88</f>
        <v>200000</v>
      </c>
      <c r="K88" s="106"/>
      <c r="L88" s="106"/>
      <c r="M88" s="106"/>
      <c r="N88" s="106"/>
      <c r="O88" s="106"/>
      <c r="P88" s="106"/>
    </row>
    <row r="89" spans="1:16" ht="11.25">
      <c r="A89" s="90" t="s">
        <v>5</v>
      </c>
      <c r="B89" s="105"/>
      <c r="C89" s="105"/>
      <c r="D89" s="108"/>
      <c r="E89" s="106"/>
      <c r="F89" s="108"/>
      <c r="G89" s="108"/>
      <c r="H89" s="106"/>
      <c r="I89" s="106"/>
      <c r="J89" s="108"/>
      <c r="K89" s="106"/>
      <c r="L89" s="106"/>
      <c r="M89" s="106"/>
      <c r="N89" s="106"/>
      <c r="O89" s="106"/>
      <c r="P89" s="106"/>
    </row>
    <row r="90" spans="1:16" ht="25.5" customHeight="1">
      <c r="A90" s="91" t="s">
        <v>265</v>
      </c>
      <c r="B90" s="105"/>
      <c r="C90" s="105"/>
      <c r="D90" s="108">
        <v>1</v>
      </c>
      <c r="E90" s="106"/>
      <c r="F90" s="108">
        <f>D90</f>
        <v>1</v>
      </c>
      <c r="G90" s="108">
        <v>3</v>
      </c>
      <c r="H90" s="106"/>
      <c r="I90" s="106"/>
      <c r="J90" s="108">
        <f>G90</f>
        <v>3</v>
      </c>
      <c r="K90" s="106"/>
      <c r="L90" s="106"/>
      <c r="M90" s="106"/>
      <c r="N90" s="106"/>
      <c r="O90" s="106"/>
      <c r="P90" s="106"/>
    </row>
    <row r="91" spans="1:16" ht="11.25">
      <c r="A91" s="90" t="s">
        <v>7</v>
      </c>
      <c r="B91" s="105"/>
      <c r="C91" s="105"/>
      <c r="D91" s="108"/>
      <c r="E91" s="106"/>
      <c r="F91" s="108"/>
      <c r="G91" s="108"/>
      <c r="H91" s="106"/>
      <c r="I91" s="106"/>
      <c r="J91" s="108"/>
      <c r="K91" s="106"/>
      <c r="L91" s="106"/>
      <c r="M91" s="106"/>
      <c r="N91" s="106"/>
      <c r="O91" s="106"/>
      <c r="P91" s="106"/>
    </row>
    <row r="92" spans="1:16" ht="23.25" customHeight="1">
      <c r="A92" s="91" t="s">
        <v>266</v>
      </c>
      <c r="B92" s="105"/>
      <c r="C92" s="105"/>
      <c r="D92" s="108">
        <f>D88/D90</f>
        <v>37000</v>
      </c>
      <c r="E92" s="106"/>
      <c r="F92" s="108">
        <f>D92</f>
        <v>37000</v>
      </c>
      <c r="G92" s="108">
        <f>G88/G90</f>
        <v>66666.66666666667</v>
      </c>
      <c r="H92" s="106"/>
      <c r="I92" s="106"/>
      <c r="J92" s="108">
        <f>G92</f>
        <v>66666.66666666667</v>
      </c>
      <c r="K92" s="106"/>
      <c r="L92" s="106"/>
      <c r="M92" s="106"/>
      <c r="N92" s="106"/>
      <c r="O92" s="106"/>
      <c r="P92" s="106"/>
    </row>
    <row r="93" spans="1:235" s="191" customFormat="1" ht="31.5" customHeight="1">
      <c r="A93" s="178" t="s">
        <v>267</v>
      </c>
      <c r="B93" s="187"/>
      <c r="C93" s="187"/>
      <c r="D93" s="189"/>
      <c r="E93" s="189">
        <f>E97*E99</f>
        <v>5000000</v>
      </c>
      <c r="F93" s="189">
        <f>E93</f>
        <v>5000000</v>
      </c>
      <c r="G93" s="189"/>
      <c r="H93" s="189">
        <f>H97*H99</f>
        <v>10000000</v>
      </c>
      <c r="I93" s="189"/>
      <c r="J93" s="236">
        <f>H93</f>
        <v>10000000</v>
      </c>
      <c r="K93" s="195"/>
      <c r="L93" s="195"/>
      <c r="M93" s="196"/>
      <c r="N93" s="189"/>
      <c r="O93" s="189">
        <f>O97*O99</f>
        <v>7200000</v>
      </c>
      <c r="P93" s="189">
        <f>O93</f>
        <v>7200000</v>
      </c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  <c r="DD93" s="190"/>
      <c r="DE93" s="190"/>
      <c r="DF93" s="190"/>
      <c r="DG93" s="190"/>
      <c r="DH93" s="190"/>
      <c r="DI93" s="190"/>
      <c r="DJ93" s="190"/>
      <c r="DK93" s="190"/>
      <c r="DL93" s="190"/>
      <c r="DM93" s="190"/>
      <c r="DN93" s="190"/>
      <c r="DO93" s="190"/>
      <c r="DP93" s="190"/>
      <c r="DQ93" s="190"/>
      <c r="DR93" s="190"/>
      <c r="DS93" s="190"/>
      <c r="DT93" s="190"/>
      <c r="DU93" s="190"/>
      <c r="DV93" s="190"/>
      <c r="DW93" s="190"/>
      <c r="DX93" s="190"/>
      <c r="DY93" s="190"/>
      <c r="DZ93" s="190"/>
      <c r="EA93" s="190"/>
      <c r="EB93" s="190"/>
      <c r="EC93" s="190"/>
      <c r="ED93" s="190"/>
      <c r="EE93" s="190"/>
      <c r="EF93" s="190"/>
      <c r="EG93" s="190"/>
      <c r="EH93" s="190"/>
      <c r="EI93" s="190"/>
      <c r="EJ93" s="190"/>
      <c r="EK93" s="190"/>
      <c r="EL93" s="190"/>
      <c r="EM93" s="190"/>
      <c r="EN93" s="190"/>
      <c r="EO93" s="190"/>
      <c r="EP93" s="190"/>
      <c r="EQ93" s="190"/>
      <c r="ER93" s="190"/>
      <c r="ES93" s="190"/>
      <c r="ET93" s="190"/>
      <c r="EU93" s="190"/>
      <c r="EV93" s="190"/>
      <c r="EW93" s="190"/>
      <c r="EX93" s="190"/>
      <c r="EY93" s="190"/>
      <c r="EZ93" s="190"/>
      <c r="FA93" s="190"/>
      <c r="FB93" s="190"/>
      <c r="FC93" s="190"/>
      <c r="FD93" s="190"/>
      <c r="FE93" s="190"/>
      <c r="FF93" s="190"/>
      <c r="FG93" s="190"/>
      <c r="FH93" s="190"/>
      <c r="FI93" s="190"/>
      <c r="FJ93" s="190"/>
      <c r="FK93" s="190"/>
      <c r="FL93" s="190"/>
      <c r="FM93" s="190"/>
      <c r="FN93" s="190"/>
      <c r="FO93" s="190"/>
      <c r="FP93" s="190"/>
      <c r="FQ93" s="190"/>
      <c r="FR93" s="190"/>
      <c r="FS93" s="190"/>
      <c r="FT93" s="190"/>
      <c r="FU93" s="190"/>
      <c r="FV93" s="190"/>
      <c r="FW93" s="190"/>
      <c r="FX93" s="190"/>
      <c r="FY93" s="190"/>
      <c r="FZ93" s="190"/>
      <c r="GA93" s="190"/>
      <c r="GB93" s="190"/>
      <c r="GC93" s="190"/>
      <c r="GD93" s="190"/>
      <c r="GE93" s="190"/>
      <c r="GF93" s="190"/>
      <c r="GG93" s="190"/>
      <c r="GH93" s="190"/>
      <c r="GI93" s="190"/>
      <c r="GJ93" s="190"/>
      <c r="GK93" s="190"/>
      <c r="GL93" s="190"/>
      <c r="GM93" s="190"/>
      <c r="GN93" s="190"/>
      <c r="GO93" s="190"/>
      <c r="GP93" s="190"/>
      <c r="GQ93" s="190"/>
      <c r="GR93" s="190"/>
      <c r="GS93" s="190"/>
      <c r="GT93" s="190"/>
      <c r="GU93" s="190"/>
      <c r="GV93" s="190"/>
      <c r="GW93" s="190"/>
      <c r="GX93" s="190"/>
      <c r="GY93" s="190"/>
      <c r="GZ93" s="190"/>
      <c r="HA93" s="190"/>
      <c r="HB93" s="190"/>
      <c r="HC93" s="190"/>
      <c r="HD93" s="190"/>
      <c r="HE93" s="190"/>
      <c r="HF93" s="190"/>
      <c r="HG93" s="190"/>
      <c r="HH93" s="190"/>
      <c r="HI93" s="190"/>
      <c r="HJ93" s="190"/>
      <c r="HK93" s="190"/>
      <c r="HL93" s="190"/>
      <c r="HM93" s="190"/>
      <c r="HN93" s="190"/>
      <c r="HO93" s="190"/>
      <c r="HP93" s="190"/>
      <c r="HQ93" s="190"/>
      <c r="HR93" s="190"/>
      <c r="HS93" s="190"/>
      <c r="HT93" s="190"/>
      <c r="HU93" s="190"/>
      <c r="HV93" s="190"/>
      <c r="HW93" s="190"/>
      <c r="HX93" s="190"/>
      <c r="HY93" s="190"/>
      <c r="HZ93" s="190"/>
      <c r="IA93" s="190"/>
    </row>
    <row r="94" spans="1:16" ht="12">
      <c r="A94" s="90" t="s">
        <v>4</v>
      </c>
      <c r="B94" s="105"/>
      <c r="C94" s="105"/>
      <c r="D94" s="108"/>
      <c r="E94" s="108"/>
      <c r="F94" s="108"/>
      <c r="G94" s="108"/>
      <c r="H94" s="108"/>
      <c r="I94" s="108"/>
      <c r="J94" s="110"/>
      <c r="K94" s="114"/>
      <c r="L94" s="114"/>
      <c r="M94" s="115"/>
      <c r="N94" s="108"/>
      <c r="O94" s="108"/>
      <c r="P94" s="108"/>
    </row>
    <row r="95" spans="1:16" ht="20.25" customHeight="1">
      <c r="A95" s="91" t="s">
        <v>105</v>
      </c>
      <c r="B95" s="105"/>
      <c r="C95" s="105"/>
      <c r="D95" s="108"/>
      <c r="E95" s="108">
        <v>5000000</v>
      </c>
      <c r="F95" s="110">
        <f>E95</f>
        <v>5000000</v>
      </c>
      <c r="G95" s="108"/>
      <c r="H95" s="108">
        <v>10000000</v>
      </c>
      <c r="I95" s="108"/>
      <c r="J95" s="110">
        <f>H95</f>
        <v>10000000</v>
      </c>
      <c r="K95" s="114"/>
      <c r="L95" s="114"/>
      <c r="M95" s="115"/>
      <c r="N95" s="108"/>
      <c r="O95" s="108">
        <v>7200000</v>
      </c>
      <c r="P95" s="110">
        <f>O95</f>
        <v>7200000</v>
      </c>
    </row>
    <row r="96" spans="1:16" ht="12">
      <c r="A96" s="90" t="s">
        <v>5</v>
      </c>
      <c r="B96" s="105"/>
      <c r="C96" s="105"/>
      <c r="D96" s="108"/>
      <c r="E96" s="108"/>
      <c r="F96" s="110"/>
      <c r="G96" s="108"/>
      <c r="H96" s="108"/>
      <c r="I96" s="108"/>
      <c r="J96" s="110"/>
      <c r="K96" s="114"/>
      <c r="L96" s="114"/>
      <c r="M96" s="115"/>
      <c r="N96" s="108"/>
      <c r="O96" s="108"/>
      <c r="P96" s="110"/>
    </row>
    <row r="97" spans="1:16" ht="21" customHeight="1">
      <c r="A97" s="91" t="s">
        <v>106</v>
      </c>
      <c r="B97" s="105"/>
      <c r="C97" s="105"/>
      <c r="D97" s="108"/>
      <c r="E97" s="106">
        <v>1</v>
      </c>
      <c r="F97" s="112">
        <f>E97</f>
        <v>1</v>
      </c>
      <c r="G97" s="108"/>
      <c r="H97" s="106">
        <v>2</v>
      </c>
      <c r="I97" s="106"/>
      <c r="J97" s="112">
        <v>2</v>
      </c>
      <c r="K97" s="114"/>
      <c r="L97" s="114"/>
      <c r="M97" s="115"/>
      <c r="N97" s="108"/>
      <c r="O97" s="106">
        <v>1</v>
      </c>
      <c r="P97" s="112">
        <f>O97</f>
        <v>1</v>
      </c>
    </row>
    <row r="98" spans="1:16" ht="12">
      <c r="A98" s="90" t="s">
        <v>7</v>
      </c>
      <c r="B98" s="105"/>
      <c r="C98" s="105"/>
      <c r="D98" s="108"/>
      <c r="E98" s="108"/>
      <c r="F98" s="110"/>
      <c r="G98" s="108"/>
      <c r="H98" s="108"/>
      <c r="I98" s="108"/>
      <c r="J98" s="110"/>
      <c r="K98" s="114"/>
      <c r="L98" s="114"/>
      <c r="M98" s="115"/>
      <c r="N98" s="108"/>
      <c r="O98" s="108"/>
      <c r="P98" s="110"/>
    </row>
    <row r="99" spans="1:16" ht="27" customHeight="1">
      <c r="A99" s="91" t="s">
        <v>107</v>
      </c>
      <c r="B99" s="105"/>
      <c r="C99" s="105"/>
      <c r="D99" s="108"/>
      <c r="E99" s="108">
        <f>E95/E97</f>
        <v>5000000</v>
      </c>
      <c r="F99" s="110">
        <f>E99</f>
        <v>5000000</v>
      </c>
      <c r="G99" s="108"/>
      <c r="H99" s="108">
        <f>H95/H97</f>
        <v>5000000</v>
      </c>
      <c r="I99" s="108"/>
      <c r="J99" s="110">
        <f>H99</f>
        <v>5000000</v>
      </c>
      <c r="K99" s="114"/>
      <c r="L99" s="114"/>
      <c r="M99" s="115"/>
      <c r="N99" s="108"/>
      <c r="O99" s="108">
        <f>O95/O97</f>
        <v>7200000</v>
      </c>
      <c r="P99" s="110">
        <f>P95/P97</f>
        <v>7200000</v>
      </c>
    </row>
    <row r="100" spans="1:235" s="191" customFormat="1" ht="48" customHeight="1">
      <c r="A100" s="178" t="s">
        <v>388</v>
      </c>
      <c r="B100" s="187"/>
      <c r="C100" s="187"/>
      <c r="D100" s="189">
        <f>(D108*D115)+(D109*D116)+(D110*D117)+(D111*D118)+(D112*D119)+(D120*D109*D121)</f>
        <v>2368300</v>
      </c>
      <c r="E100" s="189">
        <f aca="true" t="shared" si="8" ref="E100:O100">(E108*E115)+(E109*E116)+(E110*E117)+(E111*E118)+(E112*E119)+(E120*E109*E121)</f>
        <v>3200000</v>
      </c>
      <c r="F100" s="189">
        <f>D100+E100</f>
        <v>5568300</v>
      </c>
      <c r="G100" s="189">
        <f>(G108*G115)+(G109*G116)+(G110*G117)+(G111*G118)+(G112*G119)+(G120*G109*G121)</f>
        <v>2855639.7894428</v>
      </c>
      <c r="H100" s="189">
        <f t="shared" si="8"/>
        <v>1200000</v>
      </c>
      <c r="I100" s="189"/>
      <c r="J100" s="236">
        <f>G100+H100</f>
        <v>4055639.7894428</v>
      </c>
      <c r="K100" s="189">
        <f t="shared" si="8"/>
        <v>0</v>
      </c>
      <c r="L100" s="189">
        <f t="shared" si="8"/>
        <v>0</v>
      </c>
      <c r="M100" s="189">
        <f t="shared" si="8"/>
        <v>0</v>
      </c>
      <c r="N100" s="189">
        <f>(N108*N115)+(N109*N116)+(N110*N117)+(N111*N118)+(N112*N119)+(N120*N109*N121)+452.4-0.02</f>
        <v>3385000</v>
      </c>
      <c r="O100" s="189">
        <f t="shared" si="8"/>
        <v>2250000</v>
      </c>
      <c r="P100" s="189">
        <f>N100+O100</f>
        <v>5635000</v>
      </c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190"/>
      <c r="GD100" s="190"/>
      <c r="GE100" s="190"/>
      <c r="GF100" s="190"/>
      <c r="GG100" s="190"/>
      <c r="GH100" s="190"/>
      <c r="GI100" s="190"/>
      <c r="GJ100" s="190"/>
      <c r="GK100" s="190"/>
      <c r="GL100" s="190"/>
      <c r="GM100" s="190"/>
      <c r="GN100" s="190"/>
      <c r="GO100" s="190"/>
      <c r="GP100" s="190"/>
      <c r="GQ100" s="190"/>
      <c r="GR100" s="190"/>
      <c r="GS100" s="190"/>
      <c r="GT100" s="190"/>
      <c r="GU100" s="190"/>
      <c r="GV100" s="190"/>
      <c r="GW100" s="190"/>
      <c r="GX100" s="190"/>
      <c r="GY100" s="190"/>
      <c r="GZ100" s="190"/>
      <c r="HA100" s="190"/>
      <c r="HB100" s="190"/>
      <c r="HC100" s="190"/>
      <c r="HD100" s="190"/>
      <c r="HE100" s="190"/>
      <c r="HF100" s="190"/>
      <c r="HG100" s="190"/>
      <c r="HH100" s="190"/>
      <c r="HI100" s="190"/>
      <c r="HJ100" s="190"/>
      <c r="HK100" s="190"/>
      <c r="HL100" s="190"/>
      <c r="HM100" s="190"/>
      <c r="HN100" s="190"/>
      <c r="HO100" s="190"/>
      <c r="HP100" s="190"/>
      <c r="HQ100" s="190"/>
      <c r="HR100" s="190"/>
      <c r="HS100" s="190"/>
      <c r="HT100" s="190"/>
      <c r="HU100" s="190"/>
      <c r="HV100" s="190"/>
      <c r="HW100" s="190"/>
      <c r="HX100" s="190"/>
      <c r="HY100" s="190"/>
      <c r="HZ100" s="190"/>
      <c r="IA100" s="190"/>
    </row>
    <row r="101" spans="1:235" s="81" customFormat="1" ht="12">
      <c r="A101" s="90" t="s">
        <v>4</v>
      </c>
      <c r="B101" s="111"/>
      <c r="C101" s="111"/>
      <c r="D101" s="108"/>
      <c r="E101" s="105"/>
      <c r="F101" s="108"/>
      <c r="G101" s="108"/>
      <c r="H101" s="105"/>
      <c r="I101" s="105"/>
      <c r="J101" s="108"/>
      <c r="K101" s="114"/>
      <c r="L101" s="114"/>
      <c r="M101" s="115"/>
      <c r="N101" s="108"/>
      <c r="O101" s="105"/>
      <c r="P101" s="108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0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0"/>
      <c r="HA101" s="80"/>
      <c r="HB101" s="80"/>
      <c r="HC101" s="80"/>
      <c r="HD101" s="80"/>
      <c r="HE101" s="80"/>
      <c r="HF101" s="80"/>
      <c r="HG101" s="80"/>
      <c r="HH101" s="80"/>
      <c r="HI101" s="80"/>
      <c r="HJ101" s="80"/>
      <c r="HK101" s="80"/>
      <c r="HL101" s="80"/>
      <c r="HM101" s="80"/>
      <c r="HN101" s="80"/>
      <c r="HO101" s="80"/>
      <c r="HP101" s="80"/>
      <c r="HQ101" s="80"/>
      <c r="HR101" s="80"/>
      <c r="HS101" s="80"/>
      <c r="HT101" s="80"/>
      <c r="HU101" s="80"/>
      <c r="HV101" s="80"/>
      <c r="HW101" s="80"/>
      <c r="HX101" s="80"/>
      <c r="HY101" s="80"/>
      <c r="HZ101" s="80"/>
      <c r="IA101" s="80"/>
    </row>
    <row r="102" spans="1:235" s="81" customFormat="1" ht="12">
      <c r="A102" s="91" t="s">
        <v>108</v>
      </c>
      <c r="B102" s="105"/>
      <c r="C102" s="105"/>
      <c r="D102" s="106">
        <v>56</v>
      </c>
      <c r="E102" s="106"/>
      <c r="F102" s="106">
        <f>D102</f>
        <v>56</v>
      </c>
      <c r="G102" s="106">
        <v>42</v>
      </c>
      <c r="H102" s="106"/>
      <c r="I102" s="106"/>
      <c r="J102" s="106">
        <f>G102</f>
        <v>42</v>
      </c>
      <c r="K102" s="116"/>
      <c r="L102" s="116"/>
      <c r="M102" s="116"/>
      <c r="N102" s="106">
        <v>67</v>
      </c>
      <c r="O102" s="106"/>
      <c r="P102" s="106">
        <f>N102</f>
        <v>67</v>
      </c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  <c r="HM102" s="80"/>
      <c r="HN102" s="80"/>
      <c r="HO102" s="80"/>
      <c r="HP102" s="80"/>
      <c r="HQ102" s="80"/>
      <c r="HR102" s="80"/>
      <c r="HS102" s="80"/>
      <c r="HT102" s="80"/>
      <c r="HU102" s="80"/>
      <c r="HV102" s="80"/>
      <c r="HW102" s="80"/>
      <c r="HX102" s="80"/>
      <c r="HY102" s="80"/>
      <c r="HZ102" s="80"/>
      <c r="IA102" s="80"/>
    </row>
    <row r="103" spans="1:235" s="81" customFormat="1" ht="12">
      <c r="A103" s="91" t="s">
        <v>8</v>
      </c>
      <c r="B103" s="105"/>
      <c r="C103" s="105"/>
      <c r="D103" s="113">
        <v>37000</v>
      </c>
      <c r="E103" s="105"/>
      <c r="F103" s="113">
        <f>D103</f>
        <v>37000</v>
      </c>
      <c r="G103" s="113">
        <v>37400</v>
      </c>
      <c r="H103" s="105"/>
      <c r="I103" s="105"/>
      <c r="J103" s="113">
        <f>G103</f>
        <v>37400</v>
      </c>
      <c r="K103" s="114"/>
      <c r="L103" s="114"/>
      <c r="M103" s="115"/>
      <c r="N103" s="113">
        <v>37400</v>
      </c>
      <c r="O103" s="105"/>
      <c r="P103" s="113">
        <f>N103</f>
        <v>37400</v>
      </c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  <c r="HM103" s="80"/>
      <c r="HN103" s="80"/>
      <c r="HO103" s="80"/>
      <c r="HP103" s="80"/>
      <c r="HQ103" s="80"/>
      <c r="HR103" s="80"/>
      <c r="HS103" s="80"/>
      <c r="HT103" s="80"/>
      <c r="HU103" s="80"/>
      <c r="HV103" s="80"/>
      <c r="HW103" s="80"/>
      <c r="HX103" s="80"/>
      <c r="HY103" s="80"/>
      <c r="HZ103" s="80"/>
      <c r="IA103" s="80"/>
    </row>
    <row r="104" spans="1:235" s="81" customFormat="1" ht="33.75">
      <c r="A104" s="91" t="s">
        <v>114</v>
      </c>
      <c r="B104" s="105"/>
      <c r="C104" s="105"/>
      <c r="D104" s="113">
        <v>37400</v>
      </c>
      <c r="E104" s="105"/>
      <c r="F104" s="113">
        <v>37400</v>
      </c>
      <c r="G104" s="113">
        <v>37400</v>
      </c>
      <c r="H104" s="105"/>
      <c r="I104" s="105"/>
      <c r="J104" s="113">
        <v>37400</v>
      </c>
      <c r="K104" s="114"/>
      <c r="L104" s="114"/>
      <c r="M104" s="115"/>
      <c r="N104" s="113">
        <v>37400</v>
      </c>
      <c r="O104" s="105"/>
      <c r="P104" s="113">
        <v>37400</v>
      </c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80"/>
      <c r="GM104" s="80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0"/>
      <c r="HA104" s="80"/>
      <c r="HB104" s="80"/>
      <c r="HC104" s="80"/>
      <c r="HD104" s="80"/>
      <c r="HE104" s="80"/>
      <c r="HF104" s="80"/>
      <c r="HG104" s="80"/>
      <c r="HH104" s="80"/>
      <c r="HI104" s="80"/>
      <c r="HJ104" s="80"/>
      <c r="HK104" s="80"/>
      <c r="HL104" s="80"/>
      <c r="HM104" s="80"/>
      <c r="HN104" s="80"/>
      <c r="HO104" s="80"/>
      <c r="HP104" s="80"/>
      <c r="HQ104" s="80"/>
      <c r="HR104" s="80"/>
      <c r="HS104" s="80"/>
      <c r="HT104" s="80"/>
      <c r="HU104" s="80"/>
      <c r="HV104" s="80"/>
      <c r="HW104" s="80"/>
      <c r="HX104" s="80"/>
      <c r="HY104" s="80"/>
      <c r="HZ104" s="80"/>
      <c r="IA104" s="80"/>
    </row>
    <row r="105" spans="1:235" s="83" customFormat="1" ht="22.5">
      <c r="A105" s="32" t="s">
        <v>72</v>
      </c>
      <c r="B105" s="8"/>
      <c r="C105" s="8"/>
      <c r="D105" s="10">
        <v>73500</v>
      </c>
      <c r="E105" s="10"/>
      <c r="F105" s="10">
        <f>D105</f>
        <v>73500</v>
      </c>
      <c r="G105" s="10">
        <v>81756</v>
      </c>
      <c r="H105" s="10"/>
      <c r="I105" s="10"/>
      <c r="J105" s="10">
        <f>G105</f>
        <v>81756</v>
      </c>
      <c r="K105" s="131"/>
      <c r="L105" s="131"/>
      <c r="M105" s="131"/>
      <c r="N105" s="10">
        <v>89932</v>
      </c>
      <c r="O105" s="10"/>
      <c r="P105" s="10">
        <f>N105</f>
        <v>89932</v>
      </c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</row>
    <row r="106" spans="1:241" s="80" customFormat="1" ht="12" customHeight="1">
      <c r="A106" s="90" t="s">
        <v>5</v>
      </c>
      <c r="B106" s="111"/>
      <c r="C106" s="111"/>
      <c r="D106" s="105"/>
      <c r="E106" s="105"/>
      <c r="F106" s="105"/>
      <c r="G106" s="105"/>
      <c r="H106" s="105"/>
      <c r="I106" s="105"/>
      <c r="J106" s="105"/>
      <c r="K106" s="114"/>
      <c r="L106" s="114"/>
      <c r="M106" s="115"/>
      <c r="N106" s="105"/>
      <c r="O106" s="105"/>
      <c r="P106" s="105"/>
      <c r="IB106" s="81"/>
      <c r="IC106" s="81"/>
      <c r="ID106" s="81"/>
      <c r="IE106" s="81"/>
      <c r="IF106" s="81"/>
      <c r="IG106" s="81"/>
    </row>
    <row r="107" spans="1:241" s="80" customFormat="1" ht="22.5">
      <c r="A107" s="91" t="s">
        <v>14</v>
      </c>
      <c r="B107" s="105"/>
      <c r="C107" s="105"/>
      <c r="D107" s="108"/>
      <c r="E107" s="105"/>
      <c r="F107" s="113">
        <f>D107</f>
        <v>0</v>
      </c>
      <c r="G107" s="108"/>
      <c r="H107" s="105"/>
      <c r="I107" s="105"/>
      <c r="J107" s="113">
        <f>G107</f>
        <v>0</v>
      </c>
      <c r="K107" s="114"/>
      <c r="L107" s="114"/>
      <c r="M107" s="115"/>
      <c r="N107" s="108"/>
      <c r="O107" s="105"/>
      <c r="P107" s="113">
        <f>N107</f>
        <v>0</v>
      </c>
      <c r="IB107" s="81"/>
      <c r="IC107" s="81"/>
      <c r="ID107" s="81"/>
      <c r="IE107" s="81"/>
      <c r="IF107" s="81"/>
      <c r="IG107" s="81"/>
    </row>
    <row r="108" spans="1:241" s="80" customFormat="1" ht="27.75" customHeight="1">
      <c r="A108" s="91" t="s">
        <v>109</v>
      </c>
      <c r="B108" s="105"/>
      <c r="C108" s="111"/>
      <c r="D108" s="108"/>
      <c r="E108" s="105">
        <v>8</v>
      </c>
      <c r="F108" s="120">
        <f>E108</f>
        <v>8</v>
      </c>
      <c r="G108" s="105"/>
      <c r="H108" s="106">
        <v>3</v>
      </c>
      <c r="I108" s="106"/>
      <c r="J108" s="106">
        <v>3</v>
      </c>
      <c r="K108" s="114"/>
      <c r="L108" s="114"/>
      <c r="M108" s="115"/>
      <c r="N108" s="105"/>
      <c r="O108" s="106">
        <v>5</v>
      </c>
      <c r="P108" s="106">
        <f>O108</f>
        <v>5</v>
      </c>
      <c r="IB108" s="81"/>
      <c r="IC108" s="81"/>
      <c r="ID108" s="81"/>
      <c r="IE108" s="81"/>
      <c r="IF108" s="81"/>
      <c r="IG108" s="81"/>
    </row>
    <row r="109" spans="1:241" s="80" customFormat="1" ht="27" customHeight="1">
      <c r="A109" s="91" t="s">
        <v>110</v>
      </c>
      <c r="B109" s="105"/>
      <c r="C109" s="111"/>
      <c r="D109" s="106">
        <v>56</v>
      </c>
      <c r="E109" s="106"/>
      <c r="F109" s="106">
        <f>D109</f>
        <v>56</v>
      </c>
      <c r="G109" s="106">
        <v>42</v>
      </c>
      <c r="H109" s="106"/>
      <c r="I109" s="106"/>
      <c r="J109" s="106">
        <f>G109</f>
        <v>42</v>
      </c>
      <c r="K109" s="116"/>
      <c r="L109" s="116"/>
      <c r="M109" s="116"/>
      <c r="N109" s="106">
        <v>67</v>
      </c>
      <c r="O109" s="106"/>
      <c r="P109" s="106">
        <f>N109</f>
        <v>67</v>
      </c>
      <c r="IB109" s="81"/>
      <c r="IC109" s="81"/>
      <c r="ID109" s="81"/>
      <c r="IE109" s="81"/>
      <c r="IF109" s="81"/>
      <c r="IG109" s="81"/>
    </row>
    <row r="110" spans="1:241" s="80" customFormat="1" ht="22.5">
      <c r="A110" s="91" t="s">
        <v>42</v>
      </c>
      <c r="B110" s="105"/>
      <c r="C110" s="111"/>
      <c r="D110" s="105">
        <v>300</v>
      </c>
      <c r="E110" s="106"/>
      <c r="F110" s="113">
        <f>D110</f>
        <v>300</v>
      </c>
      <c r="G110" s="105">
        <v>300</v>
      </c>
      <c r="H110" s="106"/>
      <c r="I110" s="106"/>
      <c r="J110" s="113">
        <f>G110</f>
        <v>300</v>
      </c>
      <c r="K110" s="114"/>
      <c r="L110" s="114"/>
      <c r="M110" s="115"/>
      <c r="N110" s="105">
        <v>300</v>
      </c>
      <c r="O110" s="106"/>
      <c r="P110" s="113">
        <v>300</v>
      </c>
      <c r="IB110" s="81"/>
      <c r="IC110" s="81"/>
      <c r="ID110" s="81"/>
      <c r="IE110" s="81"/>
      <c r="IF110" s="81"/>
      <c r="IG110" s="81"/>
    </row>
    <row r="111" spans="1:241" s="80" customFormat="1" ht="22.5">
      <c r="A111" s="91" t="s">
        <v>46</v>
      </c>
      <c r="B111" s="105"/>
      <c r="C111" s="111"/>
      <c r="D111" s="106">
        <v>300</v>
      </c>
      <c r="E111" s="106"/>
      <c r="F111" s="106">
        <f>D111</f>
        <v>300</v>
      </c>
      <c r="G111" s="106">
        <v>300</v>
      </c>
      <c r="H111" s="106"/>
      <c r="I111" s="106"/>
      <c r="J111" s="106">
        <v>300</v>
      </c>
      <c r="K111" s="116"/>
      <c r="L111" s="116"/>
      <c r="M111" s="116"/>
      <c r="N111" s="106">
        <v>300</v>
      </c>
      <c r="O111" s="106"/>
      <c r="P111" s="106">
        <f>N111</f>
        <v>300</v>
      </c>
      <c r="IB111" s="81"/>
      <c r="IC111" s="81"/>
      <c r="ID111" s="81"/>
      <c r="IE111" s="81"/>
      <c r="IF111" s="81"/>
      <c r="IG111" s="81"/>
    </row>
    <row r="112" spans="1:241" s="80" customFormat="1" ht="22.5">
      <c r="A112" s="91" t="s">
        <v>13</v>
      </c>
      <c r="B112" s="105"/>
      <c r="C112" s="111"/>
      <c r="D112" s="113">
        <v>37400</v>
      </c>
      <c r="E112" s="105"/>
      <c r="F112" s="113">
        <f aca="true" t="shared" si="9" ref="F112:F127">D112</f>
        <v>37400</v>
      </c>
      <c r="G112" s="113">
        <v>37400</v>
      </c>
      <c r="H112" s="105"/>
      <c r="I112" s="105"/>
      <c r="J112" s="113">
        <f>G112</f>
        <v>37400</v>
      </c>
      <c r="K112" s="114"/>
      <c r="L112" s="114"/>
      <c r="M112" s="115"/>
      <c r="N112" s="113">
        <v>37400</v>
      </c>
      <c r="O112" s="105"/>
      <c r="P112" s="113">
        <f>N112</f>
        <v>37400</v>
      </c>
      <c r="IB112" s="81"/>
      <c r="IC112" s="81"/>
      <c r="ID112" s="81"/>
      <c r="IE112" s="81"/>
      <c r="IF112" s="81"/>
      <c r="IG112" s="81"/>
    </row>
    <row r="113" spans="1:241" s="80" customFormat="1" ht="12">
      <c r="A113" s="90" t="s">
        <v>7</v>
      </c>
      <c r="B113" s="111"/>
      <c r="C113" s="111"/>
      <c r="D113" s="108"/>
      <c r="E113" s="105"/>
      <c r="F113" s="113">
        <f t="shared" si="9"/>
        <v>0</v>
      </c>
      <c r="G113" s="108"/>
      <c r="H113" s="105"/>
      <c r="I113" s="105"/>
      <c r="J113" s="113"/>
      <c r="K113" s="114"/>
      <c r="L113" s="114"/>
      <c r="M113" s="115"/>
      <c r="N113" s="108"/>
      <c r="O113" s="105"/>
      <c r="P113" s="113"/>
      <c r="IB113" s="81"/>
      <c r="IC113" s="81"/>
      <c r="ID113" s="81"/>
      <c r="IE113" s="81"/>
      <c r="IF113" s="81"/>
      <c r="IG113" s="81"/>
    </row>
    <row r="114" spans="1:241" s="80" customFormat="1" ht="22.5" customHeight="1">
      <c r="A114" s="91" t="s">
        <v>16</v>
      </c>
      <c r="B114" s="105"/>
      <c r="C114" s="105"/>
      <c r="D114" s="113"/>
      <c r="E114" s="105"/>
      <c r="F114" s="113">
        <f t="shared" si="9"/>
        <v>0</v>
      </c>
      <c r="G114" s="113"/>
      <c r="H114" s="105"/>
      <c r="I114" s="105"/>
      <c r="J114" s="108">
        <f>G114</f>
        <v>0</v>
      </c>
      <c r="K114" s="114"/>
      <c r="L114" s="114"/>
      <c r="M114" s="115"/>
      <c r="N114" s="113"/>
      <c r="O114" s="105"/>
      <c r="P114" s="108">
        <f>N114</f>
        <v>0</v>
      </c>
      <c r="IB114" s="81"/>
      <c r="IC114" s="81"/>
      <c r="ID114" s="81"/>
      <c r="IE114" s="81"/>
      <c r="IF114" s="81"/>
      <c r="IG114" s="81"/>
    </row>
    <row r="115" spans="1:241" s="80" customFormat="1" ht="27" customHeight="1">
      <c r="A115" s="32" t="s">
        <v>111</v>
      </c>
      <c r="B115" s="8"/>
      <c r="C115" s="8"/>
      <c r="D115" s="8"/>
      <c r="E115" s="19">
        <v>400000</v>
      </c>
      <c r="F115" s="19">
        <f>E115</f>
        <v>400000</v>
      </c>
      <c r="G115" s="8"/>
      <c r="H115" s="19">
        <v>400000</v>
      </c>
      <c r="I115" s="19"/>
      <c r="J115" s="7">
        <f>H115</f>
        <v>400000</v>
      </c>
      <c r="K115" s="21"/>
      <c r="L115" s="21"/>
      <c r="M115" s="22"/>
      <c r="N115" s="19"/>
      <c r="O115" s="19">
        <v>450000</v>
      </c>
      <c r="P115" s="7">
        <f>O115</f>
        <v>450000</v>
      </c>
      <c r="IB115" s="81"/>
      <c r="IC115" s="81"/>
      <c r="ID115" s="81"/>
      <c r="IE115" s="81"/>
      <c r="IF115" s="81"/>
      <c r="IG115" s="81"/>
    </row>
    <row r="116" spans="1:241" s="80" customFormat="1" ht="22.5">
      <c r="A116" s="91" t="s">
        <v>112</v>
      </c>
      <c r="B116" s="105"/>
      <c r="C116" s="105"/>
      <c r="D116" s="108">
        <v>10000</v>
      </c>
      <c r="E116" s="105"/>
      <c r="F116" s="113">
        <f t="shared" si="9"/>
        <v>10000</v>
      </c>
      <c r="G116" s="113">
        <v>23980.9523809</v>
      </c>
      <c r="H116" s="105"/>
      <c r="I116" s="105"/>
      <c r="J116" s="108">
        <f aca="true" t="shared" si="10" ref="J116:J121">G116</f>
        <v>23980.9523809</v>
      </c>
      <c r="K116" s="114"/>
      <c r="L116" s="114"/>
      <c r="M116" s="115"/>
      <c r="N116" s="113">
        <v>17015</v>
      </c>
      <c r="O116" s="105"/>
      <c r="P116" s="108">
        <f aca="true" t="shared" si="11" ref="P116:P121">N116</f>
        <v>17015</v>
      </c>
      <c r="IB116" s="81"/>
      <c r="IC116" s="81"/>
      <c r="ID116" s="81"/>
      <c r="IE116" s="81"/>
      <c r="IF116" s="81"/>
      <c r="IG116" s="81"/>
    </row>
    <row r="117" spans="1:241" s="80" customFormat="1" ht="27" customHeight="1">
      <c r="A117" s="91" t="s">
        <v>43</v>
      </c>
      <c r="B117" s="105"/>
      <c r="C117" s="105"/>
      <c r="D117" s="108">
        <v>300</v>
      </c>
      <c r="E117" s="108"/>
      <c r="F117" s="108">
        <f>D117</f>
        <v>300</v>
      </c>
      <c r="G117" s="108">
        <v>300</v>
      </c>
      <c r="H117" s="108"/>
      <c r="I117" s="108"/>
      <c r="J117" s="108">
        <f t="shared" si="10"/>
        <v>300</v>
      </c>
      <c r="K117" s="114"/>
      <c r="L117" s="114"/>
      <c r="M117" s="115"/>
      <c r="N117" s="108">
        <v>350</v>
      </c>
      <c r="O117" s="108"/>
      <c r="P117" s="108">
        <f t="shared" si="11"/>
        <v>350</v>
      </c>
      <c r="IB117" s="81"/>
      <c r="IC117" s="81"/>
      <c r="ID117" s="81"/>
      <c r="IE117" s="81"/>
      <c r="IF117" s="81"/>
      <c r="IG117" s="81"/>
    </row>
    <row r="118" spans="1:241" s="80" customFormat="1" ht="27" customHeight="1">
      <c r="A118" s="91" t="s">
        <v>19</v>
      </c>
      <c r="B118" s="105"/>
      <c r="C118" s="105"/>
      <c r="D118" s="108">
        <v>300</v>
      </c>
      <c r="E118" s="105"/>
      <c r="F118" s="113">
        <f t="shared" si="9"/>
        <v>300</v>
      </c>
      <c r="G118" s="108">
        <v>300</v>
      </c>
      <c r="H118" s="105"/>
      <c r="I118" s="105"/>
      <c r="J118" s="108">
        <f t="shared" si="10"/>
        <v>300</v>
      </c>
      <c r="K118" s="114"/>
      <c r="L118" s="114"/>
      <c r="M118" s="115"/>
      <c r="N118" s="108">
        <v>350</v>
      </c>
      <c r="O118" s="105"/>
      <c r="P118" s="108">
        <f t="shared" si="11"/>
        <v>350</v>
      </c>
      <c r="IB118" s="81"/>
      <c r="IC118" s="81"/>
      <c r="ID118" s="81"/>
      <c r="IE118" s="81"/>
      <c r="IF118" s="81"/>
      <c r="IG118" s="81"/>
    </row>
    <row r="119" spans="1:241" s="80" customFormat="1" ht="22.5">
      <c r="A119" s="91" t="s">
        <v>15</v>
      </c>
      <c r="B119" s="105"/>
      <c r="C119" s="105"/>
      <c r="D119" s="108">
        <v>40</v>
      </c>
      <c r="E119" s="105"/>
      <c r="F119" s="113">
        <f t="shared" si="9"/>
        <v>40</v>
      </c>
      <c r="G119" s="108">
        <v>40</v>
      </c>
      <c r="H119" s="105"/>
      <c r="I119" s="105"/>
      <c r="J119" s="108">
        <f t="shared" si="10"/>
        <v>40</v>
      </c>
      <c r="K119" s="114"/>
      <c r="L119" s="114"/>
      <c r="M119" s="115"/>
      <c r="N119" s="108">
        <v>50</v>
      </c>
      <c r="O119" s="105"/>
      <c r="P119" s="108">
        <f t="shared" si="11"/>
        <v>50</v>
      </c>
      <c r="S119" s="80">
        <f>1277*64*1.65</f>
        <v>134851.19999999998</v>
      </c>
      <c r="IB119" s="81"/>
      <c r="IC119" s="81"/>
      <c r="ID119" s="81"/>
      <c r="IE119" s="81"/>
      <c r="IF119" s="81"/>
      <c r="IG119" s="81"/>
    </row>
    <row r="120" spans="1:241" s="80" customFormat="1" ht="22.5">
      <c r="A120" s="91" t="s">
        <v>73</v>
      </c>
      <c r="B120" s="105"/>
      <c r="C120" s="105"/>
      <c r="D120" s="106">
        <v>1312.5</v>
      </c>
      <c r="E120" s="106"/>
      <c r="F120" s="106">
        <f>D120</f>
        <v>1312.5</v>
      </c>
      <c r="G120" s="106">
        <v>2488.30865</v>
      </c>
      <c r="H120" s="106"/>
      <c r="I120" s="106"/>
      <c r="J120" s="106">
        <f t="shared" si="10"/>
        <v>2488.30865</v>
      </c>
      <c r="K120" s="116"/>
      <c r="L120" s="116"/>
      <c r="M120" s="116"/>
      <c r="N120" s="106">
        <v>1342</v>
      </c>
      <c r="O120" s="106"/>
      <c r="P120" s="106">
        <f t="shared" si="11"/>
        <v>1342</v>
      </c>
      <c r="S120" s="80">
        <f>21572/4</f>
        <v>5393</v>
      </c>
      <c r="IB120" s="81"/>
      <c r="IC120" s="81"/>
      <c r="ID120" s="81"/>
      <c r="IE120" s="81"/>
      <c r="IF120" s="81"/>
      <c r="IG120" s="81"/>
    </row>
    <row r="121" spans="1:241" s="80" customFormat="1" ht="22.5">
      <c r="A121" s="32" t="s">
        <v>74</v>
      </c>
      <c r="B121" s="8"/>
      <c r="C121" s="8"/>
      <c r="D121" s="7">
        <v>1.8</v>
      </c>
      <c r="E121" s="7"/>
      <c r="F121" s="7">
        <f>D121</f>
        <v>1.8</v>
      </c>
      <c r="G121" s="7">
        <v>1.65</v>
      </c>
      <c r="H121" s="7"/>
      <c r="I121" s="7"/>
      <c r="J121" s="7">
        <f t="shared" si="10"/>
        <v>1.65</v>
      </c>
      <c r="K121" s="132"/>
      <c r="L121" s="132"/>
      <c r="M121" s="132"/>
      <c r="N121" s="7">
        <v>1.83</v>
      </c>
      <c r="O121" s="7"/>
      <c r="P121" s="7">
        <f t="shared" si="11"/>
        <v>1.83</v>
      </c>
      <c r="IB121" s="81"/>
      <c r="IC121" s="81"/>
      <c r="ID121" s="81"/>
      <c r="IE121" s="81"/>
      <c r="IF121" s="81"/>
      <c r="IG121" s="81"/>
    </row>
    <row r="122" spans="1:241" s="80" customFormat="1" ht="12">
      <c r="A122" s="90" t="s">
        <v>6</v>
      </c>
      <c r="B122" s="111"/>
      <c r="C122" s="111"/>
      <c r="D122" s="108"/>
      <c r="E122" s="105"/>
      <c r="F122" s="113"/>
      <c r="G122" s="108"/>
      <c r="H122" s="105"/>
      <c r="I122" s="105"/>
      <c r="J122" s="108"/>
      <c r="K122" s="114"/>
      <c r="L122" s="114"/>
      <c r="M122" s="115"/>
      <c r="N122" s="108"/>
      <c r="O122" s="105"/>
      <c r="P122" s="108"/>
      <c r="IB122" s="81"/>
      <c r="IC122" s="81"/>
      <c r="ID122" s="81"/>
      <c r="IE122" s="81"/>
      <c r="IF122" s="81"/>
      <c r="IG122" s="81"/>
    </row>
    <row r="123" spans="1:241" s="80" customFormat="1" ht="22.5" customHeight="1">
      <c r="A123" s="91" t="s">
        <v>45</v>
      </c>
      <c r="B123" s="105"/>
      <c r="C123" s="105"/>
      <c r="D123" s="108"/>
      <c r="E123" s="105"/>
      <c r="F123" s="113">
        <f t="shared" si="9"/>
        <v>0</v>
      </c>
      <c r="G123" s="108"/>
      <c r="H123" s="105"/>
      <c r="I123" s="105"/>
      <c r="J123" s="108"/>
      <c r="K123" s="114"/>
      <c r="L123" s="114"/>
      <c r="M123" s="115"/>
      <c r="N123" s="108"/>
      <c r="O123" s="105"/>
      <c r="P123" s="108"/>
      <c r="IB123" s="81"/>
      <c r="IC123" s="81"/>
      <c r="ID123" s="81"/>
      <c r="IE123" s="81"/>
      <c r="IF123" s="81"/>
      <c r="IG123" s="81"/>
    </row>
    <row r="124" spans="1:241" s="80" customFormat="1" ht="30.75" customHeight="1">
      <c r="A124" s="91" t="s">
        <v>113</v>
      </c>
      <c r="B124" s="105"/>
      <c r="C124" s="105"/>
      <c r="D124" s="106">
        <v>100</v>
      </c>
      <c r="E124" s="106"/>
      <c r="F124" s="106">
        <f t="shared" si="9"/>
        <v>100</v>
      </c>
      <c r="G124" s="106">
        <v>100</v>
      </c>
      <c r="H124" s="106"/>
      <c r="I124" s="106"/>
      <c r="J124" s="106">
        <v>100</v>
      </c>
      <c r="K124" s="116"/>
      <c r="L124" s="116"/>
      <c r="M124" s="116"/>
      <c r="N124" s="106">
        <v>100</v>
      </c>
      <c r="O124" s="106"/>
      <c r="P124" s="106">
        <v>100</v>
      </c>
      <c r="IB124" s="81"/>
      <c r="IC124" s="81"/>
      <c r="ID124" s="81"/>
      <c r="IE124" s="81"/>
      <c r="IF124" s="81"/>
      <c r="IG124" s="81"/>
    </row>
    <row r="125" spans="1:241" s="80" customFormat="1" ht="22.5" customHeight="1">
      <c r="A125" s="91" t="s">
        <v>47</v>
      </c>
      <c r="B125" s="105"/>
      <c r="C125" s="105"/>
      <c r="D125" s="106"/>
      <c r="E125" s="106"/>
      <c r="F125" s="106">
        <f t="shared" si="9"/>
        <v>0</v>
      </c>
      <c r="G125" s="106"/>
      <c r="H125" s="106"/>
      <c r="I125" s="106"/>
      <c r="J125" s="106"/>
      <c r="K125" s="116"/>
      <c r="L125" s="116"/>
      <c r="M125" s="116"/>
      <c r="N125" s="106"/>
      <c r="O125" s="106"/>
      <c r="P125" s="106"/>
      <c r="IB125" s="81"/>
      <c r="IC125" s="81"/>
      <c r="ID125" s="81"/>
      <c r="IE125" s="81"/>
      <c r="IF125" s="81"/>
      <c r="IG125" s="81"/>
    </row>
    <row r="126" spans="1:241" s="80" customFormat="1" ht="23.25" customHeight="1">
      <c r="A126" s="91" t="s">
        <v>21</v>
      </c>
      <c r="B126" s="105"/>
      <c r="C126" s="105"/>
      <c r="D126" s="106">
        <v>100</v>
      </c>
      <c r="E126" s="106"/>
      <c r="F126" s="106">
        <f t="shared" si="9"/>
        <v>100</v>
      </c>
      <c r="G126" s="106">
        <v>100</v>
      </c>
      <c r="H126" s="106"/>
      <c r="I126" s="106"/>
      <c r="J126" s="106">
        <v>100</v>
      </c>
      <c r="K126" s="116"/>
      <c r="L126" s="116"/>
      <c r="M126" s="116"/>
      <c r="N126" s="106">
        <v>100</v>
      </c>
      <c r="O126" s="106"/>
      <c r="P126" s="106">
        <v>100</v>
      </c>
      <c r="IB126" s="81"/>
      <c r="IC126" s="81"/>
      <c r="ID126" s="81"/>
      <c r="IE126" s="81"/>
      <c r="IF126" s="81"/>
      <c r="IG126" s="81"/>
    </row>
    <row r="127" spans="1:241" s="80" customFormat="1" ht="30" customHeight="1">
      <c r="A127" s="91" t="s">
        <v>57</v>
      </c>
      <c r="B127" s="105"/>
      <c r="C127" s="105"/>
      <c r="D127" s="106">
        <v>100</v>
      </c>
      <c r="E127" s="106"/>
      <c r="F127" s="106">
        <f t="shared" si="9"/>
        <v>100</v>
      </c>
      <c r="G127" s="106">
        <f>G112/G104*100</f>
        <v>100</v>
      </c>
      <c r="H127" s="106"/>
      <c r="I127" s="106"/>
      <c r="J127" s="106">
        <f>J112/J104*100</f>
        <v>100</v>
      </c>
      <c r="K127" s="116"/>
      <c r="L127" s="116"/>
      <c r="M127" s="116"/>
      <c r="N127" s="106">
        <f>N112/N104*100</f>
        <v>100</v>
      </c>
      <c r="O127" s="106"/>
      <c r="P127" s="106">
        <f>P112/P104*100</f>
        <v>100</v>
      </c>
      <c r="IB127" s="81"/>
      <c r="IC127" s="81"/>
      <c r="ID127" s="81"/>
      <c r="IE127" s="81"/>
      <c r="IF127" s="81"/>
      <c r="IG127" s="81"/>
    </row>
    <row r="128" spans="1:241" s="190" customFormat="1" ht="24" customHeight="1">
      <c r="A128" s="178" t="s">
        <v>268</v>
      </c>
      <c r="B128" s="187"/>
      <c r="C128" s="187"/>
      <c r="D128" s="189">
        <f>(D139*D145)+(D140*D146)+(D142*D148)+(D141*D147)+(D143*D150)+100</f>
        <v>10575000</v>
      </c>
      <c r="E128" s="189">
        <f>(E139*E145)+(E140*E146)+(E142*E148)+(E141*E147)+(E143*E150)+4.4</f>
        <v>6200000.000000001</v>
      </c>
      <c r="F128" s="189">
        <f>D128+E128</f>
        <v>16775000</v>
      </c>
      <c r="G128" s="189">
        <f>(G139*G145)+(G140*G146)+(G142*G148)+(G141*G147)+(G143*G150)-364.8+3000000</f>
        <v>15600000</v>
      </c>
      <c r="H128" s="189">
        <f>(H139*H145)+(H140*H146)+(H142*H148)+(H141*H147)+(H143*H150)+6.2-774.52+1800</f>
        <v>10001800</v>
      </c>
      <c r="I128" s="189"/>
      <c r="J128" s="236">
        <f>G128+H128</f>
        <v>25601800</v>
      </c>
      <c r="K128" s="189">
        <f>(K139*K145)+(K140*K146)+(K142*K148)+(K141*K147)+(K143*K150)+100</f>
        <v>100</v>
      </c>
      <c r="L128" s="189">
        <f>(L139*L145)+(L140*L146)+(L142*L148)+(L141*L147)+(L143*L150)+100</f>
        <v>100</v>
      </c>
      <c r="M128" s="189">
        <f>(M139*M145)+(M140*M146)+(M142*M148)+(M141*M147)+(M143*M150)+100</f>
        <v>100</v>
      </c>
      <c r="N128" s="189">
        <f>(N139*N145)+(N140*N146)+(N142*N148)+(N141*N147)+(N143*N150)-189</f>
        <v>15100000</v>
      </c>
      <c r="O128" s="189">
        <f>(O139*O145)+(O140*O146)+(O142*O148)+(O141*O147)+(O143*O150)-26</f>
        <v>8800000</v>
      </c>
      <c r="P128" s="189">
        <f>N128+O128</f>
        <v>23900000</v>
      </c>
      <c r="IB128" s="191"/>
      <c r="IC128" s="191"/>
      <c r="ID128" s="191"/>
      <c r="IE128" s="191"/>
      <c r="IF128" s="191"/>
      <c r="IG128" s="191"/>
    </row>
    <row r="129" spans="1:241" s="1" customFormat="1" ht="0.75" customHeight="1">
      <c r="A129" s="34" t="s">
        <v>48</v>
      </c>
      <c r="B129" s="20"/>
      <c r="C129" s="20"/>
      <c r="D129" s="8" t="e">
        <f>#REF!*D145+D142*D147+D141*D148</f>
        <v>#REF!</v>
      </c>
      <c r="E129" s="8" t="e">
        <f>#REF!*E145+E142*E147+E141*E148</f>
        <v>#REF!</v>
      </c>
      <c r="F129" s="8" t="e">
        <f>#REF!*F145+F142*F147+F141*F148</f>
        <v>#REF!</v>
      </c>
      <c r="G129" s="8" t="e">
        <f>#REF!*G145+G142*G147+G141*G148</f>
        <v>#REF!</v>
      </c>
      <c r="H129" s="8"/>
      <c r="I129" s="8"/>
      <c r="J129" s="8" t="e">
        <f>#REF!*J145+J142*J147+J141*J148</f>
        <v>#REF!</v>
      </c>
      <c r="K129" s="14"/>
      <c r="L129" s="14"/>
      <c r="M129" s="15"/>
      <c r="N129" s="8" t="e">
        <f>#REF!*N145+N142*N147+N141*N148</f>
        <v>#REF!</v>
      </c>
      <c r="O129" s="8"/>
      <c r="P129" s="8" t="e">
        <f>#REF!*P145+P142*P147+P141*P148</f>
        <v>#REF!</v>
      </c>
      <c r="IB129"/>
      <c r="IC129"/>
      <c r="ID129"/>
      <c r="IE129"/>
      <c r="IF129"/>
      <c r="IG129"/>
    </row>
    <row r="130" spans="1:241" s="1" customFormat="1" ht="12">
      <c r="A130" s="90" t="s">
        <v>4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4"/>
      <c r="L130" s="114"/>
      <c r="M130" s="115"/>
      <c r="N130" s="111"/>
      <c r="O130" s="111"/>
      <c r="P130" s="111"/>
      <c r="IB130"/>
      <c r="IC130"/>
      <c r="ID130"/>
      <c r="IE130"/>
      <c r="IF130"/>
      <c r="IG130"/>
    </row>
    <row r="131" spans="1:241" s="1" customFormat="1" ht="21" customHeight="1">
      <c r="A131" s="91" t="s">
        <v>115</v>
      </c>
      <c r="B131" s="105"/>
      <c r="C131" s="105"/>
      <c r="D131" s="123">
        <v>600.663</v>
      </c>
      <c r="E131" s="123"/>
      <c r="F131" s="123">
        <f>D131</f>
        <v>600.663</v>
      </c>
      <c r="G131" s="123">
        <f>D131</f>
        <v>600.663</v>
      </c>
      <c r="H131" s="123"/>
      <c r="I131" s="123"/>
      <c r="J131" s="123">
        <f>G131</f>
        <v>600.663</v>
      </c>
      <c r="K131" s="124"/>
      <c r="L131" s="124"/>
      <c r="M131" s="124"/>
      <c r="N131" s="123">
        <f>J131</f>
        <v>600.663</v>
      </c>
      <c r="O131" s="123"/>
      <c r="P131" s="123">
        <f>N131</f>
        <v>600.663</v>
      </c>
      <c r="IB131"/>
      <c r="IC131"/>
      <c r="ID131"/>
      <c r="IE131"/>
      <c r="IF131"/>
      <c r="IG131"/>
    </row>
    <row r="132" spans="1:241" s="1" customFormat="1" ht="27" customHeight="1">
      <c r="A132" s="91" t="s">
        <v>116</v>
      </c>
      <c r="B132" s="105"/>
      <c r="C132" s="105"/>
      <c r="D132" s="105"/>
      <c r="E132" s="108">
        <v>427.5</v>
      </c>
      <c r="F132" s="108">
        <f>E132</f>
        <v>427.5</v>
      </c>
      <c r="G132" s="105"/>
      <c r="H132" s="108">
        <v>427.5</v>
      </c>
      <c r="I132" s="108"/>
      <c r="J132" s="108">
        <f>H132</f>
        <v>427.5</v>
      </c>
      <c r="K132" s="114"/>
      <c r="L132" s="114"/>
      <c r="M132" s="115"/>
      <c r="N132" s="105"/>
      <c r="O132" s="108">
        <v>427.5</v>
      </c>
      <c r="P132" s="108">
        <f>O132</f>
        <v>427.5</v>
      </c>
      <c r="IB132"/>
      <c r="IC132"/>
      <c r="ID132"/>
      <c r="IE132"/>
      <c r="IF132"/>
      <c r="IG132"/>
    </row>
    <row r="133" spans="1:241" s="1" customFormat="1" ht="30.75" customHeight="1">
      <c r="A133" s="91" t="s">
        <v>117</v>
      </c>
      <c r="B133" s="105"/>
      <c r="C133" s="105"/>
      <c r="D133" s="108">
        <v>97.9</v>
      </c>
      <c r="E133" s="105"/>
      <c r="F133" s="108">
        <f>D133</f>
        <v>97.9</v>
      </c>
      <c r="G133" s="108">
        <v>97.9</v>
      </c>
      <c r="H133" s="105"/>
      <c r="I133" s="105"/>
      <c r="J133" s="108">
        <f>G133</f>
        <v>97.9</v>
      </c>
      <c r="K133" s="114"/>
      <c r="L133" s="114"/>
      <c r="M133" s="115"/>
      <c r="N133" s="108">
        <v>97.9</v>
      </c>
      <c r="O133" s="105"/>
      <c r="P133" s="108">
        <f>N133</f>
        <v>97.9</v>
      </c>
      <c r="IB133"/>
      <c r="IC133"/>
      <c r="ID133"/>
      <c r="IE133"/>
      <c r="IF133"/>
      <c r="IG133"/>
    </row>
    <row r="134" spans="1:241" s="1" customFormat="1" ht="25.5" customHeight="1">
      <c r="A134" s="91" t="s">
        <v>118</v>
      </c>
      <c r="B134" s="105"/>
      <c r="C134" s="105"/>
      <c r="D134" s="113">
        <v>15870</v>
      </c>
      <c r="E134" s="105"/>
      <c r="F134" s="108">
        <f>D134</f>
        <v>15870</v>
      </c>
      <c r="G134" s="113">
        <v>15920</v>
      </c>
      <c r="H134" s="105"/>
      <c r="I134" s="105"/>
      <c r="J134" s="108">
        <f aca="true" t="shared" si="12" ref="J134:J152">G134</f>
        <v>15920</v>
      </c>
      <c r="K134" s="114"/>
      <c r="L134" s="114"/>
      <c r="M134" s="115"/>
      <c r="N134" s="113">
        <v>15970</v>
      </c>
      <c r="O134" s="105"/>
      <c r="P134" s="108">
        <f aca="true" t="shared" si="13" ref="P134:P152">N134</f>
        <v>15970</v>
      </c>
      <c r="IB134"/>
      <c r="IC134"/>
      <c r="ID134"/>
      <c r="IE134"/>
      <c r="IF134"/>
      <c r="IG134"/>
    </row>
    <row r="135" spans="1:241" s="1" customFormat="1" ht="22.5">
      <c r="A135" s="91" t="s">
        <v>119</v>
      </c>
      <c r="B135" s="105"/>
      <c r="C135" s="105"/>
      <c r="D135" s="113">
        <v>8286</v>
      </c>
      <c r="E135" s="105"/>
      <c r="F135" s="108">
        <f>D135</f>
        <v>8286</v>
      </c>
      <c r="G135" s="113">
        <f>F135</f>
        <v>8286</v>
      </c>
      <c r="H135" s="105"/>
      <c r="I135" s="105"/>
      <c r="J135" s="108">
        <f t="shared" si="12"/>
        <v>8286</v>
      </c>
      <c r="K135" s="114"/>
      <c r="L135" s="114"/>
      <c r="M135" s="115"/>
      <c r="N135" s="113">
        <f>G135</f>
        <v>8286</v>
      </c>
      <c r="O135" s="105"/>
      <c r="P135" s="108">
        <f t="shared" si="13"/>
        <v>8286</v>
      </c>
      <c r="IB135"/>
      <c r="IC135"/>
      <c r="ID135"/>
      <c r="IE135"/>
      <c r="IF135"/>
      <c r="IG135"/>
    </row>
    <row r="136" spans="1:241" s="1" customFormat="1" ht="29.25" customHeight="1">
      <c r="A136" s="91" t="s">
        <v>120</v>
      </c>
      <c r="B136" s="105"/>
      <c r="C136" s="105"/>
      <c r="D136" s="113">
        <v>7800</v>
      </c>
      <c r="E136" s="105"/>
      <c r="F136" s="108">
        <f>D136</f>
        <v>7800</v>
      </c>
      <c r="G136" s="113">
        <f>F136</f>
        <v>7800</v>
      </c>
      <c r="H136" s="105"/>
      <c r="I136" s="105"/>
      <c r="J136" s="108">
        <f>G136</f>
        <v>7800</v>
      </c>
      <c r="K136" s="114"/>
      <c r="L136" s="114"/>
      <c r="M136" s="115"/>
      <c r="N136" s="113">
        <f>J136</f>
        <v>7800</v>
      </c>
      <c r="O136" s="105"/>
      <c r="P136" s="108">
        <f>N136</f>
        <v>7800</v>
      </c>
      <c r="IB136"/>
      <c r="IC136"/>
      <c r="ID136"/>
      <c r="IE136"/>
      <c r="IF136"/>
      <c r="IG136"/>
    </row>
    <row r="137" spans="1:241" s="1" customFormat="1" ht="12">
      <c r="A137" s="90" t="s">
        <v>5</v>
      </c>
      <c r="B137" s="111"/>
      <c r="C137" s="111"/>
      <c r="D137" s="111"/>
      <c r="E137" s="111"/>
      <c r="F137" s="108"/>
      <c r="G137" s="111"/>
      <c r="H137" s="111"/>
      <c r="I137" s="111"/>
      <c r="J137" s="108">
        <f t="shared" si="12"/>
        <v>0</v>
      </c>
      <c r="K137" s="114"/>
      <c r="L137" s="114"/>
      <c r="M137" s="115"/>
      <c r="N137" s="111"/>
      <c r="O137" s="111"/>
      <c r="P137" s="108">
        <f t="shared" si="13"/>
        <v>0</v>
      </c>
      <c r="IB137"/>
      <c r="IC137"/>
      <c r="ID137"/>
      <c r="IE137"/>
      <c r="IF137"/>
      <c r="IG137"/>
    </row>
    <row r="138" spans="1:241" s="1" customFormat="1" ht="22.5" customHeight="1">
      <c r="A138" s="91" t="s">
        <v>24</v>
      </c>
      <c r="B138" s="105"/>
      <c r="C138" s="105"/>
      <c r="D138" s="108"/>
      <c r="E138" s="105"/>
      <c r="F138" s="108"/>
      <c r="G138" s="108"/>
      <c r="H138" s="105"/>
      <c r="I138" s="105"/>
      <c r="J138" s="108">
        <f t="shared" si="12"/>
        <v>0</v>
      </c>
      <c r="K138" s="114"/>
      <c r="L138" s="114"/>
      <c r="M138" s="115"/>
      <c r="N138" s="108"/>
      <c r="O138" s="105"/>
      <c r="P138" s="108">
        <f t="shared" si="13"/>
        <v>0</v>
      </c>
      <c r="IB138"/>
      <c r="IC138"/>
      <c r="ID138"/>
      <c r="IE138"/>
      <c r="IF138"/>
      <c r="IG138"/>
    </row>
    <row r="139" spans="1:241" s="1" customFormat="1" ht="29.25" customHeight="1">
      <c r="A139" s="91" t="s">
        <v>121</v>
      </c>
      <c r="B139" s="105"/>
      <c r="C139" s="105"/>
      <c r="D139" s="106">
        <v>3</v>
      </c>
      <c r="E139" s="106"/>
      <c r="F139" s="106">
        <f>D139</f>
        <v>3</v>
      </c>
      <c r="G139" s="106">
        <v>4</v>
      </c>
      <c r="H139" s="106"/>
      <c r="I139" s="106"/>
      <c r="J139" s="106">
        <f>G139</f>
        <v>4</v>
      </c>
      <c r="K139" s="116"/>
      <c r="L139" s="116"/>
      <c r="M139" s="116"/>
      <c r="N139" s="118">
        <v>5</v>
      </c>
      <c r="O139" s="118"/>
      <c r="P139" s="118">
        <f>N139</f>
        <v>5</v>
      </c>
      <c r="IB139"/>
      <c r="IC139"/>
      <c r="ID139"/>
      <c r="IE139"/>
      <c r="IF139"/>
      <c r="IG139"/>
    </row>
    <row r="140" spans="1:241" s="1" customFormat="1" ht="30" customHeight="1">
      <c r="A140" s="91" t="s">
        <v>122</v>
      </c>
      <c r="B140" s="105"/>
      <c r="C140" s="105"/>
      <c r="D140" s="105"/>
      <c r="E140" s="108">
        <v>18.8</v>
      </c>
      <c r="F140" s="108">
        <f>E140</f>
        <v>18.8</v>
      </c>
      <c r="G140" s="105"/>
      <c r="H140" s="108">
        <v>27.84</v>
      </c>
      <c r="I140" s="108"/>
      <c r="J140" s="108">
        <f>H140</f>
        <v>27.84</v>
      </c>
      <c r="K140" s="114"/>
      <c r="L140" s="114"/>
      <c r="M140" s="115"/>
      <c r="N140" s="105"/>
      <c r="O140" s="108">
        <v>22.3</v>
      </c>
      <c r="P140" s="108">
        <f>O140</f>
        <v>22.3</v>
      </c>
      <c r="IB140"/>
      <c r="IC140"/>
      <c r="ID140"/>
      <c r="IE140"/>
      <c r="IF140"/>
      <c r="IG140"/>
    </row>
    <row r="141" spans="1:241" s="1" customFormat="1" ht="26.25" customHeight="1">
      <c r="A141" s="91" t="s">
        <v>163</v>
      </c>
      <c r="B141" s="105"/>
      <c r="C141" s="105"/>
      <c r="D141" s="108">
        <v>15870</v>
      </c>
      <c r="E141" s="105"/>
      <c r="F141" s="108">
        <f>D141</f>
        <v>15870</v>
      </c>
      <c r="G141" s="108">
        <f>G134</f>
        <v>15920</v>
      </c>
      <c r="H141" s="105"/>
      <c r="I141" s="105"/>
      <c r="J141" s="108">
        <f>G141</f>
        <v>15920</v>
      </c>
      <c r="K141" s="114"/>
      <c r="L141" s="114"/>
      <c r="M141" s="115"/>
      <c r="N141" s="108">
        <f>N134</f>
        <v>15970</v>
      </c>
      <c r="O141" s="105"/>
      <c r="P141" s="108">
        <f>N141</f>
        <v>15970</v>
      </c>
      <c r="IB141"/>
      <c r="IC141"/>
      <c r="ID141"/>
      <c r="IE141"/>
      <c r="IF141"/>
      <c r="IG141"/>
    </row>
    <row r="142" spans="1:241" s="1" customFormat="1" ht="24.75" customHeight="1">
      <c r="A142" s="91" t="s">
        <v>123</v>
      </c>
      <c r="B142" s="105"/>
      <c r="C142" s="105"/>
      <c r="D142" s="108">
        <v>800</v>
      </c>
      <c r="E142" s="105"/>
      <c r="F142" s="108">
        <f aca="true" t="shared" si="14" ref="F142:F152">D142</f>
        <v>800</v>
      </c>
      <c r="G142" s="108">
        <v>900</v>
      </c>
      <c r="H142" s="105"/>
      <c r="I142" s="105"/>
      <c r="J142" s="108">
        <f t="shared" si="12"/>
        <v>900</v>
      </c>
      <c r="K142" s="114"/>
      <c r="L142" s="114"/>
      <c r="M142" s="115"/>
      <c r="N142" s="108">
        <v>1000</v>
      </c>
      <c r="O142" s="105"/>
      <c r="P142" s="108">
        <f t="shared" si="13"/>
        <v>1000</v>
      </c>
      <c r="IB142"/>
      <c r="IC142"/>
      <c r="ID142"/>
      <c r="IE142"/>
      <c r="IF142"/>
      <c r="IG142"/>
    </row>
    <row r="143" spans="1:241" s="1" customFormat="1" ht="24.75" customHeight="1">
      <c r="A143" s="91" t="s">
        <v>124</v>
      </c>
      <c r="B143" s="105"/>
      <c r="C143" s="105"/>
      <c r="D143" s="113">
        <v>7800000</v>
      </c>
      <c r="E143" s="105"/>
      <c r="F143" s="108">
        <f>D143</f>
        <v>7800000</v>
      </c>
      <c r="G143" s="108">
        <v>7816720</v>
      </c>
      <c r="H143" s="105"/>
      <c r="I143" s="105"/>
      <c r="J143" s="108">
        <f>G143</f>
        <v>7816720</v>
      </c>
      <c r="K143" s="114"/>
      <c r="L143" s="114"/>
      <c r="M143" s="115"/>
      <c r="N143" s="113">
        <v>7841270</v>
      </c>
      <c r="O143" s="105"/>
      <c r="P143" s="108">
        <f>N143</f>
        <v>7841270</v>
      </c>
      <c r="IB143"/>
      <c r="IC143"/>
      <c r="ID143"/>
      <c r="IE143"/>
      <c r="IF143"/>
      <c r="IG143"/>
    </row>
    <row r="144" spans="1:241" s="1" customFormat="1" ht="12">
      <c r="A144" s="90" t="s">
        <v>7</v>
      </c>
      <c r="B144" s="111"/>
      <c r="C144" s="111"/>
      <c r="D144" s="111"/>
      <c r="E144" s="111"/>
      <c r="F144" s="108">
        <f t="shared" si="14"/>
        <v>0</v>
      </c>
      <c r="G144" s="111"/>
      <c r="H144" s="111"/>
      <c r="I144" s="111"/>
      <c r="J144" s="108">
        <f t="shared" si="12"/>
        <v>0</v>
      </c>
      <c r="K144" s="114"/>
      <c r="L144" s="114"/>
      <c r="M144" s="115"/>
      <c r="N144" s="111"/>
      <c r="O144" s="111"/>
      <c r="P144" s="108">
        <f t="shared" si="13"/>
        <v>0</v>
      </c>
      <c r="IB144"/>
      <c r="IC144"/>
      <c r="ID144"/>
      <c r="IE144"/>
      <c r="IF144"/>
      <c r="IG144"/>
    </row>
    <row r="145" spans="1:241" s="1" customFormat="1" ht="33.75">
      <c r="A145" s="91" t="s">
        <v>125</v>
      </c>
      <c r="B145" s="105"/>
      <c r="C145" s="105"/>
      <c r="D145" s="113">
        <v>74500</v>
      </c>
      <c r="E145" s="105"/>
      <c r="F145" s="108">
        <f>D145</f>
        <v>74500</v>
      </c>
      <c r="G145" s="113">
        <v>83000</v>
      </c>
      <c r="H145" s="105"/>
      <c r="I145" s="105"/>
      <c r="J145" s="108">
        <f>G145</f>
        <v>83000</v>
      </c>
      <c r="K145" s="114"/>
      <c r="L145" s="114"/>
      <c r="M145" s="115"/>
      <c r="N145" s="113">
        <v>96000</v>
      </c>
      <c r="O145" s="105"/>
      <c r="P145" s="108">
        <f>N145</f>
        <v>96000</v>
      </c>
      <c r="IB145"/>
      <c r="IC145"/>
      <c r="ID145"/>
      <c r="IE145"/>
      <c r="IF145"/>
      <c r="IG145"/>
    </row>
    <row r="146" spans="1:241" s="1" customFormat="1" ht="33.75">
      <c r="A146" s="91" t="s">
        <v>126</v>
      </c>
      <c r="B146" s="105"/>
      <c r="C146" s="105"/>
      <c r="D146" s="105"/>
      <c r="E146" s="113">
        <v>329787</v>
      </c>
      <c r="F146" s="108">
        <f>E146</f>
        <v>329787</v>
      </c>
      <c r="G146" s="105"/>
      <c r="H146" s="113">
        <v>359223</v>
      </c>
      <c r="I146" s="113"/>
      <c r="J146" s="108">
        <f>H146</f>
        <v>359223</v>
      </c>
      <c r="K146" s="114"/>
      <c r="L146" s="114"/>
      <c r="M146" s="115"/>
      <c r="N146" s="105"/>
      <c r="O146" s="113">
        <v>394620</v>
      </c>
      <c r="P146" s="108">
        <f>O146</f>
        <v>394620</v>
      </c>
      <c r="IB146"/>
      <c r="IC146"/>
      <c r="ID146"/>
      <c r="IE146"/>
      <c r="IF146"/>
      <c r="IG146"/>
    </row>
    <row r="147" spans="1:241" s="1" customFormat="1" ht="23.25" customHeight="1">
      <c r="A147" s="91" t="s">
        <v>127</v>
      </c>
      <c r="B147" s="105"/>
      <c r="C147" s="105"/>
      <c r="D147" s="113">
        <v>220</v>
      </c>
      <c r="E147" s="105"/>
      <c r="F147" s="108">
        <f>D147</f>
        <v>220</v>
      </c>
      <c r="G147" s="113">
        <v>250</v>
      </c>
      <c r="H147" s="105"/>
      <c r="I147" s="105"/>
      <c r="J147" s="108">
        <f>G147</f>
        <v>250</v>
      </c>
      <c r="K147" s="114"/>
      <c r="L147" s="114"/>
      <c r="M147" s="115"/>
      <c r="N147" s="113">
        <v>290</v>
      </c>
      <c r="O147" s="105"/>
      <c r="P147" s="108">
        <f>N147</f>
        <v>290</v>
      </c>
      <c r="IB147"/>
      <c r="IC147"/>
      <c r="ID147"/>
      <c r="IE147"/>
      <c r="IF147"/>
      <c r="IG147"/>
    </row>
    <row r="148" spans="1:241" s="1" customFormat="1" ht="22.5">
      <c r="A148" s="91" t="s">
        <v>128</v>
      </c>
      <c r="B148" s="105"/>
      <c r="C148" s="105"/>
      <c r="D148" s="113">
        <v>3700</v>
      </c>
      <c r="E148" s="105"/>
      <c r="F148" s="108">
        <f t="shared" si="14"/>
        <v>3700</v>
      </c>
      <c r="G148" s="113">
        <v>4085</v>
      </c>
      <c r="H148" s="105"/>
      <c r="I148" s="105"/>
      <c r="J148" s="108">
        <f t="shared" si="12"/>
        <v>4085</v>
      </c>
      <c r="K148" s="114"/>
      <c r="L148" s="114"/>
      <c r="M148" s="115"/>
      <c r="N148" s="113">
        <v>4500</v>
      </c>
      <c r="O148" s="105"/>
      <c r="P148" s="108">
        <f t="shared" si="13"/>
        <v>4500</v>
      </c>
      <c r="IB148"/>
      <c r="IC148"/>
      <c r="ID148"/>
      <c r="IE148"/>
      <c r="IF148"/>
      <c r="IG148"/>
    </row>
    <row r="149" spans="1:241" s="1" customFormat="1" ht="22.5">
      <c r="A149" s="91" t="s">
        <v>71</v>
      </c>
      <c r="B149" s="105"/>
      <c r="C149" s="105"/>
      <c r="D149" s="113">
        <f>D143/D141-0.49</f>
        <v>491.0033837429111</v>
      </c>
      <c r="E149" s="105"/>
      <c r="F149" s="108">
        <f>D149</f>
        <v>491.0033837429111</v>
      </c>
      <c r="G149" s="113">
        <f>G143/G141</f>
        <v>491</v>
      </c>
      <c r="H149" s="105"/>
      <c r="I149" s="105"/>
      <c r="J149" s="108">
        <f>G149</f>
        <v>491</v>
      </c>
      <c r="K149" s="114"/>
      <c r="L149" s="114"/>
      <c r="M149" s="115"/>
      <c r="N149" s="113">
        <f>N143/N141</f>
        <v>491</v>
      </c>
      <c r="O149" s="105"/>
      <c r="P149" s="108">
        <f>N149</f>
        <v>491</v>
      </c>
      <c r="IB149"/>
      <c r="IC149"/>
      <c r="ID149"/>
      <c r="IE149"/>
      <c r="IF149"/>
      <c r="IG149"/>
    </row>
    <row r="150" spans="1:241" s="1" customFormat="1" ht="33.75">
      <c r="A150" s="91" t="s">
        <v>129</v>
      </c>
      <c r="B150" s="105"/>
      <c r="C150" s="105"/>
      <c r="D150" s="113">
        <v>0.5</v>
      </c>
      <c r="E150" s="105"/>
      <c r="F150" s="108">
        <f>D150</f>
        <v>0.5</v>
      </c>
      <c r="G150" s="113">
        <v>0.59</v>
      </c>
      <c r="H150" s="105"/>
      <c r="I150" s="105"/>
      <c r="J150" s="108">
        <f>G150</f>
        <v>0.59</v>
      </c>
      <c r="K150" s="114"/>
      <c r="L150" s="114"/>
      <c r="M150" s="115"/>
      <c r="N150" s="113">
        <v>0.7</v>
      </c>
      <c r="O150" s="105"/>
      <c r="P150" s="108">
        <f>N150</f>
        <v>0.7</v>
      </c>
      <c r="IB150"/>
      <c r="IC150"/>
      <c r="ID150"/>
      <c r="IE150"/>
      <c r="IF150"/>
      <c r="IG150"/>
    </row>
    <row r="151" spans="1:241" s="1" customFormat="1" ht="12">
      <c r="A151" s="90" t="s">
        <v>6</v>
      </c>
      <c r="B151" s="111"/>
      <c r="C151" s="111"/>
      <c r="D151" s="111"/>
      <c r="E151" s="111"/>
      <c r="F151" s="108">
        <f t="shared" si="14"/>
        <v>0</v>
      </c>
      <c r="G151" s="111"/>
      <c r="H151" s="111"/>
      <c r="I151" s="111"/>
      <c r="J151" s="108">
        <f t="shared" si="12"/>
        <v>0</v>
      </c>
      <c r="K151" s="114"/>
      <c r="L151" s="114"/>
      <c r="M151" s="115"/>
      <c r="N151" s="111"/>
      <c r="O151" s="111"/>
      <c r="P151" s="108">
        <f t="shared" si="13"/>
        <v>0</v>
      </c>
      <c r="IB151"/>
      <c r="IC151"/>
      <c r="ID151"/>
      <c r="IE151"/>
      <c r="IF151"/>
      <c r="IG151"/>
    </row>
    <row r="152" spans="1:241" s="1" customFormat="1" ht="33.75" customHeight="1">
      <c r="A152" s="91" t="s">
        <v>25</v>
      </c>
      <c r="B152" s="105"/>
      <c r="C152" s="105"/>
      <c r="D152" s="108"/>
      <c r="E152" s="105"/>
      <c r="F152" s="108">
        <f t="shared" si="14"/>
        <v>0</v>
      </c>
      <c r="G152" s="108"/>
      <c r="H152" s="105"/>
      <c r="I152" s="105"/>
      <c r="J152" s="108">
        <f t="shared" si="12"/>
        <v>0</v>
      </c>
      <c r="K152" s="114"/>
      <c r="L152" s="114"/>
      <c r="M152" s="115"/>
      <c r="N152" s="108"/>
      <c r="O152" s="105"/>
      <c r="P152" s="108">
        <f t="shared" si="13"/>
        <v>0</v>
      </c>
      <c r="IB152"/>
      <c r="IC152"/>
      <c r="ID152"/>
      <c r="IE152"/>
      <c r="IF152"/>
      <c r="IG152"/>
    </row>
    <row r="153" spans="1:241" s="1" customFormat="1" ht="33.75">
      <c r="A153" s="91" t="s">
        <v>131</v>
      </c>
      <c r="B153" s="105"/>
      <c r="C153" s="105"/>
      <c r="D153" s="118"/>
      <c r="E153" s="118">
        <f>E140/E132*100</f>
        <v>4.39766081871345</v>
      </c>
      <c r="F153" s="118">
        <f>E153</f>
        <v>4.39766081871345</v>
      </c>
      <c r="G153" s="118"/>
      <c r="H153" s="118">
        <f>H140/H132*100</f>
        <v>6.512280701754386</v>
      </c>
      <c r="I153" s="118"/>
      <c r="J153" s="118">
        <f>H153</f>
        <v>6.512280701754386</v>
      </c>
      <c r="K153" s="119"/>
      <c r="L153" s="119"/>
      <c r="M153" s="119"/>
      <c r="N153" s="118"/>
      <c r="O153" s="118">
        <f>O140/O132*100</f>
        <v>5.216374269005848</v>
      </c>
      <c r="P153" s="118">
        <f>O153</f>
        <v>5.216374269005848</v>
      </c>
      <c r="IB153"/>
      <c r="IC153"/>
      <c r="ID153"/>
      <c r="IE153"/>
      <c r="IF153"/>
      <c r="IG153"/>
    </row>
    <row r="154" spans="1:241" s="1" customFormat="1" ht="36" customHeight="1">
      <c r="A154" s="91" t="s">
        <v>130</v>
      </c>
      <c r="B154" s="105"/>
      <c r="C154" s="105"/>
      <c r="D154" s="118">
        <f>D139/D133*100</f>
        <v>3.0643513789581203</v>
      </c>
      <c r="E154" s="118"/>
      <c r="F154" s="118">
        <f>D154</f>
        <v>3.0643513789581203</v>
      </c>
      <c r="G154" s="118">
        <f>G139/G133*100</f>
        <v>4.085801838610827</v>
      </c>
      <c r="H154" s="118"/>
      <c r="I154" s="118"/>
      <c r="J154" s="118">
        <f>G154</f>
        <v>4.085801838610827</v>
      </c>
      <c r="K154" s="119"/>
      <c r="L154" s="119"/>
      <c r="M154" s="119"/>
      <c r="N154" s="118">
        <f>N139/N133*100</f>
        <v>5.107252298263534</v>
      </c>
      <c r="O154" s="118"/>
      <c r="P154" s="118">
        <f>N154</f>
        <v>5.107252298263534</v>
      </c>
      <c r="IB154"/>
      <c r="IC154"/>
      <c r="ID154"/>
      <c r="IE154"/>
      <c r="IF154"/>
      <c r="IG154"/>
    </row>
    <row r="155" spans="1:241" s="1" customFormat="1" ht="24" customHeight="1">
      <c r="A155" s="91" t="s">
        <v>132</v>
      </c>
      <c r="B155" s="105"/>
      <c r="C155" s="105"/>
      <c r="D155" s="118">
        <f>D142/D135*100</f>
        <v>9.654839488293506</v>
      </c>
      <c r="E155" s="118"/>
      <c r="F155" s="118">
        <f>D155</f>
        <v>9.654839488293506</v>
      </c>
      <c r="G155" s="118">
        <f>G142/G135*100</f>
        <v>10.861694424330196</v>
      </c>
      <c r="H155" s="118"/>
      <c r="I155" s="118"/>
      <c r="J155" s="118">
        <f>G155</f>
        <v>10.861694424330196</v>
      </c>
      <c r="K155" s="119"/>
      <c r="L155" s="119"/>
      <c r="M155" s="119"/>
      <c r="N155" s="118">
        <f>N142/N135*100</f>
        <v>12.068549360366884</v>
      </c>
      <c r="O155" s="118"/>
      <c r="P155" s="118">
        <f>N155</f>
        <v>12.068549360366884</v>
      </c>
      <c r="IB155"/>
      <c r="IC155"/>
      <c r="ID155"/>
      <c r="IE155"/>
      <c r="IF155"/>
      <c r="IG155"/>
    </row>
    <row r="156" spans="1:241" s="190" customFormat="1" ht="38.25" customHeight="1">
      <c r="A156" s="178" t="s">
        <v>269</v>
      </c>
      <c r="B156" s="187"/>
      <c r="C156" s="187"/>
      <c r="D156" s="188">
        <f>(D168*D179)+(D169*D180)+(D170*D181)+(D172*D183)+(D173*D184)+(D185*D174)+(D176*D187)+1079.17+(D175*D186)+(D177*D188)+396.52</f>
        <v>7377800</v>
      </c>
      <c r="E156" s="188">
        <f>E171*E182+200</f>
        <v>102500</v>
      </c>
      <c r="F156" s="188">
        <f>D156+E156</f>
        <v>7480300</v>
      </c>
      <c r="G156" s="188">
        <f>(G168*G179)+(G169*G180)+(G170*G181)+(G172*G183)+(G173*G184)+(G185*G174)+(G176*G187)+(G177*G188)-1036.73+300+1174300-300000+300.03</f>
        <v>9360699.9992</v>
      </c>
      <c r="H156" s="188">
        <f>H171*H182+H169*H180</f>
        <v>82500</v>
      </c>
      <c r="I156" s="188"/>
      <c r="J156" s="235">
        <f>G156+H156</f>
        <v>9443199.9992</v>
      </c>
      <c r="K156" s="188">
        <f>(K168*K179)+(K169*K180)+(K170*K181)+(K172*K183)+(K173*K184)+(K185*K174)+(K176*K187)-1036.73</f>
        <v>-1036.73</v>
      </c>
      <c r="L156" s="188">
        <f>(L168*L179)+(L169*L180)+(L170*L181)+(L172*L183)+(L173*L184)+(L185*L174)+(L176*L187)-1036.73</f>
        <v>-1036.73</v>
      </c>
      <c r="M156" s="188">
        <f>(M168*M179)+(M169*M180)+(M170*M181)+(M172*M183)+(M173*M184)+(M185*M174)+(M176*M187)-1036.73</f>
        <v>-1036.73</v>
      </c>
      <c r="N156" s="188">
        <f>(N168*N179)+(N169*N180)+(N170*N181)+(N172*N183)+(N173*N184)+(N185*N174)+(N176*N187)+1714.29-600</f>
        <v>10023500</v>
      </c>
      <c r="O156" s="188">
        <f>O171*O182</f>
        <v>82500</v>
      </c>
      <c r="P156" s="188">
        <f>N156+O156</f>
        <v>10106000</v>
      </c>
      <c r="IB156" s="191"/>
      <c r="IC156" s="191"/>
      <c r="ID156" s="191"/>
      <c r="IE156" s="191"/>
      <c r="IF156" s="191"/>
      <c r="IG156" s="191"/>
    </row>
    <row r="157" spans="1:241" s="1" customFormat="1" ht="30.75" customHeight="1" hidden="1">
      <c r="A157" s="33" t="s">
        <v>49</v>
      </c>
      <c r="B157" s="17"/>
      <c r="C157" s="17"/>
      <c r="D157" s="17" t="e">
        <f>D168*D181+E169*#REF!+D172*#REF!+#REF!*#REF!+#REF!*E183+#REF!*D185+#REF!*D180+E173*E184</f>
        <v>#REF!</v>
      </c>
      <c r="E157" s="17" t="e">
        <f>E168*E181+#REF!*#REF!+E172*#REF!+#REF!*#REF!+#REF!*#REF!+#REF!*E185+#REF!*E180+#REF!*#REF!</f>
        <v>#REF!</v>
      </c>
      <c r="F157" s="17" t="e">
        <f>F168*F181+F169*#REF!+F172*#REF!+#REF!*#REF!+#REF!*F183+#REF!*F185+#REF!*F180+F173*F184</f>
        <v>#REF!</v>
      </c>
      <c r="G157" s="17" t="e">
        <f>G168*G181+H169*#REF!+G172*#REF!+#REF!*#REF!+#REF!*H183+#REF!*G185+#REF!*G180+H173*H184</f>
        <v>#REF!</v>
      </c>
      <c r="H157" s="17" t="e">
        <f>H168*H181+#REF!*#REF!+H172*#REF!+#REF!*#REF!+#REF!*#REF!+#REF!*H185+#REF!*H180+#REF!*#REF!</f>
        <v>#REF!</v>
      </c>
      <c r="I157" s="17"/>
      <c r="J157" s="17" t="e">
        <f>J168*J181+J169*#REF!+J172*#REF!+#REF!*#REF!+#REF!*J183+#REF!*J185+#REF!*J180+J173*J184</f>
        <v>#REF!</v>
      </c>
      <c r="K157" s="21"/>
      <c r="L157" s="21"/>
      <c r="M157" s="22"/>
      <c r="N157" s="17" t="e">
        <f>N168*N181+O169*#REF!+N172*#REF!+#REF!*#REF!+#REF!*O183+#REF!*N185+#REF!*N180+O173*N184</f>
        <v>#REF!</v>
      </c>
      <c r="O157" s="17" t="e">
        <f>O168*O181+#REF!*#REF!+O172*#REF!+#REF!*#REF!+#REF!*#REF!+#REF!*O185+#REF!*O180+#REF!*O184</f>
        <v>#REF!</v>
      </c>
      <c r="P157" s="17" t="e">
        <f>P168*P181+P169*#REF!+P172*#REF!+#REF!*#REF!+#REF!*P183+#REF!*P185+#REF!*P180+P173*P184</f>
        <v>#REF!</v>
      </c>
      <c r="IB157"/>
      <c r="IC157"/>
      <c r="ID157"/>
      <c r="IE157"/>
      <c r="IF157"/>
      <c r="IG157"/>
    </row>
    <row r="158" spans="1:241" s="1" customFormat="1" ht="12">
      <c r="A158" s="90" t="s">
        <v>4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4"/>
      <c r="L158" s="114"/>
      <c r="M158" s="115"/>
      <c r="N158" s="111"/>
      <c r="O158" s="111"/>
      <c r="P158" s="111"/>
      <c r="IB158"/>
      <c r="IC158"/>
      <c r="ID158"/>
      <c r="IE158"/>
      <c r="IF158"/>
      <c r="IG158"/>
    </row>
    <row r="159" spans="1:241" s="1" customFormat="1" ht="34.5" customHeight="1">
      <c r="A159" s="91" t="s">
        <v>133</v>
      </c>
      <c r="B159" s="105"/>
      <c r="C159" s="105"/>
      <c r="D159" s="113">
        <v>76.23</v>
      </c>
      <c r="E159" s="105"/>
      <c r="F159" s="113">
        <f aca="true" t="shared" si="15" ref="F159:F166">D159</f>
        <v>76.23</v>
      </c>
      <c r="G159" s="113">
        <f>F159</f>
        <v>76.23</v>
      </c>
      <c r="H159" s="105"/>
      <c r="I159" s="105"/>
      <c r="J159" s="108">
        <f>G159</f>
        <v>76.23</v>
      </c>
      <c r="K159" s="114"/>
      <c r="L159" s="114"/>
      <c r="M159" s="115"/>
      <c r="N159" s="113">
        <f>G159</f>
        <v>76.23</v>
      </c>
      <c r="O159" s="108"/>
      <c r="P159" s="108">
        <f>N159</f>
        <v>76.23</v>
      </c>
      <c r="IB159"/>
      <c r="IC159"/>
      <c r="ID159"/>
      <c r="IE159"/>
      <c r="IF159"/>
      <c r="IG159"/>
    </row>
    <row r="160" spans="1:241" s="1" customFormat="1" ht="22.5">
      <c r="A160" s="91" t="s">
        <v>134</v>
      </c>
      <c r="B160" s="105"/>
      <c r="C160" s="105"/>
      <c r="D160" s="106">
        <v>4850</v>
      </c>
      <c r="E160" s="106"/>
      <c r="F160" s="106">
        <f t="shared" si="15"/>
        <v>4850</v>
      </c>
      <c r="G160" s="106">
        <f>F160</f>
        <v>4850</v>
      </c>
      <c r="H160" s="106"/>
      <c r="I160" s="106"/>
      <c r="J160" s="106">
        <f>G160</f>
        <v>4850</v>
      </c>
      <c r="K160" s="116"/>
      <c r="L160" s="116"/>
      <c r="M160" s="116"/>
      <c r="N160" s="106">
        <v>4850</v>
      </c>
      <c r="O160" s="106"/>
      <c r="P160" s="106">
        <f>N160</f>
        <v>4850</v>
      </c>
      <c r="IB160"/>
      <c r="IC160"/>
      <c r="ID160"/>
      <c r="IE160"/>
      <c r="IF160"/>
      <c r="IG160"/>
    </row>
    <row r="161" spans="1:241" s="1" customFormat="1" ht="22.5">
      <c r="A161" s="91" t="s">
        <v>135</v>
      </c>
      <c r="B161" s="105"/>
      <c r="C161" s="105"/>
      <c r="D161" s="106">
        <v>2005</v>
      </c>
      <c r="E161" s="106"/>
      <c r="F161" s="106">
        <f t="shared" si="15"/>
        <v>2005</v>
      </c>
      <c r="G161" s="106">
        <f>F161</f>
        <v>2005</v>
      </c>
      <c r="H161" s="106"/>
      <c r="I161" s="106"/>
      <c r="J161" s="106">
        <f>G161</f>
        <v>2005</v>
      </c>
      <c r="K161" s="116"/>
      <c r="L161" s="116"/>
      <c r="M161" s="116"/>
      <c r="N161" s="106">
        <v>2005</v>
      </c>
      <c r="O161" s="106"/>
      <c r="P161" s="106">
        <f>N161</f>
        <v>2005</v>
      </c>
      <c r="IB161"/>
      <c r="IC161"/>
      <c r="ID161"/>
      <c r="IE161"/>
      <c r="IF161"/>
      <c r="IG161"/>
    </row>
    <row r="162" spans="1:241" s="1" customFormat="1" ht="24.75" customHeight="1">
      <c r="A162" s="91" t="s">
        <v>224</v>
      </c>
      <c r="B162" s="105"/>
      <c r="C162" s="105"/>
      <c r="D162" s="113"/>
      <c r="E162" s="107">
        <v>5396</v>
      </c>
      <c r="F162" s="107">
        <f>E162</f>
        <v>5396</v>
      </c>
      <c r="G162" s="107"/>
      <c r="H162" s="107">
        <f>E162</f>
        <v>5396</v>
      </c>
      <c r="I162" s="107"/>
      <c r="J162" s="107">
        <f>H162</f>
        <v>5396</v>
      </c>
      <c r="K162" s="121"/>
      <c r="L162" s="121"/>
      <c r="M162" s="121"/>
      <c r="N162" s="107"/>
      <c r="O162" s="107">
        <f>H162</f>
        <v>5396</v>
      </c>
      <c r="P162" s="107">
        <f>O162</f>
        <v>5396</v>
      </c>
      <c r="IB162"/>
      <c r="IC162"/>
      <c r="ID162"/>
      <c r="IE162"/>
      <c r="IF162"/>
      <c r="IG162"/>
    </row>
    <row r="163" spans="1:241" s="1" customFormat="1" ht="25.5" customHeight="1">
      <c r="A163" s="91" t="s">
        <v>152</v>
      </c>
      <c r="B163" s="105"/>
      <c r="C163" s="105"/>
      <c r="D163" s="113">
        <v>230</v>
      </c>
      <c r="E163" s="105"/>
      <c r="F163" s="113">
        <f t="shared" si="15"/>
        <v>230</v>
      </c>
      <c r="G163" s="113">
        <v>250</v>
      </c>
      <c r="H163" s="105"/>
      <c r="I163" s="105"/>
      <c r="J163" s="108">
        <f>G163</f>
        <v>250</v>
      </c>
      <c r="K163" s="114"/>
      <c r="L163" s="114"/>
      <c r="M163" s="115"/>
      <c r="N163" s="113">
        <v>270</v>
      </c>
      <c r="O163" s="105"/>
      <c r="P163" s="108">
        <f>N163</f>
        <v>270</v>
      </c>
      <c r="IB163"/>
      <c r="IC163"/>
      <c r="ID163"/>
      <c r="IE163"/>
      <c r="IF163"/>
      <c r="IG163"/>
    </row>
    <row r="164" spans="1:241" s="1" customFormat="1" ht="29.25" customHeight="1">
      <c r="A164" s="91" t="s">
        <v>136</v>
      </c>
      <c r="B164" s="105"/>
      <c r="C164" s="105"/>
      <c r="D164" s="113">
        <v>76.26</v>
      </c>
      <c r="E164" s="105"/>
      <c r="F164" s="113">
        <f t="shared" si="15"/>
        <v>76.26</v>
      </c>
      <c r="G164" s="113">
        <f>F164</f>
        <v>76.26</v>
      </c>
      <c r="H164" s="105"/>
      <c r="I164" s="105"/>
      <c r="J164" s="108">
        <f>G164</f>
        <v>76.26</v>
      </c>
      <c r="K164" s="114"/>
      <c r="L164" s="114"/>
      <c r="M164" s="115"/>
      <c r="N164" s="113">
        <f>J164</f>
        <v>76.26</v>
      </c>
      <c r="O164" s="105"/>
      <c r="P164" s="108">
        <f>N164</f>
        <v>76.26</v>
      </c>
      <c r="IB164"/>
      <c r="IC164"/>
      <c r="ID164"/>
      <c r="IE164"/>
      <c r="IF164"/>
      <c r="IG164"/>
    </row>
    <row r="165" spans="1:241" s="1" customFormat="1" ht="31.5" customHeight="1">
      <c r="A165" s="91" t="s">
        <v>79</v>
      </c>
      <c r="B165" s="105"/>
      <c r="C165" s="105"/>
      <c r="D165" s="113">
        <v>280000</v>
      </c>
      <c r="E165" s="105"/>
      <c r="F165" s="113">
        <f t="shared" si="15"/>
        <v>280000</v>
      </c>
      <c r="G165" s="113"/>
      <c r="H165" s="105"/>
      <c r="I165" s="105"/>
      <c r="J165" s="108"/>
      <c r="K165" s="114"/>
      <c r="L165" s="114"/>
      <c r="M165" s="115"/>
      <c r="N165" s="113"/>
      <c r="O165" s="105"/>
      <c r="P165" s="108"/>
      <c r="IB165"/>
      <c r="IC165"/>
      <c r="ID165"/>
      <c r="IE165"/>
      <c r="IF165"/>
      <c r="IG165"/>
    </row>
    <row r="166" spans="1:241" s="228" customFormat="1" ht="29.25" customHeight="1">
      <c r="A166" s="223" t="s">
        <v>241</v>
      </c>
      <c r="B166" s="224"/>
      <c r="C166" s="224"/>
      <c r="D166" s="230">
        <v>11.549</v>
      </c>
      <c r="E166" s="230"/>
      <c r="F166" s="230">
        <f t="shared" si="15"/>
        <v>11.549</v>
      </c>
      <c r="G166" s="230">
        <v>11.549</v>
      </c>
      <c r="H166" s="230"/>
      <c r="I166" s="230">
        <f>G166</f>
        <v>11.549</v>
      </c>
      <c r="J166" s="225"/>
      <c r="K166" s="226"/>
      <c r="L166" s="226"/>
      <c r="M166" s="227"/>
      <c r="N166" s="233"/>
      <c r="O166" s="224"/>
      <c r="P166" s="225"/>
      <c r="IB166" s="229"/>
      <c r="IC166" s="229"/>
      <c r="ID166" s="229"/>
      <c r="IE166" s="229"/>
      <c r="IF166" s="229"/>
      <c r="IG166" s="229"/>
    </row>
    <row r="167" spans="1:241" s="1" customFormat="1" ht="12">
      <c r="A167" s="90" t="s">
        <v>5</v>
      </c>
      <c r="B167" s="111"/>
      <c r="C167" s="111"/>
      <c r="D167" s="111"/>
      <c r="E167" s="111"/>
      <c r="F167" s="111"/>
      <c r="G167" s="111"/>
      <c r="H167" s="111"/>
      <c r="I167" s="111"/>
      <c r="J167" s="108"/>
      <c r="K167" s="114"/>
      <c r="L167" s="114"/>
      <c r="M167" s="115"/>
      <c r="N167" s="111"/>
      <c r="O167" s="111"/>
      <c r="P167" s="108"/>
      <c r="IB167"/>
      <c r="IC167"/>
      <c r="ID167"/>
      <c r="IE167"/>
      <c r="IF167"/>
      <c r="IG167"/>
    </row>
    <row r="168" spans="1:241" s="1" customFormat="1" ht="28.5" customHeight="1">
      <c r="A168" s="91" t="s">
        <v>137</v>
      </c>
      <c r="B168" s="105"/>
      <c r="C168" s="105"/>
      <c r="D168" s="108">
        <v>76.23</v>
      </c>
      <c r="E168" s="105"/>
      <c r="F168" s="108">
        <f>D168</f>
        <v>76.23</v>
      </c>
      <c r="G168" s="108">
        <f>F168</f>
        <v>76.23</v>
      </c>
      <c r="H168" s="105"/>
      <c r="I168" s="105"/>
      <c r="J168" s="108">
        <f aca="true" t="shared" si="16" ref="J168:J174">G168</f>
        <v>76.23</v>
      </c>
      <c r="K168" s="114"/>
      <c r="L168" s="114"/>
      <c r="M168" s="115"/>
      <c r="N168" s="108">
        <f>J168</f>
        <v>76.23</v>
      </c>
      <c r="O168" s="105"/>
      <c r="P168" s="108">
        <f aca="true" t="shared" si="17" ref="P168:P174">N168</f>
        <v>76.23</v>
      </c>
      <c r="IB168"/>
      <c r="IC168"/>
      <c r="ID168"/>
      <c r="IE168"/>
      <c r="IF168"/>
      <c r="IG168"/>
    </row>
    <row r="169" spans="1:241" s="1" customFormat="1" ht="22.5">
      <c r="A169" s="91" t="s">
        <v>138</v>
      </c>
      <c r="B169" s="105"/>
      <c r="C169" s="105"/>
      <c r="D169" s="106">
        <f>520+17</f>
        <v>537</v>
      </c>
      <c r="E169" s="106"/>
      <c r="F169" s="106">
        <f aca="true" t="shared" si="18" ref="F169:F177">D169</f>
        <v>537</v>
      </c>
      <c r="G169" s="106">
        <f>565+18+58</f>
        <v>641</v>
      </c>
      <c r="H169" s="106"/>
      <c r="I169" s="106"/>
      <c r="J169" s="106">
        <f t="shared" si="16"/>
        <v>641</v>
      </c>
      <c r="K169" s="116"/>
      <c r="L169" s="116"/>
      <c r="M169" s="116"/>
      <c r="N169" s="106">
        <f>622+17</f>
        <v>639</v>
      </c>
      <c r="O169" s="106"/>
      <c r="P169" s="106">
        <f t="shared" si="17"/>
        <v>639</v>
      </c>
      <c r="IB169"/>
      <c r="IC169"/>
      <c r="ID169"/>
      <c r="IE169"/>
      <c r="IF169"/>
      <c r="IG169"/>
    </row>
    <row r="170" spans="1:241" s="1" customFormat="1" ht="26.25" customHeight="1">
      <c r="A170" s="91" t="s">
        <v>139</v>
      </c>
      <c r="B170" s="105"/>
      <c r="C170" s="105"/>
      <c r="D170" s="106">
        <v>366</v>
      </c>
      <c r="E170" s="106"/>
      <c r="F170" s="106">
        <f t="shared" si="18"/>
        <v>366</v>
      </c>
      <c r="G170" s="106">
        <v>403</v>
      </c>
      <c r="H170" s="106"/>
      <c r="I170" s="106"/>
      <c r="J170" s="106">
        <f t="shared" si="16"/>
        <v>403</v>
      </c>
      <c r="K170" s="116"/>
      <c r="L170" s="116"/>
      <c r="M170" s="116"/>
      <c r="N170" s="106">
        <v>444</v>
      </c>
      <c r="O170" s="106"/>
      <c r="P170" s="106">
        <f t="shared" si="17"/>
        <v>444</v>
      </c>
      <c r="IB170"/>
      <c r="IC170"/>
      <c r="ID170"/>
      <c r="IE170"/>
      <c r="IF170"/>
      <c r="IG170"/>
    </row>
    <row r="171" spans="1:241" s="1" customFormat="1" ht="26.25" customHeight="1">
      <c r="A171" s="91" t="s">
        <v>225</v>
      </c>
      <c r="B171" s="105"/>
      <c r="C171" s="105"/>
      <c r="D171" s="106"/>
      <c r="E171" s="106">
        <f>150+36</f>
        <v>186</v>
      </c>
      <c r="F171" s="106">
        <f>E171</f>
        <v>186</v>
      </c>
      <c r="G171" s="106"/>
      <c r="H171" s="106">
        <v>150</v>
      </c>
      <c r="I171" s="106"/>
      <c r="J171" s="106">
        <f>H171</f>
        <v>150</v>
      </c>
      <c r="K171" s="116"/>
      <c r="L171" s="116"/>
      <c r="M171" s="116"/>
      <c r="N171" s="106"/>
      <c r="O171" s="106">
        <v>150</v>
      </c>
      <c r="P171" s="106">
        <f>O171</f>
        <v>150</v>
      </c>
      <c r="IB171"/>
      <c r="IC171"/>
      <c r="ID171"/>
      <c r="IE171"/>
      <c r="IF171"/>
      <c r="IG171"/>
    </row>
    <row r="172" spans="1:241" s="1" customFormat="1" ht="22.5">
      <c r="A172" s="91" t="s">
        <v>151</v>
      </c>
      <c r="B172" s="105"/>
      <c r="C172" s="105"/>
      <c r="D172" s="106">
        <v>222</v>
      </c>
      <c r="E172" s="106"/>
      <c r="F172" s="106">
        <f t="shared" si="18"/>
        <v>222</v>
      </c>
      <c r="G172" s="106">
        <v>243</v>
      </c>
      <c r="H172" s="106"/>
      <c r="I172" s="106"/>
      <c r="J172" s="106">
        <f t="shared" si="16"/>
        <v>243</v>
      </c>
      <c r="K172" s="116"/>
      <c r="L172" s="116"/>
      <c r="M172" s="116"/>
      <c r="N172" s="106">
        <v>267</v>
      </c>
      <c r="O172" s="106"/>
      <c r="P172" s="106">
        <f t="shared" si="17"/>
        <v>267</v>
      </c>
      <c r="IB172"/>
      <c r="IC172"/>
      <c r="ID172"/>
      <c r="IE172"/>
      <c r="IF172"/>
      <c r="IG172"/>
    </row>
    <row r="173" spans="1:241" s="1" customFormat="1" ht="22.5">
      <c r="A173" s="91" t="s">
        <v>140</v>
      </c>
      <c r="B173" s="105"/>
      <c r="C173" s="105"/>
      <c r="D173" s="105">
        <v>76.26</v>
      </c>
      <c r="E173" s="113"/>
      <c r="F173" s="108">
        <f t="shared" si="18"/>
        <v>76.26</v>
      </c>
      <c r="G173" s="105">
        <v>76.26</v>
      </c>
      <c r="H173" s="113"/>
      <c r="I173" s="113"/>
      <c r="J173" s="108">
        <f t="shared" si="16"/>
        <v>76.26</v>
      </c>
      <c r="K173" s="114"/>
      <c r="L173" s="114"/>
      <c r="M173" s="115"/>
      <c r="N173" s="108">
        <f>J173</f>
        <v>76.26</v>
      </c>
      <c r="O173" s="113"/>
      <c r="P173" s="108">
        <f t="shared" si="17"/>
        <v>76.26</v>
      </c>
      <c r="IB173"/>
      <c r="IC173"/>
      <c r="ID173"/>
      <c r="IE173"/>
      <c r="IF173"/>
      <c r="IG173"/>
    </row>
    <row r="174" spans="1:241" s="1" customFormat="1" ht="24" customHeight="1">
      <c r="A174" s="91" t="s">
        <v>141</v>
      </c>
      <c r="B174" s="105"/>
      <c r="C174" s="105"/>
      <c r="D174" s="106">
        <v>49006</v>
      </c>
      <c r="E174" s="106"/>
      <c r="F174" s="108">
        <f t="shared" si="18"/>
        <v>49006</v>
      </c>
      <c r="G174" s="106">
        <f>F174</f>
        <v>49006</v>
      </c>
      <c r="H174" s="106"/>
      <c r="I174" s="106"/>
      <c r="J174" s="106">
        <f t="shared" si="16"/>
        <v>49006</v>
      </c>
      <c r="K174" s="116"/>
      <c r="L174" s="116"/>
      <c r="M174" s="116"/>
      <c r="N174" s="106">
        <f>J174</f>
        <v>49006</v>
      </c>
      <c r="O174" s="106"/>
      <c r="P174" s="106">
        <f t="shared" si="17"/>
        <v>49006</v>
      </c>
      <c r="IB174"/>
      <c r="IC174"/>
      <c r="ID174"/>
      <c r="IE174"/>
      <c r="IF174"/>
      <c r="IG174"/>
    </row>
    <row r="175" spans="1:241" s="1" customFormat="1" ht="24" customHeight="1">
      <c r="A175" s="91" t="s">
        <v>227</v>
      </c>
      <c r="B175" s="105"/>
      <c r="C175" s="105"/>
      <c r="D175" s="106">
        <v>25</v>
      </c>
      <c r="E175" s="106"/>
      <c r="F175" s="106">
        <f t="shared" si="18"/>
        <v>25</v>
      </c>
      <c r="G175" s="106"/>
      <c r="H175" s="106"/>
      <c r="I175" s="106"/>
      <c r="J175" s="106"/>
      <c r="K175" s="116"/>
      <c r="L175" s="116"/>
      <c r="M175" s="116"/>
      <c r="N175" s="106"/>
      <c r="O175" s="106"/>
      <c r="P175" s="106"/>
      <c r="IB175"/>
      <c r="IC175"/>
      <c r="ID175"/>
      <c r="IE175"/>
      <c r="IF175"/>
      <c r="IG175"/>
    </row>
    <row r="176" spans="1:241" s="1" customFormat="1" ht="28.5" customHeight="1">
      <c r="A176" s="91" t="s">
        <v>78</v>
      </c>
      <c r="B176" s="105"/>
      <c r="C176" s="105"/>
      <c r="D176" s="106">
        <v>4</v>
      </c>
      <c r="E176" s="106"/>
      <c r="F176" s="106">
        <f t="shared" si="18"/>
        <v>4</v>
      </c>
      <c r="G176" s="106"/>
      <c r="H176" s="106"/>
      <c r="I176" s="106"/>
      <c r="J176" s="106"/>
      <c r="K176" s="116"/>
      <c r="L176" s="116"/>
      <c r="M176" s="116"/>
      <c r="N176" s="106"/>
      <c r="O176" s="106"/>
      <c r="P176" s="106"/>
      <c r="IB176"/>
      <c r="IC176"/>
      <c r="ID176"/>
      <c r="IE176"/>
      <c r="IF176"/>
      <c r="IG176"/>
    </row>
    <row r="177" spans="1:241" s="228" customFormat="1" ht="28.5" customHeight="1">
      <c r="A177" s="223" t="s">
        <v>242</v>
      </c>
      <c r="B177" s="224"/>
      <c r="C177" s="224"/>
      <c r="D177" s="230">
        <v>11.549</v>
      </c>
      <c r="E177" s="230"/>
      <c r="F177" s="230">
        <f t="shared" si="18"/>
        <v>11.549</v>
      </c>
      <c r="G177" s="230">
        <v>11.549</v>
      </c>
      <c r="H177" s="230"/>
      <c r="I177" s="230">
        <f>G177</f>
        <v>11.549</v>
      </c>
      <c r="J177" s="231"/>
      <c r="K177" s="232"/>
      <c r="L177" s="232"/>
      <c r="M177" s="232"/>
      <c r="N177" s="231"/>
      <c r="O177" s="231"/>
      <c r="P177" s="231"/>
      <c r="IB177" s="229"/>
      <c r="IC177" s="229"/>
      <c r="ID177" s="229"/>
      <c r="IE177" s="229"/>
      <c r="IF177" s="229"/>
      <c r="IG177" s="229"/>
    </row>
    <row r="178" spans="1:241" s="1" customFormat="1" ht="12">
      <c r="A178" s="90" t="s">
        <v>7</v>
      </c>
      <c r="B178" s="111"/>
      <c r="C178" s="111"/>
      <c r="D178" s="111"/>
      <c r="E178" s="111"/>
      <c r="F178" s="108"/>
      <c r="G178" s="111"/>
      <c r="H178" s="111"/>
      <c r="I178" s="111"/>
      <c r="J178" s="108"/>
      <c r="K178" s="114"/>
      <c r="L178" s="114"/>
      <c r="M178" s="115"/>
      <c r="N178" s="111"/>
      <c r="O178" s="111"/>
      <c r="P178" s="108"/>
      <c r="IB178"/>
      <c r="IC178"/>
      <c r="ID178"/>
      <c r="IE178"/>
      <c r="IF178"/>
      <c r="IG178"/>
    </row>
    <row r="179" spans="1:241" s="1" customFormat="1" ht="33.75">
      <c r="A179" s="91" t="s">
        <v>142</v>
      </c>
      <c r="B179" s="111"/>
      <c r="C179" s="111"/>
      <c r="D179" s="108">
        <v>34763</v>
      </c>
      <c r="E179" s="122"/>
      <c r="F179" s="108">
        <f>D179</f>
        <v>34763</v>
      </c>
      <c r="G179" s="108">
        <v>41725</v>
      </c>
      <c r="H179" s="122"/>
      <c r="I179" s="122"/>
      <c r="J179" s="108">
        <f aca="true" t="shared" si="19" ref="J179:J185">G179</f>
        <v>41725</v>
      </c>
      <c r="K179" s="117"/>
      <c r="L179" s="117"/>
      <c r="M179" s="117"/>
      <c r="N179" s="108">
        <v>50067</v>
      </c>
      <c r="O179" s="122"/>
      <c r="P179" s="108">
        <f aca="true" t="shared" si="20" ref="P179:P185">N179</f>
        <v>50067</v>
      </c>
      <c r="IB179"/>
      <c r="IC179"/>
      <c r="ID179"/>
      <c r="IE179"/>
      <c r="IF179"/>
      <c r="IG179"/>
    </row>
    <row r="180" spans="1:241" s="1" customFormat="1" ht="22.5">
      <c r="A180" s="91" t="s">
        <v>143</v>
      </c>
      <c r="B180" s="105"/>
      <c r="C180" s="105"/>
      <c r="D180" s="108">
        <v>1500</v>
      </c>
      <c r="E180" s="105"/>
      <c r="F180" s="108">
        <f>D180</f>
        <v>1500</v>
      </c>
      <c r="G180" s="108">
        <f>1650</f>
        <v>1650</v>
      </c>
      <c r="H180" s="106"/>
      <c r="I180" s="105"/>
      <c r="J180" s="108">
        <f t="shared" si="19"/>
        <v>1650</v>
      </c>
      <c r="K180" s="114"/>
      <c r="L180" s="114"/>
      <c r="M180" s="115"/>
      <c r="N180" s="108">
        <v>1800</v>
      </c>
      <c r="O180" s="105"/>
      <c r="P180" s="108">
        <f t="shared" si="20"/>
        <v>1800</v>
      </c>
      <c r="IB180"/>
      <c r="IC180"/>
      <c r="ID180"/>
      <c r="IE180"/>
      <c r="IF180"/>
      <c r="IG180"/>
    </row>
    <row r="181" spans="1:241" s="1" customFormat="1" ht="22.5">
      <c r="A181" s="91" t="s">
        <v>144</v>
      </c>
      <c r="B181" s="105"/>
      <c r="C181" s="105"/>
      <c r="D181" s="108">
        <v>320</v>
      </c>
      <c r="E181" s="105"/>
      <c r="F181" s="108">
        <f aca="true" t="shared" si="21" ref="F181:F188">D181</f>
        <v>320</v>
      </c>
      <c r="G181" s="108">
        <v>350</v>
      </c>
      <c r="H181" s="105"/>
      <c r="I181" s="105"/>
      <c r="J181" s="108">
        <f t="shared" si="19"/>
        <v>350</v>
      </c>
      <c r="K181" s="114"/>
      <c r="L181" s="114"/>
      <c r="M181" s="115"/>
      <c r="N181" s="108">
        <v>380</v>
      </c>
      <c r="O181" s="105"/>
      <c r="P181" s="108">
        <f t="shared" si="20"/>
        <v>380</v>
      </c>
      <c r="IB181"/>
      <c r="IC181"/>
      <c r="ID181"/>
      <c r="IE181"/>
      <c r="IF181"/>
      <c r="IG181"/>
    </row>
    <row r="182" spans="1:241" s="1" customFormat="1" ht="27" customHeight="1">
      <c r="A182" s="91" t="s">
        <v>226</v>
      </c>
      <c r="B182" s="105"/>
      <c r="C182" s="105"/>
      <c r="D182" s="108"/>
      <c r="E182" s="105">
        <v>550</v>
      </c>
      <c r="F182" s="108">
        <f>E182</f>
        <v>550</v>
      </c>
      <c r="G182" s="108"/>
      <c r="H182" s="105">
        <v>550</v>
      </c>
      <c r="I182" s="105"/>
      <c r="J182" s="108">
        <f>H182</f>
        <v>550</v>
      </c>
      <c r="K182" s="114"/>
      <c r="L182" s="114"/>
      <c r="M182" s="115"/>
      <c r="N182" s="108"/>
      <c r="O182" s="105">
        <v>550</v>
      </c>
      <c r="P182" s="108">
        <f>O182</f>
        <v>550</v>
      </c>
      <c r="IB182"/>
      <c r="IC182"/>
      <c r="ID182"/>
      <c r="IE182"/>
      <c r="IF182"/>
      <c r="IG182"/>
    </row>
    <row r="183" spans="1:241" s="1" customFormat="1" ht="22.5">
      <c r="A183" s="91" t="s">
        <v>145</v>
      </c>
      <c r="B183" s="105"/>
      <c r="C183" s="105"/>
      <c r="D183" s="108">
        <v>5100</v>
      </c>
      <c r="E183" s="108"/>
      <c r="F183" s="108">
        <f t="shared" si="21"/>
        <v>5100</v>
      </c>
      <c r="G183" s="108">
        <v>5600</v>
      </c>
      <c r="H183" s="108"/>
      <c r="I183" s="108"/>
      <c r="J183" s="108">
        <f t="shared" si="19"/>
        <v>5600</v>
      </c>
      <c r="K183" s="117"/>
      <c r="L183" s="117"/>
      <c r="M183" s="117"/>
      <c r="N183" s="108">
        <v>6100</v>
      </c>
      <c r="O183" s="108"/>
      <c r="P183" s="108">
        <f t="shared" si="20"/>
        <v>6100</v>
      </c>
      <c r="IB183"/>
      <c r="IC183"/>
      <c r="ID183"/>
      <c r="IE183"/>
      <c r="IF183"/>
      <c r="IG183"/>
    </row>
    <row r="184" spans="1:241" s="1" customFormat="1" ht="22.5">
      <c r="A184" s="91" t="s">
        <v>146</v>
      </c>
      <c r="B184" s="105"/>
      <c r="C184" s="105"/>
      <c r="D184" s="108">
        <v>26850</v>
      </c>
      <c r="E184" s="108"/>
      <c r="F184" s="108">
        <f t="shared" si="21"/>
        <v>26850</v>
      </c>
      <c r="G184" s="108">
        <v>32217</v>
      </c>
      <c r="H184" s="108"/>
      <c r="I184" s="108"/>
      <c r="J184" s="108">
        <f t="shared" si="19"/>
        <v>32217</v>
      </c>
      <c r="K184" s="117"/>
      <c r="L184" s="117"/>
      <c r="M184" s="117"/>
      <c r="N184" s="108">
        <v>38663</v>
      </c>
      <c r="O184" s="108"/>
      <c r="P184" s="108">
        <f t="shared" si="20"/>
        <v>38663</v>
      </c>
      <c r="IB184"/>
      <c r="IC184"/>
      <c r="ID184"/>
      <c r="IE184"/>
      <c r="IF184"/>
      <c r="IG184"/>
    </row>
    <row r="185" spans="1:241" s="1" customFormat="1" ht="22.5">
      <c r="A185" s="91" t="s">
        <v>147</v>
      </c>
      <c r="B185" s="105"/>
      <c r="C185" s="105"/>
      <c r="D185" s="108">
        <v>4.39</v>
      </c>
      <c r="E185" s="105"/>
      <c r="F185" s="108">
        <f t="shared" si="21"/>
        <v>4.39</v>
      </c>
      <c r="G185" s="108">
        <v>5.26</v>
      </c>
      <c r="H185" s="105"/>
      <c r="I185" s="105"/>
      <c r="J185" s="108">
        <f t="shared" si="19"/>
        <v>5.26</v>
      </c>
      <c r="K185" s="114"/>
      <c r="L185" s="114"/>
      <c r="M185" s="115"/>
      <c r="N185" s="108">
        <v>6.32</v>
      </c>
      <c r="O185" s="105"/>
      <c r="P185" s="108">
        <f t="shared" si="20"/>
        <v>6.32</v>
      </c>
      <c r="IB185"/>
      <c r="IC185"/>
      <c r="ID185"/>
      <c r="IE185"/>
      <c r="IF185"/>
      <c r="IG185"/>
    </row>
    <row r="186" spans="1:241" s="1" customFormat="1" ht="27" customHeight="1">
      <c r="A186" s="91" t="s">
        <v>228</v>
      </c>
      <c r="B186" s="105"/>
      <c r="C186" s="105"/>
      <c r="D186" s="108">
        <v>3988</v>
      </c>
      <c r="E186" s="105"/>
      <c r="F186" s="108">
        <f t="shared" si="21"/>
        <v>3988</v>
      </c>
      <c r="G186" s="108"/>
      <c r="H186" s="105"/>
      <c r="I186" s="105"/>
      <c r="J186" s="108"/>
      <c r="K186" s="114"/>
      <c r="L186" s="114"/>
      <c r="M186" s="115"/>
      <c r="N186" s="108"/>
      <c r="O186" s="105"/>
      <c r="P186" s="108"/>
      <c r="IB186"/>
      <c r="IC186"/>
      <c r="ID186"/>
      <c r="IE186"/>
      <c r="IF186"/>
      <c r="IG186"/>
    </row>
    <row r="187" spans="1:241" s="1" customFormat="1" ht="33.75" customHeight="1">
      <c r="A187" s="91" t="s">
        <v>80</v>
      </c>
      <c r="B187" s="105"/>
      <c r="C187" s="105"/>
      <c r="D187" s="108">
        <v>70000</v>
      </c>
      <c r="E187" s="108"/>
      <c r="F187" s="108">
        <f t="shared" si="21"/>
        <v>70000</v>
      </c>
      <c r="G187" s="105"/>
      <c r="H187" s="108"/>
      <c r="I187" s="108"/>
      <c r="J187" s="108"/>
      <c r="K187" s="114"/>
      <c r="L187" s="114"/>
      <c r="M187" s="115"/>
      <c r="N187" s="105"/>
      <c r="O187" s="108"/>
      <c r="P187" s="108"/>
      <c r="IB187"/>
      <c r="IC187"/>
      <c r="ID187"/>
      <c r="IE187"/>
      <c r="IF187"/>
      <c r="IG187"/>
    </row>
    <row r="188" spans="1:241" s="228" customFormat="1" ht="33.75" customHeight="1">
      <c r="A188" s="223" t="s">
        <v>243</v>
      </c>
      <c r="B188" s="224"/>
      <c r="C188" s="224"/>
      <c r="D188" s="225">
        <v>2520</v>
      </c>
      <c r="E188" s="225"/>
      <c r="F188" s="225">
        <f t="shared" si="21"/>
        <v>2520</v>
      </c>
      <c r="G188" s="224">
        <v>2770.8</v>
      </c>
      <c r="H188" s="225"/>
      <c r="I188" s="225">
        <f>G188</f>
        <v>2770.8</v>
      </c>
      <c r="J188" s="225"/>
      <c r="K188" s="226"/>
      <c r="L188" s="226"/>
      <c r="M188" s="227"/>
      <c r="N188" s="224"/>
      <c r="O188" s="225"/>
      <c r="P188" s="225"/>
      <c r="IB188" s="229"/>
      <c r="IC188" s="229"/>
      <c r="ID188" s="229"/>
      <c r="IE188" s="229"/>
      <c r="IF188" s="229"/>
      <c r="IG188" s="229"/>
    </row>
    <row r="189" spans="1:241" s="1" customFormat="1" ht="12">
      <c r="A189" s="90" t="s">
        <v>6</v>
      </c>
      <c r="B189" s="111"/>
      <c r="C189" s="111"/>
      <c r="D189" s="111"/>
      <c r="E189" s="111"/>
      <c r="F189" s="108"/>
      <c r="G189" s="111"/>
      <c r="H189" s="111"/>
      <c r="I189" s="111"/>
      <c r="J189" s="108"/>
      <c r="K189" s="114"/>
      <c r="L189" s="114"/>
      <c r="M189" s="115"/>
      <c r="N189" s="111"/>
      <c r="O189" s="111"/>
      <c r="P189" s="108"/>
      <c r="IB189"/>
      <c r="IC189"/>
      <c r="ID189"/>
      <c r="IE189"/>
      <c r="IF189"/>
      <c r="IG189"/>
    </row>
    <row r="190" spans="1:241" s="1" customFormat="1" ht="23.25" customHeight="1">
      <c r="A190" s="91" t="s">
        <v>148</v>
      </c>
      <c r="B190" s="105"/>
      <c r="C190" s="105"/>
      <c r="D190" s="108">
        <f>D168/D159*100</f>
        <v>100</v>
      </c>
      <c r="E190" s="108"/>
      <c r="F190" s="108">
        <f aca="true" t="shared" si="22" ref="F190:G192">F168/F159*100</f>
        <v>100</v>
      </c>
      <c r="G190" s="108">
        <f t="shared" si="22"/>
        <v>100</v>
      </c>
      <c r="H190" s="108"/>
      <c r="I190" s="108"/>
      <c r="J190" s="108">
        <f aca="true" t="shared" si="23" ref="J190:N192">J168/J159*100</f>
        <v>100</v>
      </c>
      <c r="K190" s="108" t="e">
        <f t="shared" si="23"/>
        <v>#DIV/0!</v>
      </c>
      <c r="L190" s="108" t="e">
        <f t="shared" si="23"/>
        <v>#DIV/0!</v>
      </c>
      <c r="M190" s="108" t="e">
        <f t="shared" si="23"/>
        <v>#DIV/0!</v>
      </c>
      <c r="N190" s="108">
        <f t="shared" si="23"/>
        <v>100</v>
      </c>
      <c r="O190" s="108"/>
      <c r="P190" s="108">
        <f>P168/P159*100</f>
        <v>100</v>
      </c>
      <c r="IB190"/>
      <c r="IC190"/>
      <c r="ID190"/>
      <c r="IE190"/>
      <c r="IF190"/>
      <c r="IG190"/>
    </row>
    <row r="191" spans="1:241" s="1" customFormat="1" ht="41.25" customHeight="1">
      <c r="A191" s="91" t="s">
        <v>149</v>
      </c>
      <c r="B191" s="105"/>
      <c r="C191" s="105"/>
      <c r="D191" s="118">
        <f>D169/D160*100</f>
        <v>11.072164948453608</v>
      </c>
      <c r="E191" s="118"/>
      <c r="F191" s="118">
        <f t="shared" si="22"/>
        <v>11.072164948453608</v>
      </c>
      <c r="G191" s="118">
        <f t="shared" si="22"/>
        <v>13.216494845360824</v>
      </c>
      <c r="H191" s="118"/>
      <c r="I191" s="118"/>
      <c r="J191" s="118">
        <f t="shared" si="23"/>
        <v>13.216494845360824</v>
      </c>
      <c r="K191" s="118" t="e">
        <f t="shared" si="23"/>
        <v>#DIV/0!</v>
      </c>
      <c r="L191" s="118" t="e">
        <f t="shared" si="23"/>
        <v>#DIV/0!</v>
      </c>
      <c r="M191" s="118" t="e">
        <f t="shared" si="23"/>
        <v>#DIV/0!</v>
      </c>
      <c r="N191" s="118">
        <f t="shared" si="23"/>
        <v>13.175257731958762</v>
      </c>
      <c r="O191" s="118"/>
      <c r="P191" s="118">
        <f>P169/P160*100</f>
        <v>13.175257731958762</v>
      </c>
      <c r="IB191"/>
      <c r="IC191"/>
      <c r="ID191"/>
      <c r="IE191"/>
      <c r="IF191"/>
      <c r="IG191"/>
    </row>
    <row r="192" spans="1:241" s="1" customFormat="1" ht="35.25" customHeight="1">
      <c r="A192" s="91" t="s">
        <v>150</v>
      </c>
      <c r="B192" s="105"/>
      <c r="C192" s="105"/>
      <c r="D192" s="118">
        <f>D170/D161*100</f>
        <v>18.25436408977556</v>
      </c>
      <c r="E192" s="118"/>
      <c r="F192" s="118">
        <f t="shared" si="22"/>
        <v>18.25436408977556</v>
      </c>
      <c r="G192" s="118">
        <f t="shared" si="22"/>
        <v>20.099750623441395</v>
      </c>
      <c r="H192" s="118"/>
      <c r="I192" s="118"/>
      <c r="J192" s="118">
        <f t="shared" si="23"/>
        <v>20.099750623441395</v>
      </c>
      <c r="K192" s="118" t="e">
        <f t="shared" si="23"/>
        <v>#DIV/0!</v>
      </c>
      <c r="L192" s="118" t="e">
        <f t="shared" si="23"/>
        <v>#DIV/0!</v>
      </c>
      <c r="M192" s="118" t="e">
        <f t="shared" si="23"/>
        <v>#DIV/0!</v>
      </c>
      <c r="N192" s="118">
        <f t="shared" si="23"/>
        <v>22.144638403990026</v>
      </c>
      <c r="O192" s="118"/>
      <c r="P192" s="118">
        <f>P170/P161*100</f>
        <v>22.144638403990026</v>
      </c>
      <c r="IB192"/>
      <c r="IC192"/>
      <c r="ID192"/>
      <c r="IE192"/>
      <c r="IF192"/>
      <c r="IG192"/>
    </row>
    <row r="193" spans="1:241" s="190" customFormat="1" ht="45">
      <c r="A193" s="178" t="s">
        <v>270</v>
      </c>
      <c r="B193" s="187"/>
      <c r="C193" s="187"/>
      <c r="D193" s="189">
        <f>(D196*D215)+(D205*D217)+(D206*D218)+(D207*D224)+11.5</f>
        <v>6400000</v>
      </c>
      <c r="E193" s="189"/>
      <c r="F193" s="189">
        <f>(F196*F215)+(F205*F217)+(F206*F218)+(F207*F224)+11.5</f>
        <v>6400000</v>
      </c>
      <c r="G193" s="189">
        <f>(G196*G215)+(G205*G217)+(G206*G218)+(G207*G224)-75.6+2381500-50000</f>
        <v>10061500</v>
      </c>
      <c r="H193" s="189">
        <v>120000</v>
      </c>
      <c r="I193" s="189"/>
      <c r="J193" s="236">
        <f>G193+H193</f>
        <v>10181500</v>
      </c>
      <c r="K193" s="189">
        <f>(K196*K215)+(K205*K217)+(K206*K218)+(K207*K224)+11.5</f>
        <v>11.5</v>
      </c>
      <c r="L193" s="189">
        <f>(L196*L215)+(L205*L217)+(L206*L218)+(L207*L224)+11.5</f>
        <v>11.5</v>
      </c>
      <c r="M193" s="189">
        <f>(M196*M215)+(M205*M217)+(M206*M218)+(M207*M224)+11.5</f>
        <v>11.5</v>
      </c>
      <c r="N193" s="189">
        <f>(N196*N215)+(N205*N217)+(N206*N218)+(N207*N224)-39.3</f>
        <v>9150000</v>
      </c>
      <c r="O193" s="189"/>
      <c r="P193" s="189">
        <f>N193</f>
        <v>9150000</v>
      </c>
      <c r="IB193" s="191"/>
      <c r="IC193" s="191"/>
      <c r="ID193" s="191"/>
      <c r="IE193" s="191"/>
      <c r="IF193" s="191"/>
      <c r="IG193" s="191"/>
    </row>
    <row r="194" spans="1:241" s="1" customFormat="1" ht="30.75" customHeight="1" hidden="1">
      <c r="A194" s="33" t="s">
        <v>50</v>
      </c>
      <c r="B194" s="17"/>
      <c r="C194" s="17"/>
      <c r="D194" s="23" t="e">
        <f>D206*#REF!*12+#REF!*D218*12+D205*D217+D204*D215+#REF!*#REF!</f>
        <v>#REF!</v>
      </c>
      <c r="E194" s="17"/>
      <c r="F194" s="23" t="e">
        <f>F206*#REF!*12+#REF!*F218*12+F205*F217+F204*F215+#REF!*#REF!</f>
        <v>#REF!</v>
      </c>
      <c r="G194" s="23" t="e">
        <f>G206*#REF!*12+#REF!*G218*12+G205*G217+G204*G215+#REF!*#REF!</f>
        <v>#REF!</v>
      </c>
      <c r="H194" s="23" t="e">
        <f>H206*#REF!*12+#REF!*H218*12+H205*H217+H204*H215+#REF!*#REF!</f>
        <v>#REF!</v>
      </c>
      <c r="I194" s="23"/>
      <c r="J194" s="23" t="e">
        <f>J206*#REF!*12+#REF!*J218*12+J205*J217+J204*J215+#REF!*#REF!</f>
        <v>#REF!</v>
      </c>
      <c r="K194" s="21"/>
      <c r="L194" s="21"/>
      <c r="M194" s="22"/>
      <c r="N194" s="23" t="e">
        <f>N206*#REF!*12+#REF!*N218*12+N205*N217+N204*N215+#REF!*#REF!</f>
        <v>#REF!</v>
      </c>
      <c r="O194" s="23" t="e">
        <f>O206*#REF!*12+#REF!*O218*12+O205*O217+O204*O215+#REF!*#REF!</f>
        <v>#REF!</v>
      </c>
      <c r="P194" s="23" t="e">
        <f>P206*#REF!*12+#REF!*P218*12+P205*P217+P204*P215+#REF!*#REF!</f>
        <v>#REF!</v>
      </c>
      <c r="IB194"/>
      <c r="IC194"/>
      <c r="ID194"/>
      <c r="IE194"/>
      <c r="IF194"/>
      <c r="IG194"/>
    </row>
    <row r="195" spans="1:241" s="1" customFormat="1" ht="12">
      <c r="A195" s="90" t="s">
        <v>4</v>
      </c>
      <c r="B195" s="111"/>
      <c r="C195" s="111"/>
      <c r="D195" s="111"/>
      <c r="E195" s="111"/>
      <c r="F195" s="111"/>
      <c r="G195" s="111"/>
      <c r="H195" s="111"/>
      <c r="I195" s="111"/>
      <c r="J195" s="113"/>
      <c r="K195" s="114"/>
      <c r="L195" s="114"/>
      <c r="M195" s="115"/>
      <c r="N195" s="111"/>
      <c r="O195" s="111"/>
      <c r="P195" s="113"/>
      <c r="IB195"/>
      <c r="IC195"/>
      <c r="ID195"/>
      <c r="IE195"/>
      <c r="IF195"/>
      <c r="IG195"/>
    </row>
    <row r="196" spans="1:241" s="1" customFormat="1" ht="22.5">
      <c r="A196" s="91" t="s">
        <v>154</v>
      </c>
      <c r="B196" s="105"/>
      <c r="C196" s="105"/>
      <c r="D196" s="118">
        <v>93.1</v>
      </c>
      <c r="E196" s="118"/>
      <c r="F196" s="118">
        <f>D196</f>
        <v>93.1</v>
      </c>
      <c r="G196" s="118">
        <f>F196</f>
        <v>93.1</v>
      </c>
      <c r="H196" s="118"/>
      <c r="I196" s="118"/>
      <c r="J196" s="118">
        <f>G196</f>
        <v>93.1</v>
      </c>
      <c r="K196" s="119"/>
      <c r="L196" s="119"/>
      <c r="M196" s="119"/>
      <c r="N196" s="118">
        <f>J196</f>
        <v>93.1</v>
      </c>
      <c r="O196" s="118"/>
      <c r="P196" s="118">
        <f>N196</f>
        <v>93.1</v>
      </c>
      <c r="IB196"/>
      <c r="IC196"/>
      <c r="ID196"/>
      <c r="IE196"/>
      <c r="IF196"/>
      <c r="IG196"/>
    </row>
    <row r="197" spans="1:241" s="1" customFormat="1" ht="12">
      <c r="A197" s="91" t="s">
        <v>28</v>
      </c>
      <c r="B197" s="105"/>
      <c r="C197" s="105"/>
      <c r="D197" s="108">
        <v>1</v>
      </c>
      <c r="E197" s="105"/>
      <c r="F197" s="108">
        <v>1</v>
      </c>
      <c r="G197" s="108">
        <v>1</v>
      </c>
      <c r="H197" s="105"/>
      <c r="I197" s="105"/>
      <c r="J197" s="113">
        <f>G197</f>
        <v>1</v>
      </c>
      <c r="K197" s="114"/>
      <c r="L197" s="114"/>
      <c r="M197" s="115"/>
      <c r="N197" s="108">
        <v>1</v>
      </c>
      <c r="O197" s="105"/>
      <c r="P197" s="113">
        <f>N197</f>
        <v>1</v>
      </c>
      <c r="IB197"/>
      <c r="IC197"/>
      <c r="ID197"/>
      <c r="IE197"/>
      <c r="IF197"/>
      <c r="IG197"/>
    </row>
    <row r="198" spans="1:241" s="1" customFormat="1" ht="13.5" customHeight="1">
      <c r="A198" s="91" t="s">
        <v>153</v>
      </c>
      <c r="B198" s="105"/>
      <c r="C198" s="105"/>
      <c r="D198" s="106">
        <v>1</v>
      </c>
      <c r="E198" s="106"/>
      <c r="F198" s="106">
        <v>1</v>
      </c>
      <c r="G198" s="106">
        <v>1</v>
      </c>
      <c r="H198" s="106"/>
      <c r="I198" s="106"/>
      <c r="J198" s="106">
        <f>G198</f>
        <v>1</v>
      </c>
      <c r="K198" s="116"/>
      <c r="L198" s="116"/>
      <c r="M198" s="116"/>
      <c r="N198" s="106">
        <v>1</v>
      </c>
      <c r="O198" s="106"/>
      <c r="P198" s="106">
        <f>N198</f>
        <v>1</v>
      </c>
      <c r="IB198"/>
      <c r="IC198"/>
      <c r="ID198"/>
      <c r="IE198"/>
      <c r="IF198"/>
      <c r="IG198"/>
    </row>
    <row r="199" spans="1:241" s="1" customFormat="1" ht="24.75" customHeight="1">
      <c r="A199" s="91" t="s">
        <v>81</v>
      </c>
      <c r="B199" s="105"/>
      <c r="C199" s="105"/>
      <c r="D199" s="108">
        <v>50000</v>
      </c>
      <c r="E199" s="108"/>
      <c r="F199" s="108">
        <f>D199</f>
        <v>50000</v>
      </c>
      <c r="G199" s="106">
        <f>50000-50000</f>
        <v>0</v>
      </c>
      <c r="H199" s="106"/>
      <c r="I199" s="106"/>
      <c r="J199" s="106"/>
      <c r="K199" s="116"/>
      <c r="L199" s="116"/>
      <c r="M199" s="116"/>
      <c r="N199" s="108"/>
      <c r="O199" s="108"/>
      <c r="P199" s="108"/>
      <c r="IB199"/>
      <c r="IC199"/>
      <c r="ID199"/>
      <c r="IE199"/>
      <c r="IF199"/>
      <c r="IG199"/>
    </row>
    <row r="200" spans="1:241" s="1" customFormat="1" ht="22.5" hidden="1">
      <c r="A200" s="91" t="s">
        <v>301</v>
      </c>
      <c r="B200" s="105"/>
      <c r="C200" s="105"/>
      <c r="D200" s="108"/>
      <c r="E200" s="108"/>
      <c r="F200" s="108"/>
      <c r="G200" s="106"/>
      <c r="H200" s="106">
        <v>1</v>
      </c>
      <c r="I200" s="106"/>
      <c r="J200" s="106">
        <v>1</v>
      </c>
      <c r="K200" s="116"/>
      <c r="L200" s="116"/>
      <c r="M200" s="116"/>
      <c r="N200" s="108"/>
      <c r="O200" s="108"/>
      <c r="P200" s="108"/>
      <c r="IB200"/>
      <c r="IC200"/>
      <c r="ID200"/>
      <c r="IE200"/>
      <c r="IF200"/>
      <c r="IG200"/>
    </row>
    <row r="201" spans="1:241" s="1" customFormat="1" ht="14.25" customHeight="1">
      <c r="A201" s="91" t="s">
        <v>29</v>
      </c>
      <c r="B201" s="105"/>
      <c r="C201" s="105"/>
      <c r="D201" s="113">
        <v>1300</v>
      </c>
      <c r="E201" s="105"/>
      <c r="F201" s="113">
        <v>1300</v>
      </c>
      <c r="G201" s="113">
        <v>916</v>
      </c>
      <c r="H201" s="105"/>
      <c r="I201" s="105"/>
      <c r="J201" s="113">
        <f aca="true" t="shared" si="24" ref="J201:J206">G201</f>
        <v>916</v>
      </c>
      <c r="K201" s="114"/>
      <c r="L201" s="114"/>
      <c r="M201" s="115"/>
      <c r="N201" s="113">
        <v>916</v>
      </c>
      <c r="O201" s="105"/>
      <c r="P201" s="113">
        <f aca="true" t="shared" si="25" ref="P201:P206">N201</f>
        <v>916</v>
      </c>
      <c r="IB201"/>
      <c r="IC201"/>
      <c r="ID201"/>
      <c r="IE201"/>
      <c r="IF201"/>
      <c r="IG201"/>
    </row>
    <row r="202" spans="1:241" s="1" customFormat="1" ht="22.5">
      <c r="A202" s="91" t="s">
        <v>30</v>
      </c>
      <c r="B202" s="105"/>
      <c r="C202" s="105"/>
      <c r="D202" s="108">
        <v>40</v>
      </c>
      <c r="E202" s="105"/>
      <c r="F202" s="108">
        <v>40</v>
      </c>
      <c r="G202" s="108">
        <v>40</v>
      </c>
      <c r="H202" s="105"/>
      <c r="I202" s="105"/>
      <c r="J202" s="113">
        <f t="shared" si="24"/>
        <v>40</v>
      </c>
      <c r="K202" s="114"/>
      <c r="L202" s="114"/>
      <c r="M202" s="115"/>
      <c r="N202" s="108">
        <v>40</v>
      </c>
      <c r="O202" s="105"/>
      <c r="P202" s="113">
        <f t="shared" si="25"/>
        <v>40</v>
      </c>
      <c r="IB202"/>
      <c r="IC202"/>
      <c r="ID202"/>
      <c r="IE202"/>
      <c r="IF202"/>
      <c r="IG202"/>
    </row>
    <row r="203" spans="1:241" s="1" customFormat="1" ht="12">
      <c r="A203" s="90" t="s">
        <v>5</v>
      </c>
      <c r="B203" s="111"/>
      <c r="C203" s="111"/>
      <c r="D203" s="111"/>
      <c r="E203" s="111"/>
      <c r="F203" s="111"/>
      <c r="G203" s="111"/>
      <c r="H203" s="111"/>
      <c r="I203" s="111"/>
      <c r="J203" s="113">
        <f t="shared" si="24"/>
        <v>0</v>
      </c>
      <c r="K203" s="114"/>
      <c r="L203" s="114"/>
      <c r="M203" s="115"/>
      <c r="N203" s="111"/>
      <c r="O203" s="111"/>
      <c r="P203" s="113">
        <f t="shared" si="25"/>
        <v>0</v>
      </c>
      <c r="IB203"/>
      <c r="IC203"/>
      <c r="ID203"/>
      <c r="IE203"/>
      <c r="IF203"/>
      <c r="IG203"/>
    </row>
    <row r="204" spans="1:241" s="1" customFormat="1" ht="22.5">
      <c r="A204" s="91" t="s">
        <v>155</v>
      </c>
      <c r="B204" s="105"/>
      <c r="C204" s="105"/>
      <c r="D204" s="118">
        <f>D196</f>
        <v>93.1</v>
      </c>
      <c r="E204" s="118"/>
      <c r="F204" s="118">
        <f>D204</f>
        <v>93.1</v>
      </c>
      <c r="G204" s="118">
        <f>G196</f>
        <v>93.1</v>
      </c>
      <c r="H204" s="118"/>
      <c r="I204" s="118"/>
      <c r="J204" s="118">
        <f t="shared" si="24"/>
        <v>93.1</v>
      </c>
      <c r="K204" s="119"/>
      <c r="L204" s="119"/>
      <c r="M204" s="119"/>
      <c r="N204" s="118">
        <f>N196</f>
        <v>93.1</v>
      </c>
      <c r="O204" s="118"/>
      <c r="P204" s="118">
        <f t="shared" si="25"/>
        <v>93.1</v>
      </c>
      <c r="IB204"/>
      <c r="IC204"/>
      <c r="ID204"/>
      <c r="IE204"/>
      <c r="IF204"/>
      <c r="IG204"/>
    </row>
    <row r="205" spans="1:241" s="1" customFormat="1" ht="22.5">
      <c r="A205" s="91" t="s">
        <v>342</v>
      </c>
      <c r="B205" s="105"/>
      <c r="C205" s="105"/>
      <c r="D205" s="106">
        <v>600</v>
      </c>
      <c r="E205" s="106"/>
      <c r="F205" s="106">
        <f>D205</f>
        <v>600</v>
      </c>
      <c r="G205" s="106">
        <v>700</v>
      </c>
      <c r="H205" s="106"/>
      <c r="I205" s="106"/>
      <c r="J205" s="106">
        <f t="shared" si="24"/>
        <v>700</v>
      </c>
      <c r="K205" s="116"/>
      <c r="L205" s="116"/>
      <c r="M205" s="116"/>
      <c r="N205" s="106">
        <v>800</v>
      </c>
      <c r="O205" s="106"/>
      <c r="P205" s="106">
        <f t="shared" si="25"/>
        <v>800</v>
      </c>
      <c r="IB205"/>
      <c r="IC205"/>
      <c r="ID205"/>
      <c r="IE205"/>
      <c r="IF205"/>
      <c r="IG205"/>
    </row>
    <row r="206" spans="1:241" s="1" customFormat="1" ht="21.75" customHeight="1">
      <c r="A206" s="91" t="s">
        <v>156</v>
      </c>
      <c r="B206" s="105"/>
      <c r="C206" s="105"/>
      <c r="D206" s="106">
        <v>1</v>
      </c>
      <c r="E206" s="106"/>
      <c r="F206" s="106">
        <v>1</v>
      </c>
      <c r="G206" s="106">
        <v>1</v>
      </c>
      <c r="H206" s="106"/>
      <c r="I206" s="106"/>
      <c r="J206" s="106">
        <f t="shared" si="24"/>
        <v>1</v>
      </c>
      <c r="K206" s="116"/>
      <c r="L206" s="116"/>
      <c r="M206" s="116"/>
      <c r="N206" s="106">
        <v>1</v>
      </c>
      <c r="O206" s="106"/>
      <c r="P206" s="106">
        <f t="shared" si="25"/>
        <v>1</v>
      </c>
      <c r="IB206"/>
      <c r="IC206"/>
      <c r="ID206"/>
      <c r="IE206"/>
      <c r="IF206"/>
      <c r="IG206"/>
    </row>
    <row r="207" spans="1:241" s="1" customFormat="1" ht="30.75" customHeight="1">
      <c r="A207" s="91" t="s">
        <v>78</v>
      </c>
      <c r="B207" s="105"/>
      <c r="C207" s="105"/>
      <c r="D207" s="105">
        <v>1</v>
      </c>
      <c r="E207" s="105"/>
      <c r="F207" s="105">
        <v>1</v>
      </c>
      <c r="G207" s="105"/>
      <c r="H207" s="105"/>
      <c r="I207" s="105"/>
      <c r="J207" s="113"/>
      <c r="K207" s="114"/>
      <c r="L207" s="114"/>
      <c r="M207" s="115"/>
      <c r="N207" s="105">
        <v>1</v>
      </c>
      <c r="O207" s="105"/>
      <c r="P207" s="120">
        <v>1</v>
      </c>
      <c r="IB207"/>
      <c r="IC207"/>
      <c r="ID207"/>
      <c r="IE207"/>
      <c r="IF207"/>
      <c r="IG207"/>
    </row>
    <row r="208" spans="1:241" s="1" customFormat="1" ht="30.75" customHeight="1">
      <c r="A208" s="91" t="s">
        <v>301</v>
      </c>
      <c r="B208" s="105"/>
      <c r="C208" s="105"/>
      <c r="D208" s="108"/>
      <c r="E208" s="108"/>
      <c r="F208" s="108"/>
      <c r="G208" s="106"/>
      <c r="H208" s="106">
        <v>1</v>
      </c>
      <c r="I208" s="106"/>
      <c r="J208" s="106">
        <v>1</v>
      </c>
      <c r="K208" s="114"/>
      <c r="L208" s="114"/>
      <c r="M208" s="115"/>
      <c r="N208" s="105"/>
      <c r="O208" s="105"/>
      <c r="P208" s="120"/>
      <c r="IB208"/>
      <c r="IC208"/>
      <c r="ID208"/>
      <c r="IE208"/>
      <c r="IF208"/>
      <c r="IG208"/>
    </row>
    <row r="209" spans="1:241" s="1" customFormat="1" ht="19.5" customHeight="1">
      <c r="A209" s="91" t="s">
        <v>31</v>
      </c>
      <c r="B209" s="105"/>
      <c r="C209" s="105"/>
      <c r="D209" s="108">
        <v>65</v>
      </c>
      <c r="E209" s="105"/>
      <c r="F209" s="108">
        <v>65</v>
      </c>
      <c r="G209" s="108">
        <v>53</v>
      </c>
      <c r="H209" s="105"/>
      <c r="I209" s="105"/>
      <c r="J209" s="113">
        <f>G209</f>
        <v>53</v>
      </c>
      <c r="K209" s="114"/>
      <c r="L209" s="114"/>
      <c r="M209" s="115"/>
      <c r="N209" s="108">
        <v>53</v>
      </c>
      <c r="O209" s="105"/>
      <c r="P209" s="113">
        <f>N209</f>
        <v>53</v>
      </c>
      <c r="IB209"/>
      <c r="IC209"/>
      <c r="ID209"/>
      <c r="IE209"/>
      <c r="IF209"/>
      <c r="IG209"/>
    </row>
    <row r="210" spans="1:241" s="1" customFormat="1" ht="22.5" customHeight="1">
      <c r="A210" s="91" t="s">
        <v>32</v>
      </c>
      <c r="B210" s="105"/>
      <c r="C210" s="105"/>
      <c r="D210" s="108">
        <v>34</v>
      </c>
      <c r="E210" s="105"/>
      <c r="F210" s="108">
        <v>34</v>
      </c>
      <c r="G210" s="108">
        <v>34</v>
      </c>
      <c r="H210" s="105"/>
      <c r="I210" s="105"/>
      <c r="J210" s="113">
        <f>G210</f>
        <v>34</v>
      </c>
      <c r="K210" s="114"/>
      <c r="L210" s="114"/>
      <c r="M210" s="115"/>
      <c r="N210" s="108">
        <v>34</v>
      </c>
      <c r="O210" s="105"/>
      <c r="P210" s="113">
        <f>N210</f>
        <v>34</v>
      </c>
      <c r="IB210"/>
      <c r="IC210"/>
      <c r="ID210"/>
      <c r="IE210"/>
      <c r="IF210"/>
      <c r="IG210"/>
    </row>
    <row r="211" spans="1:241" s="1" customFormat="1" ht="22.5" customHeight="1">
      <c r="A211" s="91" t="s">
        <v>33</v>
      </c>
      <c r="B211" s="105"/>
      <c r="C211" s="105"/>
      <c r="D211" s="108">
        <v>30</v>
      </c>
      <c r="E211" s="105"/>
      <c r="F211" s="108">
        <v>30</v>
      </c>
      <c r="G211" s="108">
        <v>37</v>
      </c>
      <c r="H211" s="105"/>
      <c r="I211" s="105"/>
      <c r="J211" s="113">
        <f>G211</f>
        <v>37</v>
      </c>
      <c r="K211" s="114"/>
      <c r="L211" s="114"/>
      <c r="M211" s="115"/>
      <c r="N211" s="108">
        <v>37</v>
      </c>
      <c r="O211" s="105"/>
      <c r="P211" s="113">
        <f>N211</f>
        <v>37</v>
      </c>
      <c r="IB211"/>
      <c r="IC211"/>
      <c r="ID211"/>
      <c r="IE211"/>
      <c r="IF211"/>
      <c r="IG211"/>
    </row>
    <row r="212" spans="1:241" s="1" customFormat="1" ht="12" customHeight="1">
      <c r="A212" s="91" t="s">
        <v>26</v>
      </c>
      <c r="B212" s="105"/>
      <c r="C212" s="105"/>
      <c r="D212" s="108">
        <v>347</v>
      </c>
      <c r="E212" s="105"/>
      <c r="F212" s="108">
        <v>347</v>
      </c>
      <c r="G212" s="108">
        <v>125</v>
      </c>
      <c r="H212" s="105"/>
      <c r="I212" s="105"/>
      <c r="J212" s="113">
        <f>G212</f>
        <v>125</v>
      </c>
      <c r="K212" s="114"/>
      <c r="L212" s="114"/>
      <c r="M212" s="115"/>
      <c r="N212" s="108">
        <v>125</v>
      </c>
      <c r="O212" s="105"/>
      <c r="P212" s="113">
        <f>N212</f>
        <v>125</v>
      </c>
      <c r="IB212"/>
      <c r="IC212"/>
      <c r="ID212"/>
      <c r="IE212"/>
      <c r="IF212"/>
      <c r="IG212"/>
    </row>
    <row r="213" spans="1:241" s="1" customFormat="1" ht="22.5" customHeight="1">
      <c r="A213" s="91" t="s">
        <v>34</v>
      </c>
      <c r="B213" s="105"/>
      <c r="C213" s="105"/>
      <c r="D213" s="113"/>
      <c r="E213" s="105"/>
      <c r="F213" s="113"/>
      <c r="G213" s="113">
        <v>984.5</v>
      </c>
      <c r="H213" s="105"/>
      <c r="I213" s="105"/>
      <c r="J213" s="113">
        <v>984.5</v>
      </c>
      <c r="K213" s="114"/>
      <c r="L213" s="114"/>
      <c r="M213" s="115"/>
      <c r="N213" s="113">
        <v>984.5</v>
      </c>
      <c r="O213" s="105"/>
      <c r="P213" s="113">
        <v>984.5</v>
      </c>
      <c r="IB213"/>
      <c r="IC213"/>
      <c r="ID213"/>
      <c r="IE213"/>
      <c r="IF213"/>
      <c r="IG213"/>
    </row>
    <row r="214" spans="1:241" s="1" customFormat="1" ht="12">
      <c r="A214" s="90" t="s">
        <v>7</v>
      </c>
      <c r="B214" s="111"/>
      <c r="C214" s="111"/>
      <c r="D214" s="111"/>
      <c r="E214" s="111"/>
      <c r="F214" s="111"/>
      <c r="G214" s="111"/>
      <c r="H214" s="111"/>
      <c r="I214" s="111"/>
      <c r="J214" s="113"/>
      <c r="K214" s="114"/>
      <c r="L214" s="114"/>
      <c r="M214" s="115"/>
      <c r="N214" s="111"/>
      <c r="O214" s="111"/>
      <c r="P214" s="113"/>
      <c r="IB214"/>
      <c r="IC214"/>
      <c r="ID214"/>
      <c r="IE214"/>
      <c r="IF214"/>
      <c r="IG214"/>
    </row>
    <row r="215" spans="1:241" s="1" customFormat="1" ht="22.5">
      <c r="A215" s="91" t="s">
        <v>157</v>
      </c>
      <c r="B215" s="105"/>
      <c r="C215" s="105"/>
      <c r="D215" s="113">
        <v>48335</v>
      </c>
      <c r="E215" s="105"/>
      <c r="F215" s="113">
        <f>D215</f>
        <v>48335</v>
      </c>
      <c r="G215" s="108">
        <v>59076</v>
      </c>
      <c r="H215" s="105"/>
      <c r="I215" s="105"/>
      <c r="J215" s="108">
        <f>G215</f>
        <v>59076</v>
      </c>
      <c r="K215" s="117"/>
      <c r="L215" s="117"/>
      <c r="M215" s="117"/>
      <c r="N215" s="108">
        <v>69603</v>
      </c>
      <c r="O215" s="108"/>
      <c r="P215" s="108">
        <f>N215</f>
        <v>69603</v>
      </c>
      <c r="IB215"/>
      <c r="IC215"/>
      <c r="ID215"/>
      <c r="IE215"/>
      <c r="IF215"/>
      <c r="IG215"/>
    </row>
    <row r="216" spans="1:241" s="1" customFormat="1" ht="22.5" customHeight="1">
      <c r="A216" s="91" t="s">
        <v>56</v>
      </c>
      <c r="B216" s="105"/>
      <c r="C216" s="105"/>
      <c r="D216" s="105">
        <v>6000</v>
      </c>
      <c r="E216" s="105"/>
      <c r="F216" s="113">
        <f>D216</f>
        <v>6000</v>
      </c>
      <c r="G216" s="105">
        <v>10000</v>
      </c>
      <c r="H216" s="105"/>
      <c r="I216" s="105"/>
      <c r="J216" s="113">
        <f>G216</f>
        <v>10000</v>
      </c>
      <c r="K216" s="114"/>
      <c r="L216" s="114"/>
      <c r="M216" s="115"/>
      <c r="N216" s="105">
        <v>10000</v>
      </c>
      <c r="O216" s="105"/>
      <c r="P216" s="113">
        <f>N216</f>
        <v>10000</v>
      </c>
      <c r="IB216"/>
      <c r="IC216"/>
      <c r="ID216"/>
      <c r="IE216"/>
      <c r="IF216"/>
      <c r="IG216"/>
    </row>
    <row r="217" spans="1:241" s="1" customFormat="1" ht="24.75" customHeight="1">
      <c r="A217" s="91" t="s">
        <v>158</v>
      </c>
      <c r="B217" s="105"/>
      <c r="C217" s="105"/>
      <c r="D217" s="113">
        <v>2850</v>
      </c>
      <c r="E217" s="105"/>
      <c r="F217" s="113">
        <f>D217</f>
        <v>2850</v>
      </c>
      <c r="G217" s="108">
        <v>2943</v>
      </c>
      <c r="H217" s="108"/>
      <c r="I217" s="108"/>
      <c r="J217" s="108">
        <f>G217</f>
        <v>2943</v>
      </c>
      <c r="K217" s="117"/>
      <c r="L217" s="117"/>
      <c r="M217" s="117"/>
      <c r="N217" s="108">
        <v>3087.5</v>
      </c>
      <c r="O217" s="108"/>
      <c r="P217" s="108">
        <f>N217</f>
        <v>3087.5</v>
      </c>
      <c r="IB217"/>
      <c r="IC217"/>
      <c r="ID217"/>
      <c r="IE217"/>
      <c r="IF217"/>
      <c r="IG217"/>
    </row>
    <row r="218" spans="1:241" s="1" customFormat="1" ht="22.5">
      <c r="A218" s="91" t="s">
        <v>159</v>
      </c>
      <c r="B218" s="105"/>
      <c r="C218" s="105"/>
      <c r="D218" s="113">
        <v>140000</v>
      </c>
      <c r="E218" s="105"/>
      <c r="F218" s="113">
        <f>D218</f>
        <v>140000</v>
      </c>
      <c r="G218" s="113">
        <v>170000</v>
      </c>
      <c r="H218" s="105"/>
      <c r="I218" s="105"/>
      <c r="J218" s="113">
        <f>G218</f>
        <v>170000</v>
      </c>
      <c r="K218" s="114"/>
      <c r="L218" s="114"/>
      <c r="M218" s="115"/>
      <c r="N218" s="113">
        <v>200000</v>
      </c>
      <c r="O218" s="105"/>
      <c r="P218" s="113">
        <f>N218</f>
        <v>200000</v>
      </c>
      <c r="IB218"/>
      <c r="IC218"/>
      <c r="ID218"/>
      <c r="IE218"/>
      <c r="IF218"/>
      <c r="IG218"/>
    </row>
    <row r="219" spans="1:241" s="1" customFormat="1" ht="22.5">
      <c r="A219" s="91" t="s">
        <v>302</v>
      </c>
      <c r="B219" s="105"/>
      <c r="C219" s="105"/>
      <c r="D219" s="113"/>
      <c r="E219" s="105"/>
      <c r="F219" s="113"/>
      <c r="G219" s="113"/>
      <c r="H219" s="105">
        <v>120000</v>
      </c>
      <c r="I219" s="105"/>
      <c r="J219" s="113"/>
      <c r="K219" s="114"/>
      <c r="L219" s="114"/>
      <c r="M219" s="115"/>
      <c r="N219" s="113"/>
      <c r="O219" s="105"/>
      <c r="P219" s="113"/>
      <c r="IB219"/>
      <c r="IC219"/>
      <c r="ID219"/>
      <c r="IE219"/>
      <c r="IF219"/>
      <c r="IG219"/>
    </row>
    <row r="220" spans="1:241" s="1" customFormat="1" ht="15" customHeight="1">
      <c r="A220" s="91" t="s">
        <v>27</v>
      </c>
      <c r="B220" s="105"/>
      <c r="C220" s="105"/>
      <c r="D220" s="108">
        <v>580</v>
      </c>
      <c r="E220" s="105"/>
      <c r="F220" s="108">
        <v>580</v>
      </c>
      <c r="G220" s="108">
        <v>663.1</v>
      </c>
      <c r="H220" s="105"/>
      <c r="I220" s="105"/>
      <c r="J220" s="113">
        <f>G220</f>
        <v>663.1</v>
      </c>
      <c r="K220" s="114"/>
      <c r="L220" s="114"/>
      <c r="M220" s="115"/>
      <c r="N220" s="108">
        <v>663.1</v>
      </c>
      <c r="O220" s="105"/>
      <c r="P220" s="113">
        <f>N220</f>
        <v>663.1</v>
      </c>
      <c r="IB220"/>
      <c r="IC220"/>
      <c r="ID220"/>
      <c r="IE220"/>
      <c r="IF220"/>
      <c r="IG220"/>
    </row>
    <row r="221" spans="1:241" s="1" customFormat="1" ht="22.5" customHeight="1">
      <c r="A221" s="91" t="s">
        <v>35</v>
      </c>
      <c r="B221" s="105"/>
      <c r="C221" s="105"/>
      <c r="D221" s="108">
        <v>778</v>
      </c>
      <c r="E221" s="105"/>
      <c r="F221" s="108">
        <v>778</v>
      </c>
      <c r="G221" s="108">
        <v>691.86</v>
      </c>
      <c r="H221" s="105"/>
      <c r="I221" s="105"/>
      <c r="J221" s="113">
        <f>G221</f>
        <v>691.86</v>
      </c>
      <c r="K221" s="114"/>
      <c r="L221" s="114"/>
      <c r="M221" s="115"/>
      <c r="N221" s="108">
        <v>691.86</v>
      </c>
      <c r="O221" s="105"/>
      <c r="P221" s="113">
        <f>N221</f>
        <v>691.86</v>
      </c>
      <c r="IB221"/>
      <c r="IC221"/>
      <c r="ID221"/>
      <c r="IE221"/>
      <c r="IF221"/>
      <c r="IG221"/>
    </row>
    <row r="222" spans="1:241" s="1" customFormat="1" ht="22.5" customHeight="1">
      <c r="A222" s="91" t="s">
        <v>36</v>
      </c>
      <c r="B222" s="105"/>
      <c r="C222" s="105"/>
      <c r="D222" s="108">
        <v>23.66</v>
      </c>
      <c r="E222" s="105"/>
      <c r="F222" s="108">
        <v>23.66</v>
      </c>
      <c r="G222" s="108">
        <v>22.01</v>
      </c>
      <c r="H222" s="105"/>
      <c r="I222" s="105"/>
      <c r="J222" s="113">
        <f>G222</f>
        <v>22.01</v>
      </c>
      <c r="K222" s="114"/>
      <c r="L222" s="114"/>
      <c r="M222" s="115"/>
      <c r="N222" s="108">
        <v>22.01</v>
      </c>
      <c r="O222" s="105"/>
      <c r="P222" s="113">
        <f>N222</f>
        <v>22.01</v>
      </c>
      <c r="IB222"/>
      <c r="IC222"/>
      <c r="ID222"/>
      <c r="IE222"/>
      <c r="IF222"/>
      <c r="IG222"/>
    </row>
    <row r="223" spans="1:241" s="1" customFormat="1" ht="22.5" customHeight="1">
      <c r="A223" s="91" t="s">
        <v>37</v>
      </c>
      <c r="B223" s="105"/>
      <c r="C223" s="105"/>
      <c r="D223" s="108">
        <v>329</v>
      </c>
      <c r="E223" s="105"/>
      <c r="F223" s="108">
        <v>329</v>
      </c>
      <c r="G223" s="108">
        <v>160.11</v>
      </c>
      <c r="H223" s="105"/>
      <c r="I223" s="105"/>
      <c r="J223" s="113">
        <f>G223</f>
        <v>160.11</v>
      </c>
      <c r="K223" s="114"/>
      <c r="L223" s="114"/>
      <c r="M223" s="115"/>
      <c r="N223" s="108">
        <v>160.11</v>
      </c>
      <c r="O223" s="105"/>
      <c r="P223" s="113">
        <f>N223</f>
        <v>160.11</v>
      </c>
      <c r="IB223"/>
      <c r="IC223"/>
      <c r="ID223"/>
      <c r="IE223"/>
      <c r="IF223"/>
      <c r="IG223"/>
    </row>
    <row r="224" spans="1:241" s="1" customFormat="1" ht="38.25" customHeight="1">
      <c r="A224" s="91" t="s">
        <v>82</v>
      </c>
      <c r="B224" s="105"/>
      <c r="C224" s="105"/>
      <c r="D224" s="108">
        <v>50000</v>
      </c>
      <c r="E224" s="105"/>
      <c r="F224" s="108">
        <f>D224</f>
        <v>50000</v>
      </c>
      <c r="G224" s="108"/>
      <c r="H224" s="105"/>
      <c r="I224" s="105"/>
      <c r="J224" s="113"/>
      <c r="K224" s="114"/>
      <c r="L224" s="114"/>
      <c r="M224" s="115"/>
      <c r="N224" s="108">
        <f>N199</f>
        <v>0</v>
      </c>
      <c r="O224" s="105"/>
      <c r="P224" s="113">
        <f>N224</f>
        <v>0</v>
      </c>
      <c r="IB224"/>
      <c r="IC224"/>
      <c r="ID224"/>
      <c r="IE224"/>
      <c r="IF224"/>
      <c r="IG224"/>
    </row>
    <row r="225" spans="1:241" s="1" customFormat="1" ht="12" customHeight="1">
      <c r="A225" s="90" t="s">
        <v>6</v>
      </c>
      <c r="B225" s="105"/>
      <c r="C225" s="105"/>
      <c r="D225" s="108"/>
      <c r="E225" s="105"/>
      <c r="F225" s="108"/>
      <c r="G225" s="108"/>
      <c r="H225" s="105"/>
      <c r="I225" s="105"/>
      <c r="J225" s="113"/>
      <c r="K225" s="114"/>
      <c r="L225" s="114"/>
      <c r="M225" s="115"/>
      <c r="N225" s="108"/>
      <c r="O225" s="105"/>
      <c r="P225" s="113"/>
      <c r="IB225"/>
      <c r="IC225"/>
      <c r="ID225"/>
      <c r="IE225"/>
      <c r="IF225"/>
      <c r="IG225"/>
    </row>
    <row r="226" spans="1:241" s="1" customFormat="1" ht="33.75">
      <c r="A226" s="91" t="s">
        <v>161</v>
      </c>
      <c r="B226" s="105"/>
      <c r="C226" s="105"/>
      <c r="D226" s="106">
        <f>D204/D196*100</f>
        <v>100</v>
      </c>
      <c r="E226" s="106"/>
      <c r="F226" s="106">
        <f>F204/F196*100</f>
        <v>100</v>
      </c>
      <c r="G226" s="106">
        <f>G204/G196*100</f>
        <v>100</v>
      </c>
      <c r="H226" s="106"/>
      <c r="I226" s="106"/>
      <c r="J226" s="106">
        <f>J204/J196*100</f>
        <v>100</v>
      </c>
      <c r="K226" s="106" t="e">
        <f>K204/K196*100</f>
        <v>#DIV/0!</v>
      </c>
      <c r="L226" s="106" t="e">
        <f>L204/L196*100</f>
        <v>#DIV/0!</v>
      </c>
      <c r="M226" s="106" t="e">
        <f>M204/M196*100</f>
        <v>#DIV/0!</v>
      </c>
      <c r="N226" s="106">
        <f>N204/N196*100</f>
        <v>100</v>
      </c>
      <c r="O226" s="106"/>
      <c r="P226" s="106">
        <f>P204/P196*100</f>
        <v>100</v>
      </c>
      <c r="IB226"/>
      <c r="IC226"/>
      <c r="ID226"/>
      <c r="IE226"/>
      <c r="IF226"/>
      <c r="IG226"/>
    </row>
    <row r="227" spans="1:241" s="1" customFormat="1" ht="29.25" customHeight="1">
      <c r="A227" s="91" t="s">
        <v>160</v>
      </c>
      <c r="B227" s="105"/>
      <c r="C227" s="105"/>
      <c r="D227" s="108"/>
      <c r="E227" s="105"/>
      <c r="F227" s="108"/>
      <c r="G227" s="106">
        <f>G217/D217*100</f>
        <v>103.26315789473684</v>
      </c>
      <c r="H227" s="106"/>
      <c r="I227" s="106"/>
      <c r="J227" s="106">
        <f>J217/F217*100</f>
        <v>103.26315789473684</v>
      </c>
      <c r="K227" s="116"/>
      <c r="L227" s="116"/>
      <c r="M227" s="116"/>
      <c r="N227" s="106">
        <f>N217/G217*100</f>
        <v>104.90995582738702</v>
      </c>
      <c r="O227" s="106"/>
      <c r="P227" s="106">
        <f>P217/J217*100</f>
        <v>104.90995582738702</v>
      </c>
      <c r="IB227"/>
      <c r="IC227"/>
      <c r="ID227"/>
      <c r="IE227"/>
      <c r="IF227"/>
      <c r="IG227"/>
    </row>
    <row r="228" spans="1:241" s="1" customFormat="1" ht="38.25" customHeight="1">
      <c r="A228" s="91" t="s">
        <v>162</v>
      </c>
      <c r="B228" s="105"/>
      <c r="C228" s="105"/>
      <c r="D228" s="108"/>
      <c r="E228" s="105"/>
      <c r="F228" s="108"/>
      <c r="G228" s="106">
        <f>G218/D218*100</f>
        <v>121.42857142857142</v>
      </c>
      <c r="H228" s="105"/>
      <c r="I228" s="105"/>
      <c r="J228" s="106">
        <f>J218/F218*100</f>
        <v>121.42857142857142</v>
      </c>
      <c r="K228" s="114"/>
      <c r="L228" s="114"/>
      <c r="M228" s="115"/>
      <c r="N228" s="106">
        <f>N218/G218*100</f>
        <v>117.64705882352942</v>
      </c>
      <c r="O228" s="105"/>
      <c r="P228" s="106">
        <f>P218/J218*100</f>
        <v>117.64705882352942</v>
      </c>
      <c r="IB228"/>
      <c r="IC228"/>
      <c r="ID228"/>
      <c r="IE228"/>
      <c r="IF228"/>
      <c r="IG228"/>
    </row>
    <row r="229" spans="1:241" s="190" customFormat="1" ht="22.5">
      <c r="A229" s="178" t="s">
        <v>347</v>
      </c>
      <c r="B229" s="187"/>
      <c r="C229" s="187"/>
      <c r="D229" s="189">
        <f>(D231*D235)+(D232*D236)+(D233*D237)-110.1</f>
        <v>1035000</v>
      </c>
      <c r="E229" s="189"/>
      <c r="F229" s="189">
        <f>(F231*F235)+(F232*F236)+(F233*F237)-110.1</f>
        <v>1035000</v>
      </c>
      <c r="G229" s="189">
        <f>(G231*G235)+(G232*G236)+(G233*G237)-27.3+25000</f>
        <v>1140000</v>
      </c>
      <c r="H229" s="189"/>
      <c r="I229" s="189"/>
      <c r="J229" s="236">
        <f>G229</f>
        <v>1140000</v>
      </c>
      <c r="K229" s="189">
        <f>(K231*K235)+(K232*K236)+(K233*K237)-110.1</f>
        <v>-110.1</v>
      </c>
      <c r="L229" s="189">
        <f>(L231*L235)+(L232*L236)+(L233*L237)-110.1</f>
        <v>-110.1</v>
      </c>
      <c r="M229" s="189">
        <f>(M231*M235)+(M232*M236)+(M233*M237)-110.1</f>
        <v>-110.1</v>
      </c>
      <c r="N229" s="189">
        <f>(N231*N235)+(N232*N236)+(N233*N237)+34.9</f>
        <v>1340000</v>
      </c>
      <c r="O229" s="189"/>
      <c r="P229" s="189">
        <f>N229</f>
        <v>1340000</v>
      </c>
      <c r="IB229" s="191"/>
      <c r="IC229" s="191"/>
      <c r="ID229" s="191"/>
      <c r="IE229" s="191"/>
      <c r="IF229" s="191"/>
      <c r="IG229" s="191"/>
    </row>
    <row r="230" spans="1:241" s="1" customFormat="1" ht="11.25">
      <c r="A230" s="90" t="s">
        <v>5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IB230"/>
      <c r="IC230"/>
      <c r="ID230"/>
      <c r="IE230"/>
      <c r="IF230"/>
      <c r="IG230"/>
    </row>
    <row r="231" spans="1:241" s="1" customFormat="1" ht="22.5" customHeight="1">
      <c r="A231" s="91" t="s">
        <v>141</v>
      </c>
      <c r="B231" s="105"/>
      <c r="C231" s="105"/>
      <c r="D231" s="106">
        <v>167170</v>
      </c>
      <c r="E231" s="106"/>
      <c r="F231" s="106">
        <f>D231</f>
        <v>167170</v>
      </c>
      <c r="G231" s="106">
        <f>F231</f>
        <v>167170</v>
      </c>
      <c r="H231" s="106"/>
      <c r="I231" s="106"/>
      <c r="J231" s="106">
        <f>G231</f>
        <v>167170</v>
      </c>
      <c r="K231" s="116"/>
      <c r="L231" s="116"/>
      <c r="M231" s="116"/>
      <c r="N231" s="106">
        <f>G231</f>
        <v>167170</v>
      </c>
      <c r="O231" s="106"/>
      <c r="P231" s="106">
        <f>N231</f>
        <v>167170</v>
      </c>
      <c r="IB231"/>
      <c r="IC231"/>
      <c r="ID231"/>
      <c r="IE231"/>
      <c r="IF231"/>
      <c r="IG231"/>
    </row>
    <row r="232" spans="1:241" s="1" customFormat="1" ht="22.5" hidden="1">
      <c r="A232" s="91" t="s">
        <v>164</v>
      </c>
      <c r="B232" s="105"/>
      <c r="C232" s="105"/>
      <c r="D232" s="106">
        <v>160</v>
      </c>
      <c r="E232" s="106"/>
      <c r="F232" s="106">
        <f>D232</f>
        <v>160</v>
      </c>
      <c r="G232" s="106"/>
      <c r="H232" s="106"/>
      <c r="I232" s="106"/>
      <c r="J232" s="106"/>
      <c r="K232" s="116"/>
      <c r="L232" s="116"/>
      <c r="M232" s="116"/>
      <c r="N232" s="106"/>
      <c r="O232" s="106"/>
      <c r="P232" s="106"/>
      <c r="IB232"/>
      <c r="IC232"/>
      <c r="ID232"/>
      <c r="IE232"/>
      <c r="IF232"/>
      <c r="IG232"/>
    </row>
    <row r="233" spans="1:241" s="1" customFormat="1" ht="33" customHeight="1">
      <c r="A233" s="91" t="s">
        <v>166</v>
      </c>
      <c r="B233" s="105"/>
      <c r="C233" s="105"/>
      <c r="D233" s="106">
        <v>4600</v>
      </c>
      <c r="E233" s="106"/>
      <c r="F233" s="106">
        <f>D233</f>
        <v>4600</v>
      </c>
      <c r="G233" s="106">
        <v>4995</v>
      </c>
      <c r="H233" s="106"/>
      <c r="I233" s="106"/>
      <c r="J233" s="106">
        <f>G233</f>
        <v>4995</v>
      </c>
      <c r="K233" s="116"/>
      <c r="L233" s="116"/>
      <c r="M233" s="116"/>
      <c r="N233" s="106">
        <v>5425</v>
      </c>
      <c r="O233" s="106"/>
      <c r="P233" s="106">
        <f>N233</f>
        <v>5425</v>
      </c>
      <c r="IB233"/>
      <c r="IC233"/>
      <c r="ID233"/>
      <c r="IE233"/>
      <c r="IF233"/>
      <c r="IG233"/>
    </row>
    <row r="234" spans="1:241" s="1" customFormat="1" ht="12">
      <c r="A234" s="90" t="s">
        <v>7</v>
      </c>
      <c r="B234" s="111"/>
      <c r="C234" s="111"/>
      <c r="D234" s="111"/>
      <c r="E234" s="111"/>
      <c r="F234" s="108"/>
      <c r="G234" s="111"/>
      <c r="H234" s="111"/>
      <c r="I234" s="111"/>
      <c r="J234" s="113"/>
      <c r="K234" s="114"/>
      <c r="L234" s="114"/>
      <c r="M234" s="115"/>
      <c r="N234" s="111"/>
      <c r="O234" s="111"/>
      <c r="P234" s="113"/>
      <c r="IB234"/>
      <c r="IC234"/>
      <c r="ID234"/>
      <c r="IE234"/>
      <c r="IF234"/>
      <c r="IG234"/>
    </row>
    <row r="235" spans="1:241" s="1" customFormat="1" ht="23.25" customHeight="1">
      <c r="A235" s="91" t="s">
        <v>147</v>
      </c>
      <c r="B235" s="105"/>
      <c r="C235" s="105"/>
      <c r="D235" s="108">
        <v>3.53</v>
      </c>
      <c r="E235" s="105"/>
      <c r="F235" s="108">
        <f>D235</f>
        <v>3.53</v>
      </c>
      <c r="G235" s="108">
        <v>4.19</v>
      </c>
      <c r="H235" s="105"/>
      <c r="I235" s="105"/>
      <c r="J235" s="113">
        <f>G235</f>
        <v>4.19</v>
      </c>
      <c r="K235" s="114"/>
      <c r="L235" s="114"/>
      <c r="M235" s="115"/>
      <c r="N235" s="108">
        <v>5.03</v>
      </c>
      <c r="O235" s="105"/>
      <c r="P235" s="113">
        <f>N235</f>
        <v>5.03</v>
      </c>
      <c r="IB235"/>
      <c r="IC235"/>
      <c r="ID235"/>
      <c r="IE235"/>
      <c r="IF235"/>
      <c r="IG235"/>
    </row>
    <row r="236" spans="1:241" s="1" customFormat="1" ht="12" hidden="1">
      <c r="A236" s="91" t="s">
        <v>165</v>
      </c>
      <c r="B236" s="105"/>
      <c r="C236" s="105"/>
      <c r="D236" s="108">
        <v>625</v>
      </c>
      <c r="E236" s="105"/>
      <c r="F236" s="108">
        <f>D236</f>
        <v>625</v>
      </c>
      <c r="G236" s="108"/>
      <c r="H236" s="105"/>
      <c r="I236" s="105"/>
      <c r="J236" s="113"/>
      <c r="K236" s="114"/>
      <c r="L236" s="114"/>
      <c r="M236" s="115"/>
      <c r="N236" s="108"/>
      <c r="O236" s="105"/>
      <c r="P236" s="113"/>
      <c r="IB236"/>
      <c r="IC236"/>
      <c r="ID236"/>
      <c r="IE236"/>
      <c r="IF236"/>
      <c r="IG236"/>
    </row>
    <row r="237" spans="1:241" s="1" customFormat="1" ht="36" customHeight="1">
      <c r="A237" s="91" t="s">
        <v>168</v>
      </c>
      <c r="B237" s="105"/>
      <c r="C237" s="105"/>
      <c r="D237" s="108">
        <v>75</v>
      </c>
      <c r="E237" s="108"/>
      <c r="F237" s="108">
        <f>D237</f>
        <v>75</v>
      </c>
      <c r="G237" s="108">
        <v>83</v>
      </c>
      <c r="H237" s="108"/>
      <c r="I237" s="108"/>
      <c r="J237" s="108">
        <f>G237</f>
        <v>83</v>
      </c>
      <c r="K237" s="117"/>
      <c r="L237" s="117"/>
      <c r="M237" s="117"/>
      <c r="N237" s="108">
        <v>92</v>
      </c>
      <c r="O237" s="108"/>
      <c r="P237" s="108">
        <f>N237</f>
        <v>92</v>
      </c>
      <c r="IB237"/>
      <c r="IC237"/>
      <c r="ID237"/>
      <c r="IE237"/>
      <c r="IF237"/>
      <c r="IG237"/>
    </row>
    <row r="238" spans="1:241" s="1" customFormat="1" ht="12">
      <c r="A238" s="90" t="s">
        <v>6</v>
      </c>
      <c r="B238" s="105"/>
      <c r="C238" s="105"/>
      <c r="D238" s="108"/>
      <c r="E238" s="105"/>
      <c r="F238" s="108"/>
      <c r="G238" s="108"/>
      <c r="H238" s="105"/>
      <c r="I238" s="105"/>
      <c r="J238" s="113"/>
      <c r="K238" s="114"/>
      <c r="L238" s="114"/>
      <c r="M238" s="115"/>
      <c r="N238" s="108"/>
      <c r="O238" s="105"/>
      <c r="P238" s="113"/>
      <c r="IB238"/>
      <c r="IC238"/>
      <c r="ID238"/>
      <c r="IE238"/>
      <c r="IF238"/>
      <c r="IG238"/>
    </row>
    <row r="239" spans="1:241" s="1" customFormat="1" ht="36" customHeight="1">
      <c r="A239" s="91" t="s">
        <v>167</v>
      </c>
      <c r="B239" s="105"/>
      <c r="C239" s="105"/>
      <c r="D239" s="108"/>
      <c r="E239" s="105"/>
      <c r="F239" s="108"/>
      <c r="G239" s="106">
        <f>G235/D235*100</f>
        <v>118.69688385269124</v>
      </c>
      <c r="H239" s="106"/>
      <c r="I239" s="106"/>
      <c r="J239" s="106">
        <f>G239</f>
        <v>118.69688385269124</v>
      </c>
      <c r="K239" s="116"/>
      <c r="L239" s="116"/>
      <c r="M239" s="116"/>
      <c r="N239" s="106">
        <f>N235/G235*100</f>
        <v>120.04773269689737</v>
      </c>
      <c r="O239" s="106"/>
      <c r="P239" s="106">
        <f>N239</f>
        <v>120.04773269689737</v>
      </c>
      <c r="IB239"/>
      <c r="IC239"/>
      <c r="ID239"/>
      <c r="IE239"/>
      <c r="IF239"/>
      <c r="IG239"/>
    </row>
    <row r="240" spans="1:241" s="1" customFormat="1" ht="51" customHeight="1">
      <c r="A240" s="91" t="s">
        <v>169</v>
      </c>
      <c r="B240" s="105"/>
      <c r="C240" s="105"/>
      <c r="D240" s="108"/>
      <c r="E240" s="105"/>
      <c r="F240" s="108"/>
      <c r="G240" s="106">
        <f>G237/D237*100</f>
        <v>110.66666666666667</v>
      </c>
      <c r="H240" s="105"/>
      <c r="I240" s="105"/>
      <c r="J240" s="120">
        <f>G240</f>
        <v>110.66666666666667</v>
      </c>
      <c r="K240" s="114"/>
      <c r="L240" s="114"/>
      <c r="M240" s="115"/>
      <c r="N240" s="106">
        <f>N237/G237*100</f>
        <v>110.8433734939759</v>
      </c>
      <c r="O240" s="106"/>
      <c r="P240" s="106">
        <f>N240</f>
        <v>110.8433734939759</v>
      </c>
      <c r="IB240"/>
      <c r="IC240"/>
      <c r="ID240"/>
      <c r="IE240"/>
      <c r="IF240"/>
      <c r="IG240"/>
    </row>
    <row r="241" spans="1:241" s="190" customFormat="1" ht="22.5">
      <c r="A241" s="178" t="s">
        <v>348</v>
      </c>
      <c r="B241" s="187"/>
      <c r="C241" s="187"/>
      <c r="D241" s="189">
        <f>(D245*D252)+(D246*D253)+(D247*D256)-2</f>
        <v>2306500</v>
      </c>
      <c r="E241" s="189"/>
      <c r="F241" s="189">
        <f>D241</f>
        <v>2306500</v>
      </c>
      <c r="G241" s="189">
        <f>(G245*G252)+(G246*G253)+2+363000+200000+67555-75000</f>
        <v>3821555</v>
      </c>
      <c r="H241" s="189"/>
      <c r="I241" s="189"/>
      <c r="J241" s="236">
        <f>G241</f>
        <v>3821555</v>
      </c>
      <c r="K241" s="189">
        <f>(K245*K252)+(K246*K253)</f>
        <v>0</v>
      </c>
      <c r="L241" s="189">
        <f>(L245*L252)+(L246*L253)</f>
        <v>0</v>
      </c>
      <c r="M241" s="189">
        <f>(M245*M252)+(M246*M253)</f>
        <v>0</v>
      </c>
      <c r="N241" s="189">
        <f>(N245*N252)+(N246*N253)</f>
        <v>3922500</v>
      </c>
      <c r="O241" s="189"/>
      <c r="P241" s="189">
        <f>(P245*P252)+(P246*P253)</f>
        <v>3922500</v>
      </c>
      <c r="IB241" s="191"/>
      <c r="IC241" s="191"/>
      <c r="ID241" s="191"/>
      <c r="IE241" s="191"/>
      <c r="IF241" s="191"/>
      <c r="IG241" s="191"/>
    </row>
    <row r="242" spans="1:241" s="1" customFormat="1" ht="22.5" customHeight="1" hidden="1">
      <c r="A242" s="33" t="s">
        <v>51</v>
      </c>
      <c r="B242" s="17"/>
      <c r="C242" s="17"/>
      <c r="D242" s="17">
        <f aca="true" t="shared" si="26" ref="D242:J242">D244*D251+D245*D252+D246*D253</f>
        <v>2238832</v>
      </c>
      <c r="E242" s="17">
        <f t="shared" si="26"/>
        <v>0</v>
      </c>
      <c r="F242" s="17">
        <f t="shared" si="26"/>
        <v>2238832</v>
      </c>
      <c r="G242" s="17">
        <f t="shared" si="26"/>
        <v>3301561</v>
      </c>
      <c r="H242" s="17">
        <f t="shared" si="26"/>
        <v>0</v>
      </c>
      <c r="I242" s="17"/>
      <c r="J242" s="17">
        <f t="shared" si="26"/>
        <v>3301561</v>
      </c>
      <c r="K242" s="21"/>
      <c r="L242" s="21"/>
      <c r="M242" s="22"/>
      <c r="N242" s="17">
        <f>N244*N251+N245*N252+N246*N253</f>
        <v>3958063</v>
      </c>
      <c r="O242" s="17">
        <f>O244*O251+O245*O252+O246*O253</f>
        <v>0</v>
      </c>
      <c r="P242" s="17">
        <f>P244*P251+P245*P252+P246*P253</f>
        <v>3958063</v>
      </c>
      <c r="IB242"/>
      <c r="IC242"/>
      <c r="ID242"/>
      <c r="IE242"/>
      <c r="IF242"/>
      <c r="IG242"/>
    </row>
    <row r="243" spans="1:241" s="1" customFormat="1" ht="12" customHeight="1">
      <c r="A243" s="90" t="s">
        <v>5</v>
      </c>
      <c r="B243" s="111"/>
      <c r="C243" s="111"/>
      <c r="D243" s="111"/>
      <c r="E243" s="111"/>
      <c r="F243" s="108"/>
      <c r="G243" s="111"/>
      <c r="H243" s="111"/>
      <c r="I243" s="111"/>
      <c r="J243" s="113"/>
      <c r="K243" s="114"/>
      <c r="L243" s="114"/>
      <c r="M243" s="115"/>
      <c r="N243" s="111"/>
      <c r="O243" s="111"/>
      <c r="P243" s="113"/>
      <c r="IB243"/>
      <c r="IC243"/>
      <c r="ID243"/>
      <c r="IE243"/>
      <c r="IF243"/>
      <c r="IG243"/>
    </row>
    <row r="244" spans="1:241" s="1" customFormat="1" ht="13.5" customHeight="1" hidden="1">
      <c r="A244" s="91" t="s">
        <v>38</v>
      </c>
      <c r="B244" s="105"/>
      <c r="C244" s="105"/>
      <c r="D244" s="108">
        <v>1220</v>
      </c>
      <c r="E244" s="105"/>
      <c r="F244" s="108">
        <f aca="true" t="shared" si="27" ref="F244:F253">D244</f>
        <v>1220</v>
      </c>
      <c r="G244" s="108">
        <v>1220</v>
      </c>
      <c r="H244" s="105"/>
      <c r="I244" s="105"/>
      <c r="J244" s="113">
        <f aca="true" t="shared" si="28" ref="J244:J255">G244</f>
        <v>1220</v>
      </c>
      <c r="K244" s="114"/>
      <c r="L244" s="114"/>
      <c r="M244" s="115"/>
      <c r="N244" s="108">
        <v>1220</v>
      </c>
      <c r="O244" s="105"/>
      <c r="P244" s="113">
        <f aca="true" t="shared" si="29" ref="P244:P255">N244</f>
        <v>1220</v>
      </c>
      <c r="IB244"/>
      <c r="IC244"/>
      <c r="ID244"/>
      <c r="IE244"/>
      <c r="IF244"/>
      <c r="IG244"/>
    </row>
    <row r="245" spans="1:241" s="1" customFormat="1" ht="22.5">
      <c r="A245" s="91" t="s">
        <v>170</v>
      </c>
      <c r="B245" s="105"/>
      <c r="C245" s="105"/>
      <c r="D245" s="106">
        <v>4</v>
      </c>
      <c r="E245" s="106"/>
      <c r="F245" s="106">
        <f t="shared" si="27"/>
        <v>4</v>
      </c>
      <c r="G245" s="106">
        <f>6</f>
        <v>6</v>
      </c>
      <c r="H245" s="106"/>
      <c r="I245" s="106"/>
      <c r="J245" s="106">
        <f t="shared" si="28"/>
        <v>6</v>
      </c>
      <c r="K245" s="116"/>
      <c r="L245" s="116"/>
      <c r="M245" s="116"/>
      <c r="N245" s="106">
        <f>G245</f>
        <v>6</v>
      </c>
      <c r="O245" s="106"/>
      <c r="P245" s="106">
        <f t="shared" si="29"/>
        <v>6</v>
      </c>
      <c r="IB245"/>
      <c r="IC245"/>
      <c r="ID245"/>
      <c r="IE245"/>
      <c r="IF245"/>
      <c r="IG245"/>
    </row>
    <row r="246" spans="1:241" s="1" customFormat="1" ht="22.5" customHeight="1">
      <c r="A246" s="91" t="s">
        <v>171</v>
      </c>
      <c r="B246" s="105"/>
      <c r="C246" s="105"/>
      <c r="D246" s="106">
        <v>6</v>
      </c>
      <c r="E246" s="106"/>
      <c r="F246" s="106">
        <f t="shared" si="27"/>
        <v>6</v>
      </c>
      <c r="G246" s="106">
        <f>D246</f>
        <v>6</v>
      </c>
      <c r="H246" s="106"/>
      <c r="I246" s="106"/>
      <c r="J246" s="106">
        <f t="shared" si="28"/>
        <v>6</v>
      </c>
      <c r="K246" s="116"/>
      <c r="L246" s="116"/>
      <c r="M246" s="116"/>
      <c r="N246" s="106">
        <f>G246</f>
        <v>6</v>
      </c>
      <c r="O246" s="106"/>
      <c r="P246" s="106">
        <f t="shared" si="29"/>
        <v>6</v>
      </c>
      <c r="IB246"/>
      <c r="IC246"/>
      <c r="ID246"/>
      <c r="IE246"/>
      <c r="IF246"/>
      <c r="IG246"/>
    </row>
    <row r="247" spans="1:241" s="1" customFormat="1" ht="22.5" customHeight="1">
      <c r="A247" s="32" t="s">
        <v>275</v>
      </c>
      <c r="B247" s="8"/>
      <c r="C247" s="8"/>
      <c r="D247" s="10">
        <v>100</v>
      </c>
      <c r="E247" s="10"/>
      <c r="F247" s="10">
        <f t="shared" si="27"/>
        <v>100</v>
      </c>
      <c r="G247" s="106">
        <v>200</v>
      </c>
      <c r="H247" s="106"/>
      <c r="I247" s="106"/>
      <c r="J247" s="106">
        <v>200</v>
      </c>
      <c r="K247" s="116"/>
      <c r="L247" s="116"/>
      <c r="M247" s="116"/>
      <c r="N247" s="106"/>
      <c r="O247" s="106"/>
      <c r="P247" s="106"/>
      <c r="IB247"/>
      <c r="IC247"/>
      <c r="ID247"/>
      <c r="IE247"/>
      <c r="IF247"/>
      <c r="IG247"/>
    </row>
    <row r="248" spans="1:241" s="1" customFormat="1" ht="24.75" customHeight="1">
      <c r="A248" s="32" t="s">
        <v>303</v>
      </c>
      <c r="B248" s="8"/>
      <c r="C248" s="8"/>
      <c r="D248" s="10"/>
      <c r="E248" s="10"/>
      <c r="F248" s="10"/>
      <c r="G248" s="106">
        <v>500</v>
      </c>
      <c r="H248" s="106"/>
      <c r="I248" s="106"/>
      <c r="J248" s="106">
        <v>500</v>
      </c>
      <c r="K248" s="116"/>
      <c r="L248" s="116"/>
      <c r="M248" s="116"/>
      <c r="N248" s="106"/>
      <c r="O248" s="106"/>
      <c r="P248" s="106"/>
      <c r="IB248"/>
      <c r="IC248"/>
      <c r="ID248"/>
      <c r="IE248"/>
      <c r="IF248"/>
      <c r="IG248"/>
    </row>
    <row r="249" spans="1:241" s="1" customFormat="1" ht="22.5" customHeight="1" hidden="1">
      <c r="A249" s="32" t="s">
        <v>303</v>
      </c>
      <c r="B249" s="8"/>
      <c r="C249" s="8"/>
      <c r="D249" s="10"/>
      <c r="E249" s="10"/>
      <c r="F249" s="10"/>
      <c r="G249" s="106">
        <v>500</v>
      </c>
      <c r="H249" s="106"/>
      <c r="I249" s="106"/>
      <c r="J249" s="106">
        <v>500</v>
      </c>
      <c r="K249" s="116"/>
      <c r="L249" s="116"/>
      <c r="M249" s="116"/>
      <c r="N249" s="106"/>
      <c r="O249" s="106"/>
      <c r="P249" s="106"/>
      <c r="IB249"/>
      <c r="IC249"/>
      <c r="ID249"/>
      <c r="IE249"/>
      <c r="IF249"/>
      <c r="IG249"/>
    </row>
    <row r="250" spans="1:241" s="1" customFormat="1" ht="12" customHeight="1">
      <c r="A250" s="90" t="s">
        <v>7</v>
      </c>
      <c r="B250" s="111"/>
      <c r="C250" s="111"/>
      <c r="D250" s="111"/>
      <c r="E250" s="111"/>
      <c r="F250" s="108"/>
      <c r="G250" s="111"/>
      <c r="H250" s="111"/>
      <c r="I250" s="111"/>
      <c r="J250" s="113"/>
      <c r="K250" s="114"/>
      <c r="L250" s="114"/>
      <c r="M250" s="115"/>
      <c r="N250" s="111"/>
      <c r="O250" s="111"/>
      <c r="P250" s="113"/>
      <c r="IB250"/>
      <c r="IC250"/>
      <c r="ID250"/>
      <c r="IE250"/>
      <c r="IF250"/>
      <c r="IG250"/>
    </row>
    <row r="251" spans="1:241" s="1" customFormat="1" ht="22.5" customHeight="1" hidden="1">
      <c r="A251" s="91" t="s">
        <v>55</v>
      </c>
      <c r="B251" s="105"/>
      <c r="C251" s="105"/>
      <c r="D251" s="108">
        <v>26.5</v>
      </c>
      <c r="E251" s="105"/>
      <c r="F251" s="108">
        <f t="shared" si="27"/>
        <v>26.5</v>
      </c>
      <c r="G251" s="108">
        <v>29.15</v>
      </c>
      <c r="H251" s="105"/>
      <c r="I251" s="105"/>
      <c r="J251" s="113">
        <f t="shared" si="28"/>
        <v>29.15</v>
      </c>
      <c r="K251" s="114"/>
      <c r="L251" s="114"/>
      <c r="M251" s="115"/>
      <c r="N251" s="108">
        <v>29.15</v>
      </c>
      <c r="O251" s="105"/>
      <c r="P251" s="113">
        <f t="shared" si="29"/>
        <v>29.15</v>
      </c>
      <c r="IB251"/>
      <c r="IC251"/>
      <c r="ID251"/>
      <c r="IE251"/>
      <c r="IF251"/>
      <c r="IG251"/>
    </row>
    <row r="252" spans="1:241" s="1" customFormat="1" ht="22.5" customHeight="1">
      <c r="A252" s="91" t="s">
        <v>172</v>
      </c>
      <c r="B252" s="105"/>
      <c r="C252" s="105"/>
      <c r="D252" s="108">
        <v>256250</v>
      </c>
      <c r="E252" s="105"/>
      <c r="F252" s="108">
        <f>D252</f>
        <v>256250</v>
      </c>
      <c r="G252" s="108">
        <v>307500</v>
      </c>
      <c r="H252" s="105"/>
      <c r="I252" s="105"/>
      <c r="J252" s="113">
        <f t="shared" si="28"/>
        <v>307500</v>
      </c>
      <c r="K252" s="114"/>
      <c r="L252" s="114"/>
      <c r="M252" s="115"/>
      <c r="N252" s="108">
        <v>368750</v>
      </c>
      <c r="O252" s="105"/>
      <c r="P252" s="113">
        <f t="shared" si="29"/>
        <v>368750</v>
      </c>
      <c r="IB252"/>
      <c r="IC252"/>
      <c r="ID252"/>
      <c r="IE252"/>
      <c r="IF252"/>
      <c r="IG252"/>
    </row>
    <row r="253" spans="1:241" s="1" customFormat="1" ht="22.5" customHeight="1">
      <c r="A253" s="91" t="s">
        <v>173</v>
      </c>
      <c r="B253" s="105"/>
      <c r="C253" s="105"/>
      <c r="D253" s="108">
        <v>196917</v>
      </c>
      <c r="E253" s="105"/>
      <c r="F253" s="108">
        <f t="shared" si="27"/>
        <v>196917</v>
      </c>
      <c r="G253" s="108">
        <v>236833</v>
      </c>
      <c r="H253" s="105"/>
      <c r="I253" s="105"/>
      <c r="J253" s="113">
        <f t="shared" si="28"/>
        <v>236833</v>
      </c>
      <c r="K253" s="114"/>
      <c r="L253" s="114"/>
      <c r="M253" s="115"/>
      <c r="N253" s="108">
        <v>285000</v>
      </c>
      <c r="O253" s="105"/>
      <c r="P253" s="113">
        <f t="shared" si="29"/>
        <v>285000</v>
      </c>
      <c r="IB253"/>
      <c r="IC253"/>
      <c r="ID253"/>
      <c r="IE253"/>
      <c r="IF253"/>
      <c r="IG253"/>
    </row>
    <row r="254" spans="1:241" s="1" customFormat="1" ht="12" customHeight="1" hidden="1">
      <c r="A254" s="90" t="s">
        <v>6</v>
      </c>
      <c r="B254" s="111"/>
      <c r="C254" s="111"/>
      <c r="D254" s="111"/>
      <c r="E254" s="111"/>
      <c r="F254" s="111"/>
      <c r="G254" s="111"/>
      <c r="H254" s="111"/>
      <c r="I254" s="111"/>
      <c r="J254" s="113">
        <f t="shared" si="28"/>
        <v>0</v>
      </c>
      <c r="K254" s="114"/>
      <c r="L254" s="114"/>
      <c r="M254" s="115"/>
      <c r="N254" s="111"/>
      <c r="O254" s="111"/>
      <c r="P254" s="113">
        <f t="shared" si="29"/>
        <v>0</v>
      </c>
      <c r="IB254"/>
      <c r="IC254"/>
      <c r="ID254"/>
      <c r="IE254"/>
      <c r="IF254"/>
      <c r="IG254"/>
    </row>
    <row r="255" spans="1:241" s="1" customFormat="1" ht="33.75" customHeight="1" hidden="1">
      <c r="A255" s="91" t="s">
        <v>39</v>
      </c>
      <c r="B255" s="105"/>
      <c r="C255" s="105"/>
      <c r="D255" s="105"/>
      <c r="E255" s="105"/>
      <c r="F255" s="105"/>
      <c r="G255" s="105"/>
      <c r="H255" s="105"/>
      <c r="I255" s="105"/>
      <c r="J255" s="113">
        <f t="shared" si="28"/>
        <v>0</v>
      </c>
      <c r="K255" s="114"/>
      <c r="L255" s="114"/>
      <c r="M255" s="115"/>
      <c r="N255" s="105"/>
      <c r="O255" s="105"/>
      <c r="P255" s="113">
        <f t="shared" si="29"/>
        <v>0</v>
      </c>
      <c r="IB255"/>
      <c r="IC255"/>
      <c r="ID255"/>
      <c r="IE255"/>
      <c r="IF255"/>
      <c r="IG255"/>
    </row>
    <row r="256" spans="1:241" s="1" customFormat="1" ht="32.25" customHeight="1">
      <c r="A256" s="32" t="s">
        <v>343</v>
      </c>
      <c r="B256" s="8"/>
      <c r="C256" s="8"/>
      <c r="D256" s="7">
        <v>1000</v>
      </c>
      <c r="E256" s="8"/>
      <c r="F256" s="7">
        <f>D256</f>
        <v>1000</v>
      </c>
      <c r="G256" s="105">
        <v>1000</v>
      </c>
      <c r="H256" s="105"/>
      <c r="I256" s="105"/>
      <c r="J256" s="113">
        <f>G256</f>
        <v>1000</v>
      </c>
      <c r="K256" s="114"/>
      <c r="L256" s="114"/>
      <c r="M256" s="115"/>
      <c r="N256" s="105"/>
      <c r="O256" s="105"/>
      <c r="P256" s="113"/>
      <c r="IB256"/>
      <c r="IC256"/>
      <c r="ID256"/>
      <c r="IE256"/>
      <c r="IF256"/>
      <c r="IG256"/>
    </row>
    <row r="257" spans="1:241" s="1" customFormat="1" ht="33.75">
      <c r="A257" s="32" t="s">
        <v>304</v>
      </c>
      <c r="B257" s="8"/>
      <c r="C257" s="8"/>
      <c r="D257" s="7">
        <v>1000</v>
      </c>
      <c r="E257" s="8"/>
      <c r="F257" s="7">
        <f>D257</f>
        <v>1000</v>
      </c>
      <c r="G257" s="105">
        <v>300</v>
      </c>
      <c r="H257" s="105"/>
      <c r="I257" s="105"/>
      <c r="J257" s="113">
        <f>G257</f>
        <v>300</v>
      </c>
      <c r="K257" s="114"/>
      <c r="L257" s="114"/>
      <c r="M257" s="115"/>
      <c r="N257" s="105"/>
      <c r="O257" s="105"/>
      <c r="P257" s="113"/>
      <c r="IB257"/>
      <c r="IC257"/>
      <c r="ID257"/>
      <c r="IE257"/>
      <c r="IF257"/>
      <c r="IG257"/>
    </row>
    <row r="258" spans="1:241" s="1" customFormat="1" ht="12">
      <c r="A258" s="90" t="s">
        <v>6</v>
      </c>
      <c r="B258" s="105"/>
      <c r="C258" s="105"/>
      <c r="D258" s="105"/>
      <c r="E258" s="105"/>
      <c r="F258" s="105"/>
      <c r="G258" s="105"/>
      <c r="H258" s="105"/>
      <c r="I258" s="105"/>
      <c r="J258" s="113"/>
      <c r="K258" s="114"/>
      <c r="L258" s="114"/>
      <c r="M258" s="115"/>
      <c r="N258" s="105"/>
      <c r="O258" s="105"/>
      <c r="P258" s="113"/>
      <c r="IB258"/>
      <c r="IC258"/>
      <c r="ID258"/>
      <c r="IE258"/>
      <c r="IF258"/>
      <c r="IG258"/>
    </row>
    <row r="259" spans="1:241" s="1" customFormat="1" ht="33.75">
      <c r="A259" s="91" t="s">
        <v>174</v>
      </c>
      <c r="B259" s="105"/>
      <c r="C259" s="105"/>
      <c r="D259" s="105"/>
      <c r="E259" s="105"/>
      <c r="F259" s="105"/>
      <c r="G259" s="106">
        <f>G252/F252*100</f>
        <v>120</v>
      </c>
      <c r="H259" s="106"/>
      <c r="I259" s="106"/>
      <c r="J259" s="106">
        <f>G259</f>
        <v>120</v>
      </c>
      <c r="K259" s="116"/>
      <c r="L259" s="116"/>
      <c r="M259" s="116"/>
      <c r="N259" s="106">
        <f>N252/J252*100</f>
        <v>119.91869918699187</v>
      </c>
      <c r="O259" s="106"/>
      <c r="P259" s="106">
        <f>N259</f>
        <v>119.91869918699187</v>
      </c>
      <c r="IB259"/>
      <c r="IC259"/>
      <c r="ID259"/>
      <c r="IE259"/>
      <c r="IF259"/>
      <c r="IG259"/>
    </row>
    <row r="260" spans="1:241" s="1" customFormat="1" ht="33.75">
      <c r="A260" s="91" t="s">
        <v>175</v>
      </c>
      <c r="B260" s="105"/>
      <c r="C260" s="105"/>
      <c r="D260" s="105"/>
      <c r="E260" s="105"/>
      <c r="F260" s="105"/>
      <c r="G260" s="106">
        <f>G253/D253*100</f>
        <v>120.27046928401306</v>
      </c>
      <c r="H260" s="106"/>
      <c r="I260" s="106"/>
      <c r="J260" s="106">
        <f>G260</f>
        <v>120.27046928401306</v>
      </c>
      <c r="K260" s="116"/>
      <c r="L260" s="116"/>
      <c r="M260" s="116"/>
      <c r="N260" s="106">
        <f>N253/G253*100</f>
        <v>120.33795965933803</v>
      </c>
      <c r="O260" s="106"/>
      <c r="P260" s="106">
        <f>N260</f>
        <v>120.33795965933803</v>
      </c>
      <c r="IB260"/>
      <c r="IC260"/>
      <c r="ID260"/>
      <c r="IE260"/>
      <c r="IF260"/>
      <c r="IG260"/>
    </row>
    <row r="261" spans="1:241" s="190" customFormat="1" ht="24" customHeight="1">
      <c r="A261" s="178" t="s">
        <v>349</v>
      </c>
      <c r="B261" s="187"/>
      <c r="C261" s="187"/>
      <c r="D261" s="189">
        <f>(D263*D266)+45</f>
        <v>400000</v>
      </c>
      <c r="E261" s="189"/>
      <c r="F261" s="189">
        <f>D261</f>
        <v>400000</v>
      </c>
      <c r="G261" s="189">
        <v>480000</v>
      </c>
      <c r="H261" s="189"/>
      <c r="I261" s="189"/>
      <c r="J261" s="236">
        <f>G261</f>
        <v>480000</v>
      </c>
      <c r="K261" s="189">
        <f>(K263*K266)</f>
        <v>0</v>
      </c>
      <c r="L261" s="189">
        <f>(L263*L266)</f>
        <v>0</v>
      </c>
      <c r="M261" s="189">
        <f>(M263*M266)</f>
        <v>0</v>
      </c>
      <c r="N261" s="189">
        <f>(N263*N266)+16</f>
        <v>580000</v>
      </c>
      <c r="O261" s="189">
        <f>(O263*O266)</f>
        <v>0</v>
      </c>
      <c r="P261" s="189">
        <f>N261</f>
        <v>580000</v>
      </c>
      <c r="IB261" s="191"/>
      <c r="IC261" s="191"/>
      <c r="ID261" s="191"/>
      <c r="IE261" s="191"/>
      <c r="IF261" s="191"/>
      <c r="IG261" s="191"/>
    </row>
    <row r="262" spans="1:241" s="1" customFormat="1" ht="12">
      <c r="A262" s="90" t="s">
        <v>5</v>
      </c>
      <c r="B262" s="105"/>
      <c r="C262" s="105"/>
      <c r="D262" s="105"/>
      <c r="E262" s="105"/>
      <c r="F262" s="105"/>
      <c r="G262" s="105"/>
      <c r="H262" s="105"/>
      <c r="I262" s="105"/>
      <c r="J262" s="113"/>
      <c r="K262" s="114"/>
      <c r="L262" s="114"/>
      <c r="M262" s="115"/>
      <c r="N262" s="105"/>
      <c r="O262" s="105"/>
      <c r="P262" s="113"/>
      <c r="IB262"/>
      <c r="IC262"/>
      <c r="ID262"/>
      <c r="IE262"/>
      <c r="IF262"/>
      <c r="IG262"/>
    </row>
    <row r="263" spans="1:241" s="1" customFormat="1" ht="22.5">
      <c r="A263" s="91" t="s">
        <v>319</v>
      </c>
      <c r="B263" s="105"/>
      <c r="C263" s="105"/>
      <c r="D263" s="105">
        <v>2050</v>
      </c>
      <c r="E263" s="105"/>
      <c r="F263" s="105">
        <f>D263</f>
        <v>2050</v>
      </c>
      <c r="G263" s="106">
        <v>1427</v>
      </c>
      <c r="H263" s="106"/>
      <c r="I263" s="106"/>
      <c r="J263" s="106">
        <f>G263</f>
        <v>1427</v>
      </c>
      <c r="K263" s="116"/>
      <c r="L263" s="116"/>
      <c r="M263" s="116"/>
      <c r="N263" s="106">
        <v>2248</v>
      </c>
      <c r="O263" s="106"/>
      <c r="P263" s="106">
        <f>N263</f>
        <v>2248</v>
      </c>
      <c r="IB263"/>
      <c r="IC263"/>
      <c r="ID263"/>
      <c r="IE263"/>
      <c r="IF263"/>
      <c r="IG263"/>
    </row>
    <row r="264" spans="1:241" s="1" customFormat="1" ht="33.75">
      <c r="A264" s="91" t="s">
        <v>323</v>
      </c>
      <c r="B264" s="105"/>
      <c r="C264" s="105"/>
      <c r="D264" s="105"/>
      <c r="E264" s="105"/>
      <c r="F264" s="105"/>
      <c r="G264" s="106">
        <v>1</v>
      </c>
      <c r="H264" s="106"/>
      <c r="I264" s="106"/>
      <c r="J264" s="106">
        <v>1</v>
      </c>
      <c r="K264" s="116"/>
      <c r="L264" s="116"/>
      <c r="M264" s="116"/>
      <c r="N264" s="106"/>
      <c r="O264" s="106"/>
      <c r="P264" s="106"/>
      <c r="IB264"/>
      <c r="IC264"/>
      <c r="ID264"/>
      <c r="IE264"/>
      <c r="IF264"/>
      <c r="IG264"/>
    </row>
    <row r="265" spans="1:241" s="1" customFormat="1" ht="12">
      <c r="A265" s="90" t="s">
        <v>7</v>
      </c>
      <c r="B265" s="105"/>
      <c r="C265" s="105"/>
      <c r="D265" s="105"/>
      <c r="E265" s="105"/>
      <c r="F265" s="105"/>
      <c r="G265" s="105"/>
      <c r="H265" s="105"/>
      <c r="I265" s="105"/>
      <c r="J265" s="113"/>
      <c r="K265" s="114"/>
      <c r="L265" s="114"/>
      <c r="M265" s="115"/>
      <c r="N265" s="105"/>
      <c r="O265" s="105"/>
      <c r="P265" s="113"/>
      <c r="IB265"/>
      <c r="IC265"/>
      <c r="ID265"/>
      <c r="IE265"/>
      <c r="IF265"/>
      <c r="IG265"/>
    </row>
    <row r="266" spans="1:241" s="1" customFormat="1" ht="22.5">
      <c r="A266" s="91" t="s">
        <v>320</v>
      </c>
      <c r="B266" s="105"/>
      <c r="C266" s="105"/>
      <c r="D266" s="118">
        <v>195.1</v>
      </c>
      <c r="E266" s="118"/>
      <c r="F266" s="118">
        <f>D266</f>
        <v>195.1</v>
      </c>
      <c r="G266" s="118">
        <v>224.3</v>
      </c>
      <c r="H266" s="118"/>
      <c r="I266" s="118"/>
      <c r="J266" s="118">
        <f>G266</f>
        <v>224.3</v>
      </c>
      <c r="K266" s="119"/>
      <c r="L266" s="119"/>
      <c r="M266" s="119"/>
      <c r="N266" s="118">
        <v>258</v>
      </c>
      <c r="O266" s="118"/>
      <c r="P266" s="118">
        <f>N266</f>
        <v>258</v>
      </c>
      <c r="IB266"/>
      <c r="IC266"/>
      <c r="ID266"/>
      <c r="IE266"/>
      <c r="IF266"/>
      <c r="IG266"/>
    </row>
    <row r="267" spans="1:241" s="1" customFormat="1" ht="33.75">
      <c r="A267" s="91" t="s">
        <v>324</v>
      </c>
      <c r="B267" s="105"/>
      <c r="C267" s="105"/>
      <c r="D267" s="118"/>
      <c r="E267" s="118"/>
      <c r="F267" s="118"/>
      <c r="G267" s="118">
        <v>160000</v>
      </c>
      <c r="H267" s="118"/>
      <c r="I267" s="118"/>
      <c r="J267" s="118">
        <f>G267</f>
        <v>160000</v>
      </c>
      <c r="K267" s="119"/>
      <c r="L267" s="119"/>
      <c r="M267" s="119"/>
      <c r="N267" s="118"/>
      <c r="O267" s="118"/>
      <c r="P267" s="118"/>
      <c r="IB267"/>
      <c r="IC267"/>
      <c r="ID267"/>
      <c r="IE267"/>
      <c r="IF267"/>
      <c r="IG267"/>
    </row>
    <row r="268" spans="1:241" s="1" customFormat="1" ht="12">
      <c r="A268" s="90" t="s">
        <v>6</v>
      </c>
      <c r="B268" s="105"/>
      <c r="C268" s="105"/>
      <c r="D268" s="105"/>
      <c r="E268" s="105"/>
      <c r="F268" s="105"/>
      <c r="G268" s="105"/>
      <c r="H268" s="105"/>
      <c r="I268" s="105"/>
      <c r="J268" s="113"/>
      <c r="K268" s="114"/>
      <c r="L268" s="114"/>
      <c r="M268" s="115"/>
      <c r="N268" s="105"/>
      <c r="O268" s="105"/>
      <c r="P268" s="113"/>
      <c r="IB268"/>
      <c r="IC268"/>
      <c r="ID268"/>
      <c r="IE268"/>
      <c r="IF268"/>
      <c r="IG268"/>
    </row>
    <row r="269" spans="1:241" s="1" customFormat="1" ht="24.75" customHeight="1">
      <c r="A269" s="91" t="s">
        <v>321</v>
      </c>
      <c r="B269" s="105"/>
      <c r="C269" s="105"/>
      <c r="D269" s="105"/>
      <c r="E269" s="105"/>
      <c r="F269" s="105"/>
      <c r="G269" s="106">
        <f>G263/D263*100</f>
        <v>69.60975609756098</v>
      </c>
      <c r="H269" s="106"/>
      <c r="I269" s="106"/>
      <c r="J269" s="106">
        <f>G269</f>
        <v>69.60975609756098</v>
      </c>
      <c r="K269" s="116"/>
      <c r="L269" s="116"/>
      <c r="M269" s="116"/>
      <c r="N269" s="106">
        <f>N263/G263*100</f>
        <v>157.5332866152768</v>
      </c>
      <c r="O269" s="106"/>
      <c r="P269" s="106">
        <f>N269</f>
        <v>157.5332866152768</v>
      </c>
      <c r="IB269"/>
      <c r="IC269"/>
      <c r="ID269"/>
      <c r="IE269"/>
      <c r="IF269"/>
      <c r="IG269"/>
    </row>
    <row r="270" spans="1:241" s="1" customFormat="1" ht="33.75">
      <c r="A270" s="91" t="s">
        <v>322</v>
      </c>
      <c r="B270" s="105"/>
      <c r="C270" s="105"/>
      <c r="D270" s="105"/>
      <c r="E270" s="105"/>
      <c r="F270" s="105"/>
      <c r="G270" s="106">
        <f>G266/D266*100</f>
        <v>114.96668375192209</v>
      </c>
      <c r="H270" s="106"/>
      <c r="I270" s="106"/>
      <c r="J270" s="106">
        <f>G270</f>
        <v>114.96668375192209</v>
      </c>
      <c r="K270" s="116"/>
      <c r="L270" s="116"/>
      <c r="M270" s="116"/>
      <c r="N270" s="106">
        <f>N266/G266*100</f>
        <v>115.0245207311636</v>
      </c>
      <c r="O270" s="106"/>
      <c r="P270" s="106">
        <f>N270</f>
        <v>115.0245207311636</v>
      </c>
      <c r="IB270"/>
      <c r="IC270"/>
      <c r="ID270"/>
      <c r="IE270"/>
      <c r="IF270"/>
      <c r="IG270"/>
    </row>
    <row r="271" spans="1:241" s="209" customFormat="1" ht="27" customHeight="1">
      <c r="A271" s="178" t="s">
        <v>350</v>
      </c>
      <c r="B271" s="187"/>
      <c r="C271" s="187"/>
      <c r="D271" s="197"/>
      <c r="E271" s="197">
        <f>E273*E276</f>
        <v>4065000</v>
      </c>
      <c r="F271" s="197">
        <f>F273*F276</f>
        <v>4065000</v>
      </c>
      <c r="G271" s="197"/>
      <c r="H271" s="197">
        <f>H273*H276+H277</f>
        <v>11947000</v>
      </c>
      <c r="I271" s="197"/>
      <c r="J271" s="237">
        <f>H271</f>
        <v>11947000</v>
      </c>
      <c r="K271" s="197">
        <f>K273*K276-4</f>
        <v>-4</v>
      </c>
      <c r="L271" s="197">
        <f>L273*L276-4</f>
        <v>-4</v>
      </c>
      <c r="M271" s="197">
        <f>M273*M276-4</f>
        <v>-4</v>
      </c>
      <c r="N271" s="197"/>
      <c r="O271" s="197">
        <f>O273*O276-5</f>
        <v>2000000</v>
      </c>
      <c r="P271" s="197">
        <f>P273*P276-5</f>
        <v>2000000</v>
      </c>
      <c r="IB271" s="210"/>
      <c r="IC271" s="210"/>
      <c r="ID271" s="210"/>
      <c r="IE271" s="210"/>
      <c r="IF271" s="210"/>
      <c r="IG271" s="210"/>
    </row>
    <row r="272" spans="1:241" s="80" customFormat="1" ht="12">
      <c r="A272" s="90" t="s">
        <v>5</v>
      </c>
      <c r="B272" s="111"/>
      <c r="C272" s="111"/>
      <c r="D272" s="111"/>
      <c r="E272" s="111"/>
      <c r="F272" s="108"/>
      <c r="G272" s="111"/>
      <c r="H272" s="111"/>
      <c r="I272" s="111"/>
      <c r="J272" s="113"/>
      <c r="K272" s="114"/>
      <c r="L272" s="114"/>
      <c r="M272" s="115"/>
      <c r="N272" s="111"/>
      <c r="O272" s="111"/>
      <c r="P272" s="113"/>
      <c r="IB272" s="81"/>
      <c r="IC272" s="81"/>
      <c r="ID272" s="81"/>
      <c r="IE272" s="81"/>
      <c r="IF272" s="81"/>
      <c r="IG272" s="81"/>
    </row>
    <row r="273" spans="1:241" s="80" customFormat="1" ht="25.5" customHeight="1">
      <c r="A273" s="91" t="s">
        <v>176</v>
      </c>
      <c r="B273" s="105"/>
      <c r="C273" s="105"/>
      <c r="D273" s="106"/>
      <c r="E273" s="10">
        <v>24</v>
      </c>
      <c r="F273" s="106">
        <f>E273</f>
        <v>24</v>
      </c>
      <c r="G273" s="106"/>
      <c r="H273" s="106">
        <v>35</v>
      </c>
      <c r="I273" s="106"/>
      <c r="J273" s="106">
        <f>H273</f>
        <v>35</v>
      </c>
      <c r="K273" s="116"/>
      <c r="L273" s="116"/>
      <c r="M273" s="116"/>
      <c r="N273" s="106"/>
      <c r="O273" s="106">
        <v>7</v>
      </c>
      <c r="P273" s="106">
        <f>O273</f>
        <v>7</v>
      </c>
      <c r="IB273" s="81"/>
      <c r="IC273" s="81"/>
      <c r="ID273" s="81"/>
      <c r="IE273" s="81"/>
      <c r="IF273" s="81"/>
      <c r="IG273" s="81"/>
    </row>
    <row r="274" spans="1:241" s="80" customFormat="1" ht="25.5" customHeight="1">
      <c r="A274" s="91" t="s">
        <v>305</v>
      </c>
      <c r="B274" s="105"/>
      <c r="C274" s="105"/>
      <c r="D274" s="106"/>
      <c r="E274" s="10"/>
      <c r="F274" s="106"/>
      <c r="G274" s="106"/>
      <c r="H274" s="106">
        <v>1</v>
      </c>
      <c r="I274" s="106"/>
      <c r="J274" s="106">
        <v>1</v>
      </c>
      <c r="K274" s="116"/>
      <c r="L274" s="116"/>
      <c r="M274" s="116"/>
      <c r="N274" s="106"/>
      <c r="O274" s="106"/>
      <c r="P274" s="106"/>
      <c r="IB274" s="81"/>
      <c r="IC274" s="81"/>
      <c r="ID274" s="81"/>
      <c r="IE274" s="81"/>
      <c r="IF274" s="81"/>
      <c r="IG274" s="81"/>
    </row>
    <row r="275" spans="1:241" s="80" customFormat="1" ht="12">
      <c r="A275" s="90" t="s">
        <v>7</v>
      </c>
      <c r="B275" s="111"/>
      <c r="C275" s="111"/>
      <c r="D275" s="111"/>
      <c r="E275" s="111"/>
      <c r="F275" s="108"/>
      <c r="G275" s="111"/>
      <c r="H275" s="111"/>
      <c r="I275" s="111"/>
      <c r="J275" s="113"/>
      <c r="K275" s="114"/>
      <c r="L275" s="114"/>
      <c r="M275" s="115"/>
      <c r="N275" s="111"/>
      <c r="O275" s="111"/>
      <c r="P275" s="113"/>
      <c r="IB275" s="81"/>
      <c r="IC275" s="81"/>
      <c r="ID275" s="81"/>
      <c r="IE275" s="81"/>
      <c r="IF275" s="81"/>
      <c r="IG275" s="81"/>
    </row>
    <row r="276" spans="1:241" s="80" customFormat="1" ht="26.25" customHeight="1">
      <c r="A276" s="91" t="s">
        <v>177</v>
      </c>
      <c r="B276" s="105"/>
      <c r="C276" s="105"/>
      <c r="D276" s="108"/>
      <c r="E276" s="108">
        <v>169375</v>
      </c>
      <c r="F276" s="108">
        <f>E276</f>
        <v>169375</v>
      </c>
      <c r="G276" s="108"/>
      <c r="H276" s="108">
        <v>264200</v>
      </c>
      <c r="I276" s="108"/>
      <c r="J276" s="108">
        <f>H276</f>
        <v>264200</v>
      </c>
      <c r="K276" s="117"/>
      <c r="L276" s="117"/>
      <c r="M276" s="117"/>
      <c r="N276" s="108"/>
      <c r="O276" s="108">
        <v>285715</v>
      </c>
      <c r="P276" s="108">
        <f>O276</f>
        <v>285715</v>
      </c>
      <c r="IB276" s="81"/>
      <c r="IC276" s="81"/>
      <c r="ID276" s="81"/>
      <c r="IE276" s="81"/>
      <c r="IF276" s="81"/>
      <c r="IG276" s="81"/>
    </row>
    <row r="277" spans="1:241" s="80" customFormat="1" ht="26.25" customHeight="1">
      <c r="A277" s="91" t="s">
        <v>306</v>
      </c>
      <c r="B277" s="105"/>
      <c r="C277" s="105"/>
      <c r="D277" s="108"/>
      <c r="E277" s="108"/>
      <c r="F277" s="108"/>
      <c r="G277" s="108"/>
      <c r="H277" s="108">
        <v>2700000</v>
      </c>
      <c r="I277" s="108"/>
      <c r="J277" s="108">
        <f>H277</f>
        <v>2700000</v>
      </c>
      <c r="K277" s="117"/>
      <c r="L277" s="117"/>
      <c r="M277" s="117"/>
      <c r="N277" s="108"/>
      <c r="O277" s="108"/>
      <c r="P277" s="108"/>
      <c r="IB277" s="81"/>
      <c r="IC277" s="81"/>
      <c r="ID277" s="81"/>
      <c r="IE277" s="81"/>
      <c r="IF277" s="81"/>
      <c r="IG277" s="81"/>
    </row>
    <row r="278" spans="1:241" s="80" customFormat="1" ht="12">
      <c r="A278" s="90" t="s">
        <v>6</v>
      </c>
      <c r="B278" s="105"/>
      <c r="C278" s="105"/>
      <c r="D278" s="105"/>
      <c r="E278" s="105"/>
      <c r="F278" s="105"/>
      <c r="G278" s="105"/>
      <c r="H278" s="105"/>
      <c r="I278" s="105"/>
      <c r="J278" s="113"/>
      <c r="K278" s="114"/>
      <c r="L278" s="114"/>
      <c r="M278" s="115"/>
      <c r="N278" s="105"/>
      <c r="O278" s="105"/>
      <c r="P278" s="113"/>
      <c r="IB278" s="81"/>
      <c r="IC278" s="81"/>
      <c r="ID278" s="81"/>
      <c r="IE278" s="81"/>
      <c r="IF278" s="81"/>
      <c r="IG278" s="81"/>
    </row>
    <row r="279" spans="1:241" s="80" customFormat="1" ht="35.25" customHeight="1">
      <c r="A279" s="91" t="s">
        <v>178</v>
      </c>
      <c r="B279" s="105"/>
      <c r="C279" s="105"/>
      <c r="D279" s="105"/>
      <c r="E279" s="105"/>
      <c r="F279" s="105"/>
      <c r="G279" s="106"/>
      <c r="H279" s="106">
        <f>H276/E276*100</f>
        <v>155.9852398523985</v>
      </c>
      <c r="I279" s="106"/>
      <c r="J279" s="106">
        <f>H279</f>
        <v>155.9852398523985</v>
      </c>
      <c r="K279" s="116"/>
      <c r="L279" s="116"/>
      <c r="M279" s="116"/>
      <c r="N279" s="106"/>
      <c r="O279" s="106">
        <f>O276/H276*100</f>
        <v>108.1434519303558</v>
      </c>
      <c r="P279" s="106">
        <f>O279</f>
        <v>108.1434519303558</v>
      </c>
      <c r="IB279" s="81"/>
      <c r="IC279" s="81"/>
      <c r="ID279" s="81"/>
      <c r="IE279" s="81"/>
      <c r="IF279" s="81"/>
      <c r="IG279" s="81"/>
    </row>
    <row r="280" spans="1:16" ht="15" customHeight="1">
      <c r="A280" s="24" t="s">
        <v>201</v>
      </c>
      <c r="B280" s="25"/>
      <c r="C280" s="25"/>
      <c r="D280" s="86"/>
      <c r="E280" s="86">
        <f>E282+E332</f>
        <v>27028000</v>
      </c>
      <c r="F280" s="86">
        <f>F282+F332</f>
        <v>27028000</v>
      </c>
      <c r="G280" s="86"/>
      <c r="H280" s="86">
        <f>H282+H332</f>
        <v>97972000.00435</v>
      </c>
      <c r="I280" s="86"/>
      <c r="J280" s="238">
        <f>J282+J332</f>
        <v>98472000.00435</v>
      </c>
      <c r="K280" s="86">
        <f>K282+K332</f>
        <v>79607.55515695874</v>
      </c>
      <c r="L280" s="86">
        <f>L282+L332</f>
        <v>0</v>
      </c>
      <c r="M280" s="86">
        <f>M282+M332</f>
        <v>0</v>
      </c>
      <c r="N280" s="86"/>
      <c r="O280" s="86">
        <f>O282+O332</f>
        <v>25730000</v>
      </c>
      <c r="P280" s="86">
        <f>P282+P332</f>
        <v>25730000</v>
      </c>
    </row>
    <row r="281" spans="1:16" ht="45" customHeight="1">
      <c r="A281" s="33" t="s">
        <v>179</v>
      </c>
      <c r="B281" s="8"/>
      <c r="C281" s="8"/>
      <c r="D281" s="9"/>
      <c r="E281" s="18"/>
      <c r="F281" s="18"/>
      <c r="G281" s="9"/>
      <c r="H281" s="18"/>
      <c r="I281" s="18"/>
      <c r="J281" s="18"/>
      <c r="K281" s="11" t="e">
        <f>H281/E281*100</f>
        <v>#DIV/0!</v>
      </c>
      <c r="L281" s="12"/>
      <c r="M281" s="13"/>
      <c r="N281" s="9"/>
      <c r="O281" s="18"/>
      <c r="P281" s="18"/>
    </row>
    <row r="282" spans="1:16" ht="22.5" customHeight="1">
      <c r="A282" s="30" t="s">
        <v>202</v>
      </c>
      <c r="B282" s="40"/>
      <c r="C282" s="40"/>
      <c r="D282" s="40"/>
      <c r="E282" s="37">
        <f>E283+E299+E292+E320</f>
        <v>26028000</v>
      </c>
      <c r="F282" s="37">
        <f>F283+F299+F292+F320</f>
        <v>26028000</v>
      </c>
      <c r="G282" s="37">
        <f aca="true" t="shared" si="30" ref="G282:P282">G283+G299+G292</f>
        <v>500000</v>
      </c>
      <c r="H282" s="37">
        <f>H283+H299+H292+H320</f>
        <v>91972000.00435</v>
      </c>
      <c r="I282" s="37"/>
      <c r="J282" s="235">
        <f>J283+J299+J292+J320</f>
        <v>92472000.00435</v>
      </c>
      <c r="K282" s="37">
        <f t="shared" si="30"/>
        <v>79607.55515695874</v>
      </c>
      <c r="L282" s="37">
        <f t="shared" si="30"/>
        <v>0</v>
      </c>
      <c r="M282" s="37">
        <f t="shared" si="30"/>
        <v>0</v>
      </c>
      <c r="N282" s="37">
        <f t="shared" si="30"/>
        <v>0</v>
      </c>
      <c r="O282" s="37">
        <f t="shared" si="30"/>
        <v>24150000</v>
      </c>
      <c r="P282" s="37">
        <f t="shared" si="30"/>
        <v>24150000</v>
      </c>
    </row>
    <row r="283" spans="1:235" s="191" customFormat="1" ht="22.5">
      <c r="A283" s="178" t="s">
        <v>351</v>
      </c>
      <c r="B283" s="187"/>
      <c r="C283" s="187"/>
      <c r="D283" s="187"/>
      <c r="E283" s="189">
        <f>E287*E289-20</f>
        <v>2500000</v>
      </c>
      <c r="F283" s="189">
        <f>E283</f>
        <v>2500000</v>
      </c>
      <c r="G283" s="189"/>
      <c r="H283" s="189">
        <f>H287*H289-48</f>
        <v>19902000.00435</v>
      </c>
      <c r="I283" s="189"/>
      <c r="J283" s="236">
        <f>H283</f>
        <v>19902000.00435</v>
      </c>
      <c r="K283" s="189">
        <f aca="true" t="shared" si="31" ref="K283:P283">K287*K289</f>
        <v>79607.55515695874</v>
      </c>
      <c r="L283" s="189">
        <f t="shared" si="31"/>
        <v>0</v>
      </c>
      <c r="M283" s="189">
        <f t="shared" si="31"/>
        <v>0</v>
      </c>
      <c r="N283" s="189"/>
      <c r="O283" s="189">
        <f t="shared" si="31"/>
        <v>3600000</v>
      </c>
      <c r="P283" s="189">
        <f t="shared" si="31"/>
        <v>3600000</v>
      </c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0"/>
      <c r="BN283" s="190"/>
      <c r="BO283" s="190"/>
      <c r="BP283" s="190"/>
      <c r="BQ283" s="190"/>
      <c r="BR283" s="190"/>
      <c r="BS283" s="190"/>
      <c r="BT283" s="190"/>
      <c r="BU283" s="190"/>
      <c r="BV283" s="190"/>
      <c r="BW283" s="190"/>
      <c r="BX283" s="190"/>
      <c r="BY283" s="190"/>
      <c r="BZ283" s="190"/>
      <c r="CA283" s="190"/>
      <c r="CB283" s="190"/>
      <c r="CC283" s="190"/>
      <c r="CD283" s="190"/>
      <c r="CE283" s="190"/>
      <c r="CF283" s="190"/>
      <c r="CG283" s="190"/>
      <c r="CH283" s="190"/>
      <c r="CI283" s="190"/>
      <c r="CJ283" s="190"/>
      <c r="CK283" s="190"/>
      <c r="CL283" s="190"/>
      <c r="CM283" s="190"/>
      <c r="CN283" s="190"/>
      <c r="CO283" s="190"/>
      <c r="CP283" s="190"/>
      <c r="CQ283" s="190"/>
      <c r="CR283" s="190"/>
      <c r="CS283" s="190"/>
      <c r="CT283" s="190"/>
      <c r="CU283" s="190"/>
      <c r="CV283" s="190"/>
      <c r="CW283" s="190"/>
      <c r="CX283" s="190"/>
      <c r="CY283" s="190"/>
      <c r="CZ283" s="190"/>
      <c r="DA283" s="190"/>
      <c r="DB283" s="190"/>
      <c r="DC283" s="190"/>
      <c r="DD283" s="190"/>
      <c r="DE283" s="190"/>
      <c r="DF283" s="190"/>
      <c r="DG283" s="190"/>
      <c r="DH283" s="190"/>
      <c r="DI283" s="190"/>
      <c r="DJ283" s="190"/>
      <c r="DK283" s="190"/>
      <c r="DL283" s="190"/>
      <c r="DM283" s="190"/>
      <c r="DN283" s="190"/>
      <c r="DO283" s="190"/>
      <c r="DP283" s="190"/>
      <c r="DQ283" s="190"/>
      <c r="DR283" s="190"/>
      <c r="DS283" s="190"/>
      <c r="DT283" s="190"/>
      <c r="DU283" s="190"/>
      <c r="DV283" s="190"/>
      <c r="DW283" s="190"/>
      <c r="DX283" s="190"/>
      <c r="DY283" s="190"/>
      <c r="DZ283" s="190"/>
      <c r="EA283" s="190"/>
      <c r="EB283" s="190"/>
      <c r="EC283" s="190"/>
      <c r="ED283" s="190"/>
      <c r="EE283" s="190"/>
      <c r="EF283" s="190"/>
      <c r="EG283" s="190"/>
      <c r="EH283" s="190"/>
      <c r="EI283" s="190"/>
      <c r="EJ283" s="190"/>
      <c r="EK283" s="190"/>
      <c r="EL283" s="190"/>
      <c r="EM283" s="190"/>
      <c r="EN283" s="190"/>
      <c r="EO283" s="190"/>
      <c r="EP283" s="190"/>
      <c r="EQ283" s="190"/>
      <c r="ER283" s="190"/>
      <c r="ES283" s="190"/>
      <c r="ET283" s="190"/>
      <c r="EU283" s="190"/>
      <c r="EV283" s="190"/>
      <c r="EW283" s="190"/>
      <c r="EX283" s="190"/>
      <c r="EY283" s="190"/>
      <c r="EZ283" s="190"/>
      <c r="FA283" s="190"/>
      <c r="FB283" s="190"/>
      <c r="FC283" s="190"/>
      <c r="FD283" s="190"/>
      <c r="FE283" s="190"/>
      <c r="FF283" s="190"/>
      <c r="FG283" s="190"/>
      <c r="FH283" s="190"/>
      <c r="FI283" s="190"/>
      <c r="FJ283" s="190"/>
      <c r="FK283" s="190"/>
      <c r="FL283" s="190"/>
      <c r="FM283" s="190"/>
      <c r="FN283" s="190"/>
      <c r="FO283" s="190"/>
      <c r="FP283" s="190"/>
      <c r="FQ283" s="190"/>
      <c r="FR283" s="190"/>
      <c r="FS283" s="190"/>
      <c r="FT283" s="190"/>
      <c r="FU283" s="190"/>
      <c r="FV283" s="190"/>
      <c r="FW283" s="190"/>
      <c r="FX283" s="190"/>
      <c r="FY283" s="190"/>
      <c r="FZ283" s="190"/>
      <c r="GA283" s="190"/>
      <c r="GB283" s="190"/>
      <c r="GC283" s="190"/>
      <c r="GD283" s="190"/>
      <c r="GE283" s="190"/>
      <c r="GF283" s="190"/>
      <c r="GG283" s="190"/>
      <c r="GH283" s="190"/>
      <c r="GI283" s="190"/>
      <c r="GJ283" s="190"/>
      <c r="GK283" s="190"/>
      <c r="GL283" s="190"/>
      <c r="GM283" s="190"/>
      <c r="GN283" s="190"/>
      <c r="GO283" s="190"/>
      <c r="GP283" s="190"/>
      <c r="GQ283" s="190"/>
      <c r="GR283" s="190"/>
      <c r="GS283" s="190"/>
      <c r="GT283" s="190"/>
      <c r="GU283" s="190"/>
      <c r="GV283" s="190"/>
      <c r="GW283" s="190"/>
      <c r="GX283" s="190"/>
      <c r="GY283" s="190"/>
      <c r="GZ283" s="190"/>
      <c r="HA283" s="190"/>
      <c r="HB283" s="190"/>
      <c r="HC283" s="190"/>
      <c r="HD283" s="190"/>
      <c r="HE283" s="190"/>
      <c r="HF283" s="190"/>
      <c r="HG283" s="190"/>
      <c r="HH283" s="190"/>
      <c r="HI283" s="190"/>
      <c r="HJ283" s="190"/>
      <c r="HK283" s="190"/>
      <c r="HL283" s="190"/>
      <c r="HM283" s="190"/>
      <c r="HN283" s="190"/>
      <c r="HO283" s="190"/>
      <c r="HP283" s="190"/>
      <c r="HQ283" s="190"/>
      <c r="HR283" s="190"/>
      <c r="HS283" s="190"/>
      <c r="HT283" s="190"/>
      <c r="HU283" s="190"/>
      <c r="HV283" s="190"/>
      <c r="HW283" s="190"/>
      <c r="HX283" s="190"/>
      <c r="HY283" s="190"/>
      <c r="HZ283" s="190"/>
      <c r="IA283" s="190"/>
    </row>
    <row r="284" spans="1:16" ht="11.25">
      <c r="A284" s="31" t="s">
        <v>4</v>
      </c>
      <c r="B284" s="6"/>
      <c r="C284" s="6"/>
      <c r="D284" s="9"/>
      <c r="E284" s="17"/>
      <c r="F284" s="17"/>
      <c r="G284" s="9"/>
      <c r="H284" s="17"/>
      <c r="I284" s="17"/>
      <c r="J284" s="17"/>
      <c r="K284" s="11"/>
      <c r="L284" s="12"/>
      <c r="M284" s="12"/>
      <c r="N284" s="9"/>
      <c r="O284" s="17"/>
      <c r="P284" s="17"/>
    </row>
    <row r="285" spans="1:16" ht="22.5">
      <c r="A285" s="91" t="s">
        <v>180</v>
      </c>
      <c r="B285" s="105"/>
      <c r="C285" s="105"/>
      <c r="D285" s="105"/>
      <c r="E285" s="105">
        <v>1172</v>
      </c>
      <c r="F285" s="105">
        <f>E285</f>
        <v>1172</v>
      </c>
      <c r="G285" s="105"/>
      <c r="H285" s="105">
        <f>F285</f>
        <v>1172</v>
      </c>
      <c r="I285" s="105"/>
      <c r="J285" s="105">
        <f>H285</f>
        <v>1172</v>
      </c>
      <c r="K285" s="108"/>
      <c r="L285" s="109"/>
      <c r="M285" s="109"/>
      <c r="N285" s="105"/>
      <c r="O285" s="105">
        <f>H285</f>
        <v>1172</v>
      </c>
      <c r="P285" s="105">
        <f>O285</f>
        <v>1172</v>
      </c>
    </row>
    <row r="286" spans="1:16" ht="11.25">
      <c r="A286" s="90" t="s">
        <v>5</v>
      </c>
      <c r="B286" s="111"/>
      <c r="C286" s="111"/>
      <c r="D286" s="105"/>
      <c r="E286" s="111"/>
      <c r="F286" s="111"/>
      <c r="G286" s="105"/>
      <c r="H286" s="111"/>
      <c r="I286" s="111"/>
      <c r="J286" s="111"/>
      <c r="K286" s="108" t="e">
        <f>H286/E286*100</f>
        <v>#DIV/0!</v>
      </c>
      <c r="L286" s="111"/>
      <c r="M286" s="111"/>
      <c r="N286" s="105"/>
      <c r="O286" s="111"/>
      <c r="P286" s="111"/>
    </row>
    <row r="287" spans="1:16" ht="22.5">
      <c r="A287" s="91" t="s">
        <v>181</v>
      </c>
      <c r="B287" s="105"/>
      <c r="C287" s="105"/>
      <c r="D287" s="105"/>
      <c r="E287" s="106">
        <v>19</v>
      </c>
      <c r="F287" s="106">
        <f>E287</f>
        <v>19</v>
      </c>
      <c r="G287" s="106"/>
      <c r="H287" s="106">
        <f>132+3</f>
        <v>135</v>
      </c>
      <c r="I287" s="106"/>
      <c r="J287" s="106">
        <f>H287</f>
        <v>135</v>
      </c>
      <c r="K287" s="106">
        <f>H287/E287*100</f>
        <v>710.5263157894738</v>
      </c>
      <c r="L287" s="106"/>
      <c r="M287" s="106"/>
      <c r="N287" s="106"/>
      <c r="O287" s="106">
        <v>25</v>
      </c>
      <c r="P287" s="106">
        <f>O287</f>
        <v>25</v>
      </c>
    </row>
    <row r="288" spans="1:16" ht="11.25">
      <c r="A288" s="90" t="s">
        <v>7</v>
      </c>
      <c r="B288" s="111"/>
      <c r="C288" s="111"/>
      <c r="D288" s="105"/>
      <c r="E288" s="111"/>
      <c r="F288" s="111"/>
      <c r="G288" s="105"/>
      <c r="H288" s="111"/>
      <c r="I288" s="111"/>
      <c r="J288" s="111"/>
      <c r="K288" s="108" t="e">
        <f>H288/E288*100</f>
        <v>#DIV/0!</v>
      </c>
      <c r="L288" s="111"/>
      <c r="M288" s="111"/>
      <c r="N288" s="105"/>
      <c r="O288" s="111"/>
      <c r="P288" s="111"/>
    </row>
    <row r="289" spans="1:16" ht="24" customHeight="1">
      <c r="A289" s="91" t="s">
        <v>182</v>
      </c>
      <c r="B289" s="105"/>
      <c r="C289" s="105"/>
      <c r="D289" s="105"/>
      <c r="E289" s="108">
        <v>131580</v>
      </c>
      <c r="F289" s="108">
        <f>E289</f>
        <v>131580</v>
      </c>
      <c r="G289" s="105"/>
      <c r="H289" s="108">
        <f>147422.57781</f>
        <v>147422.57781</v>
      </c>
      <c r="I289" s="108"/>
      <c r="J289" s="108">
        <f>H289</f>
        <v>147422.57781</v>
      </c>
      <c r="K289" s="108">
        <f>H289/E289*100</f>
        <v>112.04026281349748</v>
      </c>
      <c r="L289" s="105"/>
      <c r="M289" s="108"/>
      <c r="N289" s="105"/>
      <c r="O289" s="108">
        <v>144000</v>
      </c>
      <c r="P289" s="108">
        <f>O289</f>
        <v>144000</v>
      </c>
    </row>
    <row r="290" spans="1:16" ht="11.25">
      <c r="A290" s="90" t="s">
        <v>6</v>
      </c>
      <c r="B290" s="111"/>
      <c r="C290" s="111"/>
      <c r="D290" s="105"/>
      <c r="E290" s="108"/>
      <c r="F290" s="108"/>
      <c r="G290" s="105"/>
      <c r="H290" s="108"/>
      <c r="I290" s="108"/>
      <c r="J290" s="108"/>
      <c r="K290" s="108"/>
      <c r="L290" s="105"/>
      <c r="M290" s="108"/>
      <c r="N290" s="105"/>
      <c r="O290" s="108"/>
      <c r="P290" s="108"/>
    </row>
    <row r="291" spans="1:16" ht="50.25" customHeight="1">
      <c r="A291" s="91" t="s">
        <v>183</v>
      </c>
      <c r="B291" s="105"/>
      <c r="C291" s="105"/>
      <c r="D291" s="105"/>
      <c r="E291" s="108"/>
      <c r="F291" s="108"/>
      <c r="G291" s="105"/>
      <c r="H291" s="108">
        <f>H287/H285*100</f>
        <v>11.518771331058021</v>
      </c>
      <c r="I291" s="108"/>
      <c r="J291" s="108">
        <f>J287/J285*100</f>
        <v>11.518771331058021</v>
      </c>
      <c r="K291" s="108" t="e">
        <f>K287/K285*100</f>
        <v>#DIV/0!</v>
      </c>
      <c r="L291" s="108" t="e">
        <f>L287/L285*100</f>
        <v>#DIV/0!</v>
      </c>
      <c r="M291" s="108" t="e">
        <f>M287/M285*100</f>
        <v>#DIV/0!</v>
      </c>
      <c r="N291" s="105"/>
      <c r="O291" s="108">
        <f>O287/O285*100</f>
        <v>2.1331058020477816</v>
      </c>
      <c r="P291" s="108">
        <f>P287/P285*100</f>
        <v>2.1331058020477816</v>
      </c>
    </row>
    <row r="292" spans="1:235" s="191" customFormat="1" ht="29.25" customHeight="1">
      <c r="A292" s="178" t="s">
        <v>352</v>
      </c>
      <c r="B292" s="187"/>
      <c r="C292" s="187"/>
      <c r="D292" s="189"/>
      <c r="E292" s="189">
        <f>5000000</f>
        <v>5000000</v>
      </c>
      <c r="F292" s="189">
        <f>E292</f>
        <v>5000000</v>
      </c>
      <c r="G292" s="189"/>
      <c r="H292" s="189">
        <f>20000000+12500000</f>
        <v>32500000</v>
      </c>
      <c r="I292" s="189"/>
      <c r="J292" s="236">
        <f>H292</f>
        <v>32500000</v>
      </c>
      <c r="K292" s="189"/>
      <c r="L292" s="189"/>
      <c r="M292" s="189"/>
      <c r="N292" s="189"/>
      <c r="O292" s="189">
        <v>5000000</v>
      </c>
      <c r="P292" s="189">
        <v>5000000</v>
      </c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90"/>
      <c r="AD292" s="190"/>
      <c r="AE292" s="190"/>
      <c r="AF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  <c r="BI292" s="190"/>
      <c r="BJ292" s="190"/>
      <c r="BK292" s="190"/>
      <c r="BL292" s="190"/>
      <c r="BM292" s="190"/>
      <c r="BN292" s="190"/>
      <c r="BO292" s="190"/>
      <c r="BP292" s="190"/>
      <c r="BQ292" s="190"/>
      <c r="BR292" s="190"/>
      <c r="BS292" s="190"/>
      <c r="BT292" s="190"/>
      <c r="BU292" s="190"/>
      <c r="BV292" s="190"/>
      <c r="BW292" s="190"/>
      <c r="BX292" s="190"/>
      <c r="BY292" s="190"/>
      <c r="BZ292" s="190"/>
      <c r="CA292" s="190"/>
      <c r="CB292" s="190"/>
      <c r="CC292" s="190"/>
      <c r="CD292" s="190"/>
      <c r="CE292" s="190"/>
      <c r="CF292" s="190"/>
      <c r="CG292" s="190"/>
      <c r="CH292" s="190"/>
      <c r="CI292" s="190"/>
      <c r="CJ292" s="190"/>
      <c r="CK292" s="190"/>
      <c r="CL292" s="190"/>
      <c r="CM292" s="190"/>
      <c r="CN292" s="190"/>
      <c r="CO292" s="190"/>
      <c r="CP292" s="190"/>
      <c r="CQ292" s="190"/>
      <c r="CR292" s="190"/>
      <c r="CS292" s="190"/>
      <c r="CT292" s="190"/>
      <c r="CU292" s="190"/>
      <c r="CV292" s="190"/>
      <c r="CW292" s="190"/>
      <c r="CX292" s="190"/>
      <c r="CY292" s="190"/>
      <c r="CZ292" s="190"/>
      <c r="DA292" s="190"/>
      <c r="DB292" s="190"/>
      <c r="DC292" s="190"/>
      <c r="DD292" s="190"/>
      <c r="DE292" s="190"/>
      <c r="DF292" s="190"/>
      <c r="DG292" s="190"/>
      <c r="DH292" s="190"/>
      <c r="DI292" s="190"/>
      <c r="DJ292" s="190"/>
      <c r="DK292" s="190"/>
      <c r="DL292" s="190"/>
      <c r="DM292" s="190"/>
      <c r="DN292" s="190"/>
      <c r="DO292" s="190"/>
      <c r="DP292" s="190"/>
      <c r="DQ292" s="190"/>
      <c r="DR292" s="190"/>
      <c r="DS292" s="190"/>
      <c r="DT292" s="190"/>
      <c r="DU292" s="190"/>
      <c r="DV292" s="190"/>
      <c r="DW292" s="190"/>
      <c r="DX292" s="190"/>
      <c r="DY292" s="190"/>
      <c r="DZ292" s="190"/>
      <c r="EA292" s="190"/>
      <c r="EB292" s="190"/>
      <c r="EC292" s="190"/>
      <c r="ED292" s="190"/>
      <c r="EE292" s="190"/>
      <c r="EF292" s="190"/>
      <c r="EG292" s="190"/>
      <c r="EH292" s="190"/>
      <c r="EI292" s="190"/>
      <c r="EJ292" s="190"/>
      <c r="EK292" s="190"/>
      <c r="EL292" s="190"/>
      <c r="EM292" s="190"/>
      <c r="EN292" s="190"/>
      <c r="EO292" s="190"/>
      <c r="EP292" s="190"/>
      <c r="EQ292" s="190"/>
      <c r="ER292" s="190"/>
      <c r="ES292" s="190"/>
      <c r="ET292" s="190"/>
      <c r="EU292" s="190"/>
      <c r="EV292" s="190"/>
      <c r="EW292" s="190"/>
      <c r="EX292" s="190"/>
      <c r="EY292" s="190"/>
      <c r="EZ292" s="190"/>
      <c r="FA292" s="190"/>
      <c r="FB292" s="190"/>
      <c r="FC292" s="190"/>
      <c r="FD292" s="190"/>
      <c r="FE292" s="190"/>
      <c r="FF292" s="190"/>
      <c r="FG292" s="190"/>
      <c r="FH292" s="190"/>
      <c r="FI292" s="190"/>
      <c r="FJ292" s="190"/>
      <c r="FK292" s="190"/>
      <c r="FL292" s="190"/>
      <c r="FM292" s="190"/>
      <c r="FN292" s="190"/>
      <c r="FO292" s="190"/>
      <c r="FP292" s="190"/>
      <c r="FQ292" s="190"/>
      <c r="FR292" s="190"/>
      <c r="FS292" s="190"/>
      <c r="FT292" s="190"/>
      <c r="FU292" s="190"/>
      <c r="FV292" s="190"/>
      <c r="FW292" s="190"/>
      <c r="FX292" s="190"/>
      <c r="FY292" s="190"/>
      <c r="FZ292" s="190"/>
      <c r="GA292" s="190"/>
      <c r="GB292" s="190"/>
      <c r="GC292" s="190"/>
      <c r="GD292" s="190"/>
      <c r="GE292" s="190"/>
      <c r="GF292" s="190"/>
      <c r="GG292" s="190"/>
      <c r="GH292" s="190"/>
      <c r="GI292" s="190"/>
      <c r="GJ292" s="190"/>
      <c r="GK292" s="190"/>
      <c r="GL292" s="190"/>
      <c r="GM292" s="190"/>
      <c r="GN292" s="190"/>
      <c r="GO292" s="190"/>
      <c r="GP292" s="190"/>
      <c r="GQ292" s="190"/>
      <c r="GR292" s="190"/>
      <c r="GS292" s="190"/>
      <c r="GT292" s="190"/>
      <c r="GU292" s="190"/>
      <c r="GV292" s="190"/>
      <c r="GW292" s="190"/>
      <c r="GX292" s="190"/>
      <c r="GY292" s="190"/>
      <c r="GZ292" s="190"/>
      <c r="HA292" s="190"/>
      <c r="HB292" s="190"/>
      <c r="HC292" s="190"/>
      <c r="HD292" s="190"/>
      <c r="HE292" s="190"/>
      <c r="HF292" s="190"/>
      <c r="HG292" s="190"/>
      <c r="HH292" s="190"/>
      <c r="HI292" s="190"/>
      <c r="HJ292" s="190"/>
      <c r="HK292" s="190"/>
      <c r="HL292" s="190"/>
      <c r="HM292" s="190"/>
      <c r="HN292" s="190"/>
      <c r="HO292" s="190"/>
      <c r="HP292" s="190"/>
      <c r="HQ292" s="190"/>
      <c r="HR292" s="190"/>
      <c r="HS292" s="190"/>
      <c r="HT292" s="190"/>
      <c r="HU292" s="190"/>
      <c r="HV292" s="190"/>
      <c r="HW292" s="190"/>
      <c r="HX292" s="190"/>
      <c r="HY292" s="190"/>
      <c r="HZ292" s="190"/>
      <c r="IA292" s="190"/>
    </row>
    <row r="293" spans="1:235" s="148" customFormat="1" ht="11.25">
      <c r="A293" s="31" t="s">
        <v>4</v>
      </c>
      <c r="B293" s="8"/>
      <c r="C293" s="8"/>
      <c r="D293" s="8"/>
      <c r="E293" s="7"/>
      <c r="F293" s="7"/>
      <c r="G293" s="8"/>
      <c r="H293" s="7"/>
      <c r="I293" s="7"/>
      <c r="J293" s="7"/>
      <c r="K293" s="7"/>
      <c r="L293" s="7"/>
      <c r="M293" s="7"/>
      <c r="N293" s="8"/>
      <c r="O293" s="7"/>
      <c r="P293" s="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  <c r="BI293" s="147"/>
      <c r="BJ293" s="147"/>
      <c r="BK293" s="147"/>
      <c r="BL293" s="147"/>
      <c r="BM293" s="147"/>
      <c r="BN293" s="147"/>
      <c r="BO293" s="147"/>
      <c r="BP293" s="147"/>
      <c r="BQ293" s="147"/>
      <c r="BR293" s="147"/>
      <c r="BS293" s="147"/>
      <c r="BT293" s="147"/>
      <c r="BU293" s="147"/>
      <c r="BV293" s="147"/>
      <c r="BW293" s="147"/>
      <c r="BX293" s="147"/>
      <c r="BY293" s="147"/>
      <c r="BZ293" s="147"/>
      <c r="CA293" s="147"/>
      <c r="CB293" s="147"/>
      <c r="CC293" s="147"/>
      <c r="CD293" s="147"/>
      <c r="CE293" s="147"/>
      <c r="CF293" s="147"/>
      <c r="CG293" s="147"/>
      <c r="CH293" s="147"/>
      <c r="CI293" s="147"/>
      <c r="CJ293" s="147"/>
      <c r="CK293" s="147"/>
      <c r="CL293" s="147"/>
      <c r="CM293" s="147"/>
      <c r="CN293" s="147"/>
      <c r="CO293" s="147"/>
      <c r="CP293" s="147"/>
      <c r="CQ293" s="147"/>
      <c r="CR293" s="147"/>
      <c r="CS293" s="147"/>
      <c r="CT293" s="147"/>
      <c r="CU293" s="147"/>
      <c r="CV293" s="147"/>
      <c r="CW293" s="147"/>
      <c r="CX293" s="147"/>
      <c r="CY293" s="147"/>
      <c r="CZ293" s="147"/>
      <c r="DA293" s="147"/>
      <c r="DB293" s="147"/>
      <c r="DC293" s="147"/>
      <c r="DD293" s="147"/>
      <c r="DE293" s="147"/>
      <c r="DF293" s="147"/>
      <c r="DG293" s="147"/>
      <c r="DH293" s="147"/>
      <c r="DI293" s="147"/>
      <c r="DJ293" s="147"/>
      <c r="DK293" s="147"/>
      <c r="DL293" s="147"/>
      <c r="DM293" s="147"/>
      <c r="DN293" s="147"/>
      <c r="DO293" s="147"/>
      <c r="DP293" s="147"/>
      <c r="DQ293" s="147"/>
      <c r="DR293" s="147"/>
      <c r="DS293" s="147"/>
      <c r="DT293" s="147"/>
      <c r="DU293" s="147"/>
      <c r="DV293" s="147"/>
      <c r="DW293" s="147"/>
      <c r="DX293" s="147"/>
      <c r="DY293" s="147"/>
      <c r="DZ293" s="147"/>
      <c r="EA293" s="147"/>
      <c r="EB293" s="147"/>
      <c r="EC293" s="147"/>
      <c r="ED293" s="147"/>
      <c r="EE293" s="147"/>
      <c r="EF293" s="147"/>
      <c r="EG293" s="147"/>
      <c r="EH293" s="147"/>
      <c r="EI293" s="147"/>
      <c r="EJ293" s="147"/>
      <c r="EK293" s="147"/>
      <c r="EL293" s="147"/>
      <c r="EM293" s="147"/>
      <c r="EN293" s="147"/>
      <c r="EO293" s="147"/>
      <c r="EP293" s="147"/>
      <c r="EQ293" s="147"/>
      <c r="ER293" s="147"/>
      <c r="ES293" s="147"/>
      <c r="ET293" s="147"/>
      <c r="EU293" s="147"/>
      <c r="EV293" s="147"/>
      <c r="EW293" s="147"/>
      <c r="EX293" s="147"/>
      <c r="EY293" s="147"/>
      <c r="EZ293" s="147"/>
      <c r="FA293" s="147"/>
      <c r="FB293" s="147"/>
      <c r="FC293" s="147"/>
      <c r="FD293" s="147"/>
      <c r="FE293" s="147"/>
      <c r="FF293" s="147"/>
      <c r="FG293" s="147"/>
      <c r="FH293" s="147"/>
      <c r="FI293" s="147"/>
      <c r="FJ293" s="147"/>
      <c r="FK293" s="147"/>
      <c r="FL293" s="147"/>
      <c r="FM293" s="147"/>
      <c r="FN293" s="147"/>
      <c r="FO293" s="147"/>
      <c r="FP293" s="147"/>
      <c r="FQ293" s="147"/>
      <c r="FR293" s="147"/>
      <c r="FS293" s="147"/>
      <c r="FT293" s="147"/>
      <c r="FU293" s="147"/>
      <c r="FV293" s="147"/>
      <c r="FW293" s="147"/>
      <c r="FX293" s="147"/>
      <c r="FY293" s="147"/>
      <c r="FZ293" s="147"/>
      <c r="GA293" s="147"/>
      <c r="GB293" s="147"/>
      <c r="GC293" s="147"/>
      <c r="GD293" s="147"/>
      <c r="GE293" s="147"/>
      <c r="GF293" s="147"/>
      <c r="GG293" s="147"/>
      <c r="GH293" s="147"/>
      <c r="GI293" s="147"/>
      <c r="GJ293" s="147"/>
      <c r="GK293" s="147"/>
      <c r="GL293" s="147"/>
      <c r="GM293" s="147"/>
      <c r="GN293" s="147"/>
      <c r="GO293" s="147"/>
      <c r="GP293" s="147"/>
      <c r="GQ293" s="147"/>
      <c r="GR293" s="147"/>
      <c r="GS293" s="147"/>
      <c r="GT293" s="147"/>
      <c r="GU293" s="147"/>
      <c r="GV293" s="147"/>
      <c r="GW293" s="147"/>
      <c r="GX293" s="147"/>
      <c r="GY293" s="147"/>
      <c r="GZ293" s="147"/>
      <c r="HA293" s="147"/>
      <c r="HB293" s="147"/>
      <c r="HC293" s="147"/>
      <c r="HD293" s="147"/>
      <c r="HE293" s="147"/>
      <c r="HF293" s="147"/>
      <c r="HG293" s="147"/>
      <c r="HH293" s="147"/>
      <c r="HI293" s="147"/>
      <c r="HJ293" s="147"/>
      <c r="HK293" s="147"/>
      <c r="HL293" s="147"/>
      <c r="HM293" s="147"/>
      <c r="HN293" s="147"/>
      <c r="HO293" s="147"/>
      <c r="HP293" s="147"/>
      <c r="HQ293" s="147"/>
      <c r="HR293" s="147"/>
      <c r="HS293" s="147"/>
      <c r="HT293" s="147"/>
      <c r="HU293" s="147"/>
      <c r="HV293" s="147"/>
      <c r="HW293" s="147"/>
      <c r="HX293" s="147"/>
      <c r="HY293" s="147"/>
      <c r="HZ293" s="147"/>
      <c r="IA293" s="147"/>
    </row>
    <row r="294" spans="1:235" s="148" customFormat="1" ht="25.5" customHeight="1">
      <c r="A294" s="32" t="s">
        <v>273</v>
      </c>
      <c r="B294" s="8"/>
      <c r="C294" s="8"/>
      <c r="D294" s="8"/>
      <c r="E294" s="10">
        <f>(1511*70)/100</f>
        <v>1057.7</v>
      </c>
      <c r="F294" s="10">
        <f>E294</f>
        <v>1057.7</v>
      </c>
      <c r="G294" s="8"/>
      <c r="H294" s="7">
        <f>1058-35</f>
        <v>1023</v>
      </c>
      <c r="I294" s="7"/>
      <c r="J294" s="7">
        <f>H294</f>
        <v>1023</v>
      </c>
      <c r="K294" s="7"/>
      <c r="L294" s="7"/>
      <c r="M294" s="7"/>
      <c r="N294" s="8"/>
      <c r="O294" s="7">
        <f>1023-43</f>
        <v>980</v>
      </c>
      <c r="P294" s="7">
        <f>O294</f>
        <v>980</v>
      </c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  <c r="BI294" s="147"/>
      <c r="BJ294" s="147"/>
      <c r="BK294" s="147"/>
      <c r="BL294" s="147"/>
      <c r="BM294" s="147"/>
      <c r="BN294" s="147"/>
      <c r="BO294" s="147"/>
      <c r="BP294" s="147"/>
      <c r="BQ294" s="147"/>
      <c r="BR294" s="147"/>
      <c r="BS294" s="147"/>
      <c r="BT294" s="147"/>
      <c r="BU294" s="147"/>
      <c r="BV294" s="147"/>
      <c r="BW294" s="147"/>
      <c r="BX294" s="147"/>
      <c r="BY294" s="147"/>
      <c r="BZ294" s="147"/>
      <c r="CA294" s="147"/>
      <c r="CB294" s="147"/>
      <c r="CC294" s="147"/>
      <c r="CD294" s="147"/>
      <c r="CE294" s="147"/>
      <c r="CF294" s="147"/>
      <c r="CG294" s="147"/>
      <c r="CH294" s="147"/>
      <c r="CI294" s="147"/>
      <c r="CJ294" s="147"/>
      <c r="CK294" s="147"/>
      <c r="CL294" s="147"/>
      <c r="CM294" s="147"/>
      <c r="CN294" s="147"/>
      <c r="CO294" s="147"/>
      <c r="CP294" s="147"/>
      <c r="CQ294" s="147"/>
      <c r="CR294" s="147"/>
      <c r="CS294" s="147"/>
      <c r="CT294" s="147"/>
      <c r="CU294" s="147"/>
      <c r="CV294" s="147"/>
      <c r="CW294" s="147"/>
      <c r="CX294" s="147"/>
      <c r="CY294" s="147"/>
      <c r="CZ294" s="147"/>
      <c r="DA294" s="147"/>
      <c r="DB294" s="147"/>
      <c r="DC294" s="147"/>
      <c r="DD294" s="147"/>
      <c r="DE294" s="147"/>
      <c r="DF294" s="147"/>
      <c r="DG294" s="147"/>
      <c r="DH294" s="147"/>
      <c r="DI294" s="147"/>
      <c r="DJ294" s="147"/>
      <c r="DK294" s="147"/>
      <c r="DL294" s="147"/>
      <c r="DM294" s="147"/>
      <c r="DN294" s="147"/>
      <c r="DO294" s="147"/>
      <c r="DP294" s="147"/>
      <c r="DQ294" s="147"/>
      <c r="DR294" s="147"/>
      <c r="DS294" s="147"/>
      <c r="DT294" s="147"/>
      <c r="DU294" s="147"/>
      <c r="DV294" s="147"/>
      <c r="DW294" s="147"/>
      <c r="DX294" s="147"/>
      <c r="DY294" s="147"/>
      <c r="DZ294" s="147"/>
      <c r="EA294" s="147"/>
      <c r="EB294" s="147"/>
      <c r="EC294" s="147"/>
      <c r="ED294" s="147"/>
      <c r="EE294" s="147"/>
      <c r="EF294" s="147"/>
      <c r="EG294" s="147"/>
      <c r="EH294" s="147"/>
      <c r="EI294" s="147"/>
      <c r="EJ294" s="147"/>
      <c r="EK294" s="147"/>
      <c r="EL294" s="147"/>
      <c r="EM294" s="147"/>
      <c r="EN294" s="147"/>
      <c r="EO294" s="147"/>
      <c r="EP294" s="147"/>
      <c r="EQ294" s="147"/>
      <c r="ER294" s="147"/>
      <c r="ES294" s="147"/>
      <c r="ET294" s="147"/>
      <c r="EU294" s="147"/>
      <c r="EV294" s="147"/>
      <c r="EW294" s="147"/>
      <c r="EX294" s="147"/>
      <c r="EY294" s="147"/>
      <c r="EZ294" s="147"/>
      <c r="FA294" s="147"/>
      <c r="FB294" s="147"/>
      <c r="FC294" s="147"/>
      <c r="FD294" s="147"/>
      <c r="FE294" s="147"/>
      <c r="FF294" s="147"/>
      <c r="FG294" s="147"/>
      <c r="FH294" s="147"/>
      <c r="FI294" s="147"/>
      <c r="FJ294" s="147"/>
      <c r="FK294" s="147"/>
      <c r="FL294" s="147"/>
      <c r="FM294" s="147"/>
      <c r="FN294" s="147"/>
      <c r="FO294" s="147"/>
      <c r="FP294" s="147"/>
      <c r="FQ294" s="147"/>
      <c r="FR294" s="147"/>
      <c r="FS294" s="147"/>
      <c r="FT294" s="147"/>
      <c r="FU294" s="147"/>
      <c r="FV294" s="147"/>
      <c r="FW294" s="147"/>
      <c r="FX294" s="147"/>
      <c r="FY294" s="147"/>
      <c r="FZ294" s="147"/>
      <c r="GA294" s="147"/>
      <c r="GB294" s="147"/>
      <c r="GC294" s="147"/>
      <c r="GD294" s="147"/>
      <c r="GE294" s="147"/>
      <c r="GF294" s="147"/>
      <c r="GG294" s="147"/>
      <c r="GH294" s="147"/>
      <c r="GI294" s="147"/>
      <c r="GJ294" s="147"/>
      <c r="GK294" s="147"/>
      <c r="GL294" s="147"/>
      <c r="GM294" s="147"/>
      <c r="GN294" s="147"/>
      <c r="GO294" s="147"/>
      <c r="GP294" s="147"/>
      <c r="GQ294" s="147"/>
      <c r="GR294" s="147"/>
      <c r="GS294" s="147"/>
      <c r="GT294" s="147"/>
      <c r="GU294" s="147"/>
      <c r="GV294" s="147"/>
      <c r="GW294" s="147"/>
      <c r="GX294" s="147"/>
      <c r="GY294" s="147"/>
      <c r="GZ294" s="147"/>
      <c r="HA294" s="147"/>
      <c r="HB294" s="147"/>
      <c r="HC294" s="147"/>
      <c r="HD294" s="147"/>
      <c r="HE294" s="147"/>
      <c r="HF294" s="147"/>
      <c r="HG294" s="147"/>
      <c r="HH294" s="147"/>
      <c r="HI294" s="147"/>
      <c r="HJ294" s="147"/>
      <c r="HK294" s="147"/>
      <c r="HL294" s="147"/>
      <c r="HM294" s="147"/>
      <c r="HN294" s="147"/>
      <c r="HO294" s="147"/>
      <c r="HP294" s="147"/>
      <c r="HQ294" s="147"/>
      <c r="HR294" s="147"/>
      <c r="HS294" s="147"/>
      <c r="HT294" s="147"/>
      <c r="HU294" s="147"/>
      <c r="HV294" s="147"/>
      <c r="HW294" s="147"/>
      <c r="HX294" s="147"/>
      <c r="HY294" s="147"/>
      <c r="HZ294" s="147"/>
      <c r="IA294" s="147"/>
    </row>
    <row r="295" spans="1:235" s="148" customFormat="1" ht="11.25">
      <c r="A295" s="31" t="s">
        <v>5</v>
      </c>
      <c r="B295" s="8"/>
      <c r="C295" s="8"/>
      <c r="D295" s="8"/>
      <c r="E295" s="7"/>
      <c r="F295" s="7"/>
      <c r="G295" s="8"/>
      <c r="H295" s="7"/>
      <c r="I295" s="7"/>
      <c r="J295" s="7"/>
      <c r="K295" s="7"/>
      <c r="L295" s="7"/>
      <c r="M295" s="7"/>
      <c r="N295" s="8"/>
      <c r="O295" s="7"/>
      <c r="P295" s="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  <c r="BI295" s="147"/>
      <c r="BJ295" s="147"/>
      <c r="BK295" s="147"/>
      <c r="BL295" s="147"/>
      <c r="BM295" s="147"/>
      <c r="BN295" s="147"/>
      <c r="BO295" s="147"/>
      <c r="BP295" s="147"/>
      <c r="BQ295" s="147"/>
      <c r="BR295" s="147"/>
      <c r="BS295" s="147"/>
      <c r="BT295" s="147"/>
      <c r="BU295" s="147"/>
      <c r="BV295" s="147"/>
      <c r="BW295" s="147"/>
      <c r="BX295" s="147"/>
      <c r="BY295" s="147"/>
      <c r="BZ295" s="147"/>
      <c r="CA295" s="147"/>
      <c r="CB295" s="147"/>
      <c r="CC295" s="147"/>
      <c r="CD295" s="147"/>
      <c r="CE295" s="147"/>
      <c r="CF295" s="147"/>
      <c r="CG295" s="147"/>
      <c r="CH295" s="147"/>
      <c r="CI295" s="147"/>
      <c r="CJ295" s="147"/>
      <c r="CK295" s="147"/>
      <c r="CL295" s="147"/>
      <c r="CM295" s="147"/>
      <c r="CN295" s="147"/>
      <c r="CO295" s="147"/>
      <c r="CP295" s="147"/>
      <c r="CQ295" s="147"/>
      <c r="CR295" s="147"/>
      <c r="CS295" s="147"/>
      <c r="CT295" s="147"/>
      <c r="CU295" s="147"/>
      <c r="CV295" s="147"/>
      <c r="CW295" s="147"/>
      <c r="CX295" s="147"/>
      <c r="CY295" s="147"/>
      <c r="CZ295" s="147"/>
      <c r="DA295" s="147"/>
      <c r="DB295" s="147"/>
      <c r="DC295" s="147"/>
      <c r="DD295" s="147"/>
      <c r="DE295" s="147"/>
      <c r="DF295" s="147"/>
      <c r="DG295" s="147"/>
      <c r="DH295" s="147"/>
      <c r="DI295" s="147"/>
      <c r="DJ295" s="147"/>
      <c r="DK295" s="147"/>
      <c r="DL295" s="147"/>
      <c r="DM295" s="147"/>
      <c r="DN295" s="147"/>
      <c r="DO295" s="147"/>
      <c r="DP295" s="147"/>
      <c r="DQ295" s="147"/>
      <c r="DR295" s="147"/>
      <c r="DS295" s="147"/>
      <c r="DT295" s="147"/>
      <c r="DU295" s="147"/>
      <c r="DV295" s="147"/>
      <c r="DW295" s="147"/>
      <c r="DX295" s="147"/>
      <c r="DY295" s="147"/>
      <c r="DZ295" s="147"/>
      <c r="EA295" s="147"/>
      <c r="EB295" s="147"/>
      <c r="EC295" s="147"/>
      <c r="ED295" s="147"/>
      <c r="EE295" s="147"/>
      <c r="EF295" s="147"/>
      <c r="EG295" s="147"/>
      <c r="EH295" s="147"/>
      <c r="EI295" s="147"/>
      <c r="EJ295" s="147"/>
      <c r="EK295" s="147"/>
      <c r="EL295" s="147"/>
      <c r="EM295" s="147"/>
      <c r="EN295" s="147"/>
      <c r="EO295" s="147"/>
      <c r="EP295" s="147"/>
      <c r="EQ295" s="147"/>
      <c r="ER295" s="147"/>
      <c r="ES295" s="147"/>
      <c r="ET295" s="147"/>
      <c r="EU295" s="147"/>
      <c r="EV295" s="147"/>
      <c r="EW295" s="147"/>
      <c r="EX295" s="147"/>
      <c r="EY295" s="147"/>
      <c r="EZ295" s="147"/>
      <c r="FA295" s="147"/>
      <c r="FB295" s="147"/>
      <c r="FC295" s="147"/>
      <c r="FD295" s="147"/>
      <c r="FE295" s="147"/>
      <c r="FF295" s="147"/>
      <c r="FG295" s="147"/>
      <c r="FH295" s="147"/>
      <c r="FI295" s="147"/>
      <c r="FJ295" s="147"/>
      <c r="FK295" s="147"/>
      <c r="FL295" s="147"/>
      <c r="FM295" s="147"/>
      <c r="FN295" s="147"/>
      <c r="FO295" s="147"/>
      <c r="FP295" s="147"/>
      <c r="FQ295" s="147"/>
      <c r="FR295" s="147"/>
      <c r="FS295" s="147"/>
      <c r="FT295" s="147"/>
      <c r="FU295" s="147"/>
      <c r="FV295" s="147"/>
      <c r="FW295" s="147"/>
      <c r="FX295" s="147"/>
      <c r="FY295" s="147"/>
      <c r="FZ295" s="147"/>
      <c r="GA295" s="147"/>
      <c r="GB295" s="147"/>
      <c r="GC295" s="147"/>
      <c r="GD295" s="147"/>
      <c r="GE295" s="147"/>
      <c r="GF295" s="147"/>
      <c r="GG295" s="147"/>
      <c r="GH295" s="147"/>
      <c r="GI295" s="147"/>
      <c r="GJ295" s="147"/>
      <c r="GK295" s="147"/>
      <c r="GL295" s="147"/>
      <c r="GM295" s="147"/>
      <c r="GN295" s="147"/>
      <c r="GO295" s="147"/>
      <c r="GP295" s="147"/>
      <c r="GQ295" s="147"/>
      <c r="GR295" s="147"/>
      <c r="GS295" s="147"/>
      <c r="GT295" s="147"/>
      <c r="GU295" s="147"/>
      <c r="GV295" s="147"/>
      <c r="GW295" s="147"/>
      <c r="GX295" s="147"/>
      <c r="GY295" s="147"/>
      <c r="GZ295" s="147"/>
      <c r="HA295" s="147"/>
      <c r="HB295" s="147"/>
      <c r="HC295" s="147"/>
      <c r="HD295" s="147"/>
      <c r="HE295" s="147"/>
      <c r="HF295" s="147"/>
      <c r="HG295" s="147"/>
      <c r="HH295" s="147"/>
      <c r="HI295" s="147"/>
      <c r="HJ295" s="147"/>
      <c r="HK295" s="147"/>
      <c r="HL295" s="147"/>
      <c r="HM295" s="147"/>
      <c r="HN295" s="147"/>
      <c r="HO295" s="147"/>
      <c r="HP295" s="147"/>
      <c r="HQ295" s="147"/>
      <c r="HR295" s="147"/>
      <c r="HS295" s="147"/>
      <c r="HT295" s="147"/>
      <c r="HU295" s="147"/>
      <c r="HV295" s="147"/>
      <c r="HW295" s="147"/>
      <c r="HX295" s="147"/>
      <c r="HY295" s="147"/>
      <c r="HZ295" s="147"/>
      <c r="IA295" s="147"/>
    </row>
    <row r="296" spans="1:235" s="148" customFormat="1" ht="28.5" customHeight="1">
      <c r="A296" s="32" t="s">
        <v>274</v>
      </c>
      <c r="B296" s="8"/>
      <c r="C296" s="8"/>
      <c r="D296" s="8"/>
      <c r="E296" s="7">
        <v>35</v>
      </c>
      <c r="F296" s="7">
        <v>35</v>
      </c>
      <c r="G296" s="8"/>
      <c r="H296" s="7">
        <v>228</v>
      </c>
      <c r="I296" s="7"/>
      <c r="J296" s="7">
        <v>140</v>
      </c>
      <c r="K296" s="7"/>
      <c r="L296" s="7"/>
      <c r="M296" s="7"/>
      <c r="N296" s="8"/>
      <c r="O296" s="7">
        <v>41</v>
      </c>
      <c r="P296" s="7">
        <v>41</v>
      </c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  <c r="BI296" s="147"/>
      <c r="BJ296" s="147"/>
      <c r="BK296" s="147"/>
      <c r="BL296" s="147"/>
      <c r="BM296" s="147"/>
      <c r="BN296" s="147"/>
      <c r="BO296" s="147"/>
      <c r="BP296" s="147"/>
      <c r="BQ296" s="147"/>
      <c r="BR296" s="147"/>
      <c r="BS296" s="147"/>
      <c r="BT296" s="147"/>
      <c r="BU296" s="147"/>
      <c r="BV296" s="147"/>
      <c r="BW296" s="147"/>
      <c r="BX296" s="147"/>
      <c r="BY296" s="147"/>
      <c r="BZ296" s="147"/>
      <c r="CA296" s="147"/>
      <c r="CB296" s="147"/>
      <c r="CC296" s="147"/>
      <c r="CD296" s="147"/>
      <c r="CE296" s="147"/>
      <c r="CF296" s="147"/>
      <c r="CG296" s="147"/>
      <c r="CH296" s="147"/>
      <c r="CI296" s="147"/>
      <c r="CJ296" s="147"/>
      <c r="CK296" s="147"/>
      <c r="CL296" s="147"/>
      <c r="CM296" s="147"/>
      <c r="CN296" s="147"/>
      <c r="CO296" s="147"/>
      <c r="CP296" s="147"/>
      <c r="CQ296" s="147"/>
      <c r="CR296" s="147"/>
      <c r="CS296" s="147"/>
      <c r="CT296" s="147"/>
      <c r="CU296" s="147"/>
      <c r="CV296" s="147"/>
      <c r="CW296" s="147"/>
      <c r="CX296" s="147"/>
      <c r="CY296" s="147"/>
      <c r="CZ296" s="147"/>
      <c r="DA296" s="147"/>
      <c r="DB296" s="147"/>
      <c r="DC296" s="147"/>
      <c r="DD296" s="147"/>
      <c r="DE296" s="147"/>
      <c r="DF296" s="147"/>
      <c r="DG296" s="147"/>
      <c r="DH296" s="147"/>
      <c r="DI296" s="147"/>
      <c r="DJ296" s="147"/>
      <c r="DK296" s="147"/>
      <c r="DL296" s="147"/>
      <c r="DM296" s="147"/>
      <c r="DN296" s="147"/>
      <c r="DO296" s="147"/>
      <c r="DP296" s="147"/>
      <c r="DQ296" s="147"/>
      <c r="DR296" s="147"/>
      <c r="DS296" s="147"/>
      <c r="DT296" s="147"/>
      <c r="DU296" s="147"/>
      <c r="DV296" s="147"/>
      <c r="DW296" s="147"/>
      <c r="DX296" s="147"/>
      <c r="DY296" s="147"/>
      <c r="DZ296" s="147"/>
      <c r="EA296" s="147"/>
      <c r="EB296" s="147"/>
      <c r="EC296" s="147"/>
      <c r="ED296" s="147"/>
      <c r="EE296" s="147"/>
      <c r="EF296" s="147"/>
      <c r="EG296" s="147"/>
      <c r="EH296" s="147"/>
      <c r="EI296" s="147"/>
      <c r="EJ296" s="147"/>
      <c r="EK296" s="147"/>
      <c r="EL296" s="147"/>
      <c r="EM296" s="147"/>
      <c r="EN296" s="147"/>
      <c r="EO296" s="147"/>
      <c r="EP296" s="147"/>
      <c r="EQ296" s="147"/>
      <c r="ER296" s="147"/>
      <c r="ES296" s="147"/>
      <c r="ET296" s="147"/>
      <c r="EU296" s="147"/>
      <c r="EV296" s="147"/>
      <c r="EW296" s="147"/>
      <c r="EX296" s="147"/>
      <c r="EY296" s="147"/>
      <c r="EZ296" s="147"/>
      <c r="FA296" s="147"/>
      <c r="FB296" s="147"/>
      <c r="FC296" s="147"/>
      <c r="FD296" s="147"/>
      <c r="FE296" s="147"/>
      <c r="FF296" s="147"/>
      <c r="FG296" s="147"/>
      <c r="FH296" s="147"/>
      <c r="FI296" s="147"/>
      <c r="FJ296" s="147"/>
      <c r="FK296" s="147"/>
      <c r="FL296" s="147"/>
      <c r="FM296" s="147"/>
      <c r="FN296" s="147"/>
      <c r="FO296" s="147"/>
      <c r="FP296" s="147"/>
      <c r="FQ296" s="147"/>
      <c r="FR296" s="147"/>
      <c r="FS296" s="147"/>
      <c r="FT296" s="147"/>
      <c r="FU296" s="147"/>
      <c r="FV296" s="147"/>
      <c r="FW296" s="147"/>
      <c r="FX296" s="147"/>
      <c r="FY296" s="147"/>
      <c r="FZ296" s="147"/>
      <c r="GA296" s="147"/>
      <c r="GB296" s="147"/>
      <c r="GC296" s="147"/>
      <c r="GD296" s="147"/>
      <c r="GE296" s="147"/>
      <c r="GF296" s="147"/>
      <c r="GG296" s="147"/>
      <c r="GH296" s="147"/>
      <c r="GI296" s="147"/>
      <c r="GJ296" s="147"/>
      <c r="GK296" s="147"/>
      <c r="GL296" s="147"/>
      <c r="GM296" s="147"/>
      <c r="GN296" s="147"/>
      <c r="GO296" s="147"/>
      <c r="GP296" s="147"/>
      <c r="GQ296" s="147"/>
      <c r="GR296" s="147"/>
      <c r="GS296" s="147"/>
      <c r="GT296" s="147"/>
      <c r="GU296" s="147"/>
      <c r="GV296" s="147"/>
      <c r="GW296" s="147"/>
      <c r="GX296" s="147"/>
      <c r="GY296" s="147"/>
      <c r="GZ296" s="147"/>
      <c r="HA296" s="147"/>
      <c r="HB296" s="147"/>
      <c r="HC296" s="147"/>
      <c r="HD296" s="147"/>
      <c r="HE296" s="147"/>
      <c r="HF296" s="147"/>
      <c r="HG296" s="147"/>
      <c r="HH296" s="147"/>
      <c r="HI296" s="147"/>
      <c r="HJ296" s="147"/>
      <c r="HK296" s="147"/>
      <c r="HL296" s="147"/>
      <c r="HM296" s="147"/>
      <c r="HN296" s="147"/>
      <c r="HO296" s="147"/>
      <c r="HP296" s="147"/>
      <c r="HQ296" s="147"/>
      <c r="HR296" s="147"/>
      <c r="HS296" s="147"/>
      <c r="HT296" s="147"/>
      <c r="HU296" s="147"/>
      <c r="HV296" s="147"/>
      <c r="HW296" s="147"/>
      <c r="HX296" s="147"/>
      <c r="HY296" s="147"/>
      <c r="HZ296" s="147"/>
      <c r="IA296" s="147"/>
    </row>
    <row r="297" spans="1:235" s="148" customFormat="1" ht="11.25">
      <c r="A297" s="31" t="s">
        <v>7</v>
      </c>
      <c r="B297" s="8"/>
      <c r="C297" s="8"/>
      <c r="D297" s="8"/>
      <c r="E297" s="7"/>
      <c r="F297" s="7"/>
      <c r="G297" s="8"/>
      <c r="H297" s="7"/>
      <c r="I297" s="7"/>
      <c r="J297" s="7"/>
      <c r="K297" s="7"/>
      <c r="L297" s="7"/>
      <c r="M297" s="7"/>
      <c r="N297" s="8"/>
      <c r="O297" s="7"/>
      <c r="P297" s="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  <c r="BI297" s="147"/>
      <c r="BJ297" s="147"/>
      <c r="BK297" s="147"/>
      <c r="BL297" s="147"/>
      <c r="BM297" s="147"/>
      <c r="BN297" s="147"/>
      <c r="BO297" s="147"/>
      <c r="BP297" s="147"/>
      <c r="BQ297" s="147"/>
      <c r="BR297" s="147"/>
      <c r="BS297" s="147"/>
      <c r="BT297" s="147"/>
      <c r="BU297" s="147"/>
      <c r="BV297" s="147"/>
      <c r="BW297" s="147"/>
      <c r="BX297" s="147"/>
      <c r="BY297" s="147"/>
      <c r="BZ297" s="147"/>
      <c r="CA297" s="147"/>
      <c r="CB297" s="147"/>
      <c r="CC297" s="147"/>
      <c r="CD297" s="147"/>
      <c r="CE297" s="147"/>
      <c r="CF297" s="147"/>
      <c r="CG297" s="147"/>
      <c r="CH297" s="147"/>
      <c r="CI297" s="147"/>
      <c r="CJ297" s="147"/>
      <c r="CK297" s="147"/>
      <c r="CL297" s="147"/>
      <c r="CM297" s="147"/>
      <c r="CN297" s="147"/>
      <c r="CO297" s="147"/>
      <c r="CP297" s="147"/>
      <c r="CQ297" s="147"/>
      <c r="CR297" s="147"/>
      <c r="CS297" s="147"/>
      <c r="CT297" s="147"/>
      <c r="CU297" s="147"/>
      <c r="CV297" s="147"/>
      <c r="CW297" s="147"/>
      <c r="CX297" s="147"/>
      <c r="CY297" s="147"/>
      <c r="CZ297" s="147"/>
      <c r="DA297" s="147"/>
      <c r="DB297" s="147"/>
      <c r="DC297" s="147"/>
      <c r="DD297" s="147"/>
      <c r="DE297" s="147"/>
      <c r="DF297" s="147"/>
      <c r="DG297" s="147"/>
      <c r="DH297" s="147"/>
      <c r="DI297" s="147"/>
      <c r="DJ297" s="147"/>
      <c r="DK297" s="147"/>
      <c r="DL297" s="147"/>
      <c r="DM297" s="147"/>
      <c r="DN297" s="147"/>
      <c r="DO297" s="147"/>
      <c r="DP297" s="147"/>
      <c r="DQ297" s="147"/>
      <c r="DR297" s="147"/>
      <c r="DS297" s="147"/>
      <c r="DT297" s="147"/>
      <c r="DU297" s="147"/>
      <c r="DV297" s="147"/>
      <c r="DW297" s="147"/>
      <c r="DX297" s="147"/>
      <c r="DY297" s="147"/>
      <c r="DZ297" s="147"/>
      <c r="EA297" s="147"/>
      <c r="EB297" s="147"/>
      <c r="EC297" s="147"/>
      <c r="ED297" s="147"/>
      <c r="EE297" s="147"/>
      <c r="EF297" s="147"/>
      <c r="EG297" s="147"/>
      <c r="EH297" s="147"/>
      <c r="EI297" s="147"/>
      <c r="EJ297" s="147"/>
      <c r="EK297" s="147"/>
      <c r="EL297" s="147"/>
      <c r="EM297" s="147"/>
      <c r="EN297" s="147"/>
      <c r="EO297" s="147"/>
      <c r="EP297" s="147"/>
      <c r="EQ297" s="147"/>
      <c r="ER297" s="147"/>
      <c r="ES297" s="147"/>
      <c r="ET297" s="147"/>
      <c r="EU297" s="147"/>
      <c r="EV297" s="147"/>
      <c r="EW297" s="147"/>
      <c r="EX297" s="147"/>
      <c r="EY297" s="147"/>
      <c r="EZ297" s="147"/>
      <c r="FA297" s="147"/>
      <c r="FB297" s="147"/>
      <c r="FC297" s="147"/>
      <c r="FD297" s="147"/>
      <c r="FE297" s="147"/>
      <c r="FF297" s="147"/>
      <c r="FG297" s="147"/>
      <c r="FH297" s="147"/>
      <c r="FI297" s="147"/>
      <c r="FJ297" s="147"/>
      <c r="FK297" s="147"/>
      <c r="FL297" s="147"/>
      <c r="FM297" s="147"/>
      <c r="FN297" s="147"/>
      <c r="FO297" s="147"/>
      <c r="FP297" s="147"/>
      <c r="FQ297" s="147"/>
      <c r="FR297" s="147"/>
      <c r="FS297" s="147"/>
      <c r="FT297" s="147"/>
      <c r="FU297" s="147"/>
      <c r="FV297" s="147"/>
      <c r="FW297" s="147"/>
      <c r="FX297" s="147"/>
      <c r="FY297" s="147"/>
      <c r="FZ297" s="147"/>
      <c r="GA297" s="147"/>
      <c r="GB297" s="147"/>
      <c r="GC297" s="147"/>
      <c r="GD297" s="147"/>
      <c r="GE297" s="147"/>
      <c r="GF297" s="147"/>
      <c r="GG297" s="147"/>
      <c r="GH297" s="147"/>
      <c r="GI297" s="147"/>
      <c r="GJ297" s="147"/>
      <c r="GK297" s="147"/>
      <c r="GL297" s="147"/>
      <c r="GM297" s="147"/>
      <c r="GN297" s="147"/>
      <c r="GO297" s="147"/>
      <c r="GP297" s="147"/>
      <c r="GQ297" s="147"/>
      <c r="GR297" s="147"/>
      <c r="GS297" s="147"/>
      <c r="GT297" s="147"/>
      <c r="GU297" s="147"/>
      <c r="GV297" s="147"/>
      <c r="GW297" s="147"/>
      <c r="GX297" s="147"/>
      <c r="GY297" s="147"/>
      <c r="GZ297" s="147"/>
      <c r="HA297" s="147"/>
      <c r="HB297" s="147"/>
      <c r="HC297" s="147"/>
      <c r="HD297" s="147"/>
      <c r="HE297" s="147"/>
      <c r="HF297" s="147"/>
      <c r="HG297" s="147"/>
      <c r="HH297" s="147"/>
      <c r="HI297" s="147"/>
      <c r="HJ297" s="147"/>
      <c r="HK297" s="147"/>
      <c r="HL297" s="147"/>
      <c r="HM297" s="147"/>
      <c r="HN297" s="147"/>
      <c r="HO297" s="147"/>
      <c r="HP297" s="147"/>
      <c r="HQ297" s="147"/>
      <c r="HR297" s="147"/>
      <c r="HS297" s="147"/>
      <c r="HT297" s="147"/>
      <c r="HU297" s="147"/>
      <c r="HV297" s="147"/>
      <c r="HW297" s="147"/>
      <c r="HX297" s="147"/>
      <c r="HY297" s="147"/>
      <c r="HZ297" s="147"/>
      <c r="IA297" s="147"/>
    </row>
    <row r="298" spans="1:235" s="148" customFormat="1" ht="23.25" customHeight="1">
      <c r="A298" s="32" t="s">
        <v>182</v>
      </c>
      <c r="B298" s="8"/>
      <c r="C298" s="8"/>
      <c r="D298" s="8"/>
      <c r="E298" s="7">
        <f>E292/E296</f>
        <v>142857.14285714287</v>
      </c>
      <c r="F298" s="7">
        <f>E298</f>
        <v>142857.14285714287</v>
      </c>
      <c r="G298" s="8"/>
      <c r="H298" s="7">
        <f>H292/H296</f>
        <v>142543.8596491228</v>
      </c>
      <c r="I298" s="7"/>
      <c r="J298" s="7">
        <f>H298</f>
        <v>142543.8596491228</v>
      </c>
      <c r="K298" s="7"/>
      <c r="L298" s="7"/>
      <c r="M298" s="7"/>
      <c r="N298" s="8"/>
      <c r="O298" s="7">
        <f>O292/O296</f>
        <v>121951.21951219512</v>
      </c>
      <c r="P298" s="7">
        <f>P292/P296</f>
        <v>121951.21951219512</v>
      </c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47"/>
      <c r="BJ298" s="147"/>
      <c r="BK298" s="147"/>
      <c r="BL298" s="147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147"/>
      <c r="EB298" s="147"/>
      <c r="EC298" s="147"/>
      <c r="ED298" s="147"/>
      <c r="EE298" s="147"/>
      <c r="EF298" s="147"/>
      <c r="EG298" s="147"/>
      <c r="EH298" s="147"/>
      <c r="EI298" s="147"/>
      <c r="EJ298" s="147"/>
      <c r="EK298" s="147"/>
      <c r="EL298" s="147"/>
      <c r="EM298" s="147"/>
      <c r="EN298" s="147"/>
      <c r="EO298" s="147"/>
      <c r="EP298" s="147"/>
      <c r="EQ298" s="147"/>
      <c r="ER298" s="147"/>
      <c r="ES298" s="147"/>
      <c r="ET298" s="147"/>
      <c r="EU298" s="147"/>
      <c r="EV298" s="147"/>
      <c r="EW298" s="147"/>
      <c r="EX298" s="147"/>
      <c r="EY298" s="147"/>
      <c r="EZ298" s="147"/>
      <c r="FA298" s="147"/>
      <c r="FB298" s="147"/>
      <c r="FC298" s="147"/>
      <c r="FD298" s="147"/>
      <c r="FE298" s="147"/>
      <c r="FF298" s="147"/>
      <c r="FG298" s="147"/>
      <c r="FH298" s="147"/>
      <c r="FI298" s="147"/>
      <c r="FJ298" s="147"/>
      <c r="FK298" s="147"/>
      <c r="FL298" s="147"/>
      <c r="FM298" s="147"/>
      <c r="FN298" s="147"/>
      <c r="FO298" s="147"/>
      <c r="FP298" s="147"/>
      <c r="FQ298" s="147"/>
      <c r="FR298" s="147"/>
      <c r="FS298" s="147"/>
      <c r="FT298" s="147"/>
      <c r="FU298" s="147"/>
      <c r="FV298" s="147"/>
      <c r="FW298" s="147"/>
      <c r="FX298" s="147"/>
      <c r="FY298" s="147"/>
      <c r="FZ298" s="147"/>
      <c r="GA298" s="147"/>
      <c r="GB298" s="147"/>
      <c r="GC298" s="147"/>
      <c r="GD298" s="147"/>
      <c r="GE298" s="147"/>
      <c r="GF298" s="147"/>
      <c r="GG298" s="147"/>
      <c r="GH298" s="147"/>
      <c r="GI298" s="147"/>
      <c r="GJ298" s="147"/>
      <c r="GK298" s="147"/>
      <c r="GL298" s="147"/>
      <c r="GM298" s="147"/>
      <c r="GN298" s="147"/>
      <c r="GO298" s="147"/>
      <c r="GP298" s="147"/>
      <c r="GQ298" s="147"/>
      <c r="GR298" s="147"/>
      <c r="GS298" s="147"/>
      <c r="GT298" s="147"/>
      <c r="GU298" s="147"/>
      <c r="GV298" s="147"/>
      <c r="GW298" s="147"/>
      <c r="GX298" s="147"/>
      <c r="GY298" s="147"/>
      <c r="GZ298" s="147"/>
      <c r="HA298" s="147"/>
      <c r="HB298" s="147"/>
      <c r="HC298" s="147"/>
      <c r="HD298" s="147"/>
      <c r="HE298" s="147"/>
      <c r="HF298" s="147"/>
      <c r="HG298" s="147"/>
      <c r="HH298" s="147"/>
      <c r="HI298" s="147"/>
      <c r="HJ298" s="147"/>
      <c r="HK298" s="147"/>
      <c r="HL298" s="147"/>
      <c r="HM298" s="147"/>
      <c r="HN298" s="147"/>
      <c r="HO298" s="147"/>
      <c r="HP298" s="147"/>
      <c r="HQ298" s="147"/>
      <c r="HR298" s="147"/>
      <c r="HS298" s="147"/>
      <c r="HT298" s="147"/>
      <c r="HU298" s="147"/>
      <c r="HV298" s="147"/>
      <c r="HW298" s="147"/>
      <c r="HX298" s="147"/>
      <c r="HY298" s="147"/>
      <c r="HZ298" s="147"/>
      <c r="IA298" s="147"/>
    </row>
    <row r="299" spans="1:235" s="191" customFormat="1" ht="36.75" customHeight="1">
      <c r="A299" s="178" t="s">
        <v>353</v>
      </c>
      <c r="B299" s="187"/>
      <c r="C299" s="187"/>
      <c r="D299" s="187"/>
      <c r="E299" s="189">
        <f>(E306*E311)+(E307*E312)+(E308*E313)+(E309*E314)-1630000</f>
        <v>17148000</v>
      </c>
      <c r="F299" s="189">
        <f>(F306*F311)+(F307*F312)+(F308*F313)+(F309*F314)-1630000</f>
        <v>17148000</v>
      </c>
      <c r="G299" s="189">
        <f>G309*G314</f>
        <v>500000</v>
      </c>
      <c r="H299" s="189">
        <f>(H306*H311)+(H307*H312)+(H308*H313)-40+18086040-679200</f>
        <v>39320000</v>
      </c>
      <c r="I299" s="189"/>
      <c r="J299" s="236">
        <f>H299+G299</f>
        <v>39820000</v>
      </c>
      <c r="K299" s="189">
        <f>(K306*K311)+(K307*K312)+(K308*K313)+(K309*K314)</f>
        <v>0</v>
      </c>
      <c r="L299" s="189">
        <f>(L306*L311)+(L307*L312)+(L308*L313)+(L309*L314)</f>
        <v>0</v>
      </c>
      <c r="M299" s="189">
        <f>(M306*M311)+(M307*M312)+(M308*M313)+(M309*M314)</f>
        <v>0</v>
      </c>
      <c r="N299" s="189"/>
      <c r="O299" s="189">
        <f>(O306*O311)+(O307*O312)+(O308*O313)+(O309*O314)-110</f>
        <v>15550000</v>
      </c>
      <c r="P299" s="189">
        <f>O299</f>
        <v>15550000</v>
      </c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0"/>
      <c r="AE299" s="190"/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190"/>
      <c r="AY299" s="190"/>
      <c r="AZ299" s="190"/>
      <c r="BA299" s="190"/>
      <c r="BB299" s="190"/>
      <c r="BC299" s="190"/>
      <c r="BD299" s="190"/>
      <c r="BE299" s="190"/>
      <c r="BF299" s="190"/>
      <c r="BG299" s="190"/>
      <c r="BH299" s="190"/>
      <c r="BI299" s="190"/>
      <c r="BJ299" s="190"/>
      <c r="BK299" s="190"/>
      <c r="BL299" s="190"/>
      <c r="BM299" s="190"/>
      <c r="BN299" s="190"/>
      <c r="BO299" s="190"/>
      <c r="BP299" s="190"/>
      <c r="BQ299" s="190"/>
      <c r="BR299" s="190"/>
      <c r="BS299" s="190"/>
      <c r="BT299" s="190"/>
      <c r="BU299" s="190"/>
      <c r="BV299" s="190"/>
      <c r="BW299" s="190"/>
      <c r="BX299" s="190"/>
      <c r="BY299" s="190"/>
      <c r="BZ299" s="190"/>
      <c r="CA299" s="190"/>
      <c r="CB299" s="190"/>
      <c r="CC299" s="190"/>
      <c r="CD299" s="190"/>
      <c r="CE299" s="190"/>
      <c r="CF299" s="190"/>
      <c r="CG299" s="190"/>
      <c r="CH299" s="190"/>
      <c r="CI299" s="190"/>
      <c r="CJ299" s="190"/>
      <c r="CK299" s="190"/>
      <c r="CL299" s="190"/>
      <c r="CM299" s="190"/>
      <c r="CN299" s="190"/>
      <c r="CO299" s="190"/>
      <c r="CP299" s="190"/>
      <c r="CQ299" s="190"/>
      <c r="CR299" s="190"/>
      <c r="CS299" s="190"/>
      <c r="CT299" s="190"/>
      <c r="CU299" s="190"/>
      <c r="CV299" s="190"/>
      <c r="CW299" s="190"/>
      <c r="CX299" s="190"/>
      <c r="CY299" s="190"/>
      <c r="CZ299" s="190"/>
      <c r="DA299" s="190"/>
      <c r="DB299" s="190"/>
      <c r="DC299" s="190"/>
      <c r="DD299" s="190"/>
      <c r="DE299" s="190"/>
      <c r="DF299" s="190"/>
      <c r="DG299" s="190"/>
      <c r="DH299" s="190"/>
      <c r="DI299" s="190"/>
      <c r="DJ299" s="190"/>
      <c r="DK299" s="190"/>
      <c r="DL299" s="190"/>
      <c r="DM299" s="190"/>
      <c r="DN299" s="190"/>
      <c r="DO299" s="190"/>
      <c r="DP299" s="190"/>
      <c r="DQ299" s="190"/>
      <c r="DR299" s="190"/>
      <c r="DS299" s="190"/>
      <c r="DT299" s="190"/>
      <c r="DU299" s="190"/>
      <c r="DV299" s="190"/>
      <c r="DW299" s="190"/>
      <c r="DX299" s="190"/>
      <c r="DY299" s="190"/>
      <c r="DZ299" s="190"/>
      <c r="EA299" s="190"/>
      <c r="EB299" s="190"/>
      <c r="EC299" s="190"/>
      <c r="ED299" s="190"/>
      <c r="EE299" s="190"/>
      <c r="EF299" s="190"/>
      <c r="EG299" s="190"/>
      <c r="EH299" s="190"/>
      <c r="EI299" s="190"/>
      <c r="EJ299" s="190"/>
      <c r="EK299" s="190"/>
      <c r="EL299" s="190"/>
      <c r="EM299" s="190"/>
      <c r="EN299" s="190"/>
      <c r="EO299" s="190"/>
      <c r="EP299" s="190"/>
      <c r="EQ299" s="190"/>
      <c r="ER299" s="190"/>
      <c r="ES299" s="190"/>
      <c r="ET299" s="190"/>
      <c r="EU299" s="190"/>
      <c r="EV299" s="190"/>
      <c r="EW299" s="190"/>
      <c r="EX299" s="190"/>
      <c r="EY299" s="190"/>
      <c r="EZ299" s="190"/>
      <c r="FA299" s="190"/>
      <c r="FB299" s="190"/>
      <c r="FC299" s="190"/>
      <c r="FD299" s="190"/>
      <c r="FE299" s="190"/>
      <c r="FF299" s="190"/>
      <c r="FG299" s="190"/>
      <c r="FH299" s="190"/>
      <c r="FI299" s="190"/>
      <c r="FJ299" s="190"/>
      <c r="FK299" s="190"/>
      <c r="FL299" s="190"/>
      <c r="FM299" s="190"/>
      <c r="FN299" s="190"/>
      <c r="FO299" s="190"/>
      <c r="FP299" s="190"/>
      <c r="FQ299" s="190"/>
      <c r="FR299" s="190"/>
      <c r="FS299" s="190"/>
      <c r="FT299" s="190"/>
      <c r="FU299" s="190"/>
      <c r="FV299" s="190"/>
      <c r="FW299" s="190"/>
      <c r="FX299" s="190"/>
      <c r="FY299" s="190"/>
      <c r="FZ299" s="190"/>
      <c r="GA299" s="190"/>
      <c r="GB299" s="190"/>
      <c r="GC299" s="190"/>
      <c r="GD299" s="190"/>
      <c r="GE299" s="190"/>
      <c r="GF299" s="190"/>
      <c r="GG299" s="190"/>
      <c r="GH299" s="190"/>
      <c r="GI299" s="190"/>
      <c r="GJ299" s="190"/>
      <c r="GK299" s="190"/>
      <c r="GL299" s="190"/>
      <c r="GM299" s="190"/>
      <c r="GN299" s="190"/>
      <c r="GO299" s="190"/>
      <c r="GP299" s="190"/>
      <c r="GQ299" s="190"/>
      <c r="GR299" s="190"/>
      <c r="GS299" s="190"/>
      <c r="GT299" s="190"/>
      <c r="GU299" s="190"/>
      <c r="GV299" s="190"/>
      <c r="GW299" s="190"/>
      <c r="GX299" s="190"/>
      <c r="GY299" s="190"/>
      <c r="GZ299" s="190"/>
      <c r="HA299" s="190"/>
      <c r="HB299" s="190"/>
      <c r="HC299" s="190"/>
      <c r="HD299" s="190"/>
      <c r="HE299" s="190"/>
      <c r="HF299" s="190"/>
      <c r="HG299" s="190"/>
      <c r="HH299" s="190"/>
      <c r="HI299" s="190"/>
      <c r="HJ299" s="190"/>
      <c r="HK299" s="190"/>
      <c r="HL299" s="190"/>
      <c r="HM299" s="190"/>
      <c r="HN299" s="190"/>
      <c r="HO299" s="190"/>
      <c r="HP299" s="190"/>
      <c r="HQ299" s="190"/>
      <c r="HR299" s="190"/>
      <c r="HS299" s="190"/>
      <c r="HT299" s="190"/>
      <c r="HU299" s="190"/>
      <c r="HV299" s="190"/>
      <c r="HW299" s="190"/>
      <c r="HX299" s="190"/>
      <c r="HY299" s="190"/>
      <c r="HZ299" s="190"/>
      <c r="IA299" s="190"/>
    </row>
    <row r="300" spans="1:16" ht="11.25">
      <c r="A300" s="90" t="s">
        <v>4</v>
      </c>
      <c r="B300" s="109"/>
      <c r="C300" s="109"/>
      <c r="D300" s="105"/>
      <c r="E300" s="110"/>
      <c r="F300" s="110"/>
      <c r="G300" s="105"/>
      <c r="H300" s="110"/>
      <c r="I300" s="110"/>
      <c r="J300" s="110"/>
      <c r="K300" s="109"/>
      <c r="L300" s="109"/>
      <c r="M300" s="109"/>
      <c r="N300" s="105"/>
      <c r="O300" s="110"/>
      <c r="P300" s="110"/>
    </row>
    <row r="301" spans="1:16" ht="16.5" customHeight="1">
      <c r="A301" s="91" t="s">
        <v>184</v>
      </c>
      <c r="B301" s="109"/>
      <c r="C301" s="109"/>
      <c r="D301" s="105"/>
      <c r="E301" s="106">
        <v>12</v>
      </c>
      <c r="F301" s="106">
        <f>E301</f>
        <v>12</v>
      </c>
      <c r="G301" s="105"/>
      <c r="H301" s="110"/>
      <c r="I301" s="110"/>
      <c r="J301" s="110"/>
      <c r="K301" s="109"/>
      <c r="L301" s="109"/>
      <c r="M301" s="109"/>
      <c r="N301" s="105"/>
      <c r="O301" s="110"/>
      <c r="P301" s="110"/>
    </row>
    <row r="302" spans="1:16" ht="22.5">
      <c r="A302" s="91" t="s">
        <v>185</v>
      </c>
      <c r="B302" s="109"/>
      <c r="C302" s="109"/>
      <c r="D302" s="105"/>
      <c r="E302" s="106">
        <v>700</v>
      </c>
      <c r="F302" s="106">
        <f>E302</f>
        <v>700</v>
      </c>
      <c r="G302" s="105"/>
      <c r="H302" s="106">
        <v>500</v>
      </c>
      <c r="I302" s="106"/>
      <c r="J302" s="106">
        <f>H302</f>
        <v>500</v>
      </c>
      <c r="K302" s="112"/>
      <c r="L302" s="112"/>
      <c r="M302" s="112"/>
      <c r="N302" s="106"/>
      <c r="O302" s="106">
        <v>270</v>
      </c>
      <c r="P302" s="106">
        <f>O302</f>
        <v>270</v>
      </c>
    </row>
    <row r="303" spans="1:16" ht="22.5">
      <c r="A303" s="91" t="s">
        <v>186</v>
      </c>
      <c r="B303" s="109"/>
      <c r="C303" s="109"/>
      <c r="D303" s="105"/>
      <c r="E303" s="106">
        <v>454</v>
      </c>
      <c r="F303" s="106">
        <v>454</v>
      </c>
      <c r="G303" s="105"/>
      <c r="H303" s="110"/>
      <c r="I303" s="110"/>
      <c r="J303" s="110"/>
      <c r="K303" s="109"/>
      <c r="L303" s="109"/>
      <c r="M303" s="109"/>
      <c r="N303" s="105"/>
      <c r="O303" s="110"/>
      <c r="P303" s="110"/>
    </row>
    <row r="304" spans="1:16" ht="28.5" customHeight="1">
      <c r="A304" s="91" t="s">
        <v>187</v>
      </c>
      <c r="B304" s="109"/>
      <c r="C304" s="109"/>
      <c r="D304" s="105"/>
      <c r="E304" s="106">
        <v>700</v>
      </c>
      <c r="F304" s="106">
        <f>E304</f>
        <v>700</v>
      </c>
      <c r="G304" s="105">
        <v>500</v>
      </c>
      <c r="H304" s="106"/>
      <c r="I304" s="106"/>
      <c r="J304" s="106">
        <f>H304</f>
        <v>0</v>
      </c>
      <c r="K304" s="106"/>
      <c r="L304" s="106"/>
      <c r="M304" s="106"/>
      <c r="N304" s="106"/>
      <c r="O304" s="106">
        <v>270</v>
      </c>
      <c r="P304" s="106">
        <f>O304</f>
        <v>270</v>
      </c>
    </row>
    <row r="305" spans="1:16" ht="11.25">
      <c r="A305" s="90" t="s">
        <v>5</v>
      </c>
      <c r="B305" s="111"/>
      <c r="C305" s="111"/>
      <c r="D305" s="105"/>
      <c r="E305" s="105"/>
      <c r="F305" s="105"/>
      <c r="G305" s="105"/>
      <c r="H305" s="111"/>
      <c r="I305" s="111"/>
      <c r="J305" s="111"/>
      <c r="K305" s="108" t="e">
        <f>H305/E305*100</f>
        <v>#DIV/0!</v>
      </c>
      <c r="L305" s="111"/>
      <c r="M305" s="111"/>
      <c r="N305" s="105"/>
      <c r="O305" s="111"/>
      <c r="P305" s="111"/>
    </row>
    <row r="306" spans="1:16" ht="16.5" customHeight="1">
      <c r="A306" s="91" t="s">
        <v>188</v>
      </c>
      <c r="B306" s="111"/>
      <c r="C306" s="111"/>
      <c r="D306" s="105"/>
      <c r="E306" s="105">
        <v>12</v>
      </c>
      <c r="F306" s="105">
        <f>E306</f>
        <v>12</v>
      </c>
      <c r="G306" s="105"/>
      <c r="H306" s="105">
        <v>20</v>
      </c>
      <c r="I306" s="105"/>
      <c r="J306" s="105">
        <v>20</v>
      </c>
      <c r="K306" s="108"/>
      <c r="L306" s="111"/>
      <c r="M306" s="111"/>
      <c r="N306" s="105"/>
      <c r="O306" s="111"/>
      <c r="P306" s="111"/>
    </row>
    <row r="307" spans="1:16" ht="22.5">
      <c r="A307" s="91" t="s">
        <v>195</v>
      </c>
      <c r="B307" s="111"/>
      <c r="C307" s="111"/>
      <c r="D307" s="105"/>
      <c r="E307" s="105">
        <v>200</v>
      </c>
      <c r="F307" s="105">
        <v>200</v>
      </c>
      <c r="G307" s="105"/>
      <c r="H307" s="105">
        <v>400</v>
      </c>
      <c r="I307" s="105"/>
      <c r="J307" s="105">
        <f>H307</f>
        <v>400</v>
      </c>
      <c r="K307" s="108"/>
      <c r="L307" s="105"/>
      <c r="M307" s="105"/>
      <c r="N307" s="105"/>
      <c r="O307" s="105">
        <v>270</v>
      </c>
      <c r="P307" s="105">
        <f>O307</f>
        <v>270</v>
      </c>
    </row>
    <row r="308" spans="1:16" ht="22.5">
      <c r="A308" s="91" t="s">
        <v>189</v>
      </c>
      <c r="B308" s="111"/>
      <c r="C308" s="111"/>
      <c r="D308" s="105"/>
      <c r="E308" s="105">
        <v>454</v>
      </c>
      <c r="F308" s="105">
        <f>E308</f>
        <v>454</v>
      </c>
      <c r="G308" s="105"/>
      <c r="H308" s="105">
        <v>460</v>
      </c>
      <c r="I308" s="105"/>
      <c r="J308" s="105">
        <v>460</v>
      </c>
      <c r="K308" s="108"/>
      <c r="L308" s="111"/>
      <c r="M308" s="111"/>
      <c r="N308" s="105"/>
      <c r="O308" s="111"/>
      <c r="P308" s="111"/>
    </row>
    <row r="309" spans="1:16" ht="33.75">
      <c r="A309" s="91" t="s">
        <v>190</v>
      </c>
      <c r="B309" s="111"/>
      <c r="C309" s="111"/>
      <c r="D309" s="105"/>
      <c r="E309" s="105">
        <v>200</v>
      </c>
      <c r="F309" s="105">
        <f>E309</f>
        <v>200</v>
      </c>
      <c r="G309" s="105">
        <v>320</v>
      </c>
      <c r="H309" s="105"/>
      <c r="I309" s="105"/>
      <c r="J309" s="105">
        <f>H309</f>
        <v>0</v>
      </c>
      <c r="K309" s="108"/>
      <c r="L309" s="105"/>
      <c r="M309" s="105"/>
      <c r="N309" s="105"/>
      <c r="O309" s="105">
        <v>270</v>
      </c>
      <c r="P309" s="105">
        <f>O309</f>
        <v>270</v>
      </c>
    </row>
    <row r="310" spans="1:16" ht="11.25">
      <c r="A310" s="90" t="s">
        <v>7</v>
      </c>
      <c r="B310" s="111"/>
      <c r="C310" s="111"/>
      <c r="D310" s="105"/>
      <c r="E310" s="111"/>
      <c r="F310" s="111"/>
      <c r="G310" s="105"/>
      <c r="H310" s="111"/>
      <c r="I310" s="111"/>
      <c r="J310" s="111"/>
      <c r="K310" s="108" t="e">
        <f>H310/E310*100</f>
        <v>#DIV/0!</v>
      </c>
      <c r="L310" s="111"/>
      <c r="M310" s="111"/>
      <c r="N310" s="105"/>
      <c r="O310" s="111"/>
      <c r="P310" s="111"/>
    </row>
    <row r="311" spans="1:16" ht="22.5">
      <c r="A311" s="91" t="s">
        <v>191</v>
      </c>
      <c r="B311" s="105"/>
      <c r="C311" s="105"/>
      <c r="D311" s="105"/>
      <c r="E311" s="108">
        <v>400000</v>
      </c>
      <c r="F311" s="108">
        <f>E311</f>
        <v>400000</v>
      </c>
      <c r="G311" s="105"/>
      <c r="H311" s="108"/>
      <c r="I311" s="108"/>
      <c r="J311" s="108"/>
      <c r="K311" s="108"/>
      <c r="L311" s="105"/>
      <c r="M311" s="108"/>
      <c r="N311" s="105"/>
      <c r="O311" s="108"/>
      <c r="P311" s="108"/>
    </row>
    <row r="312" spans="1:16" ht="22.5">
      <c r="A312" s="91" t="s">
        <v>192</v>
      </c>
      <c r="B312" s="105"/>
      <c r="C312" s="105"/>
      <c r="D312" s="105"/>
      <c r="E312" s="108">
        <v>52500</v>
      </c>
      <c r="F312" s="108">
        <f>E312</f>
        <v>52500</v>
      </c>
      <c r="G312" s="105"/>
      <c r="H312" s="108">
        <v>54783</v>
      </c>
      <c r="I312" s="108"/>
      <c r="J312" s="108">
        <f>H312</f>
        <v>54783</v>
      </c>
      <c r="K312" s="108"/>
      <c r="L312" s="105"/>
      <c r="M312" s="108"/>
      <c r="N312" s="105"/>
      <c r="O312" s="108">
        <v>56000</v>
      </c>
      <c r="P312" s="108">
        <f>O312</f>
        <v>56000</v>
      </c>
    </row>
    <row r="313" spans="1:16" ht="22.5">
      <c r="A313" s="91" t="s">
        <v>193</v>
      </c>
      <c r="B313" s="105"/>
      <c r="C313" s="105"/>
      <c r="D313" s="105"/>
      <c r="E313" s="108">
        <v>7000</v>
      </c>
      <c r="F313" s="108">
        <f>E313</f>
        <v>7000</v>
      </c>
      <c r="G313" s="105"/>
      <c r="H313" s="108"/>
      <c r="I313" s="108"/>
      <c r="J313" s="108"/>
      <c r="K313" s="108"/>
      <c r="L313" s="105"/>
      <c r="M313" s="108"/>
      <c r="N313" s="105"/>
      <c r="O313" s="108"/>
      <c r="P313" s="108"/>
    </row>
    <row r="314" spans="1:16" ht="33.75">
      <c r="A314" s="91" t="s">
        <v>194</v>
      </c>
      <c r="B314" s="105"/>
      <c r="C314" s="105"/>
      <c r="D314" s="105"/>
      <c r="E314" s="108">
        <v>1500</v>
      </c>
      <c r="F314" s="108">
        <f>E314</f>
        <v>1500</v>
      </c>
      <c r="G314" s="105">
        <v>1562.5</v>
      </c>
      <c r="H314" s="108"/>
      <c r="I314" s="108"/>
      <c r="J314" s="108">
        <f>H314</f>
        <v>0</v>
      </c>
      <c r="K314" s="108"/>
      <c r="L314" s="105"/>
      <c r="M314" s="108"/>
      <c r="N314" s="105"/>
      <c r="O314" s="108">
        <v>1593</v>
      </c>
      <c r="P314" s="108">
        <f>O314</f>
        <v>1593</v>
      </c>
    </row>
    <row r="315" spans="1:16" ht="11.25">
      <c r="A315" s="90" t="s">
        <v>6</v>
      </c>
      <c r="B315" s="105"/>
      <c r="C315" s="105"/>
      <c r="D315" s="105"/>
      <c r="E315" s="108"/>
      <c r="F315" s="108"/>
      <c r="G315" s="105"/>
      <c r="H315" s="108"/>
      <c r="I315" s="108"/>
      <c r="J315" s="108"/>
      <c r="K315" s="108"/>
      <c r="L315" s="105"/>
      <c r="M315" s="108"/>
      <c r="N315" s="105"/>
      <c r="O315" s="108"/>
      <c r="P315" s="108"/>
    </row>
    <row r="316" spans="1:16" ht="33.75">
      <c r="A316" s="91" t="s">
        <v>196</v>
      </c>
      <c r="B316" s="105"/>
      <c r="C316" s="105"/>
      <c r="D316" s="105"/>
      <c r="E316" s="106">
        <f>E306/E301*100</f>
        <v>100</v>
      </c>
      <c r="F316" s="106">
        <f>E316</f>
        <v>100</v>
      </c>
      <c r="G316" s="105"/>
      <c r="H316" s="108"/>
      <c r="I316" s="108"/>
      <c r="J316" s="108"/>
      <c r="K316" s="108"/>
      <c r="L316" s="105"/>
      <c r="M316" s="108"/>
      <c r="N316" s="105"/>
      <c r="O316" s="108"/>
      <c r="P316" s="108"/>
    </row>
    <row r="317" spans="1:16" ht="45">
      <c r="A317" s="91" t="s">
        <v>197</v>
      </c>
      <c r="B317" s="105"/>
      <c r="C317" s="105"/>
      <c r="D317" s="105"/>
      <c r="E317" s="106">
        <f>E307/E302*100</f>
        <v>28.57142857142857</v>
      </c>
      <c r="F317" s="106">
        <f aca="true" t="shared" si="32" ref="F317:P317">F307/F302*100</f>
        <v>28.57142857142857</v>
      </c>
      <c r="G317" s="106"/>
      <c r="H317" s="106">
        <f t="shared" si="32"/>
        <v>80</v>
      </c>
      <c r="I317" s="106"/>
      <c r="J317" s="106">
        <f t="shared" si="32"/>
        <v>80</v>
      </c>
      <c r="K317" s="106" t="e">
        <f t="shared" si="32"/>
        <v>#DIV/0!</v>
      </c>
      <c r="L317" s="106" t="e">
        <f t="shared" si="32"/>
        <v>#DIV/0!</v>
      </c>
      <c r="M317" s="106" t="e">
        <f t="shared" si="32"/>
        <v>#DIV/0!</v>
      </c>
      <c r="N317" s="106"/>
      <c r="O317" s="106">
        <f t="shared" si="32"/>
        <v>100</v>
      </c>
      <c r="P317" s="106">
        <f t="shared" si="32"/>
        <v>100</v>
      </c>
    </row>
    <row r="318" spans="1:16" ht="45">
      <c r="A318" s="91" t="s">
        <v>198</v>
      </c>
      <c r="B318" s="105"/>
      <c r="C318" s="105"/>
      <c r="D318" s="105"/>
      <c r="E318" s="106">
        <f>E308/E303*100</f>
        <v>100</v>
      </c>
      <c r="F318" s="106">
        <f>E318</f>
        <v>100</v>
      </c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1:16" ht="56.25">
      <c r="A319" s="91" t="s">
        <v>199</v>
      </c>
      <c r="B319" s="105"/>
      <c r="C319" s="105"/>
      <c r="D319" s="105"/>
      <c r="E319" s="106">
        <f>E309/E302*100</f>
        <v>28.57142857142857</v>
      </c>
      <c r="F319" s="106">
        <f aca="true" t="shared" si="33" ref="F319:P319">F309/F302*100</f>
        <v>28.57142857142857</v>
      </c>
      <c r="G319" s="106">
        <f>G309/G304*100</f>
        <v>64</v>
      </c>
      <c r="H319" s="106"/>
      <c r="I319" s="106"/>
      <c r="J319" s="106">
        <f t="shared" si="33"/>
        <v>0</v>
      </c>
      <c r="K319" s="106" t="e">
        <f t="shared" si="33"/>
        <v>#DIV/0!</v>
      </c>
      <c r="L319" s="106" t="e">
        <f t="shared" si="33"/>
        <v>#DIV/0!</v>
      </c>
      <c r="M319" s="106" t="e">
        <f t="shared" si="33"/>
        <v>#DIV/0!</v>
      </c>
      <c r="N319" s="106"/>
      <c r="O319" s="106">
        <f t="shared" si="33"/>
        <v>100</v>
      </c>
      <c r="P319" s="106">
        <f t="shared" si="33"/>
        <v>100</v>
      </c>
    </row>
    <row r="320" spans="1:235" s="191" customFormat="1" ht="33.75">
      <c r="A320" s="178" t="s">
        <v>354</v>
      </c>
      <c r="B320" s="187"/>
      <c r="C320" s="187"/>
      <c r="D320" s="189"/>
      <c r="E320" s="189">
        <f>1630000-250000</f>
        <v>1380000</v>
      </c>
      <c r="F320" s="189">
        <f>E320</f>
        <v>1380000</v>
      </c>
      <c r="G320" s="189"/>
      <c r="H320" s="189">
        <v>250000</v>
      </c>
      <c r="I320" s="189"/>
      <c r="J320" s="236">
        <f>H320</f>
        <v>250000</v>
      </c>
      <c r="K320" s="189">
        <f>K324*K326+1</f>
        <v>1</v>
      </c>
      <c r="L320" s="189">
        <f>L324*L326+1</f>
        <v>1</v>
      </c>
      <c r="M320" s="189">
        <f>M324*M326+1</f>
        <v>1</v>
      </c>
      <c r="N320" s="189"/>
      <c r="O320" s="189"/>
      <c r="P320" s="189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0"/>
      <c r="AE320" s="190"/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190"/>
      <c r="BI320" s="190"/>
      <c r="BJ320" s="190"/>
      <c r="BK320" s="190"/>
      <c r="BL320" s="190"/>
      <c r="BM320" s="190"/>
      <c r="BN320" s="190"/>
      <c r="BO320" s="190"/>
      <c r="BP320" s="190"/>
      <c r="BQ320" s="190"/>
      <c r="BR320" s="190"/>
      <c r="BS320" s="190"/>
      <c r="BT320" s="190"/>
      <c r="BU320" s="190"/>
      <c r="BV320" s="190"/>
      <c r="BW320" s="190"/>
      <c r="BX320" s="190"/>
      <c r="BY320" s="190"/>
      <c r="BZ320" s="190"/>
      <c r="CA320" s="190"/>
      <c r="CB320" s="190"/>
      <c r="CC320" s="190"/>
      <c r="CD320" s="190"/>
      <c r="CE320" s="190"/>
      <c r="CF320" s="190"/>
      <c r="CG320" s="190"/>
      <c r="CH320" s="190"/>
      <c r="CI320" s="190"/>
      <c r="CJ320" s="190"/>
      <c r="CK320" s="190"/>
      <c r="CL320" s="190"/>
      <c r="CM320" s="190"/>
      <c r="CN320" s="190"/>
      <c r="CO320" s="190"/>
      <c r="CP320" s="190"/>
      <c r="CQ320" s="190"/>
      <c r="CR320" s="190"/>
      <c r="CS320" s="190"/>
      <c r="CT320" s="190"/>
      <c r="CU320" s="190"/>
      <c r="CV320" s="190"/>
      <c r="CW320" s="190"/>
      <c r="CX320" s="190"/>
      <c r="CY320" s="190"/>
      <c r="CZ320" s="190"/>
      <c r="DA320" s="190"/>
      <c r="DB320" s="190"/>
      <c r="DC320" s="190"/>
      <c r="DD320" s="190"/>
      <c r="DE320" s="190"/>
      <c r="DF320" s="190"/>
      <c r="DG320" s="190"/>
      <c r="DH320" s="190"/>
      <c r="DI320" s="190"/>
      <c r="DJ320" s="190"/>
      <c r="DK320" s="190"/>
      <c r="DL320" s="190"/>
      <c r="DM320" s="190"/>
      <c r="DN320" s="190"/>
      <c r="DO320" s="190"/>
      <c r="DP320" s="190"/>
      <c r="DQ320" s="190"/>
      <c r="DR320" s="190"/>
      <c r="DS320" s="190"/>
      <c r="DT320" s="190"/>
      <c r="DU320" s="190"/>
      <c r="DV320" s="190"/>
      <c r="DW320" s="190"/>
      <c r="DX320" s="190"/>
      <c r="DY320" s="190"/>
      <c r="DZ320" s="190"/>
      <c r="EA320" s="190"/>
      <c r="EB320" s="190"/>
      <c r="EC320" s="190"/>
      <c r="ED320" s="190"/>
      <c r="EE320" s="190"/>
      <c r="EF320" s="190"/>
      <c r="EG320" s="190"/>
      <c r="EH320" s="190"/>
      <c r="EI320" s="190"/>
      <c r="EJ320" s="190"/>
      <c r="EK320" s="190"/>
      <c r="EL320" s="190"/>
      <c r="EM320" s="190"/>
      <c r="EN320" s="190"/>
      <c r="EO320" s="190"/>
      <c r="EP320" s="190"/>
      <c r="EQ320" s="190"/>
      <c r="ER320" s="190"/>
      <c r="ES320" s="190"/>
      <c r="ET320" s="190"/>
      <c r="EU320" s="190"/>
      <c r="EV320" s="190"/>
      <c r="EW320" s="190"/>
      <c r="EX320" s="190"/>
      <c r="EY320" s="190"/>
      <c r="EZ320" s="190"/>
      <c r="FA320" s="190"/>
      <c r="FB320" s="190"/>
      <c r="FC320" s="190"/>
      <c r="FD320" s="190"/>
      <c r="FE320" s="190"/>
      <c r="FF320" s="190"/>
      <c r="FG320" s="190"/>
      <c r="FH320" s="190"/>
      <c r="FI320" s="190"/>
      <c r="FJ320" s="190"/>
      <c r="FK320" s="190"/>
      <c r="FL320" s="190"/>
      <c r="FM320" s="190"/>
      <c r="FN320" s="190"/>
      <c r="FO320" s="190"/>
      <c r="FP320" s="190"/>
      <c r="FQ320" s="190"/>
      <c r="FR320" s="190"/>
      <c r="FS320" s="190"/>
      <c r="FT320" s="190"/>
      <c r="FU320" s="190"/>
      <c r="FV320" s="190"/>
      <c r="FW320" s="190"/>
      <c r="FX320" s="190"/>
      <c r="FY320" s="190"/>
      <c r="FZ320" s="190"/>
      <c r="GA320" s="190"/>
      <c r="GB320" s="190"/>
      <c r="GC320" s="190"/>
      <c r="GD320" s="190"/>
      <c r="GE320" s="190"/>
      <c r="GF320" s="190"/>
      <c r="GG320" s="190"/>
      <c r="GH320" s="190"/>
      <c r="GI320" s="190"/>
      <c r="GJ320" s="190"/>
      <c r="GK320" s="190"/>
      <c r="GL320" s="190"/>
      <c r="GM320" s="190"/>
      <c r="GN320" s="190"/>
      <c r="GO320" s="190"/>
      <c r="GP320" s="190"/>
      <c r="GQ320" s="190"/>
      <c r="GR320" s="190"/>
      <c r="GS320" s="190"/>
      <c r="GT320" s="190"/>
      <c r="GU320" s="190"/>
      <c r="GV320" s="190"/>
      <c r="GW320" s="190"/>
      <c r="GX320" s="190"/>
      <c r="GY320" s="190"/>
      <c r="GZ320" s="190"/>
      <c r="HA320" s="190"/>
      <c r="HB320" s="190"/>
      <c r="HC320" s="190"/>
      <c r="HD320" s="190"/>
      <c r="HE320" s="190"/>
      <c r="HF320" s="190"/>
      <c r="HG320" s="190"/>
      <c r="HH320" s="190"/>
      <c r="HI320" s="190"/>
      <c r="HJ320" s="190"/>
      <c r="HK320" s="190"/>
      <c r="HL320" s="190"/>
      <c r="HM320" s="190"/>
      <c r="HN320" s="190"/>
      <c r="HO320" s="190"/>
      <c r="HP320" s="190"/>
      <c r="HQ320" s="190"/>
      <c r="HR320" s="190"/>
      <c r="HS320" s="190"/>
      <c r="HT320" s="190"/>
      <c r="HU320" s="190"/>
      <c r="HV320" s="190"/>
      <c r="HW320" s="190"/>
      <c r="HX320" s="190"/>
      <c r="HY320" s="190"/>
      <c r="HZ320" s="190"/>
      <c r="IA320" s="190"/>
    </row>
    <row r="321" spans="1:16" ht="9.75" customHeight="1">
      <c r="A321" s="90" t="s">
        <v>4</v>
      </c>
      <c r="B321" s="105"/>
      <c r="C321" s="105"/>
      <c r="D321" s="105"/>
      <c r="E321" s="108"/>
      <c r="F321" s="108"/>
      <c r="G321" s="105"/>
      <c r="H321" s="108"/>
      <c r="I321" s="108"/>
      <c r="J321" s="108"/>
      <c r="K321" s="108"/>
      <c r="L321" s="105"/>
      <c r="M321" s="108"/>
      <c r="N321" s="105"/>
      <c r="O321" s="108"/>
      <c r="P321" s="108"/>
    </row>
    <row r="322" spans="1:16" ht="33.75">
      <c r="A322" s="91" t="s">
        <v>286</v>
      </c>
      <c r="B322" s="105"/>
      <c r="C322" s="105"/>
      <c r="D322" s="105"/>
      <c r="E322" s="106">
        <v>48</v>
      </c>
      <c r="F322" s="106">
        <f>E322</f>
        <v>48</v>
      </c>
      <c r="G322" s="105"/>
      <c r="H322" s="106">
        <v>9</v>
      </c>
      <c r="I322" s="106"/>
      <c r="J322" s="106">
        <f>H322</f>
        <v>9</v>
      </c>
      <c r="K322" s="108"/>
      <c r="L322" s="105"/>
      <c r="M322" s="108"/>
      <c r="N322" s="105"/>
      <c r="O322" s="106"/>
      <c r="P322" s="106"/>
    </row>
    <row r="323" spans="1:16" ht="11.25">
      <c r="A323" s="90" t="s">
        <v>5</v>
      </c>
      <c r="B323" s="105"/>
      <c r="C323" s="105"/>
      <c r="D323" s="105"/>
      <c r="E323" s="106"/>
      <c r="F323" s="106"/>
      <c r="G323" s="105"/>
      <c r="H323" s="106"/>
      <c r="I323" s="106"/>
      <c r="J323" s="106"/>
      <c r="K323" s="108"/>
      <c r="L323" s="105"/>
      <c r="M323" s="108"/>
      <c r="N323" s="105"/>
      <c r="O323" s="108"/>
      <c r="P323" s="106"/>
    </row>
    <row r="324" spans="1:16" ht="27" customHeight="1">
      <c r="A324" s="91" t="s">
        <v>289</v>
      </c>
      <c r="B324" s="105"/>
      <c r="C324" s="105"/>
      <c r="D324" s="105"/>
      <c r="E324" s="106">
        <v>48</v>
      </c>
      <c r="F324" s="106">
        <v>48</v>
      </c>
      <c r="G324" s="105"/>
      <c r="H324" s="106">
        <v>9</v>
      </c>
      <c r="I324" s="106"/>
      <c r="J324" s="106">
        <v>48</v>
      </c>
      <c r="K324" s="108"/>
      <c r="L324" s="105"/>
      <c r="M324" s="108"/>
      <c r="N324" s="105"/>
      <c r="O324" s="106"/>
      <c r="P324" s="106"/>
    </row>
    <row r="325" spans="1:16" ht="11.25">
      <c r="A325" s="90" t="s">
        <v>7</v>
      </c>
      <c r="B325" s="105"/>
      <c r="C325" s="105"/>
      <c r="D325" s="105"/>
      <c r="E325" s="108"/>
      <c r="F325" s="108"/>
      <c r="G325" s="105"/>
      <c r="H325" s="108"/>
      <c r="I325" s="108"/>
      <c r="J325" s="108"/>
      <c r="K325" s="108"/>
      <c r="L325" s="105"/>
      <c r="M325" s="108"/>
      <c r="N325" s="105"/>
      <c r="O325" s="108"/>
      <c r="P325" s="108"/>
    </row>
    <row r="326" spans="1:16" ht="22.5">
      <c r="A326" s="91" t="s">
        <v>287</v>
      </c>
      <c r="B326" s="105"/>
      <c r="C326" s="105"/>
      <c r="D326" s="108"/>
      <c r="E326" s="108">
        <v>28103.5</v>
      </c>
      <c r="F326" s="108">
        <f>E326</f>
        <v>28103.5</v>
      </c>
      <c r="G326" s="108"/>
      <c r="H326" s="108">
        <v>28103.5</v>
      </c>
      <c r="I326" s="108"/>
      <c r="J326" s="108">
        <f>H326</f>
        <v>28103.5</v>
      </c>
      <c r="K326" s="108"/>
      <c r="L326" s="105"/>
      <c r="M326" s="108"/>
      <c r="N326" s="108"/>
      <c r="O326" s="108"/>
      <c r="P326" s="108"/>
    </row>
    <row r="327" spans="1:16" ht="11.25">
      <c r="A327" s="90" t="s">
        <v>6</v>
      </c>
      <c r="B327" s="109"/>
      <c r="C327" s="109"/>
      <c r="D327" s="105"/>
      <c r="E327" s="110"/>
      <c r="F327" s="110"/>
      <c r="G327" s="105"/>
      <c r="H327" s="110"/>
      <c r="I327" s="110"/>
      <c r="J327" s="110"/>
      <c r="K327" s="109"/>
      <c r="L327" s="109"/>
      <c r="M327" s="109"/>
      <c r="N327" s="105"/>
      <c r="O327" s="110"/>
      <c r="P327" s="110"/>
    </row>
    <row r="328" spans="1:16" ht="48.75" customHeight="1">
      <c r="A328" s="91" t="s">
        <v>288</v>
      </c>
      <c r="B328" s="111"/>
      <c r="C328" s="111"/>
      <c r="D328" s="111"/>
      <c r="E328" s="105">
        <f>E324/E322*100</f>
        <v>100</v>
      </c>
      <c r="F328" s="105">
        <f>E328</f>
        <v>100</v>
      </c>
      <c r="G328" s="105"/>
      <c r="H328" s="105">
        <f>H324/H322*100</f>
        <v>100</v>
      </c>
      <c r="I328" s="105"/>
      <c r="J328" s="105">
        <f>H328</f>
        <v>100</v>
      </c>
      <c r="K328" s="105" t="e">
        <f>(#REF!*#REF!)+(#REF!*#REF!)+(#REF!*#REF!)</f>
        <v>#REF!</v>
      </c>
      <c r="L328" s="105" t="e">
        <f>(#REF!*#REF!)+(#REF!*#REF!)+(#REF!*#REF!)</f>
        <v>#REF!</v>
      </c>
      <c r="M328" s="105" t="e">
        <f>(#REF!*#REF!)+(#REF!*#REF!)+(#REF!*#REF!)</f>
        <v>#REF!</v>
      </c>
      <c r="N328" s="105"/>
      <c r="O328" s="105"/>
      <c r="P328" s="105"/>
    </row>
    <row r="329" spans="1:16" ht="11.25" hidden="1">
      <c r="A329" s="91"/>
      <c r="B329" s="105"/>
      <c r="C329" s="105"/>
      <c r="D329" s="105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1:16" ht="11.25" hidden="1">
      <c r="A330" s="91"/>
      <c r="B330" s="105"/>
      <c r="C330" s="105"/>
      <c r="D330" s="105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1:16" ht="11.25" hidden="1">
      <c r="A331" s="91"/>
      <c r="B331" s="105"/>
      <c r="C331" s="105"/>
      <c r="D331" s="105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1:235" s="191" customFormat="1" ht="33.75">
      <c r="A332" s="178" t="s">
        <v>200</v>
      </c>
      <c r="B332" s="187"/>
      <c r="C332" s="187"/>
      <c r="D332" s="189"/>
      <c r="E332" s="189">
        <f>E333</f>
        <v>1000000</v>
      </c>
      <c r="F332" s="189">
        <f>E332</f>
        <v>1000000</v>
      </c>
      <c r="G332" s="189"/>
      <c r="H332" s="189">
        <f>H333</f>
        <v>6000000</v>
      </c>
      <c r="I332" s="189"/>
      <c r="J332" s="236">
        <f>H332</f>
        <v>6000000</v>
      </c>
      <c r="K332" s="189"/>
      <c r="L332" s="187"/>
      <c r="M332" s="189"/>
      <c r="N332" s="189"/>
      <c r="O332" s="189">
        <f>O333</f>
        <v>1580000</v>
      </c>
      <c r="P332" s="189">
        <f>O332</f>
        <v>1580000</v>
      </c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  <c r="FH332" s="190"/>
      <c r="FI332" s="190"/>
      <c r="FJ332" s="190"/>
      <c r="FK332" s="190"/>
      <c r="FL332" s="190"/>
      <c r="FM332" s="190"/>
      <c r="FN332" s="190"/>
      <c r="FO332" s="190"/>
      <c r="FP332" s="190"/>
      <c r="FQ332" s="190"/>
      <c r="FR332" s="190"/>
      <c r="FS332" s="190"/>
      <c r="FT332" s="190"/>
      <c r="FU332" s="190"/>
      <c r="FV332" s="190"/>
      <c r="FW332" s="190"/>
      <c r="FX332" s="190"/>
      <c r="FY332" s="190"/>
      <c r="FZ332" s="190"/>
      <c r="GA332" s="190"/>
      <c r="GB332" s="190"/>
      <c r="GC332" s="190"/>
      <c r="GD332" s="190"/>
      <c r="GE332" s="190"/>
      <c r="GF332" s="190"/>
      <c r="GG332" s="190"/>
      <c r="GH332" s="190"/>
      <c r="GI332" s="190"/>
      <c r="GJ332" s="190"/>
      <c r="GK332" s="190"/>
      <c r="GL332" s="190"/>
      <c r="GM332" s="190"/>
      <c r="GN332" s="190"/>
      <c r="GO332" s="190"/>
      <c r="GP332" s="190"/>
      <c r="GQ332" s="190"/>
      <c r="GR332" s="190"/>
      <c r="GS332" s="190"/>
      <c r="GT332" s="190"/>
      <c r="GU332" s="190"/>
      <c r="GV332" s="190"/>
      <c r="GW332" s="190"/>
      <c r="GX332" s="190"/>
      <c r="GY332" s="190"/>
      <c r="GZ332" s="190"/>
      <c r="HA332" s="190"/>
      <c r="HB332" s="190"/>
      <c r="HC332" s="190"/>
      <c r="HD332" s="190"/>
      <c r="HE332" s="190"/>
      <c r="HF332" s="190"/>
      <c r="HG332" s="190"/>
      <c r="HH332" s="190"/>
      <c r="HI332" s="190"/>
      <c r="HJ332" s="190"/>
      <c r="HK332" s="190"/>
      <c r="HL332" s="190"/>
      <c r="HM332" s="190"/>
      <c r="HN332" s="190"/>
      <c r="HO332" s="190"/>
      <c r="HP332" s="190"/>
      <c r="HQ332" s="190"/>
      <c r="HR332" s="190"/>
      <c r="HS332" s="190"/>
      <c r="HT332" s="190"/>
      <c r="HU332" s="190"/>
      <c r="HV332" s="190"/>
      <c r="HW332" s="190"/>
      <c r="HX332" s="190"/>
      <c r="HY332" s="190"/>
      <c r="HZ332" s="190"/>
      <c r="IA332" s="190"/>
    </row>
    <row r="333" spans="1:235" s="191" customFormat="1" ht="33.75">
      <c r="A333" s="178" t="s">
        <v>355</v>
      </c>
      <c r="B333" s="187"/>
      <c r="C333" s="187"/>
      <c r="D333" s="189"/>
      <c r="E333" s="189">
        <f>E337*E339+1</f>
        <v>1000000</v>
      </c>
      <c r="F333" s="189">
        <f aca="true" t="shared" si="34" ref="F333:M333">F337*F339+1</f>
        <v>1000000</v>
      </c>
      <c r="G333" s="189"/>
      <c r="H333" s="189">
        <f>2000000+1000000+3000000</f>
        <v>6000000</v>
      </c>
      <c r="I333" s="189"/>
      <c r="J333" s="236">
        <f>H333</f>
        <v>6000000</v>
      </c>
      <c r="K333" s="189">
        <f t="shared" si="34"/>
        <v>1</v>
      </c>
      <c r="L333" s="189">
        <f t="shared" si="34"/>
        <v>1</v>
      </c>
      <c r="M333" s="189">
        <f t="shared" si="34"/>
        <v>1</v>
      </c>
      <c r="N333" s="189"/>
      <c r="O333" s="189">
        <f>O337*O339</f>
        <v>1580000</v>
      </c>
      <c r="P333" s="189">
        <f>O333</f>
        <v>1580000</v>
      </c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  <c r="BK333" s="190"/>
      <c r="BL333" s="190"/>
      <c r="BM333" s="190"/>
      <c r="BN333" s="190"/>
      <c r="BO333" s="190"/>
      <c r="BP333" s="190"/>
      <c r="BQ333" s="190"/>
      <c r="BR333" s="190"/>
      <c r="BS333" s="190"/>
      <c r="BT333" s="190"/>
      <c r="BU333" s="190"/>
      <c r="BV333" s="190"/>
      <c r="BW333" s="190"/>
      <c r="BX333" s="190"/>
      <c r="BY333" s="190"/>
      <c r="BZ333" s="190"/>
      <c r="CA333" s="190"/>
      <c r="CB333" s="190"/>
      <c r="CC333" s="190"/>
      <c r="CD333" s="190"/>
      <c r="CE333" s="190"/>
      <c r="CF333" s="190"/>
      <c r="CG333" s="190"/>
      <c r="CH333" s="190"/>
      <c r="CI333" s="190"/>
      <c r="CJ333" s="190"/>
      <c r="CK333" s="190"/>
      <c r="CL333" s="190"/>
      <c r="CM333" s="190"/>
      <c r="CN333" s="190"/>
      <c r="CO333" s="190"/>
      <c r="CP333" s="190"/>
      <c r="CQ333" s="190"/>
      <c r="CR333" s="190"/>
      <c r="CS333" s="190"/>
      <c r="CT333" s="190"/>
      <c r="CU333" s="190"/>
      <c r="CV333" s="190"/>
      <c r="CW333" s="190"/>
      <c r="CX333" s="190"/>
      <c r="CY333" s="190"/>
      <c r="CZ333" s="190"/>
      <c r="DA333" s="190"/>
      <c r="DB333" s="190"/>
      <c r="DC333" s="190"/>
      <c r="DD333" s="190"/>
      <c r="DE333" s="190"/>
      <c r="DF333" s="190"/>
      <c r="DG333" s="190"/>
      <c r="DH333" s="190"/>
      <c r="DI333" s="190"/>
      <c r="DJ333" s="190"/>
      <c r="DK333" s="190"/>
      <c r="DL333" s="190"/>
      <c r="DM333" s="190"/>
      <c r="DN333" s="190"/>
      <c r="DO333" s="190"/>
      <c r="DP333" s="190"/>
      <c r="DQ333" s="190"/>
      <c r="DR333" s="190"/>
      <c r="DS333" s="190"/>
      <c r="DT333" s="190"/>
      <c r="DU333" s="190"/>
      <c r="DV333" s="190"/>
      <c r="DW333" s="190"/>
      <c r="DX333" s="190"/>
      <c r="DY333" s="190"/>
      <c r="DZ333" s="190"/>
      <c r="EA333" s="190"/>
      <c r="EB333" s="190"/>
      <c r="EC333" s="190"/>
      <c r="ED333" s="190"/>
      <c r="EE333" s="190"/>
      <c r="EF333" s="190"/>
      <c r="EG333" s="190"/>
      <c r="EH333" s="190"/>
      <c r="EI333" s="190"/>
      <c r="EJ333" s="190"/>
      <c r="EK333" s="190"/>
      <c r="EL333" s="190"/>
      <c r="EM333" s="190"/>
      <c r="EN333" s="190"/>
      <c r="EO333" s="190"/>
      <c r="EP333" s="190"/>
      <c r="EQ333" s="190"/>
      <c r="ER333" s="190"/>
      <c r="ES333" s="190"/>
      <c r="ET333" s="190"/>
      <c r="EU333" s="190"/>
      <c r="EV333" s="190"/>
      <c r="EW333" s="190"/>
      <c r="EX333" s="190"/>
      <c r="EY333" s="190"/>
      <c r="EZ333" s="190"/>
      <c r="FA333" s="190"/>
      <c r="FB333" s="190"/>
      <c r="FC333" s="190"/>
      <c r="FD333" s="190"/>
      <c r="FE333" s="190"/>
      <c r="FF333" s="190"/>
      <c r="FG333" s="190"/>
      <c r="FH333" s="190"/>
      <c r="FI333" s="190"/>
      <c r="FJ333" s="190"/>
      <c r="FK333" s="190"/>
      <c r="FL333" s="190"/>
      <c r="FM333" s="190"/>
      <c r="FN333" s="190"/>
      <c r="FO333" s="190"/>
      <c r="FP333" s="190"/>
      <c r="FQ333" s="190"/>
      <c r="FR333" s="190"/>
      <c r="FS333" s="190"/>
      <c r="FT333" s="190"/>
      <c r="FU333" s="190"/>
      <c r="FV333" s="190"/>
      <c r="FW333" s="190"/>
      <c r="FX333" s="190"/>
      <c r="FY333" s="190"/>
      <c r="FZ333" s="190"/>
      <c r="GA333" s="190"/>
      <c r="GB333" s="190"/>
      <c r="GC333" s="190"/>
      <c r="GD333" s="190"/>
      <c r="GE333" s="190"/>
      <c r="GF333" s="190"/>
      <c r="GG333" s="190"/>
      <c r="GH333" s="190"/>
      <c r="GI333" s="190"/>
      <c r="GJ333" s="190"/>
      <c r="GK333" s="190"/>
      <c r="GL333" s="190"/>
      <c r="GM333" s="190"/>
      <c r="GN333" s="190"/>
      <c r="GO333" s="190"/>
      <c r="GP333" s="190"/>
      <c r="GQ333" s="190"/>
      <c r="GR333" s="190"/>
      <c r="GS333" s="190"/>
      <c r="GT333" s="190"/>
      <c r="GU333" s="190"/>
      <c r="GV333" s="190"/>
      <c r="GW333" s="190"/>
      <c r="GX333" s="190"/>
      <c r="GY333" s="190"/>
      <c r="GZ333" s="190"/>
      <c r="HA333" s="190"/>
      <c r="HB333" s="190"/>
      <c r="HC333" s="190"/>
      <c r="HD333" s="190"/>
      <c r="HE333" s="190"/>
      <c r="HF333" s="190"/>
      <c r="HG333" s="190"/>
      <c r="HH333" s="190"/>
      <c r="HI333" s="190"/>
      <c r="HJ333" s="190"/>
      <c r="HK333" s="190"/>
      <c r="HL333" s="190"/>
      <c r="HM333" s="190"/>
      <c r="HN333" s="190"/>
      <c r="HO333" s="190"/>
      <c r="HP333" s="190"/>
      <c r="HQ333" s="190"/>
      <c r="HR333" s="190"/>
      <c r="HS333" s="190"/>
      <c r="HT333" s="190"/>
      <c r="HU333" s="190"/>
      <c r="HV333" s="190"/>
      <c r="HW333" s="190"/>
      <c r="HX333" s="190"/>
      <c r="HY333" s="190"/>
      <c r="HZ333" s="190"/>
      <c r="IA333" s="190"/>
    </row>
    <row r="334" spans="1:16" ht="11.25">
      <c r="A334" s="90" t="s">
        <v>4</v>
      </c>
      <c r="B334" s="105"/>
      <c r="C334" s="105"/>
      <c r="D334" s="105"/>
      <c r="E334" s="108"/>
      <c r="F334" s="108"/>
      <c r="G334" s="105"/>
      <c r="H334" s="108"/>
      <c r="I334" s="108"/>
      <c r="J334" s="108"/>
      <c r="K334" s="108"/>
      <c r="L334" s="105"/>
      <c r="M334" s="108"/>
      <c r="N334" s="105"/>
      <c r="O334" s="108"/>
      <c r="P334" s="108"/>
    </row>
    <row r="335" spans="1:16" ht="22.5">
      <c r="A335" s="91" t="s">
        <v>180</v>
      </c>
      <c r="B335" s="105"/>
      <c r="C335" s="105"/>
      <c r="D335" s="105"/>
      <c r="E335" s="106">
        <v>10</v>
      </c>
      <c r="F335" s="106">
        <f>E335</f>
        <v>10</v>
      </c>
      <c r="G335" s="105"/>
      <c r="H335" s="107">
        <v>10</v>
      </c>
      <c r="I335" s="107"/>
      <c r="J335" s="107">
        <f>H335</f>
        <v>10</v>
      </c>
      <c r="K335" s="108"/>
      <c r="L335" s="105"/>
      <c r="M335" s="108"/>
      <c r="N335" s="105"/>
      <c r="O335" s="106">
        <v>10</v>
      </c>
      <c r="P335" s="106">
        <f>O335</f>
        <v>10</v>
      </c>
    </row>
    <row r="336" spans="1:16" ht="11.25">
      <c r="A336" s="90" t="s">
        <v>5</v>
      </c>
      <c r="B336" s="105"/>
      <c r="C336" s="105"/>
      <c r="D336" s="105"/>
      <c r="E336" s="106"/>
      <c r="F336" s="106"/>
      <c r="G336" s="105"/>
      <c r="H336" s="108"/>
      <c r="I336" s="108"/>
      <c r="J336" s="106"/>
      <c r="K336" s="108"/>
      <c r="L336" s="105"/>
      <c r="M336" s="108"/>
      <c r="N336" s="105"/>
      <c r="O336" s="108"/>
      <c r="P336" s="106"/>
    </row>
    <row r="337" spans="1:16" ht="22.5">
      <c r="A337" s="91" t="s">
        <v>181</v>
      </c>
      <c r="B337" s="105"/>
      <c r="C337" s="105"/>
      <c r="D337" s="105"/>
      <c r="E337" s="106">
        <v>3</v>
      </c>
      <c r="F337" s="106">
        <f>E337</f>
        <v>3</v>
      </c>
      <c r="G337" s="105"/>
      <c r="H337" s="106">
        <v>4</v>
      </c>
      <c r="I337" s="106"/>
      <c r="J337" s="106">
        <f>H337</f>
        <v>4</v>
      </c>
      <c r="K337" s="108"/>
      <c r="L337" s="105"/>
      <c r="M337" s="108"/>
      <c r="N337" s="105"/>
      <c r="O337" s="106">
        <v>4</v>
      </c>
      <c r="P337" s="106">
        <f>O337</f>
        <v>4</v>
      </c>
    </row>
    <row r="338" spans="1:16" ht="11.25">
      <c r="A338" s="90" t="s">
        <v>7</v>
      </c>
      <c r="B338" s="105"/>
      <c r="C338" s="105"/>
      <c r="D338" s="105"/>
      <c r="E338" s="108"/>
      <c r="F338" s="108"/>
      <c r="G338" s="105"/>
      <c r="H338" s="108"/>
      <c r="I338" s="108"/>
      <c r="J338" s="108"/>
      <c r="K338" s="108"/>
      <c r="L338" s="105"/>
      <c r="M338" s="108"/>
      <c r="N338" s="105"/>
      <c r="O338" s="108"/>
      <c r="P338" s="108"/>
    </row>
    <row r="339" spans="1:16" ht="22.5">
      <c r="A339" s="91" t="s">
        <v>182</v>
      </c>
      <c r="B339" s="105"/>
      <c r="C339" s="105"/>
      <c r="D339" s="108"/>
      <c r="E339" s="108">
        <v>333333</v>
      </c>
      <c r="F339" s="108">
        <f>E339</f>
        <v>333333</v>
      </c>
      <c r="G339" s="108"/>
      <c r="H339" s="108">
        <v>440000</v>
      </c>
      <c r="I339" s="108"/>
      <c r="J339" s="108">
        <f>H339</f>
        <v>440000</v>
      </c>
      <c r="K339" s="108"/>
      <c r="L339" s="105"/>
      <c r="M339" s="108"/>
      <c r="N339" s="108"/>
      <c r="O339" s="108">
        <v>395000</v>
      </c>
      <c r="P339" s="108">
        <f>O339</f>
        <v>395000</v>
      </c>
    </row>
    <row r="340" spans="1:16" ht="11.25">
      <c r="A340" s="90" t="s">
        <v>6</v>
      </c>
      <c r="B340" s="109"/>
      <c r="C340" s="109"/>
      <c r="D340" s="105"/>
      <c r="E340" s="110"/>
      <c r="F340" s="110"/>
      <c r="G340" s="105"/>
      <c r="H340" s="110"/>
      <c r="I340" s="110"/>
      <c r="J340" s="110"/>
      <c r="K340" s="109"/>
      <c r="L340" s="109"/>
      <c r="M340" s="109"/>
      <c r="N340" s="105"/>
      <c r="O340" s="110"/>
      <c r="P340" s="110"/>
    </row>
    <row r="341" spans="1:16" ht="51.75" customHeight="1">
      <c r="A341" s="91" t="s">
        <v>203</v>
      </c>
      <c r="B341" s="111"/>
      <c r="C341" s="111"/>
      <c r="D341" s="111"/>
      <c r="E341" s="105">
        <f>E337/E335*100</f>
        <v>30</v>
      </c>
      <c r="F341" s="105">
        <f>E341</f>
        <v>30</v>
      </c>
      <c r="G341" s="105"/>
      <c r="H341" s="105">
        <f>H337/H335*100</f>
        <v>40</v>
      </c>
      <c r="I341" s="105"/>
      <c r="J341" s="105">
        <f>H341</f>
        <v>40</v>
      </c>
      <c r="K341" s="105" t="e">
        <f>(#REF!*#REF!)+(#REF!*#REF!)+(#REF!*#REF!)</f>
        <v>#REF!</v>
      </c>
      <c r="L341" s="105" t="e">
        <f>(#REF!*#REF!)+(#REF!*#REF!)+(#REF!*#REF!)</f>
        <v>#REF!</v>
      </c>
      <c r="M341" s="105" t="e">
        <f>(#REF!*#REF!)+(#REF!*#REF!)+(#REF!*#REF!)</f>
        <v>#REF!</v>
      </c>
      <c r="N341" s="105"/>
      <c r="O341" s="105">
        <f>O337/O335*100</f>
        <v>40</v>
      </c>
      <c r="P341" s="105">
        <f>O341</f>
        <v>40</v>
      </c>
    </row>
    <row r="342" spans="1:16" ht="1.5" customHeight="1" hidden="1">
      <c r="A342" s="30" t="s">
        <v>284</v>
      </c>
      <c r="B342" s="40"/>
      <c r="C342" s="40"/>
      <c r="D342" s="36"/>
      <c r="E342" s="36">
        <f>E343</f>
        <v>1000000</v>
      </c>
      <c r="F342" s="36">
        <f>E342</f>
        <v>1000000</v>
      </c>
      <c r="G342" s="36"/>
      <c r="H342" s="36">
        <f>H343</f>
        <v>1320000</v>
      </c>
      <c r="I342" s="36"/>
      <c r="J342" s="36">
        <f>H342</f>
        <v>1320000</v>
      </c>
      <c r="K342" s="85"/>
      <c r="L342" s="40"/>
      <c r="M342" s="85"/>
      <c r="N342" s="36"/>
      <c r="O342" s="36">
        <f>O343</f>
        <v>1580000</v>
      </c>
      <c r="P342" s="36">
        <f>O342</f>
        <v>1580000</v>
      </c>
    </row>
    <row r="343" spans="1:16" ht="4.5" customHeight="1" hidden="1">
      <c r="A343" s="30" t="s">
        <v>285</v>
      </c>
      <c r="B343" s="40"/>
      <c r="C343" s="40"/>
      <c r="D343" s="36"/>
      <c r="E343" s="36">
        <f>E347*E349+1</f>
        <v>1000000</v>
      </c>
      <c r="F343" s="36">
        <f>F347*F349+1</f>
        <v>1000000</v>
      </c>
      <c r="G343" s="36"/>
      <c r="H343" s="36">
        <f>H347*H349</f>
        <v>1320000</v>
      </c>
      <c r="I343" s="36"/>
      <c r="J343" s="36">
        <f>H343</f>
        <v>1320000</v>
      </c>
      <c r="K343" s="36">
        <f>K347*K349+1</f>
        <v>1</v>
      </c>
      <c r="L343" s="36">
        <f>L347*L349+1</f>
        <v>1</v>
      </c>
      <c r="M343" s="36">
        <f>M347*M349+1</f>
        <v>1</v>
      </c>
      <c r="N343" s="36"/>
      <c r="O343" s="36">
        <f>O347*O349</f>
        <v>1580000</v>
      </c>
      <c r="P343" s="36">
        <f>O343</f>
        <v>1580000</v>
      </c>
    </row>
    <row r="344" spans="1:16" ht="16.5" customHeight="1" hidden="1">
      <c r="A344" s="90" t="s">
        <v>4</v>
      </c>
      <c r="B344" s="105"/>
      <c r="C344" s="105"/>
      <c r="D344" s="105"/>
      <c r="E344" s="108"/>
      <c r="F344" s="108"/>
      <c r="G344" s="105"/>
      <c r="H344" s="108"/>
      <c r="I344" s="108"/>
      <c r="J344" s="108"/>
      <c r="K344" s="108"/>
      <c r="L344" s="105"/>
      <c r="M344" s="108"/>
      <c r="N344" s="105"/>
      <c r="O344" s="108"/>
      <c r="P344" s="108"/>
    </row>
    <row r="345" spans="1:16" ht="24.75" customHeight="1" hidden="1">
      <c r="A345" s="91" t="s">
        <v>180</v>
      </c>
      <c r="B345" s="105"/>
      <c r="C345" s="105"/>
      <c r="D345" s="105"/>
      <c r="E345" s="106">
        <v>10</v>
      </c>
      <c r="F345" s="106">
        <f>E345</f>
        <v>10</v>
      </c>
      <c r="G345" s="105"/>
      <c r="H345" s="107">
        <v>10</v>
      </c>
      <c r="I345" s="107"/>
      <c r="J345" s="107">
        <f>H345</f>
        <v>10</v>
      </c>
      <c r="K345" s="108"/>
      <c r="L345" s="105"/>
      <c r="M345" s="108"/>
      <c r="N345" s="105"/>
      <c r="O345" s="106">
        <v>10</v>
      </c>
      <c r="P345" s="106">
        <f>O345</f>
        <v>10</v>
      </c>
    </row>
    <row r="346" spans="1:16" ht="15" customHeight="1" hidden="1">
      <c r="A346" s="90" t="s">
        <v>5</v>
      </c>
      <c r="B346" s="105"/>
      <c r="C346" s="105"/>
      <c r="D346" s="105"/>
      <c r="E346" s="106"/>
      <c r="F346" s="106"/>
      <c r="G346" s="105"/>
      <c r="H346" s="108"/>
      <c r="I346" s="108"/>
      <c r="J346" s="106"/>
      <c r="K346" s="108"/>
      <c r="L346" s="105"/>
      <c r="M346" s="108"/>
      <c r="N346" s="105"/>
      <c r="O346" s="108"/>
      <c r="P346" s="106"/>
    </row>
    <row r="347" spans="1:16" ht="12.75" customHeight="1" hidden="1">
      <c r="A347" s="91" t="s">
        <v>181</v>
      </c>
      <c r="B347" s="105"/>
      <c r="C347" s="105"/>
      <c r="D347" s="105"/>
      <c r="E347" s="106">
        <v>3</v>
      </c>
      <c r="F347" s="106">
        <f>E347</f>
        <v>3</v>
      </c>
      <c r="G347" s="105"/>
      <c r="H347" s="106">
        <v>3</v>
      </c>
      <c r="I347" s="106"/>
      <c r="J347" s="106">
        <f>H347</f>
        <v>3</v>
      </c>
      <c r="K347" s="108"/>
      <c r="L347" s="105"/>
      <c r="M347" s="108"/>
      <c r="N347" s="105"/>
      <c r="O347" s="106">
        <v>4</v>
      </c>
      <c r="P347" s="106">
        <f>O347</f>
        <v>4</v>
      </c>
    </row>
    <row r="348" spans="1:16" ht="16.5" customHeight="1" hidden="1">
      <c r="A348" s="90" t="s">
        <v>7</v>
      </c>
      <c r="B348" s="105"/>
      <c r="C348" s="105"/>
      <c r="D348" s="105"/>
      <c r="E348" s="108"/>
      <c r="F348" s="108"/>
      <c r="G348" s="105"/>
      <c r="H348" s="108"/>
      <c r="I348" s="108"/>
      <c r="J348" s="108"/>
      <c r="K348" s="108"/>
      <c r="L348" s="105"/>
      <c r="M348" s="108"/>
      <c r="N348" s="105"/>
      <c r="O348" s="108"/>
      <c r="P348" s="108"/>
    </row>
    <row r="349" spans="1:16" ht="30" customHeight="1" hidden="1">
      <c r="A349" s="91" t="s">
        <v>182</v>
      </c>
      <c r="B349" s="105"/>
      <c r="C349" s="105"/>
      <c r="D349" s="108"/>
      <c r="E349" s="108">
        <v>333333</v>
      </c>
      <c r="F349" s="108">
        <f>E349</f>
        <v>333333</v>
      </c>
      <c r="G349" s="108"/>
      <c r="H349" s="108">
        <v>440000</v>
      </c>
      <c r="I349" s="108"/>
      <c r="J349" s="108">
        <f>H349</f>
        <v>440000</v>
      </c>
      <c r="K349" s="108"/>
      <c r="L349" s="105"/>
      <c r="M349" s="108"/>
      <c r="N349" s="108"/>
      <c r="O349" s="108">
        <v>395000</v>
      </c>
      <c r="P349" s="108">
        <f>O349</f>
        <v>395000</v>
      </c>
    </row>
    <row r="350" spans="1:16" ht="15" customHeight="1" hidden="1">
      <c r="A350" s="90" t="s">
        <v>6</v>
      </c>
      <c r="B350" s="109"/>
      <c r="C350" s="109"/>
      <c r="D350" s="105"/>
      <c r="E350" s="110"/>
      <c r="F350" s="110"/>
      <c r="G350" s="105"/>
      <c r="H350" s="110"/>
      <c r="I350" s="110"/>
      <c r="J350" s="110"/>
      <c r="K350" s="109"/>
      <c r="L350" s="109"/>
      <c r="M350" s="109"/>
      <c r="N350" s="105"/>
      <c r="O350" s="110"/>
      <c r="P350" s="110"/>
    </row>
    <row r="351" spans="1:16" ht="53.25" customHeight="1" hidden="1">
      <c r="A351" s="91" t="s">
        <v>203</v>
      </c>
      <c r="B351" s="111"/>
      <c r="C351" s="111"/>
      <c r="D351" s="111"/>
      <c r="E351" s="105">
        <f>E347/E345*100</f>
        <v>30</v>
      </c>
      <c r="F351" s="105">
        <f>E351</f>
        <v>30</v>
      </c>
      <c r="G351" s="105"/>
      <c r="H351" s="105">
        <f>H347/H345*100</f>
        <v>30</v>
      </c>
      <c r="I351" s="105"/>
      <c r="J351" s="105">
        <f>H351</f>
        <v>30</v>
      </c>
      <c r="K351" s="105" t="e">
        <f>(#REF!*#REF!)+(#REF!*#REF!)+(#REF!*#REF!)</f>
        <v>#REF!</v>
      </c>
      <c r="L351" s="105" t="e">
        <f>(#REF!*#REF!)+(#REF!*#REF!)+(#REF!*#REF!)</f>
        <v>#REF!</v>
      </c>
      <c r="M351" s="105" t="e">
        <f>(#REF!*#REF!)+(#REF!*#REF!)+(#REF!*#REF!)</f>
        <v>#REF!</v>
      </c>
      <c r="N351" s="105"/>
      <c r="O351" s="105">
        <f>O347/O345*100</f>
        <v>40</v>
      </c>
      <c r="P351" s="105">
        <f>O351</f>
        <v>40</v>
      </c>
    </row>
    <row r="352" spans="1:16" ht="21.75" customHeight="1" hidden="1">
      <c r="A352" s="91"/>
      <c r="B352" s="111"/>
      <c r="C352" s="111"/>
      <c r="D352" s="111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1:16" ht="54" customHeight="1" hidden="1">
      <c r="A353" s="91"/>
      <c r="B353" s="111"/>
      <c r="C353" s="111"/>
      <c r="D353" s="111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1:16" ht="54" customHeight="1" hidden="1">
      <c r="A354" s="91"/>
      <c r="B354" s="111"/>
      <c r="C354" s="111"/>
      <c r="D354" s="111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1:16" ht="54" customHeight="1" hidden="1">
      <c r="A355" s="91"/>
      <c r="B355" s="111"/>
      <c r="C355" s="111"/>
      <c r="D355" s="111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1:16" ht="54" customHeight="1" hidden="1">
      <c r="A356" s="91"/>
      <c r="B356" s="111"/>
      <c r="C356" s="111"/>
      <c r="D356" s="111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1:16" ht="16.5" customHeight="1">
      <c r="A357" s="24" t="s">
        <v>204</v>
      </c>
      <c r="B357" s="25"/>
      <c r="C357" s="25"/>
      <c r="D357" s="101">
        <f>D358+D359</f>
        <v>1889680.002</v>
      </c>
      <c r="E357" s="101"/>
      <c r="F357" s="101">
        <f aca="true" t="shared" si="35" ref="F357:P357">F358+F359</f>
        <v>1889680.002</v>
      </c>
      <c r="G357" s="101">
        <f>G358+G359</f>
        <v>2339999.99813</v>
      </c>
      <c r="H357" s="101">
        <f>H358+H359</f>
        <v>400000</v>
      </c>
      <c r="I357" s="101">
        <f>I358+I359</f>
        <v>0</v>
      </c>
      <c r="J357" s="245">
        <f t="shared" si="35"/>
        <v>2739999.99813</v>
      </c>
      <c r="K357" s="101" t="e">
        <f t="shared" si="35"/>
        <v>#REF!</v>
      </c>
      <c r="L357" s="101">
        <f t="shared" si="35"/>
        <v>0</v>
      </c>
      <c r="M357" s="101">
        <f t="shared" si="35"/>
        <v>0</v>
      </c>
      <c r="N357" s="101">
        <f t="shared" si="35"/>
        <v>2503680</v>
      </c>
      <c r="O357" s="101"/>
      <c r="P357" s="101">
        <f t="shared" si="35"/>
        <v>2503680</v>
      </c>
    </row>
    <row r="358" spans="1:16" ht="13.5" customHeight="1">
      <c r="A358" s="24" t="s">
        <v>87</v>
      </c>
      <c r="B358" s="25"/>
      <c r="C358" s="25"/>
      <c r="D358" s="101">
        <f>D361+D368+D395+D409</f>
        <v>1536000.002</v>
      </c>
      <c r="E358" s="101"/>
      <c r="F358" s="101">
        <f>F361+F368+F395+F409</f>
        <v>1536000.002</v>
      </c>
      <c r="G358" s="101">
        <f>G361+G368+G400+G409+G395</f>
        <v>2119999.99813</v>
      </c>
      <c r="H358" s="101">
        <f aca="true" t="shared" si="36" ref="H358:P358">H361+H368</f>
        <v>0</v>
      </c>
      <c r="I358" s="101">
        <f>I361+I368</f>
        <v>0</v>
      </c>
      <c r="J358" s="101">
        <f>J361+J368+J400+J409+J395</f>
        <v>2119999.99813</v>
      </c>
      <c r="K358" s="101" t="e">
        <f t="shared" si="36"/>
        <v>#REF!</v>
      </c>
      <c r="L358" s="101">
        <f t="shared" si="36"/>
        <v>0</v>
      </c>
      <c r="M358" s="101">
        <f t="shared" si="36"/>
        <v>0</v>
      </c>
      <c r="N358" s="101">
        <f>N361+N368</f>
        <v>2090000</v>
      </c>
      <c r="O358" s="101"/>
      <c r="P358" s="101">
        <f t="shared" si="36"/>
        <v>2090000</v>
      </c>
    </row>
    <row r="359" spans="1:16" ht="16.5" customHeight="1">
      <c r="A359" s="24" t="s">
        <v>88</v>
      </c>
      <c r="B359" s="25"/>
      <c r="C359" s="25"/>
      <c r="D359" s="101">
        <f>D377+D384</f>
        <v>353680</v>
      </c>
      <c r="E359" s="101"/>
      <c r="F359" s="101">
        <f aca="true" t="shared" si="37" ref="F359:P359">F377+F384</f>
        <v>353680</v>
      </c>
      <c r="G359" s="101">
        <f>G377+G384</f>
        <v>220000</v>
      </c>
      <c r="H359" s="101">
        <f>H377+H384</f>
        <v>400000</v>
      </c>
      <c r="I359" s="101">
        <f>I377+I384</f>
        <v>0</v>
      </c>
      <c r="J359" s="101">
        <f>J377+J384</f>
        <v>620000</v>
      </c>
      <c r="K359" s="101">
        <f t="shared" si="37"/>
        <v>0</v>
      </c>
      <c r="L359" s="101">
        <f t="shared" si="37"/>
        <v>0</v>
      </c>
      <c r="M359" s="101">
        <f t="shared" si="37"/>
        <v>0</v>
      </c>
      <c r="N359" s="101">
        <f t="shared" si="37"/>
        <v>413680</v>
      </c>
      <c r="O359" s="101"/>
      <c r="P359" s="101">
        <f t="shared" si="37"/>
        <v>413680</v>
      </c>
    </row>
    <row r="360" spans="1:16" ht="36" customHeight="1">
      <c r="A360" s="32" t="s">
        <v>205</v>
      </c>
      <c r="B360" s="8"/>
      <c r="C360" s="8"/>
      <c r="D360" s="18"/>
      <c r="E360" s="18"/>
      <c r="F360" s="18"/>
      <c r="G360" s="18"/>
      <c r="H360" s="18"/>
      <c r="I360" s="18"/>
      <c r="J360" s="18"/>
      <c r="K360" s="11"/>
      <c r="L360" s="12"/>
      <c r="M360" s="13"/>
      <c r="N360" s="18"/>
      <c r="O360" s="18"/>
      <c r="P360" s="18"/>
    </row>
    <row r="361" spans="1:235" s="191" customFormat="1" ht="22.5">
      <c r="A361" s="178" t="s">
        <v>356</v>
      </c>
      <c r="B361" s="187"/>
      <c r="C361" s="187"/>
      <c r="D361" s="189">
        <f>D363</f>
        <v>1385000</v>
      </c>
      <c r="E361" s="189"/>
      <c r="F361" s="189">
        <f>D361</f>
        <v>1385000</v>
      </c>
      <c r="G361" s="189">
        <f>G363</f>
        <v>1660000</v>
      </c>
      <c r="H361" s="189"/>
      <c r="I361" s="189"/>
      <c r="J361" s="236">
        <f>G361</f>
        <v>1660000</v>
      </c>
      <c r="K361" s="189"/>
      <c r="L361" s="187"/>
      <c r="M361" s="187"/>
      <c r="N361" s="189">
        <f>N363</f>
        <v>1990000</v>
      </c>
      <c r="O361" s="189"/>
      <c r="P361" s="189">
        <f>N361</f>
        <v>1990000</v>
      </c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B361" s="190"/>
      <c r="AC361" s="190"/>
      <c r="AD361" s="190"/>
      <c r="AE361" s="190"/>
      <c r="AF361" s="190"/>
      <c r="AG361" s="190"/>
      <c r="AH361" s="190"/>
      <c r="AI361" s="190"/>
      <c r="AJ361" s="190"/>
      <c r="AK361" s="190"/>
      <c r="AL361" s="190"/>
      <c r="AM361" s="190"/>
      <c r="AN361" s="190"/>
      <c r="AO361" s="190"/>
      <c r="AP361" s="190"/>
      <c r="AQ361" s="190"/>
      <c r="AR361" s="190"/>
      <c r="AS361" s="190"/>
      <c r="AT361" s="190"/>
      <c r="AU361" s="190"/>
      <c r="AV361" s="190"/>
      <c r="AW361" s="190"/>
      <c r="AX361" s="190"/>
      <c r="AY361" s="190"/>
      <c r="AZ361" s="190"/>
      <c r="BA361" s="190"/>
      <c r="BB361" s="190"/>
      <c r="BC361" s="190"/>
      <c r="BD361" s="190"/>
      <c r="BE361" s="190"/>
      <c r="BF361" s="190"/>
      <c r="BG361" s="190"/>
      <c r="BH361" s="190"/>
      <c r="BI361" s="190"/>
      <c r="BJ361" s="190"/>
      <c r="BK361" s="190"/>
      <c r="BL361" s="190"/>
      <c r="BM361" s="190"/>
      <c r="BN361" s="190"/>
      <c r="BO361" s="190"/>
      <c r="BP361" s="190"/>
      <c r="BQ361" s="190"/>
      <c r="BR361" s="190"/>
      <c r="BS361" s="190"/>
      <c r="BT361" s="190"/>
      <c r="BU361" s="190"/>
      <c r="BV361" s="190"/>
      <c r="BW361" s="190"/>
      <c r="BX361" s="190"/>
      <c r="BY361" s="190"/>
      <c r="BZ361" s="190"/>
      <c r="CA361" s="190"/>
      <c r="CB361" s="190"/>
      <c r="CC361" s="190"/>
      <c r="CD361" s="190"/>
      <c r="CE361" s="190"/>
      <c r="CF361" s="190"/>
      <c r="CG361" s="190"/>
      <c r="CH361" s="190"/>
      <c r="CI361" s="190"/>
      <c r="CJ361" s="190"/>
      <c r="CK361" s="190"/>
      <c r="CL361" s="190"/>
      <c r="CM361" s="190"/>
      <c r="CN361" s="190"/>
      <c r="CO361" s="190"/>
      <c r="CP361" s="190"/>
      <c r="CQ361" s="190"/>
      <c r="CR361" s="190"/>
      <c r="CS361" s="190"/>
      <c r="CT361" s="190"/>
      <c r="CU361" s="190"/>
      <c r="CV361" s="190"/>
      <c r="CW361" s="190"/>
      <c r="CX361" s="190"/>
      <c r="CY361" s="190"/>
      <c r="CZ361" s="190"/>
      <c r="DA361" s="190"/>
      <c r="DB361" s="190"/>
      <c r="DC361" s="190"/>
      <c r="DD361" s="190"/>
      <c r="DE361" s="190"/>
      <c r="DF361" s="190"/>
      <c r="DG361" s="190"/>
      <c r="DH361" s="190"/>
      <c r="DI361" s="190"/>
      <c r="DJ361" s="190"/>
      <c r="DK361" s="190"/>
      <c r="DL361" s="190"/>
      <c r="DM361" s="190"/>
      <c r="DN361" s="190"/>
      <c r="DO361" s="190"/>
      <c r="DP361" s="190"/>
      <c r="DQ361" s="190"/>
      <c r="DR361" s="190"/>
      <c r="DS361" s="190"/>
      <c r="DT361" s="190"/>
      <c r="DU361" s="190"/>
      <c r="DV361" s="190"/>
      <c r="DW361" s="190"/>
      <c r="DX361" s="190"/>
      <c r="DY361" s="190"/>
      <c r="DZ361" s="190"/>
      <c r="EA361" s="190"/>
      <c r="EB361" s="190"/>
      <c r="EC361" s="190"/>
      <c r="ED361" s="190"/>
      <c r="EE361" s="190"/>
      <c r="EF361" s="190"/>
      <c r="EG361" s="190"/>
      <c r="EH361" s="190"/>
      <c r="EI361" s="190"/>
      <c r="EJ361" s="190"/>
      <c r="EK361" s="190"/>
      <c r="EL361" s="190"/>
      <c r="EM361" s="190"/>
      <c r="EN361" s="190"/>
      <c r="EO361" s="190"/>
      <c r="EP361" s="190"/>
      <c r="EQ361" s="190"/>
      <c r="ER361" s="190"/>
      <c r="ES361" s="190"/>
      <c r="ET361" s="190"/>
      <c r="EU361" s="190"/>
      <c r="EV361" s="190"/>
      <c r="EW361" s="190"/>
      <c r="EX361" s="190"/>
      <c r="EY361" s="190"/>
      <c r="EZ361" s="190"/>
      <c r="FA361" s="190"/>
      <c r="FB361" s="190"/>
      <c r="FC361" s="190"/>
      <c r="FD361" s="190"/>
      <c r="FE361" s="190"/>
      <c r="FF361" s="190"/>
      <c r="FG361" s="190"/>
      <c r="FH361" s="190"/>
      <c r="FI361" s="190"/>
      <c r="FJ361" s="190"/>
      <c r="FK361" s="190"/>
      <c r="FL361" s="190"/>
      <c r="FM361" s="190"/>
      <c r="FN361" s="190"/>
      <c r="FO361" s="190"/>
      <c r="FP361" s="190"/>
      <c r="FQ361" s="190"/>
      <c r="FR361" s="190"/>
      <c r="FS361" s="190"/>
      <c r="FT361" s="190"/>
      <c r="FU361" s="190"/>
      <c r="FV361" s="190"/>
      <c r="FW361" s="190"/>
      <c r="FX361" s="190"/>
      <c r="FY361" s="190"/>
      <c r="FZ361" s="190"/>
      <c r="GA361" s="190"/>
      <c r="GB361" s="190"/>
      <c r="GC361" s="190"/>
      <c r="GD361" s="190"/>
      <c r="GE361" s="190"/>
      <c r="GF361" s="190"/>
      <c r="GG361" s="190"/>
      <c r="GH361" s="190"/>
      <c r="GI361" s="190"/>
      <c r="GJ361" s="190"/>
      <c r="GK361" s="190"/>
      <c r="GL361" s="190"/>
      <c r="GM361" s="190"/>
      <c r="GN361" s="190"/>
      <c r="GO361" s="190"/>
      <c r="GP361" s="190"/>
      <c r="GQ361" s="190"/>
      <c r="GR361" s="190"/>
      <c r="GS361" s="190"/>
      <c r="GT361" s="190"/>
      <c r="GU361" s="190"/>
      <c r="GV361" s="190"/>
      <c r="GW361" s="190"/>
      <c r="GX361" s="190"/>
      <c r="GY361" s="190"/>
      <c r="GZ361" s="190"/>
      <c r="HA361" s="190"/>
      <c r="HB361" s="190"/>
      <c r="HC361" s="190"/>
      <c r="HD361" s="190"/>
      <c r="HE361" s="190"/>
      <c r="HF361" s="190"/>
      <c r="HG361" s="190"/>
      <c r="HH361" s="190"/>
      <c r="HI361" s="190"/>
      <c r="HJ361" s="190"/>
      <c r="HK361" s="190"/>
      <c r="HL361" s="190"/>
      <c r="HM361" s="190"/>
      <c r="HN361" s="190"/>
      <c r="HO361" s="190"/>
      <c r="HP361" s="190"/>
      <c r="HQ361" s="190"/>
      <c r="HR361" s="190"/>
      <c r="HS361" s="190"/>
      <c r="HT361" s="190"/>
      <c r="HU361" s="190"/>
      <c r="HV361" s="190"/>
      <c r="HW361" s="190"/>
      <c r="HX361" s="190"/>
      <c r="HY361" s="190"/>
      <c r="HZ361" s="190"/>
      <c r="IA361" s="190"/>
    </row>
    <row r="362" spans="1:16" ht="11.25">
      <c r="A362" s="31" t="s">
        <v>58</v>
      </c>
      <c r="B362" s="6"/>
      <c r="C362" s="6"/>
      <c r="D362" s="6"/>
      <c r="E362" s="6"/>
      <c r="F362" s="6"/>
      <c r="G362" s="6"/>
      <c r="H362" s="6"/>
      <c r="I362" s="6"/>
      <c r="J362" s="6"/>
      <c r="K362" s="11"/>
      <c r="L362" s="3"/>
      <c r="M362" s="3"/>
      <c r="N362" s="6"/>
      <c r="O362" s="6"/>
      <c r="P362" s="6"/>
    </row>
    <row r="363" spans="1:16" ht="12" customHeight="1">
      <c r="A363" s="32" t="s">
        <v>63</v>
      </c>
      <c r="B363" s="8"/>
      <c r="C363" s="8"/>
      <c r="D363" s="7">
        <v>1385000</v>
      </c>
      <c r="E363" s="8"/>
      <c r="F363" s="7">
        <f>D363</f>
        <v>1385000</v>
      </c>
      <c r="G363" s="7">
        <f>935000+725000</f>
        <v>1660000</v>
      </c>
      <c r="H363" s="8"/>
      <c r="I363" s="8"/>
      <c r="J363" s="7">
        <f>G363</f>
        <v>1660000</v>
      </c>
      <c r="K363" s="11">
        <f>G363/D363*100</f>
        <v>119.85559566787003</v>
      </c>
      <c r="L363" s="9"/>
      <c r="M363" s="11"/>
      <c r="N363" s="7">
        <v>1990000</v>
      </c>
      <c r="O363" s="8"/>
      <c r="P363" s="7">
        <f>N363</f>
        <v>1990000</v>
      </c>
    </row>
    <row r="364" spans="1:16" ht="11.25">
      <c r="A364" s="31" t="s">
        <v>5</v>
      </c>
      <c r="B364" s="6"/>
      <c r="C364" s="6"/>
      <c r="D364" s="6"/>
      <c r="E364" s="6"/>
      <c r="F364" s="7"/>
      <c r="G364" s="6"/>
      <c r="H364" s="6"/>
      <c r="I364" s="6"/>
      <c r="J364" s="7"/>
      <c r="K364" s="11"/>
      <c r="L364" s="3"/>
      <c r="M364" s="3"/>
      <c r="N364" s="6"/>
      <c r="O364" s="6"/>
      <c r="P364" s="7"/>
    </row>
    <row r="365" spans="1:16" ht="22.5">
      <c r="A365" s="32" t="s">
        <v>206</v>
      </c>
      <c r="B365" s="8"/>
      <c r="C365" s="8"/>
      <c r="D365" s="10">
        <v>9</v>
      </c>
      <c r="E365" s="10"/>
      <c r="F365" s="10">
        <f>D365</f>
        <v>9</v>
      </c>
      <c r="G365" s="10">
        <v>9</v>
      </c>
      <c r="H365" s="10"/>
      <c r="I365" s="10"/>
      <c r="J365" s="10">
        <f>G365</f>
        <v>9</v>
      </c>
      <c r="K365" s="27">
        <f>G365/D365*100</f>
        <v>100</v>
      </c>
      <c r="L365" s="27"/>
      <c r="M365" s="27"/>
      <c r="N365" s="10">
        <v>9</v>
      </c>
      <c r="O365" s="10"/>
      <c r="P365" s="10">
        <f>N365</f>
        <v>9</v>
      </c>
    </row>
    <row r="366" spans="1:16" ht="11.25">
      <c r="A366" s="31" t="s">
        <v>7</v>
      </c>
      <c r="B366" s="6"/>
      <c r="C366" s="6"/>
      <c r="D366" s="6"/>
      <c r="E366" s="6"/>
      <c r="F366" s="7"/>
      <c r="G366" s="6"/>
      <c r="H366" s="6"/>
      <c r="I366" s="6"/>
      <c r="J366" s="7"/>
      <c r="K366" s="11"/>
      <c r="L366" s="3"/>
      <c r="M366" s="3"/>
      <c r="N366" s="6"/>
      <c r="O366" s="6"/>
      <c r="P366" s="7"/>
    </row>
    <row r="367" spans="1:16" ht="22.5">
      <c r="A367" s="32" t="s">
        <v>207</v>
      </c>
      <c r="B367" s="8"/>
      <c r="C367" s="8"/>
      <c r="D367" s="19">
        <f>D363/D365+0.11</f>
        <v>153888.99888888886</v>
      </c>
      <c r="E367" s="8"/>
      <c r="F367" s="7">
        <f>D367</f>
        <v>153888.99888888886</v>
      </c>
      <c r="G367" s="19">
        <v>134900</v>
      </c>
      <c r="H367" s="8"/>
      <c r="I367" s="8"/>
      <c r="J367" s="7">
        <f>G367</f>
        <v>134900</v>
      </c>
      <c r="K367" s="11">
        <f>G367/D367*100</f>
        <v>87.66058715958032</v>
      </c>
      <c r="L367" s="9"/>
      <c r="M367" s="26"/>
      <c r="N367" s="19">
        <v>146333</v>
      </c>
      <c r="O367" s="8"/>
      <c r="P367" s="7">
        <f>N367</f>
        <v>146333</v>
      </c>
    </row>
    <row r="368" spans="1:235" s="191" customFormat="1" ht="24" customHeight="1">
      <c r="A368" s="178" t="s">
        <v>357</v>
      </c>
      <c r="B368" s="187"/>
      <c r="C368" s="187"/>
      <c r="D368" s="198">
        <f>D372*D374-216</f>
        <v>99784</v>
      </c>
      <c r="E368" s="198"/>
      <c r="F368" s="198">
        <f>F372*F374-216</f>
        <v>99784</v>
      </c>
      <c r="G368" s="198">
        <f aca="true" t="shared" si="38" ref="G368:P368">G372*G374</f>
        <v>182699.99813</v>
      </c>
      <c r="H368" s="198"/>
      <c r="I368" s="198"/>
      <c r="J368" s="240">
        <f t="shared" si="38"/>
        <v>182699.99813</v>
      </c>
      <c r="K368" s="198" t="e">
        <f t="shared" si="38"/>
        <v>#REF!</v>
      </c>
      <c r="L368" s="198">
        <f t="shared" si="38"/>
        <v>0</v>
      </c>
      <c r="M368" s="198">
        <f t="shared" si="38"/>
        <v>0</v>
      </c>
      <c r="N368" s="198">
        <f t="shared" si="38"/>
        <v>100000</v>
      </c>
      <c r="O368" s="198"/>
      <c r="P368" s="198">
        <f t="shared" si="38"/>
        <v>100000</v>
      </c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  <c r="AA368" s="190"/>
      <c r="AB368" s="190"/>
      <c r="AC368" s="190"/>
      <c r="AD368" s="190"/>
      <c r="AE368" s="190"/>
      <c r="AF368" s="190"/>
      <c r="AG368" s="190"/>
      <c r="AH368" s="190"/>
      <c r="AI368" s="190"/>
      <c r="AJ368" s="190"/>
      <c r="AK368" s="190"/>
      <c r="AL368" s="190"/>
      <c r="AM368" s="190"/>
      <c r="AN368" s="190"/>
      <c r="AO368" s="190"/>
      <c r="AP368" s="190"/>
      <c r="AQ368" s="190"/>
      <c r="AR368" s="190"/>
      <c r="AS368" s="190"/>
      <c r="AT368" s="190"/>
      <c r="AU368" s="190"/>
      <c r="AV368" s="190"/>
      <c r="AW368" s="190"/>
      <c r="AX368" s="190"/>
      <c r="AY368" s="190"/>
      <c r="AZ368" s="190"/>
      <c r="BA368" s="190"/>
      <c r="BB368" s="190"/>
      <c r="BC368" s="190"/>
      <c r="BD368" s="190"/>
      <c r="BE368" s="190"/>
      <c r="BF368" s="190"/>
      <c r="BG368" s="190"/>
      <c r="BH368" s="190"/>
      <c r="BI368" s="190"/>
      <c r="BJ368" s="190"/>
      <c r="BK368" s="190"/>
      <c r="BL368" s="190"/>
      <c r="BM368" s="190"/>
      <c r="BN368" s="190"/>
      <c r="BO368" s="190"/>
      <c r="BP368" s="190"/>
      <c r="BQ368" s="190"/>
      <c r="BR368" s="190"/>
      <c r="BS368" s="190"/>
      <c r="BT368" s="190"/>
      <c r="BU368" s="190"/>
      <c r="BV368" s="190"/>
      <c r="BW368" s="190"/>
      <c r="BX368" s="190"/>
      <c r="BY368" s="190"/>
      <c r="BZ368" s="190"/>
      <c r="CA368" s="190"/>
      <c r="CB368" s="190"/>
      <c r="CC368" s="190"/>
      <c r="CD368" s="190"/>
      <c r="CE368" s="190"/>
      <c r="CF368" s="190"/>
      <c r="CG368" s="190"/>
      <c r="CH368" s="190"/>
      <c r="CI368" s="190"/>
      <c r="CJ368" s="190"/>
      <c r="CK368" s="190"/>
      <c r="CL368" s="190"/>
      <c r="CM368" s="190"/>
      <c r="CN368" s="190"/>
      <c r="CO368" s="190"/>
      <c r="CP368" s="190"/>
      <c r="CQ368" s="190"/>
      <c r="CR368" s="190"/>
      <c r="CS368" s="190"/>
      <c r="CT368" s="190"/>
      <c r="CU368" s="190"/>
      <c r="CV368" s="190"/>
      <c r="CW368" s="190"/>
      <c r="CX368" s="190"/>
      <c r="CY368" s="190"/>
      <c r="CZ368" s="190"/>
      <c r="DA368" s="190"/>
      <c r="DB368" s="190"/>
      <c r="DC368" s="190"/>
      <c r="DD368" s="190"/>
      <c r="DE368" s="190"/>
      <c r="DF368" s="190"/>
      <c r="DG368" s="190"/>
      <c r="DH368" s="190"/>
      <c r="DI368" s="190"/>
      <c r="DJ368" s="190"/>
      <c r="DK368" s="190"/>
      <c r="DL368" s="190"/>
      <c r="DM368" s="190"/>
      <c r="DN368" s="190"/>
      <c r="DO368" s="190"/>
      <c r="DP368" s="190"/>
      <c r="DQ368" s="190"/>
      <c r="DR368" s="190"/>
      <c r="DS368" s="190"/>
      <c r="DT368" s="190"/>
      <c r="DU368" s="190"/>
      <c r="DV368" s="190"/>
      <c r="DW368" s="190"/>
      <c r="DX368" s="190"/>
      <c r="DY368" s="190"/>
      <c r="DZ368" s="190"/>
      <c r="EA368" s="190"/>
      <c r="EB368" s="190"/>
      <c r="EC368" s="190"/>
      <c r="ED368" s="190"/>
      <c r="EE368" s="190"/>
      <c r="EF368" s="190"/>
      <c r="EG368" s="190"/>
      <c r="EH368" s="190"/>
      <c r="EI368" s="190"/>
      <c r="EJ368" s="190"/>
      <c r="EK368" s="190"/>
      <c r="EL368" s="190"/>
      <c r="EM368" s="190"/>
      <c r="EN368" s="190"/>
      <c r="EO368" s="190"/>
      <c r="EP368" s="190"/>
      <c r="EQ368" s="190"/>
      <c r="ER368" s="190"/>
      <c r="ES368" s="190"/>
      <c r="ET368" s="190"/>
      <c r="EU368" s="190"/>
      <c r="EV368" s="190"/>
      <c r="EW368" s="190"/>
      <c r="EX368" s="190"/>
      <c r="EY368" s="190"/>
      <c r="EZ368" s="190"/>
      <c r="FA368" s="190"/>
      <c r="FB368" s="190"/>
      <c r="FC368" s="190"/>
      <c r="FD368" s="190"/>
      <c r="FE368" s="190"/>
      <c r="FF368" s="190"/>
      <c r="FG368" s="190"/>
      <c r="FH368" s="190"/>
      <c r="FI368" s="190"/>
      <c r="FJ368" s="190"/>
      <c r="FK368" s="190"/>
      <c r="FL368" s="190"/>
      <c r="FM368" s="190"/>
      <c r="FN368" s="190"/>
      <c r="FO368" s="190"/>
      <c r="FP368" s="190"/>
      <c r="FQ368" s="190"/>
      <c r="FR368" s="190"/>
      <c r="FS368" s="190"/>
      <c r="FT368" s="190"/>
      <c r="FU368" s="190"/>
      <c r="FV368" s="190"/>
      <c r="FW368" s="190"/>
      <c r="FX368" s="190"/>
      <c r="FY368" s="190"/>
      <c r="FZ368" s="190"/>
      <c r="GA368" s="190"/>
      <c r="GB368" s="190"/>
      <c r="GC368" s="190"/>
      <c r="GD368" s="190"/>
      <c r="GE368" s="190"/>
      <c r="GF368" s="190"/>
      <c r="GG368" s="190"/>
      <c r="GH368" s="190"/>
      <c r="GI368" s="190"/>
      <c r="GJ368" s="190"/>
      <c r="GK368" s="190"/>
      <c r="GL368" s="190"/>
      <c r="GM368" s="190"/>
      <c r="GN368" s="190"/>
      <c r="GO368" s="190"/>
      <c r="GP368" s="190"/>
      <c r="GQ368" s="190"/>
      <c r="GR368" s="190"/>
      <c r="GS368" s="190"/>
      <c r="GT368" s="190"/>
      <c r="GU368" s="190"/>
      <c r="GV368" s="190"/>
      <c r="GW368" s="190"/>
      <c r="GX368" s="190"/>
      <c r="GY368" s="190"/>
      <c r="GZ368" s="190"/>
      <c r="HA368" s="190"/>
      <c r="HB368" s="190"/>
      <c r="HC368" s="190"/>
      <c r="HD368" s="190"/>
      <c r="HE368" s="190"/>
      <c r="HF368" s="190"/>
      <c r="HG368" s="190"/>
      <c r="HH368" s="190"/>
      <c r="HI368" s="190"/>
      <c r="HJ368" s="190"/>
      <c r="HK368" s="190"/>
      <c r="HL368" s="190"/>
      <c r="HM368" s="190"/>
      <c r="HN368" s="190"/>
      <c r="HO368" s="190"/>
      <c r="HP368" s="190"/>
      <c r="HQ368" s="190"/>
      <c r="HR368" s="190"/>
      <c r="HS368" s="190"/>
      <c r="HT368" s="190"/>
      <c r="HU368" s="190"/>
      <c r="HV368" s="190"/>
      <c r="HW368" s="190"/>
      <c r="HX368" s="190"/>
      <c r="HY368" s="190"/>
      <c r="HZ368" s="190"/>
      <c r="IA368" s="190"/>
    </row>
    <row r="369" spans="1:16" ht="11.25">
      <c r="A369" s="31" t="s">
        <v>58</v>
      </c>
      <c r="B369" s="6"/>
      <c r="C369" s="6"/>
      <c r="D369" s="88"/>
      <c r="E369" s="88"/>
      <c r="F369" s="88"/>
      <c r="G369" s="6"/>
      <c r="H369" s="6"/>
      <c r="I369" s="6"/>
      <c r="J369" s="6"/>
      <c r="K369" s="11"/>
      <c r="L369" s="3"/>
      <c r="M369" s="3"/>
      <c r="N369" s="6"/>
      <c r="O369" s="6"/>
      <c r="P369" s="6"/>
    </row>
    <row r="370" spans="1:16" ht="23.25" customHeight="1">
      <c r="A370" s="32" t="s">
        <v>210</v>
      </c>
      <c r="B370" s="8"/>
      <c r="C370" s="8"/>
      <c r="D370" s="88">
        <v>1752</v>
      </c>
      <c r="E370" s="88"/>
      <c r="F370" s="88">
        <f>D370</f>
        <v>1752</v>
      </c>
      <c r="G370" s="88">
        <v>1752</v>
      </c>
      <c r="H370" s="88"/>
      <c r="I370" s="88"/>
      <c r="J370" s="88">
        <f>G370</f>
        <v>1752</v>
      </c>
      <c r="K370" s="11" t="e">
        <f>#REF!/G370*100</f>
        <v>#REF!</v>
      </c>
      <c r="L370" s="9"/>
      <c r="M370" s="11"/>
      <c r="N370" s="88">
        <v>1752</v>
      </c>
      <c r="O370" s="88"/>
      <c r="P370" s="88">
        <f>N370</f>
        <v>1752</v>
      </c>
    </row>
    <row r="371" spans="1:16" ht="11.25">
      <c r="A371" s="31" t="s">
        <v>5</v>
      </c>
      <c r="B371" s="6"/>
      <c r="C371" s="6"/>
      <c r="D371" s="88"/>
      <c r="E371" s="88"/>
      <c r="F371" s="88"/>
      <c r="G371" s="28"/>
      <c r="H371" s="28"/>
      <c r="I371" s="28"/>
      <c r="J371" s="10"/>
      <c r="K371" s="11"/>
      <c r="L371" s="3"/>
      <c r="M371" s="3"/>
      <c r="N371" s="6"/>
      <c r="O371" s="6"/>
      <c r="P371" s="7"/>
    </row>
    <row r="372" spans="1:16" ht="24" customHeight="1">
      <c r="A372" s="32" t="s">
        <v>208</v>
      </c>
      <c r="B372" s="8"/>
      <c r="C372" s="8"/>
      <c r="D372" s="88">
        <v>625</v>
      </c>
      <c r="E372" s="88"/>
      <c r="F372" s="88">
        <f>D372</f>
        <v>625</v>
      </c>
      <c r="G372" s="88">
        <v>751</v>
      </c>
      <c r="H372" s="88"/>
      <c r="I372" s="88"/>
      <c r="J372" s="88">
        <f>G372</f>
        <v>751</v>
      </c>
      <c r="K372" s="11" t="e">
        <f>#REF!/G372*100</f>
        <v>#REF!</v>
      </c>
      <c r="L372" s="9"/>
      <c r="M372" s="11"/>
      <c r="N372" s="88">
        <v>625</v>
      </c>
      <c r="O372" s="88"/>
      <c r="P372" s="88">
        <f>N372</f>
        <v>625</v>
      </c>
    </row>
    <row r="373" spans="1:16" ht="11.25">
      <c r="A373" s="31" t="s">
        <v>7</v>
      </c>
      <c r="B373" s="6"/>
      <c r="C373" s="6"/>
      <c r="D373" s="88"/>
      <c r="E373" s="88"/>
      <c r="F373" s="88"/>
      <c r="G373" s="88"/>
      <c r="H373" s="88"/>
      <c r="I373" s="88"/>
      <c r="J373" s="88"/>
      <c r="K373" s="11"/>
      <c r="L373" s="3"/>
      <c r="M373" s="3"/>
      <c r="N373" s="88"/>
      <c r="O373" s="88"/>
      <c r="P373" s="88"/>
    </row>
    <row r="374" spans="1:16" ht="24" customHeight="1">
      <c r="A374" s="32" t="s">
        <v>60</v>
      </c>
      <c r="B374" s="8"/>
      <c r="C374" s="8"/>
      <c r="D374" s="89">
        <v>160</v>
      </c>
      <c r="E374" s="89"/>
      <c r="F374" s="89">
        <f>D374</f>
        <v>160</v>
      </c>
      <c r="G374" s="89">
        <v>243.27563</v>
      </c>
      <c r="H374" s="89"/>
      <c r="I374" s="89"/>
      <c r="J374" s="89">
        <f>G374</f>
        <v>243.27563</v>
      </c>
      <c r="K374" s="11" t="e">
        <f>#REF!/G374*100</f>
        <v>#REF!</v>
      </c>
      <c r="L374" s="9"/>
      <c r="M374" s="26"/>
      <c r="N374" s="89">
        <v>160</v>
      </c>
      <c r="O374" s="89"/>
      <c r="P374" s="89">
        <f>N374</f>
        <v>160</v>
      </c>
    </row>
    <row r="375" spans="1:16" ht="11.25">
      <c r="A375" s="90" t="s">
        <v>6</v>
      </c>
      <c r="B375" s="84"/>
      <c r="C375" s="84"/>
      <c r="D375" s="88"/>
      <c r="E375" s="88"/>
      <c r="F375" s="88"/>
      <c r="G375" s="19"/>
      <c r="H375" s="8"/>
      <c r="I375" s="8"/>
      <c r="J375" s="7"/>
      <c r="K375" s="11"/>
      <c r="L375" s="9"/>
      <c r="M375" s="26"/>
      <c r="N375" s="19"/>
      <c r="O375" s="8"/>
      <c r="P375" s="7"/>
    </row>
    <row r="376" spans="1:16" ht="39" customHeight="1">
      <c r="A376" s="91" t="s">
        <v>209</v>
      </c>
      <c r="B376" s="84"/>
      <c r="C376" s="84"/>
      <c r="D376" s="87">
        <f>D372/D370*100</f>
        <v>35.67351598173516</v>
      </c>
      <c r="E376" s="87"/>
      <c r="F376" s="87">
        <f>D376</f>
        <v>35.67351598173516</v>
      </c>
      <c r="G376" s="87">
        <f>G372/G370*100</f>
        <v>42.86529680365297</v>
      </c>
      <c r="H376" s="87"/>
      <c r="I376" s="87"/>
      <c r="J376" s="87">
        <f>G376</f>
        <v>42.86529680365297</v>
      </c>
      <c r="K376" s="27"/>
      <c r="L376" s="27"/>
      <c r="M376" s="27"/>
      <c r="N376" s="87">
        <f>N372/N370*100</f>
        <v>35.67351598173516</v>
      </c>
      <c r="O376" s="87"/>
      <c r="P376" s="87">
        <f>N376</f>
        <v>35.67351598173516</v>
      </c>
    </row>
    <row r="377" spans="1:235" s="191" customFormat="1" ht="36.75" customHeight="1">
      <c r="A377" s="199" t="s">
        <v>358</v>
      </c>
      <c r="B377" s="199"/>
      <c r="C377" s="199"/>
      <c r="D377" s="200">
        <f>251250-191250</f>
        <v>60000</v>
      </c>
      <c r="E377" s="200"/>
      <c r="F377" s="200">
        <f>D377</f>
        <v>60000</v>
      </c>
      <c r="G377" s="200">
        <f>251250-131250</f>
        <v>120000</v>
      </c>
      <c r="H377" s="200"/>
      <c r="I377" s="200"/>
      <c r="J377" s="241">
        <f>G377+H377</f>
        <v>120000</v>
      </c>
      <c r="K377" s="200"/>
      <c r="L377" s="201"/>
      <c r="M377" s="201"/>
      <c r="N377" s="200">
        <v>120000</v>
      </c>
      <c r="O377" s="200"/>
      <c r="P377" s="200">
        <f>N377</f>
        <v>120000</v>
      </c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B377" s="190"/>
      <c r="AC377" s="190"/>
      <c r="AD377" s="190"/>
      <c r="AE377" s="190"/>
      <c r="AF377" s="190"/>
      <c r="AG377" s="190"/>
      <c r="AH377" s="190"/>
      <c r="AI377" s="190"/>
      <c r="AJ377" s="190"/>
      <c r="AK377" s="190"/>
      <c r="AL377" s="190"/>
      <c r="AM377" s="190"/>
      <c r="AN377" s="190"/>
      <c r="AO377" s="190"/>
      <c r="AP377" s="190"/>
      <c r="AQ377" s="190"/>
      <c r="AR377" s="190"/>
      <c r="AS377" s="190"/>
      <c r="AT377" s="190"/>
      <c r="AU377" s="190"/>
      <c r="AV377" s="190"/>
      <c r="AW377" s="190"/>
      <c r="AX377" s="190"/>
      <c r="AY377" s="190"/>
      <c r="AZ377" s="190"/>
      <c r="BA377" s="190"/>
      <c r="BB377" s="190"/>
      <c r="BC377" s="190"/>
      <c r="BD377" s="190"/>
      <c r="BE377" s="190"/>
      <c r="BF377" s="190"/>
      <c r="BG377" s="190"/>
      <c r="BH377" s="190"/>
      <c r="BI377" s="190"/>
      <c r="BJ377" s="190"/>
      <c r="BK377" s="190"/>
      <c r="BL377" s="190"/>
      <c r="BM377" s="190"/>
      <c r="BN377" s="190"/>
      <c r="BO377" s="190"/>
      <c r="BP377" s="190"/>
      <c r="BQ377" s="190"/>
      <c r="BR377" s="190"/>
      <c r="BS377" s="190"/>
      <c r="BT377" s="190"/>
      <c r="BU377" s="190"/>
      <c r="BV377" s="190"/>
      <c r="BW377" s="190"/>
      <c r="BX377" s="190"/>
      <c r="BY377" s="190"/>
      <c r="BZ377" s="190"/>
      <c r="CA377" s="190"/>
      <c r="CB377" s="190"/>
      <c r="CC377" s="190"/>
      <c r="CD377" s="190"/>
      <c r="CE377" s="190"/>
      <c r="CF377" s="190"/>
      <c r="CG377" s="190"/>
      <c r="CH377" s="190"/>
      <c r="CI377" s="190"/>
      <c r="CJ377" s="190"/>
      <c r="CK377" s="190"/>
      <c r="CL377" s="190"/>
      <c r="CM377" s="190"/>
      <c r="CN377" s="190"/>
      <c r="CO377" s="190"/>
      <c r="CP377" s="190"/>
      <c r="CQ377" s="190"/>
      <c r="CR377" s="190"/>
      <c r="CS377" s="190"/>
      <c r="CT377" s="190"/>
      <c r="CU377" s="190"/>
      <c r="CV377" s="190"/>
      <c r="CW377" s="190"/>
      <c r="CX377" s="190"/>
      <c r="CY377" s="190"/>
      <c r="CZ377" s="190"/>
      <c r="DA377" s="190"/>
      <c r="DB377" s="190"/>
      <c r="DC377" s="190"/>
      <c r="DD377" s="190"/>
      <c r="DE377" s="190"/>
      <c r="DF377" s="190"/>
      <c r="DG377" s="190"/>
      <c r="DH377" s="190"/>
      <c r="DI377" s="190"/>
      <c r="DJ377" s="190"/>
      <c r="DK377" s="190"/>
      <c r="DL377" s="190"/>
      <c r="DM377" s="190"/>
      <c r="DN377" s="190"/>
      <c r="DO377" s="190"/>
      <c r="DP377" s="190"/>
      <c r="DQ377" s="190"/>
      <c r="DR377" s="190"/>
      <c r="DS377" s="190"/>
      <c r="DT377" s="190"/>
      <c r="DU377" s="190"/>
      <c r="DV377" s="190"/>
      <c r="DW377" s="190"/>
      <c r="DX377" s="190"/>
      <c r="DY377" s="190"/>
      <c r="DZ377" s="190"/>
      <c r="EA377" s="190"/>
      <c r="EB377" s="190"/>
      <c r="EC377" s="190"/>
      <c r="ED377" s="190"/>
      <c r="EE377" s="190"/>
      <c r="EF377" s="190"/>
      <c r="EG377" s="190"/>
      <c r="EH377" s="190"/>
      <c r="EI377" s="190"/>
      <c r="EJ377" s="190"/>
      <c r="EK377" s="190"/>
      <c r="EL377" s="190"/>
      <c r="EM377" s="190"/>
      <c r="EN377" s="190"/>
      <c r="EO377" s="190"/>
      <c r="EP377" s="190"/>
      <c r="EQ377" s="190"/>
      <c r="ER377" s="190"/>
      <c r="ES377" s="190"/>
      <c r="ET377" s="190"/>
      <c r="EU377" s="190"/>
      <c r="EV377" s="190"/>
      <c r="EW377" s="190"/>
      <c r="EX377" s="190"/>
      <c r="EY377" s="190"/>
      <c r="EZ377" s="190"/>
      <c r="FA377" s="190"/>
      <c r="FB377" s="190"/>
      <c r="FC377" s="190"/>
      <c r="FD377" s="190"/>
      <c r="FE377" s="190"/>
      <c r="FF377" s="190"/>
      <c r="FG377" s="190"/>
      <c r="FH377" s="190"/>
      <c r="FI377" s="190"/>
      <c r="FJ377" s="190"/>
      <c r="FK377" s="190"/>
      <c r="FL377" s="190"/>
      <c r="FM377" s="190"/>
      <c r="FN377" s="190"/>
      <c r="FO377" s="190"/>
      <c r="FP377" s="190"/>
      <c r="FQ377" s="190"/>
      <c r="FR377" s="190"/>
      <c r="FS377" s="190"/>
      <c r="FT377" s="190"/>
      <c r="FU377" s="190"/>
      <c r="FV377" s="190"/>
      <c r="FW377" s="190"/>
      <c r="FX377" s="190"/>
      <c r="FY377" s="190"/>
      <c r="FZ377" s="190"/>
      <c r="GA377" s="190"/>
      <c r="GB377" s="190"/>
      <c r="GC377" s="190"/>
      <c r="GD377" s="190"/>
      <c r="GE377" s="190"/>
      <c r="GF377" s="190"/>
      <c r="GG377" s="190"/>
      <c r="GH377" s="190"/>
      <c r="GI377" s="190"/>
      <c r="GJ377" s="190"/>
      <c r="GK377" s="190"/>
      <c r="GL377" s="190"/>
      <c r="GM377" s="190"/>
      <c r="GN377" s="190"/>
      <c r="GO377" s="190"/>
      <c r="GP377" s="190"/>
      <c r="GQ377" s="190"/>
      <c r="GR377" s="190"/>
      <c r="GS377" s="190"/>
      <c r="GT377" s="190"/>
      <c r="GU377" s="190"/>
      <c r="GV377" s="190"/>
      <c r="GW377" s="190"/>
      <c r="GX377" s="190"/>
      <c r="GY377" s="190"/>
      <c r="GZ377" s="190"/>
      <c r="HA377" s="190"/>
      <c r="HB377" s="190"/>
      <c r="HC377" s="190"/>
      <c r="HD377" s="190"/>
      <c r="HE377" s="190"/>
      <c r="HF377" s="190"/>
      <c r="HG377" s="190"/>
      <c r="HH377" s="190"/>
      <c r="HI377" s="190"/>
      <c r="HJ377" s="190"/>
      <c r="HK377" s="190"/>
      <c r="HL377" s="190"/>
      <c r="HM377" s="190"/>
      <c r="HN377" s="190"/>
      <c r="HO377" s="190"/>
      <c r="HP377" s="190"/>
      <c r="HQ377" s="190"/>
      <c r="HR377" s="190"/>
      <c r="HS377" s="190"/>
      <c r="HT377" s="190"/>
      <c r="HU377" s="190"/>
      <c r="HV377" s="190"/>
      <c r="HW377" s="190"/>
      <c r="HX377" s="190"/>
      <c r="HY377" s="190"/>
      <c r="HZ377" s="190"/>
      <c r="IA377" s="190"/>
    </row>
    <row r="378" spans="1:16" ht="11.25">
      <c r="A378" s="73" t="s">
        <v>4</v>
      </c>
      <c r="B378" s="49"/>
      <c r="C378" s="49"/>
      <c r="D378" s="50"/>
      <c r="E378" s="50"/>
      <c r="F378" s="50"/>
      <c r="G378" s="50"/>
      <c r="H378" s="50"/>
      <c r="I378" s="50"/>
      <c r="J378" s="50"/>
      <c r="K378" s="47"/>
      <c r="L378" s="50"/>
      <c r="M378" s="50"/>
      <c r="N378" s="50"/>
      <c r="O378" s="50"/>
      <c r="P378" s="50"/>
    </row>
    <row r="379" spans="1:16" ht="15" customHeight="1">
      <c r="A379" s="74" t="s">
        <v>65</v>
      </c>
      <c r="B379" s="52"/>
      <c r="C379" s="52"/>
      <c r="D379" s="53">
        <f>D377/D383</f>
        <v>3.582089552238806</v>
      </c>
      <c r="E379" s="53"/>
      <c r="F379" s="53">
        <f>D379</f>
        <v>3.582089552238806</v>
      </c>
      <c r="G379" s="53">
        <f>G377/G383</f>
        <v>7.164179104477612</v>
      </c>
      <c r="H379" s="53"/>
      <c r="I379" s="53"/>
      <c r="J379" s="53">
        <f>G379+H379</f>
        <v>7.164179104477612</v>
      </c>
      <c r="K379" s="53">
        <f>G379/D379*100</f>
        <v>200</v>
      </c>
      <c r="L379" s="53"/>
      <c r="M379" s="53"/>
      <c r="N379" s="53">
        <v>7</v>
      </c>
      <c r="O379" s="53"/>
      <c r="P379" s="53">
        <f>N379</f>
        <v>7</v>
      </c>
    </row>
    <row r="380" spans="1:16" ht="11.25">
      <c r="A380" s="73" t="s">
        <v>5</v>
      </c>
      <c r="B380" s="49"/>
      <c r="C380" s="49"/>
      <c r="D380" s="54"/>
      <c r="E380" s="54"/>
      <c r="F380" s="53"/>
      <c r="G380" s="54"/>
      <c r="H380" s="54"/>
      <c r="I380" s="54"/>
      <c r="J380" s="53"/>
      <c r="K380" s="53"/>
      <c r="L380" s="54"/>
      <c r="M380" s="54"/>
      <c r="N380" s="54"/>
      <c r="O380" s="54"/>
      <c r="P380" s="53"/>
    </row>
    <row r="381" spans="1:16" ht="24" customHeight="1">
      <c r="A381" s="74" t="s">
        <v>66</v>
      </c>
      <c r="B381" s="52"/>
      <c r="C381" s="52"/>
      <c r="D381" s="53">
        <v>4</v>
      </c>
      <c r="E381" s="53"/>
      <c r="F381" s="53">
        <f>D381</f>
        <v>4</v>
      </c>
      <c r="G381" s="53">
        <v>7</v>
      </c>
      <c r="H381" s="53"/>
      <c r="I381" s="53"/>
      <c r="J381" s="53">
        <f>G381+H381</f>
        <v>7</v>
      </c>
      <c r="K381" s="53">
        <f>G381/D381*100</f>
        <v>175</v>
      </c>
      <c r="L381" s="53"/>
      <c r="M381" s="53"/>
      <c r="N381" s="53">
        <v>7</v>
      </c>
      <c r="O381" s="53"/>
      <c r="P381" s="53">
        <f>N381</f>
        <v>7</v>
      </c>
    </row>
    <row r="382" spans="1:16" ht="11.25">
      <c r="A382" s="73" t="s">
        <v>7</v>
      </c>
      <c r="B382" s="49"/>
      <c r="C382" s="49"/>
      <c r="D382" s="50"/>
      <c r="E382" s="50"/>
      <c r="F382" s="47"/>
      <c r="G382" s="50"/>
      <c r="H382" s="50"/>
      <c r="I382" s="50"/>
      <c r="J382" s="47"/>
      <c r="K382" s="47"/>
      <c r="L382" s="50"/>
      <c r="M382" s="50"/>
      <c r="N382" s="50"/>
      <c r="O382" s="50"/>
      <c r="P382" s="47"/>
    </row>
    <row r="383" spans="1:16" ht="24" customHeight="1">
      <c r="A383" s="74" t="s">
        <v>67</v>
      </c>
      <c r="B383" s="52"/>
      <c r="C383" s="52"/>
      <c r="D383" s="55">
        <v>16750</v>
      </c>
      <c r="E383" s="56"/>
      <c r="F383" s="47">
        <f>D383</f>
        <v>16750</v>
      </c>
      <c r="G383" s="55">
        <v>16750</v>
      </c>
      <c r="H383" s="56"/>
      <c r="I383" s="56"/>
      <c r="J383" s="47">
        <f>G383</f>
        <v>16750</v>
      </c>
      <c r="K383" s="47">
        <f>G383/D383*100</f>
        <v>100</v>
      </c>
      <c r="L383" s="56"/>
      <c r="M383" s="55"/>
      <c r="N383" s="55">
        <v>16750</v>
      </c>
      <c r="O383" s="56"/>
      <c r="P383" s="47">
        <f>N383</f>
        <v>16750</v>
      </c>
    </row>
    <row r="384" spans="1:235" s="191" customFormat="1" ht="33.75">
      <c r="A384" s="199" t="s">
        <v>359</v>
      </c>
      <c r="B384" s="199"/>
      <c r="C384" s="199"/>
      <c r="D384" s="202">
        <f>(D388*D393)+(D389*D394)+2.8</f>
        <v>293680</v>
      </c>
      <c r="E384" s="202"/>
      <c r="F384" s="202">
        <f>D384</f>
        <v>293680</v>
      </c>
      <c r="G384" s="202">
        <v>100000</v>
      </c>
      <c r="H384" s="202">
        <v>400000</v>
      </c>
      <c r="I384" s="202"/>
      <c r="J384" s="242">
        <f>G384+H384</f>
        <v>500000</v>
      </c>
      <c r="K384" s="202"/>
      <c r="L384" s="203"/>
      <c r="M384" s="203"/>
      <c r="N384" s="202">
        <f>(N388*N393)+(N389*N394)+2.8</f>
        <v>293680</v>
      </c>
      <c r="O384" s="202"/>
      <c r="P384" s="202">
        <f>N384</f>
        <v>293680</v>
      </c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0"/>
      <c r="AT384" s="190"/>
      <c r="AU384" s="190"/>
      <c r="AV384" s="190"/>
      <c r="AW384" s="190"/>
      <c r="AX384" s="190"/>
      <c r="AY384" s="190"/>
      <c r="AZ384" s="190"/>
      <c r="BA384" s="190"/>
      <c r="BB384" s="190"/>
      <c r="BC384" s="190"/>
      <c r="BD384" s="190"/>
      <c r="BE384" s="190"/>
      <c r="BF384" s="190"/>
      <c r="BG384" s="190"/>
      <c r="BH384" s="190"/>
      <c r="BI384" s="190"/>
      <c r="BJ384" s="190"/>
      <c r="BK384" s="190"/>
      <c r="BL384" s="190"/>
      <c r="BM384" s="190"/>
      <c r="BN384" s="190"/>
      <c r="BO384" s="190"/>
      <c r="BP384" s="190"/>
      <c r="BQ384" s="190"/>
      <c r="BR384" s="190"/>
      <c r="BS384" s="190"/>
      <c r="BT384" s="190"/>
      <c r="BU384" s="190"/>
      <c r="BV384" s="190"/>
      <c r="BW384" s="190"/>
      <c r="BX384" s="190"/>
      <c r="BY384" s="190"/>
      <c r="BZ384" s="190"/>
      <c r="CA384" s="190"/>
      <c r="CB384" s="190"/>
      <c r="CC384" s="190"/>
      <c r="CD384" s="190"/>
      <c r="CE384" s="190"/>
      <c r="CF384" s="190"/>
      <c r="CG384" s="190"/>
      <c r="CH384" s="190"/>
      <c r="CI384" s="190"/>
      <c r="CJ384" s="190"/>
      <c r="CK384" s="190"/>
      <c r="CL384" s="190"/>
      <c r="CM384" s="190"/>
      <c r="CN384" s="190"/>
      <c r="CO384" s="190"/>
      <c r="CP384" s="190"/>
      <c r="CQ384" s="190"/>
      <c r="CR384" s="190"/>
      <c r="CS384" s="190"/>
      <c r="CT384" s="190"/>
      <c r="CU384" s="190"/>
      <c r="CV384" s="190"/>
      <c r="CW384" s="190"/>
      <c r="CX384" s="190"/>
      <c r="CY384" s="190"/>
      <c r="CZ384" s="190"/>
      <c r="DA384" s="190"/>
      <c r="DB384" s="190"/>
      <c r="DC384" s="190"/>
      <c r="DD384" s="190"/>
      <c r="DE384" s="190"/>
      <c r="DF384" s="190"/>
      <c r="DG384" s="190"/>
      <c r="DH384" s="190"/>
      <c r="DI384" s="190"/>
      <c r="DJ384" s="190"/>
      <c r="DK384" s="190"/>
      <c r="DL384" s="190"/>
      <c r="DM384" s="190"/>
      <c r="DN384" s="190"/>
      <c r="DO384" s="190"/>
      <c r="DP384" s="190"/>
      <c r="DQ384" s="190"/>
      <c r="DR384" s="190"/>
      <c r="DS384" s="190"/>
      <c r="DT384" s="190"/>
      <c r="DU384" s="190"/>
      <c r="DV384" s="190"/>
      <c r="DW384" s="190"/>
      <c r="DX384" s="190"/>
      <c r="DY384" s="190"/>
      <c r="DZ384" s="190"/>
      <c r="EA384" s="190"/>
      <c r="EB384" s="190"/>
      <c r="EC384" s="190"/>
      <c r="ED384" s="190"/>
      <c r="EE384" s="190"/>
      <c r="EF384" s="190"/>
      <c r="EG384" s="190"/>
      <c r="EH384" s="190"/>
      <c r="EI384" s="190"/>
      <c r="EJ384" s="190"/>
      <c r="EK384" s="190"/>
      <c r="EL384" s="190"/>
      <c r="EM384" s="190"/>
      <c r="EN384" s="190"/>
      <c r="EO384" s="190"/>
      <c r="EP384" s="190"/>
      <c r="EQ384" s="190"/>
      <c r="ER384" s="190"/>
      <c r="ES384" s="190"/>
      <c r="ET384" s="190"/>
      <c r="EU384" s="190"/>
      <c r="EV384" s="190"/>
      <c r="EW384" s="190"/>
      <c r="EX384" s="190"/>
      <c r="EY384" s="190"/>
      <c r="EZ384" s="190"/>
      <c r="FA384" s="190"/>
      <c r="FB384" s="190"/>
      <c r="FC384" s="190"/>
      <c r="FD384" s="190"/>
      <c r="FE384" s="190"/>
      <c r="FF384" s="190"/>
      <c r="FG384" s="190"/>
      <c r="FH384" s="190"/>
      <c r="FI384" s="190"/>
      <c r="FJ384" s="190"/>
      <c r="FK384" s="190"/>
      <c r="FL384" s="190"/>
      <c r="FM384" s="190"/>
      <c r="FN384" s="190"/>
      <c r="FO384" s="190"/>
      <c r="FP384" s="190"/>
      <c r="FQ384" s="190"/>
      <c r="FR384" s="190"/>
      <c r="FS384" s="190"/>
      <c r="FT384" s="190"/>
      <c r="FU384" s="190"/>
      <c r="FV384" s="190"/>
      <c r="FW384" s="190"/>
      <c r="FX384" s="190"/>
      <c r="FY384" s="190"/>
      <c r="FZ384" s="190"/>
      <c r="GA384" s="190"/>
      <c r="GB384" s="190"/>
      <c r="GC384" s="190"/>
      <c r="GD384" s="190"/>
      <c r="GE384" s="190"/>
      <c r="GF384" s="190"/>
      <c r="GG384" s="190"/>
      <c r="GH384" s="190"/>
      <c r="GI384" s="190"/>
      <c r="GJ384" s="190"/>
      <c r="GK384" s="190"/>
      <c r="GL384" s="190"/>
      <c r="GM384" s="190"/>
      <c r="GN384" s="190"/>
      <c r="GO384" s="190"/>
      <c r="GP384" s="190"/>
      <c r="GQ384" s="190"/>
      <c r="GR384" s="190"/>
      <c r="GS384" s="190"/>
      <c r="GT384" s="190"/>
      <c r="GU384" s="190"/>
      <c r="GV384" s="190"/>
      <c r="GW384" s="190"/>
      <c r="GX384" s="190"/>
      <c r="GY384" s="190"/>
      <c r="GZ384" s="190"/>
      <c r="HA384" s="190"/>
      <c r="HB384" s="190"/>
      <c r="HC384" s="190"/>
      <c r="HD384" s="190"/>
      <c r="HE384" s="190"/>
      <c r="HF384" s="190"/>
      <c r="HG384" s="190"/>
      <c r="HH384" s="190"/>
      <c r="HI384" s="190"/>
      <c r="HJ384" s="190"/>
      <c r="HK384" s="190"/>
      <c r="HL384" s="190"/>
      <c r="HM384" s="190"/>
      <c r="HN384" s="190"/>
      <c r="HO384" s="190"/>
      <c r="HP384" s="190"/>
      <c r="HQ384" s="190"/>
      <c r="HR384" s="190"/>
      <c r="HS384" s="190"/>
      <c r="HT384" s="190"/>
      <c r="HU384" s="190"/>
      <c r="HV384" s="190"/>
      <c r="HW384" s="190"/>
      <c r="HX384" s="190"/>
      <c r="HY384" s="190"/>
      <c r="HZ384" s="190"/>
      <c r="IA384" s="190"/>
    </row>
    <row r="385" spans="1:16" ht="11.25">
      <c r="A385" s="73" t="s">
        <v>5</v>
      </c>
      <c r="B385" s="49"/>
      <c r="C385" s="49"/>
      <c r="D385" s="50"/>
      <c r="E385" s="50"/>
      <c r="F385" s="47"/>
      <c r="G385" s="50"/>
      <c r="H385" s="50"/>
      <c r="I385" s="50"/>
      <c r="J385" s="47"/>
      <c r="K385" s="57"/>
      <c r="L385" s="58"/>
      <c r="M385" s="58"/>
      <c r="N385" s="50"/>
      <c r="O385" s="50"/>
      <c r="P385" s="47"/>
    </row>
    <row r="386" spans="1:16" ht="24" customHeight="1">
      <c r="A386" s="74" t="s">
        <v>211</v>
      </c>
      <c r="B386" s="52"/>
      <c r="C386" s="52"/>
      <c r="D386" s="166"/>
      <c r="E386" s="166"/>
      <c r="F386" s="166">
        <v>230</v>
      </c>
      <c r="G386" s="166"/>
      <c r="H386" s="166"/>
      <c r="I386" s="166"/>
      <c r="J386" s="166">
        <v>230</v>
      </c>
      <c r="K386" s="166" t="e">
        <f>G386/D386*100</f>
        <v>#DIV/0!</v>
      </c>
      <c r="L386" s="166"/>
      <c r="M386" s="166"/>
      <c r="N386" s="166"/>
      <c r="O386" s="166"/>
      <c r="P386" s="166">
        <v>230</v>
      </c>
    </row>
    <row r="387" spans="1:16" ht="13.5" customHeight="1">
      <c r="A387" s="74" t="s">
        <v>68</v>
      </c>
      <c r="B387" s="52"/>
      <c r="C387" s="52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</row>
    <row r="388" spans="1:16" ht="23.25" customHeight="1">
      <c r="A388" s="74" t="s">
        <v>212</v>
      </c>
      <c r="B388" s="52"/>
      <c r="C388" s="52"/>
      <c r="D388" s="166">
        <v>180</v>
      </c>
      <c r="E388" s="166"/>
      <c r="F388" s="166">
        <f>D388</f>
        <v>180</v>
      </c>
      <c r="G388" s="166">
        <f>180-130</f>
        <v>50</v>
      </c>
      <c r="H388" s="166">
        <v>130</v>
      </c>
      <c r="I388" s="166"/>
      <c r="J388" s="166">
        <f>G388+H388</f>
        <v>180</v>
      </c>
      <c r="K388" s="166"/>
      <c r="L388" s="166"/>
      <c r="M388" s="166"/>
      <c r="N388" s="166">
        <v>180</v>
      </c>
      <c r="O388" s="166"/>
      <c r="P388" s="166">
        <f>N388</f>
        <v>180</v>
      </c>
    </row>
    <row r="389" spans="1:16" ht="27" customHeight="1">
      <c r="A389" s="74" t="s">
        <v>213</v>
      </c>
      <c r="B389" s="52"/>
      <c r="C389" s="52"/>
      <c r="D389" s="166">
        <v>540</v>
      </c>
      <c r="E389" s="166"/>
      <c r="F389" s="166">
        <f>D389</f>
        <v>540</v>
      </c>
      <c r="G389" s="166">
        <v>140</v>
      </c>
      <c r="H389" s="166">
        <v>400</v>
      </c>
      <c r="I389" s="166"/>
      <c r="J389" s="166">
        <f>G389+H389</f>
        <v>540</v>
      </c>
      <c r="K389" s="166"/>
      <c r="L389" s="166"/>
      <c r="M389" s="166"/>
      <c r="N389" s="166">
        <v>540</v>
      </c>
      <c r="O389" s="166"/>
      <c r="P389" s="166">
        <f>N389</f>
        <v>540</v>
      </c>
    </row>
    <row r="390" spans="1:16" ht="11.25">
      <c r="A390" s="73" t="s">
        <v>7</v>
      </c>
      <c r="B390" s="49"/>
      <c r="C390" s="49"/>
      <c r="D390" s="45"/>
      <c r="E390" s="45"/>
      <c r="F390" s="46"/>
      <c r="G390" s="45"/>
      <c r="H390" s="45"/>
      <c r="I390" s="45"/>
      <c r="J390" s="46"/>
      <c r="K390" s="59"/>
      <c r="L390" s="60"/>
      <c r="M390" s="60"/>
      <c r="N390" s="45"/>
      <c r="O390" s="45"/>
      <c r="P390" s="46"/>
    </row>
    <row r="391" spans="1:16" ht="48" customHeight="1">
      <c r="A391" s="74" t="s">
        <v>214</v>
      </c>
      <c r="B391" s="52"/>
      <c r="C391" s="52"/>
      <c r="D391" s="61"/>
      <c r="E391" s="62"/>
      <c r="F391" s="46">
        <f>D391</f>
        <v>0</v>
      </c>
      <c r="G391" s="61"/>
      <c r="H391" s="62"/>
      <c r="I391" s="62"/>
      <c r="J391" s="46">
        <f>G391</f>
        <v>0</v>
      </c>
      <c r="K391" s="59" t="e">
        <f>G391/D391*100</f>
        <v>#DIV/0!</v>
      </c>
      <c r="L391" s="63"/>
      <c r="M391" s="64"/>
      <c r="N391" s="61"/>
      <c r="O391" s="62"/>
      <c r="P391" s="46">
        <f>N391</f>
        <v>0</v>
      </c>
    </row>
    <row r="392" spans="1:16" ht="11.25">
      <c r="A392" s="74" t="s">
        <v>68</v>
      </c>
      <c r="B392" s="52"/>
      <c r="C392" s="52"/>
      <c r="D392" s="55"/>
      <c r="E392" s="56"/>
      <c r="F392" s="47"/>
      <c r="G392" s="55"/>
      <c r="H392" s="56"/>
      <c r="I392" s="56"/>
      <c r="J392" s="47"/>
      <c r="K392" s="57"/>
      <c r="L392" s="65"/>
      <c r="M392" s="66"/>
      <c r="N392" s="55"/>
      <c r="O392" s="56"/>
      <c r="P392" s="47"/>
    </row>
    <row r="393" spans="1:16" ht="23.25" customHeight="1">
      <c r="A393" s="74" t="s">
        <v>212</v>
      </c>
      <c r="B393" s="52"/>
      <c r="C393" s="52"/>
      <c r="D393" s="61">
        <v>122.96</v>
      </c>
      <c r="E393" s="62"/>
      <c r="F393" s="46">
        <f>D393</f>
        <v>122.96</v>
      </c>
      <c r="G393" s="61">
        <v>122.96</v>
      </c>
      <c r="H393" s="62">
        <v>122.96</v>
      </c>
      <c r="I393" s="62"/>
      <c r="J393" s="46">
        <f>G393</f>
        <v>122.96</v>
      </c>
      <c r="K393" s="57"/>
      <c r="L393" s="65"/>
      <c r="M393" s="66"/>
      <c r="N393" s="61">
        <v>122.96</v>
      </c>
      <c r="O393" s="62"/>
      <c r="P393" s="46">
        <f>N393</f>
        <v>122.96</v>
      </c>
    </row>
    <row r="394" spans="1:16" ht="24" customHeight="1">
      <c r="A394" s="74" t="s">
        <v>213</v>
      </c>
      <c r="B394" s="52"/>
      <c r="C394" s="52"/>
      <c r="D394" s="61">
        <v>502.86</v>
      </c>
      <c r="E394" s="62"/>
      <c r="F394" s="46">
        <f>D394</f>
        <v>502.86</v>
      </c>
      <c r="G394" s="61">
        <v>502.86</v>
      </c>
      <c r="H394" s="62">
        <v>502.86</v>
      </c>
      <c r="I394" s="62"/>
      <c r="J394" s="46">
        <f>G394</f>
        <v>502.86</v>
      </c>
      <c r="K394" s="57"/>
      <c r="L394" s="65"/>
      <c r="M394" s="66"/>
      <c r="N394" s="61">
        <v>502.86</v>
      </c>
      <c r="O394" s="62"/>
      <c r="P394" s="46">
        <f>N394</f>
        <v>502.86</v>
      </c>
    </row>
    <row r="395" spans="1:235" s="191" customFormat="1" ht="24" customHeight="1">
      <c r="A395" s="199" t="s">
        <v>360</v>
      </c>
      <c r="B395" s="199"/>
      <c r="C395" s="199"/>
      <c r="D395" s="202">
        <f>(D397*D399)+0.02</f>
        <v>51000.002</v>
      </c>
      <c r="E395" s="202"/>
      <c r="F395" s="202">
        <f>D395</f>
        <v>51000.002</v>
      </c>
      <c r="G395" s="202">
        <v>75000</v>
      </c>
      <c r="H395" s="202"/>
      <c r="I395" s="202"/>
      <c r="J395" s="244">
        <f>G395</f>
        <v>75000</v>
      </c>
      <c r="K395" s="202"/>
      <c r="L395" s="203"/>
      <c r="M395" s="203"/>
      <c r="N395" s="202"/>
      <c r="O395" s="202"/>
      <c r="P395" s="202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  <c r="AC395" s="190"/>
      <c r="AD395" s="190"/>
      <c r="AE395" s="190"/>
      <c r="AF395" s="190"/>
      <c r="AG395" s="190"/>
      <c r="AH395" s="190"/>
      <c r="AI395" s="190"/>
      <c r="AJ395" s="190"/>
      <c r="AK395" s="190"/>
      <c r="AL395" s="190"/>
      <c r="AM395" s="190"/>
      <c r="AN395" s="190"/>
      <c r="AO395" s="190"/>
      <c r="AP395" s="190"/>
      <c r="AQ395" s="190"/>
      <c r="AR395" s="190"/>
      <c r="AS395" s="190"/>
      <c r="AT395" s="190"/>
      <c r="AU395" s="190"/>
      <c r="AV395" s="190"/>
      <c r="AW395" s="190"/>
      <c r="AX395" s="190"/>
      <c r="AY395" s="190"/>
      <c r="AZ395" s="190"/>
      <c r="BA395" s="190"/>
      <c r="BB395" s="190"/>
      <c r="BC395" s="190"/>
      <c r="BD395" s="190"/>
      <c r="BE395" s="190"/>
      <c r="BF395" s="190"/>
      <c r="BG395" s="190"/>
      <c r="BH395" s="190"/>
      <c r="BI395" s="190"/>
      <c r="BJ395" s="190"/>
      <c r="BK395" s="190"/>
      <c r="BL395" s="190"/>
      <c r="BM395" s="190"/>
      <c r="BN395" s="190"/>
      <c r="BO395" s="190"/>
      <c r="BP395" s="190"/>
      <c r="BQ395" s="190"/>
      <c r="BR395" s="190"/>
      <c r="BS395" s="190"/>
      <c r="BT395" s="190"/>
      <c r="BU395" s="190"/>
      <c r="BV395" s="190"/>
      <c r="BW395" s="190"/>
      <c r="BX395" s="190"/>
      <c r="BY395" s="190"/>
      <c r="BZ395" s="190"/>
      <c r="CA395" s="190"/>
      <c r="CB395" s="190"/>
      <c r="CC395" s="190"/>
      <c r="CD395" s="190"/>
      <c r="CE395" s="190"/>
      <c r="CF395" s="190"/>
      <c r="CG395" s="190"/>
      <c r="CH395" s="190"/>
      <c r="CI395" s="190"/>
      <c r="CJ395" s="190"/>
      <c r="CK395" s="190"/>
      <c r="CL395" s="190"/>
      <c r="CM395" s="190"/>
      <c r="CN395" s="190"/>
      <c r="CO395" s="190"/>
      <c r="CP395" s="190"/>
      <c r="CQ395" s="190"/>
      <c r="CR395" s="190"/>
      <c r="CS395" s="190"/>
      <c r="CT395" s="190"/>
      <c r="CU395" s="190"/>
      <c r="CV395" s="190"/>
      <c r="CW395" s="190"/>
      <c r="CX395" s="190"/>
      <c r="CY395" s="190"/>
      <c r="CZ395" s="190"/>
      <c r="DA395" s="190"/>
      <c r="DB395" s="190"/>
      <c r="DC395" s="190"/>
      <c r="DD395" s="190"/>
      <c r="DE395" s="190"/>
      <c r="DF395" s="190"/>
      <c r="DG395" s="190"/>
      <c r="DH395" s="190"/>
      <c r="DI395" s="190"/>
      <c r="DJ395" s="190"/>
      <c r="DK395" s="190"/>
      <c r="DL395" s="190"/>
      <c r="DM395" s="190"/>
      <c r="DN395" s="190"/>
      <c r="DO395" s="190"/>
      <c r="DP395" s="190"/>
      <c r="DQ395" s="190"/>
      <c r="DR395" s="190"/>
      <c r="DS395" s="190"/>
      <c r="DT395" s="190"/>
      <c r="DU395" s="190"/>
      <c r="DV395" s="190"/>
      <c r="DW395" s="190"/>
      <c r="DX395" s="190"/>
      <c r="DY395" s="190"/>
      <c r="DZ395" s="190"/>
      <c r="EA395" s="190"/>
      <c r="EB395" s="190"/>
      <c r="EC395" s="190"/>
      <c r="ED395" s="190"/>
      <c r="EE395" s="190"/>
      <c r="EF395" s="190"/>
      <c r="EG395" s="190"/>
      <c r="EH395" s="190"/>
      <c r="EI395" s="190"/>
      <c r="EJ395" s="190"/>
      <c r="EK395" s="190"/>
      <c r="EL395" s="190"/>
      <c r="EM395" s="190"/>
      <c r="EN395" s="190"/>
      <c r="EO395" s="190"/>
      <c r="EP395" s="190"/>
      <c r="EQ395" s="190"/>
      <c r="ER395" s="190"/>
      <c r="ES395" s="190"/>
      <c r="ET395" s="190"/>
      <c r="EU395" s="190"/>
      <c r="EV395" s="190"/>
      <c r="EW395" s="190"/>
      <c r="EX395" s="190"/>
      <c r="EY395" s="190"/>
      <c r="EZ395" s="190"/>
      <c r="FA395" s="190"/>
      <c r="FB395" s="190"/>
      <c r="FC395" s="190"/>
      <c r="FD395" s="190"/>
      <c r="FE395" s="190"/>
      <c r="FF395" s="190"/>
      <c r="FG395" s="190"/>
      <c r="FH395" s="190"/>
      <c r="FI395" s="190"/>
      <c r="FJ395" s="190"/>
      <c r="FK395" s="190"/>
      <c r="FL395" s="190"/>
      <c r="FM395" s="190"/>
      <c r="FN395" s="190"/>
      <c r="FO395" s="190"/>
      <c r="FP395" s="190"/>
      <c r="FQ395" s="190"/>
      <c r="FR395" s="190"/>
      <c r="FS395" s="190"/>
      <c r="FT395" s="190"/>
      <c r="FU395" s="190"/>
      <c r="FV395" s="190"/>
      <c r="FW395" s="190"/>
      <c r="FX395" s="190"/>
      <c r="FY395" s="190"/>
      <c r="FZ395" s="190"/>
      <c r="GA395" s="190"/>
      <c r="GB395" s="190"/>
      <c r="GC395" s="190"/>
      <c r="GD395" s="190"/>
      <c r="GE395" s="190"/>
      <c r="GF395" s="190"/>
      <c r="GG395" s="190"/>
      <c r="GH395" s="190"/>
      <c r="GI395" s="190"/>
      <c r="GJ395" s="190"/>
      <c r="GK395" s="190"/>
      <c r="GL395" s="190"/>
      <c r="GM395" s="190"/>
      <c r="GN395" s="190"/>
      <c r="GO395" s="190"/>
      <c r="GP395" s="190"/>
      <c r="GQ395" s="190"/>
      <c r="GR395" s="190"/>
      <c r="GS395" s="190"/>
      <c r="GT395" s="190"/>
      <c r="GU395" s="190"/>
      <c r="GV395" s="190"/>
      <c r="GW395" s="190"/>
      <c r="GX395" s="190"/>
      <c r="GY395" s="190"/>
      <c r="GZ395" s="190"/>
      <c r="HA395" s="190"/>
      <c r="HB395" s="190"/>
      <c r="HC395" s="190"/>
      <c r="HD395" s="190"/>
      <c r="HE395" s="190"/>
      <c r="HF395" s="190"/>
      <c r="HG395" s="190"/>
      <c r="HH395" s="190"/>
      <c r="HI395" s="190"/>
      <c r="HJ395" s="190"/>
      <c r="HK395" s="190"/>
      <c r="HL395" s="190"/>
      <c r="HM395" s="190"/>
      <c r="HN395" s="190"/>
      <c r="HO395" s="190"/>
      <c r="HP395" s="190"/>
      <c r="HQ395" s="190"/>
      <c r="HR395" s="190"/>
      <c r="HS395" s="190"/>
      <c r="HT395" s="190"/>
      <c r="HU395" s="190"/>
      <c r="HV395" s="190"/>
      <c r="HW395" s="190"/>
      <c r="HX395" s="190"/>
      <c r="HY395" s="190"/>
      <c r="HZ395" s="190"/>
      <c r="IA395" s="190"/>
    </row>
    <row r="396" spans="1:16" ht="12.75" customHeight="1">
      <c r="A396" s="73" t="s">
        <v>248</v>
      </c>
      <c r="B396" s="126"/>
      <c r="C396" s="126"/>
      <c r="D396" s="127"/>
      <c r="E396" s="127"/>
      <c r="F396" s="127"/>
      <c r="G396" s="127"/>
      <c r="H396" s="127"/>
      <c r="I396" s="127"/>
      <c r="J396" s="127"/>
      <c r="K396" s="128"/>
      <c r="L396" s="129"/>
      <c r="M396" s="129"/>
      <c r="N396" s="127"/>
      <c r="O396" s="127"/>
      <c r="P396" s="127"/>
    </row>
    <row r="397" spans="1:16" ht="24" customHeight="1">
      <c r="A397" s="91" t="s">
        <v>247</v>
      </c>
      <c r="B397" s="52"/>
      <c r="C397" s="52"/>
      <c r="D397" s="61">
        <v>6600</v>
      </c>
      <c r="E397" s="62"/>
      <c r="F397" s="46">
        <f>D397</f>
        <v>6600</v>
      </c>
      <c r="G397" s="61">
        <v>6600</v>
      </c>
      <c r="H397" s="62"/>
      <c r="I397" s="62"/>
      <c r="J397" s="46">
        <f>G397</f>
        <v>6600</v>
      </c>
      <c r="K397" s="57"/>
      <c r="L397" s="65"/>
      <c r="M397" s="66"/>
      <c r="N397" s="61"/>
      <c r="O397" s="62"/>
      <c r="P397" s="46"/>
    </row>
    <row r="398" spans="1:16" ht="11.25">
      <c r="A398" s="73" t="s">
        <v>7</v>
      </c>
      <c r="B398" s="52"/>
      <c r="C398" s="52"/>
      <c r="D398" s="61"/>
      <c r="E398" s="62"/>
      <c r="F398" s="46"/>
      <c r="G398" s="61"/>
      <c r="H398" s="62"/>
      <c r="I398" s="62"/>
      <c r="J398" s="46"/>
      <c r="K398" s="57"/>
      <c r="L398" s="65"/>
      <c r="M398" s="66"/>
      <c r="N398" s="61"/>
      <c r="O398" s="62"/>
      <c r="P398" s="46"/>
    </row>
    <row r="399" spans="1:16" ht="24" customHeight="1">
      <c r="A399" s="74" t="s">
        <v>249</v>
      </c>
      <c r="B399" s="52"/>
      <c r="C399" s="52"/>
      <c r="D399" s="130">
        <f>7727.27/1000</f>
        <v>7.727270000000001</v>
      </c>
      <c r="E399" s="130"/>
      <c r="F399" s="130">
        <f>D399</f>
        <v>7.727270000000001</v>
      </c>
      <c r="G399" s="61">
        <f>G395/G397</f>
        <v>11.363636363636363</v>
      </c>
      <c r="H399" s="62"/>
      <c r="I399" s="62"/>
      <c r="J399" s="46">
        <f>G399</f>
        <v>11.363636363636363</v>
      </c>
      <c r="K399" s="57"/>
      <c r="L399" s="65"/>
      <c r="M399" s="66"/>
      <c r="N399" s="61"/>
      <c r="O399" s="62"/>
      <c r="P399" s="46"/>
    </row>
    <row r="400" spans="1:235" s="191" customFormat="1" ht="38.25" customHeight="1">
      <c r="A400" s="199" t="s">
        <v>361</v>
      </c>
      <c r="B400" s="199"/>
      <c r="C400" s="199"/>
      <c r="D400" s="202"/>
      <c r="E400" s="202"/>
      <c r="F400" s="202"/>
      <c r="G400" s="202">
        <f>105000+64000</f>
        <v>169000</v>
      </c>
      <c r="H400" s="202"/>
      <c r="I400" s="202"/>
      <c r="J400" s="242">
        <f>G400</f>
        <v>169000</v>
      </c>
      <c r="K400" s="212"/>
      <c r="L400" s="213"/>
      <c r="M400" s="214"/>
      <c r="N400" s="208"/>
      <c r="O400" s="203"/>
      <c r="P400" s="202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  <c r="AC400" s="190"/>
      <c r="AD400" s="190"/>
      <c r="AE400" s="190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  <c r="AR400" s="190"/>
      <c r="AS400" s="190"/>
      <c r="AT400" s="190"/>
      <c r="AU400" s="190"/>
      <c r="AV400" s="190"/>
      <c r="AW400" s="190"/>
      <c r="AX400" s="190"/>
      <c r="AY400" s="190"/>
      <c r="AZ400" s="190"/>
      <c r="BA400" s="190"/>
      <c r="BB400" s="190"/>
      <c r="BC400" s="190"/>
      <c r="BD400" s="190"/>
      <c r="BE400" s="190"/>
      <c r="BF400" s="190"/>
      <c r="BG400" s="190"/>
      <c r="BH400" s="190"/>
      <c r="BI400" s="190"/>
      <c r="BJ400" s="190"/>
      <c r="BK400" s="190"/>
      <c r="BL400" s="190"/>
      <c r="BM400" s="190"/>
      <c r="BN400" s="190"/>
      <c r="BO400" s="190"/>
      <c r="BP400" s="190"/>
      <c r="BQ400" s="190"/>
      <c r="BR400" s="190"/>
      <c r="BS400" s="190"/>
      <c r="BT400" s="190"/>
      <c r="BU400" s="190"/>
      <c r="BV400" s="190"/>
      <c r="BW400" s="190"/>
      <c r="BX400" s="190"/>
      <c r="BY400" s="190"/>
      <c r="BZ400" s="190"/>
      <c r="CA400" s="190"/>
      <c r="CB400" s="190"/>
      <c r="CC400" s="190"/>
      <c r="CD400" s="190"/>
      <c r="CE400" s="190"/>
      <c r="CF400" s="190"/>
      <c r="CG400" s="190"/>
      <c r="CH400" s="190"/>
      <c r="CI400" s="190"/>
      <c r="CJ400" s="190"/>
      <c r="CK400" s="190"/>
      <c r="CL400" s="190"/>
      <c r="CM400" s="190"/>
      <c r="CN400" s="190"/>
      <c r="CO400" s="190"/>
      <c r="CP400" s="190"/>
      <c r="CQ400" s="190"/>
      <c r="CR400" s="190"/>
      <c r="CS400" s="190"/>
      <c r="CT400" s="190"/>
      <c r="CU400" s="190"/>
      <c r="CV400" s="190"/>
      <c r="CW400" s="190"/>
      <c r="CX400" s="190"/>
      <c r="CY400" s="190"/>
      <c r="CZ400" s="190"/>
      <c r="DA400" s="190"/>
      <c r="DB400" s="190"/>
      <c r="DC400" s="190"/>
      <c r="DD400" s="190"/>
      <c r="DE400" s="190"/>
      <c r="DF400" s="190"/>
      <c r="DG400" s="190"/>
      <c r="DH400" s="190"/>
      <c r="DI400" s="190"/>
      <c r="DJ400" s="190"/>
      <c r="DK400" s="190"/>
      <c r="DL400" s="190"/>
      <c r="DM400" s="190"/>
      <c r="DN400" s="190"/>
      <c r="DO400" s="190"/>
      <c r="DP400" s="190"/>
      <c r="DQ400" s="190"/>
      <c r="DR400" s="190"/>
      <c r="DS400" s="190"/>
      <c r="DT400" s="190"/>
      <c r="DU400" s="190"/>
      <c r="DV400" s="190"/>
      <c r="DW400" s="190"/>
      <c r="DX400" s="190"/>
      <c r="DY400" s="190"/>
      <c r="DZ400" s="190"/>
      <c r="EA400" s="190"/>
      <c r="EB400" s="190"/>
      <c r="EC400" s="190"/>
      <c r="ED400" s="190"/>
      <c r="EE400" s="190"/>
      <c r="EF400" s="190"/>
      <c r="EG400" s="190"/>
      <c r="EH400" s="190"/>
      <c r="EI400" s="190"/>
      <c r="EJ400" s="190"/>
      <c r="EK400" s="190"/>
      <c r="EL400" s="190"/>
      <c r="EM400" s="190"/>
      <c r="EN400" s="190"/>
      <c r="EO400" s="190"/>
      <c r="EP400" s="190"/>
      <c r="EQ400" s="190"/>
      <c r="ER400" s="190"/>
      <c r="ES400" s="190"/>
      <c r="ET400" s="190"/>
      <c r="EU400" s="190"/>
      <c r="EV400" s="190"/>
      <c r="EW400" s="190"/>
      <c r="EX400" s="190"/>
      <c r="EY400" s="190"/>
      <c r="EZ400" s="190"/>
      <c r="FA400" s="190"/>
      <c r="FB400" s="190"/>
      <c r="FC400" s="190"/>
      <c r="FD400" s="190"/>
      <c r="FE400" s="190"/>
      <c r="FF400" s="190"/>
      <c r="FG400" s="190"/>
      <c r="FH400" s="190"/>
      <c r="FI400" s="190"/>
      <c r="FJ400" s="190"/>
      <c r="FK400" s="190"/>
      <c r="FL400" s="190"/>
      <c r="FM400" s="190"/>
      <c r="FN400" s="190"/>
      <c r="FO400" s="190"/>
      <c r="FP400" s="190"/>
      <c r="FQ400" s="190"/>
      <c r="FR400" s="190"/>
      <c r="FS400" s="190"/>
      <c r="FT400" s="190"/>
      <c r="FU400" s="190"/>
      <c r="FV400" s="190"/>
      <c r="FW400" s="190"/>
      <c r="FX400" s="190"/>
      <c r="FY400" s="190"/>
      <c r="FZ400" s="190"/>
      <c r="GA400" s="190"/>
      <c r="GB400" s="190"/>
      <c r="GC400" s="190"/>
      <c r="GD400" s="190"/>
      <c r="GE400" s="190"/>
      <c r="GF400" s="190"/>
      <c r="GG400" s="190"/>
      <c r="GH400" s="190"/>
      <c r="GI400" s="190"/>
      <c r="GJ400" s="190"/>
      <c r="GK400" s="190"/>
      <c r="GL400" s="190"/>
      <c r="GM400" s="190"/>
      <c r="GN400" s="190"/>
      <c r="GO400" s="190"/>
      <c r="GP400" s="190"/>
      <c r="GQ400" s="190"/>
      <c r="GR400" s="190"/>
      <c r="GS400" s="190"/>
      <c r="GT400" s="190"/>
      <c r="GU400" s="190"/>
      <c r="GV400" s="190"/>
      <c r="GW400" s="190"/>
      <c r="GX400" s="190"/>
      <c r="GY400" s="190"/>
      <c r="GZ400" s="190"/>
      <c r="HA400" s="190"/>
      <c r="HB400" s="190"/>
      <c r="HC400" s="190"/>
      <c r="HD400" s="190"/>
      <c r="HE400" s="190"/>
      <c r="HF400" s="190"/>
      <c r="HG400" s="190"/>
      <c r="HH400" s="190"/>
      <c r="HI400" s="190"/>
      <c r="HJ400" s="190"/>
      <c r="HK400" s="190"/>
      <c r="HL400" s="190"/>
      <c r="HM400" s="190"/>
      <c r="HN400" s="190"/>
      <c r="HO400" s="190"/>
      <c r="HP400" s="190"/>
      <c r="HQ400" s="190"/>
      <c r="HR400" s="190"/>
      <c r="HS400" s="190"/>
      <c r="HT400" s="190"/>
      <c r="HU400" s="190"/>
      <c r="HV400" s="190"/>
      <c r="HW400" s="190"/>
      <c r="HX400" s="190"/>
      <c r="HY400" s="190"/>
      <c r="HZ400" s="190"/>
      <c r="IA400" s="190"/>
    </row>
    <row r="401" spans="1:16" ht="11.25">
      <c r="A401" s="73" t="s">
        <v>248</v>
      </c>
      <c r="B401" s="126"/>
      <c r="C401" s="126"/>
      <c r="D401" s="127"/>
      <c r="E401" s="127"/>
      <c r="F401" s="127"/>
      <c r="G401" s="127"/>
      <c r="H401" s="127"/>
      <c r="I401" s="127"/>
      <c r="J401" s="127"/>
      <c r="K401" s="57"/>
      <c r="L401" s="65"/>
      <c r="M401" s="66"/>
      <c r="N401" s="61"/>
      <c r="O401" s="62"/>
      <c r="P401" s="46"/>
    </row>
    <row r="402" spans="1:16" ht="45">
      <c r="A402" s="91" t="s">
        <v>307</v>
      </c>
      <c r="B402" s="52"/>
      <c r="C402" s="52"/>
      <c r="D402" s="61"/>
      <c r="E402" s="62"/>
      <c r="F402" s="46"/>
      <c r="G402" s="61">
        <v>12</v>
      </c>
      <c r="H402" s="62"/>
      <c r="I402" s="62"/>
      <c r="J402" s="46">
        <f>G402</f>
        <v>12</v>
      </c>
      <c r="K402" s="57"/>
      <c r="L402" s="65"/>
      <c r="M402" s="66"/>
      <c r="N402" s="61"/>
      <c r="O402" s="62"/>
      <c r="P402" s="46"/>
    </row>
    <row r="403" spans="1:16" ht="11.25">
      <c r="A403" s="73" t="s">
        <v>7</v>
      </c>
      <c r="B403" s="52"/>
      <c r="C403" s="52"/>
      <c r="D403" s="61"/>
      <c r="E403" s="62"/>
      <c r="F403" s="46"/>
      <c r="G403" s="61"/>
      <c r="H403" s="62"/>
      <c r="I403" s="62"/>
      <c r="J403" s="46"/>
      <c r="K403" s="57"/>
      <c r="L403" s="65"/>
      <c r="M403" s="66"/>
      <c r="N403" s="61"/>
      <c r="O403" s="62"/>
      <c r="P403" s="46"/>
    </row>
    <row r="404" spans="1:16" ht="45">
      <c r="A404" s="74" t="s">
        <v>308</v>
      </c>
      <c r="B404" s="52"/>
      <c r="C404" s="52"/>
      <c r="D404" s="130"/>
      <c r="E404" s="130"/>
      <c r="F404" s="130"/>
      <c r="G404" s="61">
        <f>G400/G402</f>
        <v>14083.333333333334</v>
      </c>
      <c r="H404" s="62"/>
      <c r="I404" s="62"/>
      <c r="J404" s="46">
        <f>G404</f>
        <v>14083.333333333334</v>
      </c>
      <c r="K404" s="57"/>
      <c r="L404" s="65"/>
      <c r="M404" s="66"/>
      <c r="N404" s="61"/>
      <c r="O404" s="62"/>
      <c r="P404" s="46"/>
    </row>
    <row r="405" spans="1:16" ht="2.25" customHeight="1" hidden="1">
      <c r="A405" s="74"/>
      <c r="B405" s="52"/>
      <c r="C405" s="52"/>
      <c r="D405" s="130"/>
      <c r="E405" s="130"/>
      <c r="F405" s="130"/>
      <c r="G405" s="61"/>
      <c r="H405" s="62"/>
      <c r="I405" s="62"/>
      <c r="J405" s="46"/>
      <c r="K405" s="57"/>
      <c r="L405" s="65"/>
      <c r="M405" s="66"/>
      <c r="N405" s="61"/>
      <c r="O405" s="62"/>
      <c r="P405" s="46"/>
    </row>
    <row r="406" spans="1:16" ht="24" customHeight="1" hidden="1">
      <c r="A406" s="74"/>
      <c r="B406" s="52"/>
      <c r="C406" s="52"/>
      <c r="D406" s="130"/>
      <c r="E406" s="130"/>
      <c r="F406" s="130"/>
      <c r="G406" s="61"/>
      <c r="H406" s="62"/>
      <c r="I406" s="62"/>
      <c r="J406" s="46"/>
      <c r="K406" s="57"/>
      <c r="L406" s="65"/>
      <c r="M406" s="66"/>
      <c r="N406" s="61"/>
      <c r="O406" s="62"/>
      <c r="P406" s="46"/>
    </row>
    <row r="407" spans="1:16" ht="24" customHeight="1" hidden="1">
      <c r="A407" s="74"/>
      <c r="B407" s="52"/>
      <c r="C407" s="52"/>
      <c r="D407" s="130"/>
      <c r="E407" s="130"/>
      <c r="F407" s="130"/>
      <c r="G407" s="61"/>
      <c r="H407" s="62"/>
      <c r="I407" s="62"/>
      <c r="J407" s="46"/>
      <c r="K407" s="57"/>
      <c r="L407" s="65"/>
      <c r="M407" s="66"/>
      <c r="N407" s="61"/>
      <c r="O407" s="62"/>
      <c r="P407" s="46"/>
    </row>
    <row r="408" spans="1:16" ht="24" customHeight="1" hidden="1">
      <c r="A408" s="74"/>
      <c r="B408" s="52"/>
      <c r="C408" s="52"/>
      <c r="D408" s="130"/>
      <c r="E408" s="130"/>
      <c r="F408" s="130"/>
      <c r="G408" s="61"/>
      <c r="H408" s="62"/>
      <c r="I408" s="62"/>
      <c r="J408" s="46"/>
      <c r="K408" s="57"/>
      <c r="L408" s="65"/>
      <c r="M408" s="66"/>
      <c r="N408" s="61"/>
      <c r="O408" s="62"/>
      <c r="P408" s="46"/>
    </row>
    <row r="409" spans="1:235" s="191" customFormat="1" ht="33.75">
      <c r="A409" s="199" t="s">
        <v>362</v>
      </c>
      <c r="B409" s="199"/>
      <c r="C409" s="199"/>
      <c r="D409" s="202">
        <v>216</v>
      </c>
      <c r="E409" s="202"/>
      <c r="F409" s="202">
        <f>D409</f>
        <v>216</v>
      </c>
      <c r="G409" s="202">
        <f>30000+3300</f>
        <v>33300</v>
      </c>
      <c r="H409" s="202"/>
      <c r="I409" s="202"/>
      <c r="J409" s="242">
        <f>G409</f>
        <v>33300</v>
      </c>
      <c r="K409" s="212"/>
      <c r="L409" s="213"/>
      <c r="M409" s="214"/>
      <c r="N409" s="208"/>
      <c r="O409" s="203"/>
      <c r="P409" s="202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B409" s="190"/>
      <c r="AC409" s="190"/>
      <c r="AD409" s="190"/>
      <c r="AE409" s="190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  <c r="AR409" s="190"/>
      <c r="AS409" s="190"/>
      <c r="AT409" s="190"/>
      <c r="AU409" s="190"/>
      <c r="AV409" s="190"/>
      <c r="AW409" s="190"/>
      <c r="AX409" s="190"/>
      <c r="AY409" s="190"/>
      <c r="AZ409" s="190"/>
      <c r="BA409" s="190"/>
      <c r="BB409" s="190"/>
      <c r="BC409" s="190"/>
      <c r="BD409" s="190"/>
      <c r="BE409" s="190"/>
      <c r="BF409" s="190"/>
      <c r="BG409" s="190"/>
      <c r="BH409" s="190"/>
      <c r="BI409" s="190"/>
      <c r="BJ409" s="190"/>
      <c r="BK409" s="190"/>
      <c r="BL409" s="190"/>
      <c r="BM409" s="190"/>
      <c r="BN409" s="190"/>
      <c r="BO409" s="190"/>
      <c r="BP409" s="190"/>
      <c r="BQ409" s="190"/>
      <c r="BR409" s="190"/>
      <c r="BS409" s="190"/>
      <c r="BT409" s="190"/>
      <c r="BU409" s="190"/>
      <c r="BV409" s="190"/>
      <c r="BW409" s="190"/>
      <c r="BX409" s="190"/>
      <c r="BY409" s="190"/>
      <c r="BZ409" s="190"/>
      <c r="CA409" s="190"/>
      <c r="CB409" s="190"/>
      <c r="CC409" s="190"/>
      <c r="CD409" s="190"/>
      <c r="CE409" s="190"/>
      <c r="CF409" s="190"/>
      <c r="CG409" s="190"/>
      <c r="CH409" s="190"/>
      <c r="CI409" s="190"/>
      <c r="CJ409" s="190"/>
      <c r="CK409" s="190"/>
      <c r="CL409" s="190"/>
      <c r="CM409" s="190"/>
      <c r="CN409" s="190"/>
      <c r="CO409" s="190"/>
      <c r="CP409" s="190"/>
      <c r="CQ409" s="190"/>
      <c r="CR409" s="190"/>
      <c r="CS409" s="190"/>
      <c r="CT409" s="190"/>
      <c r="CU409" s="190"/>
      <c r="CV409" s="190"/>
      <c r="CW409" s="190"/>
      <c r="CX409" s="190"/>
      <c r="CY409" s="190"/>
      <c r="CZ409" s="190"/>
      <c r="DA409" s="190"/>
      <c r="DB409" s="190"/>
      <c r="DC409" s="190"/>
      <c r="DD409" s="190"/>
      <c r="DE409" s="190"/>
      <c r="DF409" s="190"/>
      <c r="DG409" s="190"/>
      <c r="DH409" s="190"/>
      <c r="DI409" s="190"/>
      <c r="DJ409" s="190"/>
      <c r="DK409" s="190"/>
      <c r="DL409" s="190"/>
      <c r="DM409" s="190"/>
      <c r="DN409" s="190"/>
      <c r="DO409" s="190"/>
      <c r="DP409" s="190"/>
      <c r="DQ409" s="190"/>
      <c r="DR409" s="190"/>
      <c r="DS409" s="190"/>
      <c r="DT409" s="190"/>
      <c r="DU409" s="190"/>
      <c r="DV409" s="190"/>
      <c r="DW409" s="190"/>
      <c r="DX409" s="190"/>
      <c r="DY409" s="190"/>
      <c r="DZ409" s="190"/>
      <c r="EA409" s="190"/>
      <c r="EB409" s="190"/>
      <c r="EC409" s="190"/>
      <c r="ED409" s="190"/>
      <c r="EE409" s="190"/>
      <c r="EF409" s="190"/>
      <c r="EG409" s="190"/>
      <c r="EH409" s="190"/>
      <c r="EI409" s="190"/>
      <c r="EJ409" s="190"/>
      <c r="EK409" s="190"/>
      <c r="EL409" s="190"/>
      <c r="EM409" s="190"/>
      <c r="EN409" s="190"/>
      <c r="EO409" s="190"/>
      <c r="EP409" s="190"/>
      <c r="EQ409" s="190"/>
      <c r="ER409" s="190"/>
      <c r="ES409" s="190"/>
      <c r="ET409" s="190"/>
      <c r="EU409" s="190"/>
      <c r="EV409" s="190"/>
      <c r="EW409" s="190"/>
      <c r="EX409" s="190"/>
      <c r="EY409" s="190"/>
      <c r="EZ409" s="190"/>
      <c r="FA409" s="190"/>
      <c r="FB409" s="190"/>
      <c r="FC409" s="190"/>
      <c r="FD409" s="190"/>
      <c r="FE409" s="190"/>
      <c r="FF409" s="190"/>
      <c r="FG409" s="190"/>
      <c r="FH409" s="190"/>
      <c r="FI409" s="190"/>
      <c r="FJ409" s="190"/>
      <c r="FK409" s="190"/>
      <c r="FL409" s="190"/>
      <c r="FM409" s="190"/>
      <c r="FN409" s="190"/>
      <c r="FO409" s="190"/>
      <c r="FP409" s="190"/>
      <c r="FQ409" s="190"/>
      <c r="FR409" s="190"/>
      <c r="FS409" s="190"/>
      <c r="FT409" s="190"/>
      <c r="FU409" s="190"/>
      <c r="FV409" s="190"/>
      <c r="FW409" s="190"/>
      <c r="FX409" s="190"/>
      <c r="FY409" s="190"/>
      <c r="FZ409" s="190"/>
      <c r="GA409" s="190"/>
      <c r="GB409" s="190"/>
      <c r="GC409" s="190"/>
      <c r="GD409" s="190"/>
      <c r="GE409" s="190"/>
      <c r="GF409" s="190"/>
      <c r="GG409" s="190"/>
      <c r="GH409" s="190"/>
      <c r="GI409" s="190"/>
      <c r="GJ409" s="190"/>
      <c r="GK409" s="190"/>
      <c r="GL409" s="190"/>
      <c r="GM409" s="190"/>
      <c r="GN409" s="190"/>
      <c r="GO409" s="190"/>
      <c r="GP409" s="190"/>
      <c r="GQ409" s="190"/>
      <c r="GR409" s="190"/>
      <c r="GS409" s="190"/>
      <c r="GT409" s="190"/>
      <c r="GU409" s="190"/>
      <c r="GV409" s="190"/>
      <c r="GW409" s="190"/>
      <c r="GX409" s="190"/>
      <c r="GY409" s="190"/>
      <c r="GZ409" s="190"/>
      <c r="HA409" s="190"/>
      <c r="HB409" s="190"/>
      <c r="HC409" s="190"/>
      <c r="HD409" s="190"/>
      <c r="HE409" s="190"/>
      <c r="HF409" s="190"/>
      <c r="HG409" s="190"/>
      <c r="HH409" s="190"/>
      <c r="HI409" s="190"/>
      <c r="HJ409" s="190"/>
      <c r="HK409" s="190"/>
      <c r="HL409" s="190"/>
      <c r="HM409" s="190"/>
      <c r="HN409" s="190"/>
      <c r="HO409" s="190"/>
      <c r="HP409" s="190"/>
      <c r="HQ409" s="190"/>
      <c r="HR409" s="190"/>
      <c r="HS409" s="190"/>
      <c r="HT409" s="190"/>
      <c r="HU409" s="190"/>
      <c r="HV409" s="190"/>
      <c r="HW409" s="190"/>
      <c r="HX409" s="190"/>
      <c r="HY409" s="190"/>
      <c r="HZ409" s="190"/>
      <c r="IA409" s="190"/>
    </row>
    <row r="410" spans="1:16" ht="11.25">
      <c r="A410" s="73" t="s">
        <v>248</v>
      </c>
      <c r="B410" s="126"/>
      <c r="C410" s="126"/>
      <c r="D410" s="127"/>
      <c r="E410" s="127"/>
      <c r="F410" s="127"/>
      <c r="G410" s="127"/>
      <c r="H410" s="127"/>
      <c r="I410" s="127"/>
      <c r="J410" s="127"/>
      <c r="K410" s="57"/>
      <c r="L410" s="65"/>
      <c r="M410" s="66"/>
      <c r="N410" s="61"/>
      <c r="O410" s="62"/>
      <c r="P410" s="46"/>
    </row>
    <row r="411" spans="1:16" ht="45">
      <c r="A411" s="91" t="s">
        <v>309</v>
      </c>
      <c r="B411" s="52"/>
      <c r="C411" s="52"/>
      <c r="D411" s="61">
        <v>2</v>
      </c>
      <c r="E411" s="62"/>
      <c r="F411" s="46">
        <f>D411</f>
        <v>2</v>
      </c>
      <c r="G411" s="61">
        <v>12</v>
      </c>
      <c r="H411" s="62"/>
      <c r="I411" s="62"/>
      <c r="J411" s="46">
        <f>G411</f>
        <v>12</v>
      </c>
      <c r="K411" s="57"/>
      <c r="L411" s="65"/>
      <c r="M411" s="66"/>
      <c r="N411" s="61"/>
      <c r="O411" s="62"/>
      <c r="P411" s="46"/>
    </row>
    <row r="412" spans="1:16" ht="11.25">
      <c r="A412" s="73" t="s">
        <v>7</v>
      </c>
      <c r="B412" s="52"/>
      <c r="C412" s="52"/>
      <c r="D412" s="61"/>
      <c r="E412" s="62"/>
      <c r="F412" s="46"/>
      <c r="G412" s="61"/>
      <c r="H412" s="62"/>
      <c r="I412" s="62"/>
      <c r="J412" s="46"/>
      <c r="K412" s="57"/>
      <c r="L412" s="65"/>
      <c r="M412" s="66"/>
      <c r="N412" s="61"/>
      <c r="O412" s="62"/>
      <c r="P412" s="46"/>
    </row>
    <row r="413" spans="1:16" ht="33.75" customHeight="1">
      <c r="A413" s="74" t="s">
        <v>310</v>
      </c>
      <c r="B413" s="52"/>
      <c r="C413" s="52"/>
      <c r="D413" s="61">
        <f>D409/D411</f>
        <v>108</v>
      </c>
      <c r="E413" s="62"/>
      <c r="F413" s="46">
        <f>D413</f>
        <v>108</v>
      </c>
      <c r="G413" s="61">
        <f>G409/G411</f>
        <v>2775</v>
      </c>
      <c r="H413" s="62"/>
      <c r="I413" s="62"/>
      <c r="J413" s="46">
        <f>G413</f>
        <v>2775</v>
      </c>
      <c r="K413" s="57"/>
      <c r="L413" s="65"/>
      <c r="M413" s="66"/>
      <c r="N413" s="61"/>
      <c r="O413" s="62"/>
      <c r="P413" s="46"/>
    </row>
    <row r="414" spans="1:16" ht="16.5" customHeight="1">
      <c r="A414" s="97" t="s">
        <v>89</v>
      </c>
      <c r="B414" s="97"/>
      <c r="C414" s="97"/>
      <c r="D414" s="98"/>
      <c r="E414" s="98">
        <f>E416+E424+E429</f>
        <v>534080</v>
      </c>
      <c r="F414" s="98">
        <f>E414</f>
        <v>534080</v>
      </c>
      <c r="G414" s="98"/>
      <c r="H414" s="98">
        <f>H416+H424+H429+H436+H443</f>
        <v>783080</v>
      </c>
      <c r="I414" s="98">
        <f>I416+I424+I429+I436+I443</f>
        <v>0</v>
      </c>
      <c r="J414" s="246">
        <f>H414</f>
        <v>783080</v>
      </c>
      <c r="K414" s="94"/>
      <c r="L414" s="99"/>
      <c r="M414" s="100"/>
      <c r="N414" s="98"/>
      <c r="O414" s="98">
        <f>O416+O424+O429</f>
        <v>474080</v>
      </c>
      <c r="P414" s="98">
        <f>O414</f>
        <v>474080</v>
      </c>
    </row>
    <row r="415" spans="1:16" ht="90.75" customHeight="1">
      <c r="A415" s="75" t="s">
        <v>333</v>
      </c>
      <c r="B415" s="69"/>
      <c r="C415" s="69"/>
      <c r="D415" s="67"/>
      <c r="E415" s="67"/>
      <c r="F415" s="67"/>
      <c r="G415" s="67"/>
      <c r="H415" s="67"/>
      <c r="I415" s="67"/>
      <c r="J415" s="67"/>
      <c r="K415" s="70"/>
      <c r="L415" s="71"/>
      <c r="M415" s="68"/>
      <c r="N415" s="67"/>
      <c r="O415" s="67"/>
      <c r="P415" s="67"/>
    </row>
    <row r="416" spans="1:16" ht="24.75" customHeight="1">
      <c r="A416" s="92" t="s">
        <v>363</v>
      </c>
      <c r="B416" s="92"/>
      <c r="C416" s="92"/>
      <c r="D416" s="93"/>
      <c r="E416" s="93">
        <f>E419*E421+1.32</f>
        <v>180690</v>
      </c>
      <c r="F416" s="93">
        <f>E416</f>
        <v>180690</v>
      </c>
      <c r="G416" s="93"/>
      <c r="H416" s="93">
        <f>H419*H421+1.32</f>
        <v>180690</v>
      </c>
      <c r="I416" s="93"/>
      <c r="J416" s="242">
        <f>H416</f>
        <v>180690</v>
      </c>
      <c r="K416" s="94"/>
      <c r="L416" s="95"/>
      <c r="M416" s="95"/>
      <c r="N416" s="93"/>
      <c r="O416" s="93">
        <f>O419*O421+1.32</f>
        <v>180690</v>
      </c>
      <c r="P416" s="93">
        <f>O416</f>
        <v>180690</v>
      </c>
    </row>
    <row r="417" spans="1:16" ht="11.25">
      <c r="A417" s="73" t="s">
        <v>5</v>
      </c>
      <c r="B417" s="48"/>
      <c r="C417" s="48"/>
      <c r="D417" s="50"/>
      <c r="E417" s="50"/>
      <c r="F417" s="47"/>
      <c r="G417" s="50"/>
      <c r="H417" s="50"/>
      <c r="I417" s="50"/>
      <c r="J417" s="47"/>
      <c r="K417" s="47"/>
      <c r="L417" s="50"/>
      <c r="M417" s="50"/>
      <c r="N417" s="50"/>
      <c r="O417" s="50"/>
      <c r="P417" s="47"/>
    </row>
    <row r="418" spans="1:16" ht="26.25" customHeight="1">
      <c r="A418" s="74" t="s">
        <v>215</v>
      </c>
      <c r="B418" s="51"/>
      <c r="C418" s="51"/>
      <c r="D418" s="53"/>
      <c r="E418" s="53">
        <v>33</v>
      </c>
      <c r="F418" s="53">
        <f>E418</f>
        <v>33</v>
      </c>
      <c r="G418" s="53"/>
      <c r="H418" s="53">
        <v>33</v>
      </c>
      <c r="I418" s="53"/>
      <c r="J418" s="53">
        <f>H418</f>
        <v>33</v>
      </c>
      <c r="K418" s="53" t="e">
        <f>G418/D418*100</f>
        <v>#DIV/0!</v>
      </c>
      <c r="L418" s="53"/>
      <c r="M418" s="53"/>
      <c r="N418" s="53"/>
      <c r="O418" s="53">
        <v>33</v>
      </c>
      <c r="P418" s="53">
        <f>O418</f>
        <v>33</v>
      </c>
    </row>
    <row r="419" spans="1:16" ht="26.25" customHeight="1">
      <c r="A419" s="74" t="s">
        <v>69</v>
      </c>
      <c r="B419" s="51"/>
      <c r="C419" s="51"/>
      <c r="D419" s="53"/>
      <c r="E419" s="53">
        <v>94</v>
      </c>
      <c r="F419" s="53">
        <v>94</v>
      </c>
      <c r="G419" s="53"/>
      <c r="H419" s="53">
        <v>94</v>
      </c>
      <c r="I419" s="53"/>
      <c r="J419" s="53">
        <v>94</v>
      </c>
      <c r="K419" s="53"/>
      <c r="L419" s="53"/>
      <c r="M419" s="53"/>
      <c r="N419" s="53"/>
      <c r="O419" s="53">
        <v>94</v>
      </c>
      <c r="P419" s="53">
        <v>94</v>
      </c>
    </row>
    <row r="420" spans="1:16" ht="11.25">
      <c r="A420" s="73" t="s">
        <v>7</v>
      </c>
      <c r="B420" s="48"/>
      <c r="C420" s="48"/>
      <c r="D420" s="50"/>
      <c r="E420" s="50"/>
      <c r="F420" s="47"/>
      <c r="G420" s="50"/>
      <c r="H420" s="50"/>
      <c r="I420" s="50"/>
      <c r="J420" s="47"/>
      <c r="K420" s="47"/>
      <c r="L420" s="50"/>
      <c r="M420" s="50"/>
      <c r="N420" s="50"/>
      <c r="O420" s="50"/>
      <c r="P420" s="47"/>
    </row>
    <row r="421" spans="1:16" ht="23.25" customHeight="1">
      <c r="A421" s="74" t="s">
        <v>70</v>
      </c>
      <c r="B421" s="51"/>
      <c r="C421" s="51"/>
      <c r="D421" s="55"/>
      <c r="E421" s="55">
        <v>1922.22</v>
      </c>
      <c r="F421" s="47">
        <f>E421</f>
        <v>1922.22</v>
      </c>
      <c r="G421" s="55"/>
      <c r="H421" s="55">
        <v>1922.22</v>
      </c>
      <c r="I421" s="55"/>
      <c r="J421" s="47">
        <f>H421</f>
        <v>1922.22</v>
      </c>
      <c r="K421" s="47" t="e">
        <f>G421/D421*100</f>
        <v>#DIV/0!</v>
      </c>
      <c r="L421" s="56"/>
      <c r="M421" s="55"/>
      <c r="N421" s="55"/>
      <c r="O421" s="55">
        <v>1922.22</v>
      </c>
      <c r="P421" s="47">
        <f>O421</f>
        <v>1922.22</v>
      </c>
    </row>
    <row r="422" spans="1:16" ht="11.25">
      <c r="A422" s="90" t="s">
        <v>6</v>
      </c>
      <c r="B422" s="51"/>
      <c r="C422" s="51"/>
      <c r="D422" s="55"/>
      <c r="E422" s="55"/>
      <c r="F422" s="47"/>
      <c r="G422" s="55"/>
      <c r="H422" s="55"/>
      <c r="I422" s="55"/>
      <c r="J422" s="47"/>
      <c r="K422" s="47"/>
      <c r="L422" s="56"/>
      <c r="M422" s="55"/>
      <c r="N422" s="55"/>
      <c r="O422" s="55"/>
      <c r="P422" s="47"/>
    </row>
    <row r="423" spans="1:16" ht="29.25" customHeight="1">
      <c r="A423" s="91" t="s">
        <v>216</v>
      </c>
      <c r="B423" s="51"/>
      <c r="C423" s="51"/>
      <c r="D423" s="55"/>
      <c r="E423" s="55"/>
      <c r="F423" s="47"/>
      <c r="G423" s="55"/>
      <c r="H423" s="55"/>
      <c r="I423" s="55"/>
      <c r="J423" s="47"/>
      <c r="K423" s="47"/>
      <c r="L423" s="56"/>
      <c r="M423" s="55"/>
      <c r="N423" s="55"/>
      <c r="O423" s="55"/>
      <c r="P423" s="47"/>
    </row>
    <row r="424" spans="1:235" s="191" customFormat="1" ht="23.25" customHeight="1">
      <c r="A424" s="199" t="s">
        <v>364</v>
      </c>
      <c r="B424" s="199"/>
      <c r="C424" s="199"/>
      <c r="D424" s="202"/>
      <c r="E424" s="202">
        <f>E428</f>
        <v>162140</v>
      </c>
      <c r="F424" s="202">
        <f>E424</f>
        <v>162140</v>
      </c>
      <c r="G424" s="202"/>
      <c r="H424" s="202">
        <f>H428</f>
        <v>162140</v>
      </c>
      <c r="I424" s="202"/>
      <c r="J424" s="242">
        <f>H424</f>
        <v>162140</v>
      </c>
      <c r="K424" s="202"/>
      <c r="L424" s="203"/>
      <c r="M424" s="203"/>
      <c r="N424" s="202"/>
      <c r="O424" s="202">
        <f>O428</f>
        <v>162140</v>
      </c>
      <c r="P424" s="202">
        <f>O424</f>
        <v>162140</v>
      </c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B424" s="190"/>
      <c r="AC424" s="190"/>
      <c r="AD424" s="190"/>
      <c r="AE424" s="190"/>
      <c r="AF424" s="190"/>
      <c r="AG424" s="190"/>
      <c r="AH424" s="190"/>
      <c r="AI424" s="190"/>
      <c r="AJ424" s="190"/>
      <c r="AK424" s="190"/>
      <c r="AL424" s="190"/>
      <c r="AM424" s="190"/>
      <c r="AN424" s="190"/>
      <c r="AO424" s="190"/>
      <c r="AP424" s="190"/>
      <c r="AQ424" s="190"/>
      <c r="AR424" s="190"/>
      <c r="AS424" s="190"/>
      <c r="AT424" s="190"/>
      <c r="AU424" s="190"/>
      <c r="AV424" s="190"/>
      <c r="AW424" s="190"/>
      <c r="AX424" s="190"/>
      <c r="AY424" s="190"/>
      <c r="AZ424" s="190"/>
      <c r="BA424" s="190"/>
      <c r="BB424" s="190"/>
      <c r="BC424" s="190"/>
      <c r="BD424" s="190"/>
      <c r="BE424" s="190"/>
      <c r="BF424" s="190"/>
      <c r="BG424" s="190"/>
      <c r="BH424" s="190"/>
      <c r="BI424" s="190"/>
      <c r="BJ424" s="190"/>
      <c r="BK424" s="190"/>
      <c r="BL424" s="190"/>
      <c r="BM424" s="190"/>
      <c r="BN424" s="190"/>
      <c r="BO424" s="190"/>
      <c r="BP424" s="190"/>
      <c r="BQ424" s="190"/>
      <c r="BR424" s="190"/>
      <c r="BS424" s="190"/>
      <c r="BT424" s="190"/>
      <c r="BU424" s="190"/>
      <c r="BV424" s="190"/>
      <c r="BW424" s="190"/>
      <c r="BX424" s="190"/>
      <c r="BY424" s="190"/>
      <c r="BZ424" s="190"/>
      <c r="CA424" s="190"/>
      <c r="CB424" s="190"/>
      <c r="CC424" s="190"/>
      <c r="CD424" s="190"/>
      <c r="CE424" s="190"/>
      <c r="CF424" s="190"/>
      <c r="CG424" s="190"/>
      <c r="CH424" s="190"/>
      <c r="CI424" s="190"/>
      <c r="CJ424" s="190"/>
      <c r="CK424" s="190"/>
      <c r="CL424" s="190"/>
      <c r="CM424" s="190"/>
      <c r="CN424" s="190"/>
      <c r="CO424" s="190"/>
      <c r="CP424" s="190"/>
      <c r="CQ424" s="190"/>
      <c r="CR424" s="190"/>
      <c r="CS424" s="190"/>
      <c r="CT424" s="190"/>
      <c r="CU424" s="190"/>
      <c r="CV424" s="190"/>
      <c r="CW424" s="190"/>
      <c r="CX424" s="190"/>
      <c r="CY424" s="190"/>
      <c r="CZ424" s="190"/>
      <c r="DA424" s="190"/>
      <c r="DB424" s="190"/>
      <c r="DC424" s="190"/>
      <c r="DD424" s="190"/>
      <c r="DE424" s="190"/>
      <c r="DF424" s="190"/>
      <c r="DG424" s="190"/>
      <c r="DH424" s="190"/>
      <c r="DI424" s="190"/>
      <c r="DJ424" s="190"/>
      <c r="DK424" s="190"/>
      <c r="DL424" s="190"/>
      <c r="DM424" s="190"/>
      <c r="DN424" s="190"/>
      <c r="DO424" s="190"/>
      <c r="DP424" s="190"/>
      <c r="DQ424" s="190"/>
      <c r="DR424" s="190"/>
      <c r="DS424" s="190"/>
      <c r="DT424" s="190"/>
      <c r="DU424" s="190"/>
      <c r="DV424" s="190"/>
      <c r="DW424" s="190"/>
      <c r="DX424" s="190"/>
      <c r="DY424" s="190"/>
      <c r="DZ424" s="190"/>
      <c r="EA424" s="190"/>
      <c r="EB424" s="190"/>
      <c r="EC424" s="190"/>
      <c r="ED424" s="190"/>
      <c r="EE424" s="190"/>
      <c r="EF424" s="190"/>
      <c r="EG424" s="190"/>
      <c r="EH424" s="190"/>
      <c r="EI424" s="190"/>
      <c r="EJ424" s="190"/>
      <c r="EK424" s="190"/>
      <c r="EL424" s="190"/>
      <c r="EM424" s="190"/>
      <c r="EN424" s="190"/>
      <c r="EO424" s="190"/>
      <c r="EP424" s="190"/>
      <c r="EQ424" s="190"/>
      <c r="ER424" s="190"/>
      <c r="ES424" s="190"/>
      <c r="ET424" s="190"/>
      <c r="EU424" s="190"/>
      <c r="EV424" s="190"/>
      <c r="EW424" s="190"/>
      <c r="EX424" s="190"/>
      <c r="EY424" s="190"/>
      <c r="EZ424" s="190"/>
      <c r="FA424" s="190"/>
      <c r="FB424" s="190"/>
      <c r="FC424" s="190"/>
      <c r="FD424" s="190"/>
      <c r="FE424" s="190"/>
      <c r="FF424" s="190"/>
      <c r="FG424" s="190"/>
      <c r="FH424" s="190"/>
      <c r="FI424" s="190"/>
      <c r="FJ424" s="190"/>
      <c r="FK424" s="190"/>
      <c r="FL424" s="190"/>
      <c r="FM424" s="190"/>
      <c r="FN424" s="190"/>
      <c r="FO424" s="190"/>
      <c r="FP424" s="190"/>
      <c r="FQ424" s="190"/>
      <c r="FR424" s="190"/>
      <c r="FS424" s="190"/>
      <c r="FT424" s="190"/>
      <c r="FU424" s="190"/>
      <c r="FV424" s="190"/>
      <c r="FW424" s="190"/>
      <c r="FX424" s="190"/>
      <c r="FY424" s="190"/>
      <c r="FZ424" s="190"/>
      <c r="GA424" s="190"/>
      <c r="GB424" s="190"/>
      <c r="GC424" s="190"/>
      <c r="GD424" s="190"/>
      <c r="GE424" s="190"/>
      <c r="GF424" s="190"/>
      <c r="GG424" s="190"/>
      <c r="GH424" s="190"/>
      <c r="GI424" s="190"/>
      <c r="GJ424" s="190"/>
      <c r="GK424" s="190"/>
      <c r="GL424" s="190"/>
      <c r="GM424" s="190"/>
      <c r="GN424" s="190"/>
      <c r="GO424" s="190"/>
      <c r="GP424" s="190"/>
      <c r="GQ424" s="190"/>
      <c r="GR424" s="190"/>
      <c r="GS424" s="190"/>
      <c r="GT424" s="190"/>
      <c r="GU424" s="190"/>
      <c r="GV424" s="190"/>
      <c r="GW424" s="190"/>
      <c r="GX424" s="190"/>
      <c r="GY424" s="190"/>
      <c r="GZ424" s="190"/>
      <c r="HA424" s="190"/>
      <c r="HB424" s="190"/>
      <c r="HC424" s="190"/>
      <c r="HD424" s="190"/>
      <c r="HE424" s="190"/>
      <c r="HF424" s="190"/>
      <c r="HG424" s="190"/>
      <c r="HH424" s="190"/>
      <c r="HI424" s="190"/>
      <c r="HJ424" s="190"/>
      <c r="HK424" s="190"/>
      <c r="HL424" s="190"/>
      <c r="HM424" s="190"/>
      <c r="HN424" s="190"/>
      <c r="HO424" s="190"/>
      <c r="HP424" s="190"/>
      <c r="HQ424" s="190"/>
      <c r="HR424" s="190"/>
      <c r="HS424" s="190"/>
      <c r="HT424" s="190"/>
      <c r="HU424" s="190"/>
      <c r="HV424" s="190"/>
      <c r="HW424" s="190"/>
      <c r="HX424" s="190"/>
      <c r="HY424" s="190"/>
      <c r="HZ424" s="190"/>
      <c r="IA424" s="190"/>
    </row>
    <row r="425" spans="1:16" ht="11.25">
      <c r="A425" s="73" t="s">
        <v>5</v>
      </c>
      <c r="B425" s="48"/>
      <c r="C425" s="48"/>
      <c r="D425" s="50"/>
      <c r="E425" s="50"/>
      <c r="F425" s="47"/>
      <c r="G425" s="50"/>
      <c r="H425" s="50"/>
      <c r="I425" s="50"/>
      <c r="J425" s="47"/>
      <c r="K425" s="47"/>
      <c r="L425" s="50"/>
      <c r="M425" s="50"/>
      <c r="N425" s="50"/>
      <c r="O425" s="50"/>
      <c r="P425" s="47"/>
    </row>
    <row r="426" spans="1:16" ht="36.75" customHeight="1">
      <c r="A426" s="74" t="s">
        <v>217</v>
      </c>
      <c r="B426" s="51"/>
      <c r="C426" s="51"/>
      <c r="D426" s="53"/>
      <c r="E426" s="53">
        <v>236</v>
      </c>
      <c r="F426" s="53">
        <f>E426</f>
        <v>236</v>
      </c>
      <c r="G426" s="53"/>
      <c r="H426" s="53">
        <v>236</v>
      </c>
      <c r="I426" s="53"/>
      <c r="J426" s="53">
        <f>H426</f>
        <v>236</v>
      </c>
      <c r="K426" s="53" t="e">
        <f>G426/D426*100</f>
        <v>#DIV/0!</v>
      </c>
      <c r="L426" s="53"/>
      <c r="M426" s="53"/>
      <c r="N426" s="53"/>
      <c r="O426" s="53">
        <v>236</v>
      </c>
      <c r="P426" s="53">
        <f>O426</f>
        <v>236</v>
      </c>
    </row>
    <row r="427" spans="1:16" ht="11.25">
      <c r="A427" s="73" t="s">
        <v>7</v>
      </c>
      <c r="B427" s="48"/>
      <c r="C427" s="48"/>
      <c r="D427" s="165"/>
      <c r="E427" s="165"/>
      <c r="F427" s="78"/>
      <c r="G427" s="165"/>
      <c r="H427" s="165"/>
      <c r="I427" s="165"/>
      <c r="J427" s="78"/>
      <c r="K427" s="78"/>
      <c r="L427" s="165"/>
      <c r="M427" s="165"/>
      <c r="N427" s="165"/>
      <c r="O427" s="165"/>
      <c r="P427" s="78"/>
    </row>
    <row r="428" spans="1:16" ht="24" customHeight="1">
      <c r="A428" s="76" t="s">
        <v>218</v>
      </c>
      <c r="B428" s="77"/>
      <c r="C428" s="164"/>
      <c r="D428" s="161"/>
      <c r="E428" s="161">
        <v>162140</v>
      </c>
      <c r="F428" s="162">
        <f>E428</f>
        <v>162140</v>
      </c>
      <c r="G428" s="161"/>
      <c r="H428" s="161">
        <v>162140</v>
      </c>
      <c r="I428" s="161"/>
      <c r="J428" s="162">
        <f>H428</f>
        <v>162140</v>
      </c>
      <c r="K428" s="162" t="e">
        <f>G428/D428*100</f>
        <v>#DIV/0!</v>
      </c>
      <c r="L428" s="163"/>
      <c r="M428" s="161"/>
      <c r="N428" s="161"/>
      <c r="O428" s="161">
        <v>162140</v>
      </c>
      <c r="P428" s="162">
        <f>O428</f>
        <v>162140</v>
      </c>
    </row>
    <row r="429" spans="1:235" s="191" customFormat="1" ht="33.75">
      <c r="A429" s="199" t="s">
        <v>365</v>
      </c>
      <c r="B429" s="199"/>
      <c r="C429" s="204"/>
      <c r="D429" s="205"/>
      <c r="E429" s="205">
        <v>191250</v>
      </c>
      <c r="F429" s="205">
        <f>E429</f>
        <v>191250</v>
      </c>
      <c r="G429" s="205"/>
      <c r="H429" s="205">
        <v>131250</v>
      </c>
      <c r="I429" s="205"/>
      <c r="J429" s="243">
        <f>G429+H429</f>
        <v>131250</v>
      </c>
      <c r="K429" s="205"/>
      <c r="L429" s="206"/>
      <c r="M429" s="206"/>
      <c r="N429" s="205"/>
      <c r="O429" s="205">
        <v>131250</v>
      </c>
      <c r="P429" s="205">
        <f>O429</f>
        <v>131250</v>
      </c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0"/>
      <c r="AT429" s="190"/>
      <c r="AU429" s="190"/>
      <c r="AV429" s="190"/>
      <c r="AW429" s="190"/>
      <c r="AX429" s="190"/>
      <c r="AY429" s="190"/>
      <c r="AZ429" s="190"/>
      <c r="BA429" s="190"/>
      <c r="BB429" s="190"/>
      <c r="BC429" s="190"/>
      <c r="BD429" s="190"/>
      <c r="BE429" s="190"/>
      <c r="BF429" s="190"/>
      <c r="BG429" s="190"/>
      <c r="BH429" s="190"/>
      <c r="BI429" s="190"/>
      <c r="BJ429" s="190"/>
      <c r="BK429" s="190"/>
      <c r="BL429" s="190"/>
      <c r="BM429" s="190"/>
      <c r="BN429" s="190"/>
      <c r="BO429" s="190"/>
      <c r="BP429" s="190"/>
      <c r="BQ429" s="190"/>
      <c r="BR429" s="190"/>
      <c r="BS429" s="190"/>
      <c r="BT429" s="190"/>
      <c r="BU429" s="190"/>
      <c r="BV429" s="190"/>
      <c r="BW429" s="190"/>
      <c r="BX429" s="190"/>
      <c r="BY429" s="190"/>
      <c r="BZ429" s="190"/>
      <c r="CA429" s="190"/>
      <c r="CB429" s="190"/>
      <c r="CC429" s="190"/>
      <c r="CD429" s="190"/>
      <c r="CE429" s="190"/>
      <c r="CF429" s="190"/>
      <c r="CG429" s="190"/>
      <c r="CH429" s="190"/>
      <c r="CI429" s="190"/>
      <c r="CJ429" s="190"/>
      <c r="CK429" s="190"/>
      <c r="CL429" s="190"/>
      <c r="CM429" s="190"/>
      <c r="CN429" s="190"/>
      <c r="CO429" s="190"/>
      <c r="CP429" s="190"/>
      <c r="CQ429" s="190"/>
      <c r="CR429" s="190"/>
      <c r="CS429" s="190"/>
      <c r="CT429" s="190"/>
      <c r="CU429" s="190"/>
      <c r="CV429" s="190"/>
      <c r="CW429" s="190"/>
      <c r="CX429" s="190"/>
      <c r="CY429" s="190"/>
      <c r="CZ429" s="190"/>
      <c r="DA429" s="190"/>
      <c r="DB429" s="190"/>
      <c r="DC429" s="190"/>
      <c r="DD429" s="190"/>
      <c r="DE429" s="190"/>
      <c r="DF429" s="190"/>
      <c r="DG429" s="190"/>
      <c r="DH429" s="190"/>
      <c r="DI429" s="190"/>
      <c r="DJ429" s="190"/>
      <c r="DK429" s="190"/>
      <c r="DL429" s="190"/>
      <c r="DM429" s="190"/>
      <c r="DN429" s="190"/>
      <c r="DO429" s="190"/>
      <c r="DP429" s="190"/>
      <c r="DQ429" s="190"/>
      <c r="DR429" s="190"/>
      <c r="DS429" s="190"/>
      <c r="DT429" s="190"/>
      <c r="DU429" s="190"/>
      <c r="DV429" s="190"/>
      <c r="DW429" s="190"/>
      <c r="DX429" s="190"/>
      <c r="DY429" s="190"/>
      <c r="DZ429" s="190"/>
      <c r="EA429" s="190"/>
      <c r="EB429" s="190"/>
      <c r="EC429" s="190"/>
      <c r="ED429" s="190"/>
      <c r="EE429" s="190"/>
      <c r="EF429" s="190"/>
      <c r="EG429" s="190"/>
      <c r="EH429" s="190"/>
      <c r="EI429" s="190"/>
      <c r="EJ429" s="190"/>
      <c r="EK429" s="190"/>
      <c r="EL429" s="190"/>
      <c r="EM429" s="190"/>
      <c r="EN429" s="190"/>
      <c r="EO429" s="190"/>
      <c r="EP429" s="190"/>
      <c r="EQ429" s="190"/>
      <c r="ER429" s="190"/>
      <c r="ES429" s="190"/>
      <c r="ET429" s="190"/>
      <c r="EU429" s="190"/>
      <c r="EV429" s="190"/>
      <c r="EW429" s="190"/>
      <c r="EX429" s="190"/>
      <c r="EY429" s="190"/>
      <c r="EZ429" s="190"/>
      <c r="FA429" s="190"/>
      <c r="FB429" s="190"/>
      <c r="FC429" s="190"/>
      <c r="FD429" s="190"/>
      <c r="FE429" s="190"/>
      <c r="FF429" s="190"/>
      <c r="FG429" s="190"/>
      <c r="FH429" s="190"/>
      <c r="FI429" s="190"/>
      <c r="FJ429" s="190"/>
      <c r="FK429" s="190"/>
      <c r="FL429" s="190"/>
      <c r="FM429" s="190"/>
      <c r="FN429" s="190"/>
      <c r="FO429" s="190"/>
      <c r="FP429" s="190"/>
      <c r="FQ429" s="190"/>
      <c r="FR429" s="190"/>
      <c r="FS429" s="190"/>
      <c r="FT429" s="190"/>
      <c r="FU429" s="190"/>
      <c r="FV429" s="190"/>
      <c r="FW429" s="190"/>
      <c r="FX429" s="190"/>
      <c r="FY429" s="190"/>
      <c r="FZ429" s="190"/>
      <c r="GA429" s="190"/>
      <c r="GB429" s="190"/>
      <c r="GC429" s="190"/>
      <c r="GD429" s="190"/>
      <c r="GE429" s="190"/>
      <c r="GF429" s="190"/>
      <c r="GG429" s="190"/>
      <c r="GH429" s="190"/>
      <c r="GI429" s="190"/>
      <c r="GJ429" s="190"/>
      <c r="GK429" s="190"/>
      <c r="GL429" s="190"/>
      <c r="GM429" s="190"/>
      <c r="GN429" s="190"/>
      <c r="GO429" s="190"/>
      <c r="GP429" s="190"/>
      <c r="GQ429" s="190"/>
      <c r="GR429" s="190"/>
      <c r="GS429" s="190"/>
      <c r="GT429" s="190"/>
      <c r="GU429" s="190"/>
      <c r="GV429" s="190"/>
      <c r="GW429" s="190"/>
      <c r="GX429" s="190"/>
      <c r="GY429" s="190"/>
      <c r="GZ429" s="190"/>
      <c r="HA429" s="190"/>
      <c r="HB429" s="190"/>
      <c r="HC429" s="190"/>
      <c r="HD429" s="190"/>
      <c r="HE429" s="190"/>
      <c r="HF429" s="190"/>
      <c r="HG429" s="190"/>
      <c r="HH429" s="190"/>
      <c r="HI429" s="190"/>
      <c r="HJ429" s="190"/>
      <c r="HK429" s="190"/>
      <c r="HL429" s="190"/>
      <c r="HM429" s="190"/>
      <c r="HN429" s="190"/>
      <c r="HO429" s="190"/>
      <c r="HP429" s="190"/>
      <c r="HQ429" s="190"/>
      <c r="HR429" s="190"/>
      <c r="HS429" s="190"/>
      <c r="HT429" s="190"/>
      <c r="HU429" s="190"/>
      <c r="HV429" s="190"/>
      <c r="HW429" s="190"/>
      <c r="HX429" s="190"/>
      <c r="HY429" s="190"/>
      <c r="HZ429" s="190"/>
      <c r="IA429" s="190"/>
    </row>
    <row r="430" spans="1:16" ht="11.25">
      <c r="A430" s="73" t="s">
        <v>4</v>
      </c>
      <c r="B430" s="49"/>
      <c r="C430" s="49"/>
      <c r="D430" s="167"/>
      <c r="E430" s="167"/>
      <c r="F430" s="167"/>
      <c r="G430" s="167"/>
      <c r="H430" s="167"/>
      <c r="I430" s="167"/>
      <c r="J430" s="167"/>
      <c r="K430" s="168"/>
      <c r="L430" s="167"/>
      <c r="M430" s="167"/>
      <c r="N430" s="167"/>
      <c r="O430" s="167"/>
      <c r="P430" s="167"/>
    </row>
    <row r="431" spans="1:16" ht="11.25">
      <c r="A431" s="74" t="s">
        <v>65</v>
      </c>
      <c r="B431" s="52"/>
      <c r="C431" s="52"/>
      <c r="D431" s="53"/>
      <c r="E431" s="53">
        <f>E429/E435</f>
        <v>11.417910447761194</v>
      </c>
      <c r="F431" s="53">
        <f>E431</f>
        <v>11.417910447761194</v>
      </c>
      <c r="G431" s="53"/>
      <c r="H431" s="53">
        <f>H429/H435</f>
        <v>7.835820895522388</v>
      </c>
      <c r="I431" s="53"/>
      <c r="J431" s="53">
        <f>G431+H431</f>
        <v>7.835820895522388</v>
      </c>
      <c r="K431" s="53" t="e">
        <f>G431/D431*100</f>
        <v>#DIV/0!</v>
      </c>
      <c r="L431" s="53"/>
      <c r="M431" s="53"/>
      <c r="N431" s="53"/>
      <c r="O431" s="53">
        <v>8</v>
      </c>
      <c r="P431" s="53">
        <f>O431</f>
        <v>8</v>
      </c>
    </row>
    <row r="432" spans="1:16" ht="11.25">
      <c r="A432" s="73" t="s">
        <v>5</v>
      </c>
      <c r="B432" s="49"/>
      <c r="C432" s="49"/>
      <c r="D432" s="54"/>
      <c r="E432" s="54"/>
      <c r="F432" s="53"/>
      <c r="G432" s="54"/>
      <c r="H432" s="54"/>
      <c r="I432" s="54"/>
      <c r="J432" s="53"/>
      <c r="K432" s="53"/>
      <c r="L432" s="54"/>
      <c r="M432" s="54"/>
      <c r="N432" s="54"/>
      <c r="O432" s="54"/>
      <c r="P432" s="53"/>
    </row>
    <row r="433" spans="1:16" ht="24" customHeight="1">
      <c r="A433" s="74" t="s">
        <v>66</v>
      </c>
      <c r="B433" s="52"/>
      <c r="C433" s="52"/>
      <c r="D433" s="53"/>
      <c r="E433" s="53">
        <v>11</v>
      </c>
      <c r="F433" s="53">
        <f>E433</f>
        <v>11</v>
      </c>
      <c r="G433" s="53"/>
      <c r="H433" s="53">
        <v>8</v>
      </c>
      <c r="I433" s="53"/>
      <c r="J433" s="53">
        <f>G433+H433</f>
        <v>8</v>
      </c>
      <c r="K433" s="53" t="e">
        <f>G433/D433*100</f>
        <v>#DIV/0!</v>
      </c>
      <c r="L433" s="53"/>
      <c r="M433" s="53"/>
      <c r="N433" s="53"/>
      <c r="O433" s="53">
        <v>8</v>
      </c>
      <c r="P433" s="53">
        <f>O433</f>
        <v>8</v>
      </c>
    </row>
    <row r="434" spans="1:16" ht="11.25">
      <c r="A434" s="73" t="s">
        <v>7</v>
      </c>
      <c r="B434" s="49"/>
      <c r="C434" s="49"/>
      <c r="D434" s="50"/>
      <c r="E434" s="50"/>
      <c r="F434" s="47"/>
      <c r="G434" s="50"/>
      <c r="H434" s="50"/>
      <c r="I434" s="50"/>
      <c r="J434" s="47"/>
      <c r="K434" s="47"/>
      <c r="L434" s="50"/>
      <c r="M434" s="50"/>
      <c r="N434" s="50"/>
      <c r="O434" s="50"/>
      <c r="P434" s="47"/>
    </row>
    <row r="435" spans="1:16" ht="24" customHeight="1">
      <c r="A435" s="76" t="s">
        <v>67</v>
      </c>
      <c r="B435" s="174"/>
      <c r="C435" s="174"/>
      <c r="D435" s="175"/>
      <c r="E435" s="175">
        <v>16750</v>
      </c>
      <c r="F435" s="78">
        <f>E435</f>
        <v>16750</v>
      </c>
      <c r="G435" s="175"/>
      <c r="H435" s="176">
        <v>16750</v>
      </c>
      <c r="I435" s="176"/>
      <c r="J435" s="78">
        <f>G435</f>
        <v>0</v>
      </c>
      <c r="K435" s="78" t="e">
        <f>G435/D435*100</f>
        <v>#DIV/0!</v>
      </c>
      <c r="L435" s="176"/>
      <c r="M435" s="175"/>
      <c r="N435" s="175"/>
      <c r="O435" s="175">
        <v>16750</v>
      </c>
      <c r="P435" s="78">
        <f>O435</f>
        <v>16750</v>
      </c>
    </row>
    <row r="436" spans="1:235" s="191" customFormat="1" ht="35.25" customHeight="1">
      <c r="A436" s="199" t="s">
        <v>366</v>
      </c>
      <c r="B436" s="215"/>
      <c r="C436" s="215"/>
      <c r="D436" s="216"/>
      <c r="E436" s="216"/>
      <c r="F436" s="205"/>
      <c r="G436" s="216"/>
      <c r="H436" s="206">
        <f>H438</f>
        <v>110000</v>
      </c>
      <c r="I436" s="206"/>
      <c r="J436" s="243">
        <f>H436</f>
        <v>110000</v>
      </c>
      <c r="K436" s="205"/>
      <c r="L436" s="206"/>
      <c r="M436" s="216"/>
      <c r="N436" s="216"/>
      <c r="O436" s="216"/>
      <c r="P436" s="205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  <c r="AA436" s="190"/>
      <c r="AB436" s="190"/>
      <c r="AC436" s="190"/>
      <c r="AD436" s="190"/>
      <c r="AE436" s="190"/>
      <c r="AF436" s="190"/>
      <c r="AG436" s="190"/>
      <c r="AH436" s="190"/>
      <c r="AI436" s="190"/>
      <c r="AJ436" s="190"/>
      <c r="AK436" s="190"/>
      <c r="AL436" s="190"/>
      <c r="AM436" s="190"/>
      <c r="AN436" s="190"/>
      <c r="AO436" s="190"/>
      <c r="AP436" s="190"/>
      <c r="AQ436" s="190"/>
      <c r="AR436" s="190"/>
      <c r="AS436" s="190"/>
      <c r="AT436" s="190"/>
      <c r="AU436" s="190"/>
      <c r="AV436" s="190"/>
      <c r="AW436" s="190"/>
      <c r="AX436" s="190"/>
      <c r="AY436" s="190"/>
      <c r="AZ436" s="190"/>
      <c r="BA436" s="190"/>
      <c r="BB436" s="190"/>
      <c r="BC436" s="190"/>
      <c r="BD436" s="190"/>
      <c r="BE436" s="190"/>
      <c r="BF436" s="190"/>
      <c r="BG436" s="190"/>
      <c r="BH436" s="190"/>
      <c r="BI436" s="190"/>
      <c r="BJ436" s="190"/>
      <c r="BK436" s="190"/>
      <c r="BL436" s="190"/>
      <c r="BM436" s="190"/>
      <c r="BN436" s="190"/>
      <c r="BO436" s="190"/>
      <c r="BP436" s="190"/>
      <c r="BQ436" s="190"/>
      <c r="BR436" s="190"/>
      <c r="BS436" s="190"/>
      <c r="BT436" s="190"/>
      <c r="BU436" s="190"/>
      <c r="BV436" s="190"/>
      <c r="BW436" s="190"/>
      <c r="BX436" s="190"/>
      <c r="BY436" s="190"/>
      <c r="BZ436" s="190"/>
      <c r="CA436" s="190"/>
      <c r="CB436" s="190"/>
      <c r="CC436" s="190"/>
      <c r="CD436" s="190"/>
      <c r="CE436" s="190"/>
      <c r="CF436" s="190"/>
      <c r="CG436" s="190"/>
      <c r="CH436" s="190"/>
      <c r="CI436" s="190"/>
      <c r="CJ436" s="190"/>
      <c r="CK436" s="190"/>
      <c r="CL436" s="190"/>
      <c r="CM436" s="190"/>
      <c r="CN436" s="190"/>
      <c r="CO436" s="190"/>
      <c r="CP436" s="190"/>
      <c r="CQ436" s="190"/>
      <c r="CR436" s="190"/>
      <c r="CS436" s="190"/>
      <c r="CT436" s="190"/>
      <c r="CU436" s="190"/>
      <c r="CV436" s="190"/>
      <c r="CW436" s="190"/>
      <c r="CX436" s="190"/>
      <c r="CY436" s="190"/>
      <c r="CZ436" s="190"/>
      <c r="DA436" s="190"/>
      <c r="DB436" s="190"/>
      <c r="DC436" s="190"/>
      <c r="DD436" s="190"/>
      <c r="DE436" s="190"/>
      <c r="DF436" s="190"/>
      <c r="DG436" s="190"/>
      <c r="DH436" s="190"/>
      <c r="DI436" s="190"/>
      <c r="DJ436" s="190"/>
      <c r="DK436" s="190"/>
      <c r="DL436" s="190"/>
      <c r="DM436" s="190"/>
      <c r="DN436" s="190"/>
      <c r="DO436" s="190"/>
      <c r="DP436" s="190"/>
      <c r="DQ436" s="190"/>
      <c r="DR436" s="190"/>
      <c r="DS436" s="190"/>
      <c r="DT436" s="190"/>
      <c r="DU436" s="190"/>
      <c r="DV436" s="190"/>
      <c r="DW436" s="190"/>
      <c r="DX436" s="190"/>
      <c r="DY436" s="190"/>
      <c r="DZ436" s="190"/>
      <c r="EA436" s="190"/>
      <c r="EB436" s="190"/>
      <c r="EC436" s="190"/>
      <c r="ED436" s="190"/>
      <c r="EE436" s="190"/>
      <c r="EF436" s="190"/>
      <c r="EG436" s="190"/>
      <c r="EH436" s="190"/>
      <c r="EI436" s="190"/>
      <c r="EJ436" s="190"/>
      <c r="EK436" s="190"/>
      <c r="EL436" s="190"/>
      <c r="EM436" s="190"/>
      <c r="EN436" s="190"/>
      <c r="EO436" s="190"/>
      <c r="EP436" s="190"/>
      <c r="EQ436" s="190"/>
      <c r="ER436" s="190"/>
      <c r="ES436" s="190"/>
      <c r="ET436" s="190"/>
      <c r="EU436" s="190"/>
      <c r="EV436" s="190"/>
      <c r="EW436" s="190"/>
      <c r="EX436" s="190"/>
      <c r="EY436" s="190"/>
      <c r="EZ436" s="190"/>
      <c r="FA436" s="190"/>
      <c r="FB436" s="190"/>
      <c r="FC436" s="190"/>
      <c r="FD436" s="190"/>
      <c r="FE436" s="190"/>
      <c r="FF436" s="190"/>
      <c r="FG436" s="190"/>
      <c r="FH436" s="190"/>
      <c r="FI436" s="190"/>
      <c r="FJ436" s="190"/>
      <c r="FK436" s="190"/>
      <c r="FL436" s="190"/>
      <c r="FM436" s="190"/>
      <c r="FN436" s="190"/>
      <c r="FO436" s="190"/>
      <c r="FP436" s="190"/>
      <c r="FQ436" s="190"/>
      <c r="FR436" s="190"/>
      <c r="FS436" s="190"/>
      <c r="FT436" s="190"/>
      <c r="FU436" s="190"/>
      <c r="FV436" s="190"/>
      <c r="FW436" s="190"/>
      <c r="FX436" s="190"/>
      <c r="FY436" s="190"/>
      <c r="FZ436" s="190"/>
      <c r="GA436" s="190"/>
      <c r="GB436" s="190"/>
      <c r="GC436" s="190"/>
      <c r="GD436" s="190"/>
      <c r="GE436" s="190"/>
      <c r="GF436" s="190"/>
      <c r="GG436" s="190"/>
      <c r="GH436" s="190"/>
      <c r="GI436" s="190"/>
      <c r="GJ436" s="190"/>
      <c r="GK436" s="190"/>
      <c r="GL436" s="190"/>
      <c r="GM436" s="190"/>
      <c r="GN436" s="190"/>
      <c r="GO436" s="190"/>
      <c r="GP436" s="190"/>
      <c r="GQ436" s="190"/>
      <c r="GR436" s="190"/>
      <c r="GS436" s="190"/>
      <c r="GT436" s="190"/>
      <c r="GU436" s="190"/>
      <c r="GV436" s="190"/>
      <c r="GW436" s="190"/>
      <c r="GX436" s="190"/>
      <c r="GY436" s="190"/>
      <c r="GZ436" s="190"/>
      <c r="HA436" s="190"/>
      <c r="HB436" s="190"/>
      <c r="HC436" s="190"/>
      <c r="HD436" s="190"/>
      <c r="HE436" s="190"/>
      <c r="HF436" s="190"/>
      <c r="HG436" s="190"/>
      <c r="HH436" s="190"/>
      <c r="HI436" s="190"/>
      <c r="HJ436" s="190"/>
      <c r="HK436" s="190"/>
      <c r="HL436" s="190"/>
      <c r="HM436" s="190"/>
      <c r="HN436" s="190"/>
      <c r="HO436" s="190"/>
      <c r="HP436" s="190"/>
      <c r="HQ436" s="190"/>
      <c r="HR436" s="190"/>
      <c r="HS436" s="190"/>
      <c r="HT436" s="190"/>
      <c r="HU436" s="190"/>
      <c r="HV436" s="190"/>
      <c r="HW436" s="190"/>
      <c r="HX436" s="190"/>
      <c r="HY436" s="190"/>
      <c r="HZ436" s="190"/>
      <c r="IA436" s="190"/>
    </row>
    <row r="437" spans="1:16" ht="11.25">
      <c r="A437" s="73" t="s">
        <v>4</v>
      </c>
      <c r="B437" s="177"/>
      <c r="C437" s="177"/>
      <c r="D437" s="161"/>
      <c r="E437" s="161"/>
      <c r="F437" s="162"/>
      <c r="G437" s="161"/>
      <c r="H437" s="163"/>
      <c r="I437" s="163"/>
      <c r="J437" s="162"/>
      <c r="K437" s="162"/>
      <c r="L437" s="163"/>
      <c r="M437" s="161"/>
      <c r="N437" s="161"/>
      <c r="O437" s="161"/>
      <c r="P437" s="162"/>
    </row>
    <row r="438" spans="1:16" ht="33.75">
      <c r="A438" s="74" t="s">
        <v>326</v>
      </c>
      <c r="B438" s="177"/>
      <c r="C438" s="177"/>
      <c r="D438" s="161"/>
      <c r="E438" s="161"/>
      <c r="F438" s="162"/>
      <c r="G438" s="161"/>
      <c r="H438" s="163">
        <v>110000</v>
      </c>
      <c r="I438" s="163"/>
      <c r="J438" s="162">
        <f>H438</f>
        <v>110000</v>
      </c>
      <c r="K438" s="162"/>
      <c r="L438" s="163"/>
      <c r="M438" s="161"/>
      <c r="N438" s="161"/>
      <c r="O438" s="161"/>
      <c r="P438" s="162"/>
    </row>
    <row r="439" spans="1:16" ht="11.25">
      <c r="A439" s="73" t="s">
        <v>5</v>
      </c>
      <c r="B439" s="177"/>
      <c r="C439" s="177"/>
      <c r="D439" s="161"/>
      <c r="E439" s="161"/>
      <c r="F439" s="162"/>
      <c r="G439" s="161"/>
      <c r="H439" s="163"/>
      <c r="I439" s="163"/>
      <c r="J439" s="162"/>
      <c r="K439" s="162"/>
      <c r="L439" s="163"/>
      <c r="M439" s="161"/>
      <c r="N439" s="161"/>
      <c r="O439" s="161"/>
      <c r="P439" s="162"/>
    </row>
    <row r="440" spans="1:16" ht="45">
      <c r="A440" s="220" t="s">
        <v>344</v>
      </c>
      <c r="B440" s="177"/>
      <c r="C440" s="177"/>
      <c r="D440" s="161"/>
      <c r="E440" s="161"/>
      <c r="F440" s="162"/>
      <c r="G440" s="161"/>
      <c r="H440" s="163">
        <v>1</v>
      </c>
      <c r="I440" s="163"/>
      <c r="J440" s="162">
        <v>1</v>
      </c>
      <c r="K440" s="162"/>
      <c r="L440" s="163"/>
      <c r="M440" s="161"/>
      <c r="N440" s="161"/>
      <c r="O440" s="161"/>
      <c r="P440" s="162"/>
    </row>
    <row r="441" spans="1:16" ht="11.25">
      <c r="A441" s="73" t="s">
        <v>7</v>
      </c>
      <c r="B441" s="177"/>
      <c r="C441" s="177"/>
      <c r="D441" s="161"/>
      <c r="E441" s="161"/>
      <c r="F441" s="162"/>
      <c r="G441" s="161"/>
      <c r="H441" s="163"/>
      <c r="I441" s="163"/>
      <c r="J441" s="162"/>
      <c r="K441" s="162"/>
      <c r="L441" s="163"/>
      <c r="M441" s="161"/>
      <c r="N441" s="161"/>
      <c r="O441" s="161"/>
      <c r="P441" s="162"/>
    </row>
    <row r="442" spans="1:16" ht="39" customHeight="1">
      <c r="A442" s="76" t="s">
        <v>327</v>
      </c>
      <c r="B442" s="177"/>
      <c r="C442" s="177"/>
      <c r="D442" s="161"/>
      <c r="E442" s="161"/>
      <c r="F442" s="162"/>
      <c r="G442" s="161"/>
      <c r="H442" s="163">
        <v>110000</v>
      </c>
      <c r="I442" s="163"/>
      <c r="J442" s="162">
        <f>J438/H440</f>
        <v>110000</v>
      </c>
      <c r="K442" s="162"/>
      <c r="L442" s="163"/>
      <c r="M442" s="161"/>
      <c r="N442" s="161"/>
      <c r="O442" s="161"/>
      <c r="P442" s="162"/>
    </row>
    <row r="443" spans="1:235" s="191" customFormat="1" ht="39" customHeight="1">
      <c r="A443" s="207" t="s">
        <v>367</v>
      </c>
      <c r="B443" s="215"/>
      <c r="C443" s="215"/>
      <c r="D443" s="216"/>
      <c r="E443" s="216"/>
      <c r="F443" s="205"/>
      <c r="G443" s="216"/>
      <c r="H443" s="205">
        <v>199000</v>
      </c>
      <c r="I443" s="205"/>
      <c r="J443" s="243">
        <f>G443+H443</f>
        <v>199000</v>
      </c>
      <c r="K443" s="205"/>
      <c r="L443" s="206"/>
      <c r="M443" s="216"/>
      <c r="N443" s="216"/>
      <c r="O443" s="216"/>
      <c r="P443" s="205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  <c r="AC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0"/>
      <c r="BN443" s="190"/>
      <c r="BO443" s="190"/>
      <c r="BP443" s="190"/>
      <c r="BQ443" s="190"/>
      <c r="BR443" s="190"/>
      <c r="BS443" s="190"/>
      <c r="BT443" s="190"/>
      <c r="BU443" s="190"/>
      <c r="BV443" s="190"/>
      <c r="BW443" s="190"/>
      <c r="BX443" s="190"/>
      <c r="BY443" s="190"/>
      <c r="BZ443" s="190"/>
      <c r="CA443" s="190"/>
      <c r="CB443" s="190"/>
      <c r="CC443" s="190"/>
      <c r="CD443" s="190"/>
      <c r="CE443" s="190"/>
      <c r="CF443" s="190"/>
      <c r="CG443" s="190"/>
      <c r="CH443" s="190"/>
      <c r="CI443" s="190"/>
      <c r="CJ443" s="190"/>
      <c r="CK443" s="190"/>
      <c r="CL443" s="190"/>
      <c r="CM443" s="190"/>
      <c r="CN443" s="190"/>
      <c r="CO443" s="190"/>
      <c r="CP443" s="190"/>
      <c r="CQ443" s="190"/>
      <c r="CR443" s="190"/>
      <c r="CS443" s="190"/>
      <c r="CT443" s="190"/>
      <c r="CU443" s="190"/>
      <c r="CV443" s="190"/>
      <c r="CW443" s="190"/>
      <c r="CX443" s="190"/>
      <c r="CY443" s="190"/>
      <c r="CZ443" s="190"/>
      <c r="DA443" s="190"/>
      <c r="DB443" s="190"/>
      <c r="DC443" s="190"/>
      <c r="DD443" s="190"/>
      <c r="DE443" s="190"/>
      <c r="DF443" s="190"/>
      <c r="DG443" s="190"/>
      <c r="DH443" s="190"/>
      <c r="DI443" s="190"/>
      <c r="DJ443" s="190"/>
      <c r="DK443" s="190"/>
      <c r="DL443" s="190"/>
      <c r="DM443" s="190"/>
      <c r="DN443" s="190"/>
      <c r="DO443" s="190"/>
      <c r="DP443" s="190"/>
      <c r="DQ443" s="190"/>
      <c r="DR443" s="190"/>
      <c r="DS443" s="190"/>
      <c r="DT443" s="190"/>
      <c r="DU443" s="190"/>
      <c r="DV443" s="190"/>
      <c r="DW443" s="190"/>
      <c r="DX443" s="190"/>
      <c r="DY443" s="190"/>
      <c r="DZ443" s="190"/>
      <c r="EA443" s="190"/>
      <c r="EB443" s="190"/>
      <c r="EC443" s="190"/>
      <c r="ED443" s="190"/>
      <c r="EE443" s="190"/>
      <c r="EF443" s="190"/>
      <c r="EG443" s="190"/>
      <c r="EH443" s="190"/>
      <c r="EI443" s="190"/>
      <c r="EJ443" s="190"/>
      <c r="EK443" s="190"/>
      <c r="EL443" s="190"/>
      <c r="EM443" s="190"/>
      <c r="EN443" s="190"/>
      <c r="EO443" s="190"/>
      <c r="EP443" s="190"/>
      <c r="EQ443" s="190"/>
      <c r="ER443" s="190"/>
      <c r="ES443" s="190"/>
      <c r="ET443" s="190"/>
      <c r="EU443" s="190"/>
      <c r="EV443" s="190"/>
      <c r="EW443" s="190"/>
      <c r="EX443" s="190"/>
      <c r="EY443" s="190"/>
      <c r="EZ443" s="190"/>
      <c r="FA443" s="190"/>
      <c r="FB443" s="190"/>
      <c r="FC443" s="190"/>
      <c r="FD443" s="190"/>
      <c r="FE443" s="190"/>
      <c r="FF443" s="190"/>
      <c r="FG443" s="190"/>
      <c r="FH443" s="190"/>
      <c r="FI443" s="190"/>
      <c r="FJ443" s="190"/>
      <c r="FK443" s="190"/>
      <c r="FL443" s="190"/>
      <c r="FM443" s="190"/>
      <c r="FN443" s="190"/>
      <c r="FO443" s="190"/>
      <c r="FP443" s="190"/>
      <c r="FQ443" s="190"/>
      <c r="FR443" s="190"/>
      <c r="FS443" s="190"/>
      <c r="FT443" s="190"/>
      <c r="FU443" s="190"/>
      <c r="FV443" s="190"/>
      <c r="FW443" s="190"/>
      <c r="FX443" s="190"/>
      <c r="FY443" s="190"/>
      <c r="FZ443" s="190"/>
      <c r="GA443" s="190"/>
      <c r="GB443" s="190"/>
      <c r="GC443" s="190"/>
      <c r="GD443" s="190"/>
      <c r="GE443" s="190"/>
      <c r="GF443" s="190"/>
      <c r="GG443" s="190"/>
      <c r="GH443" s="190"/>
      <c r="GI443" s="190"/>
      <c r="GJ443" s="190"/>
      <c r="GK443" s="190"/>
      <c r="GL443" s="190"/>
      <c r="GM443" s="190"/>
      <c r="GN443" s="190"/>
      <c r="GO443" s="190"/>
      <c r="GP443" s="190"/>
      <c r="GQ443" s="190"/>
      <c r="GR443" s="190"/>
      <c r="GS443" s="190"/>
      <c r="GT443" s="190"/>
      <c r="GU443" s="190"/>
      <c r="GV443" s="190"/>
      <c r="GW443" s="190"/>
      <c r="GX443" s="190"/>
      <c r="GY443" s="190"/>
      <c r="GZ443" s="190"/>
      <c r="HA443" s="190"/>
      <c r="HB443" s="190"/>
      <c r="HC443" s="190"/>
      <c r="HD443" s="190"/>
      <c r="HE443" s="190"/>
      <c r="HF443" s="190"/>
      <c r="HG443" s="190"/>
      <c r="HH443" s="190"/>
      <c r="HI443" s="190"/>
      <c r="HJ443" s="190"/>
      <c r="HK443" s="190"/>
      <c r="HL443" s="190"/>
      <c r="HM443" s="190"/>
      <c r="HN443" s="190"/>
      <c r="HO443" s="190"/>
      <c r="HP443" s="190"/>
      <c r="HQ443" s="190"/>
      <c r="HR443" s="190"/>
      <c r="HS443" s="190"/>
      <c r="HT443" s="190"/>
      <c r="HU443" s="190"/>
      <c r="HV443" s="190"/>
      <c r="HW443" s="190"/>
      <c r="HX443" s="190"/>
      <c r="HY443" s="190"/>
      <c r="HZ443" s="190"/>
      <c r="IA443" s="190"/>
    </row>
    <row r="444" spans="1:16" ht="11.25">
      <c r="A444" s="185" t="s">
        <v>334</v>
      </c>
      <c r="B444" s="177"/>
      <c r="C444" s="177"/>
      <c r="D444" s="161"/>
      <c r="E444" s="161"/>
      <c r="F444" s="162"/>
      <c r="G444" s="161"/>
      <c r="H444" s="163"/>
      <c r="I444" s="163"/>
      <c r="J444" s="162"/>
      <c r="K444" s="162"/>
      <c r="L444" s="163"/>
      <c r="M444" s="161"/>
      <c r="N444" s="161"/>
      <c r="O444" s="161"/>
      <c r="P444" s="162"/>
    </row>
    <row r="445" spans="1:16" ht="33.75">
      <c r="A445" s="184" t="s">
        <v>335</v>
      </c>
      <c r="B445" s="177"/>
      <c r="C445" s="177"/>
      <c r="D445" s="161"/>
      <c r="E445" s="161"/>
      <c r="F445" s="162"/>
      <c r="G445" s="161"/>
      <c r="H445" s="163">
        <v>1</v>
      </c>
      <c r="I445" s="163"/>
      <c r="J445" s="186">
        <f>H445+G445</f>
        <v>1</v>
      </c>
      <c r="K445" s="162"/>
      <c r="L445" s="163"/>
      <c r="M445" s="161"/>
      <c r="N445" s="161"/>
      <c r="O445" s="161"/>
      <c r="P445" s="162"/>
    </row>
    <row r="446" spans="1:16" ht="11.25">
      <c r="A446" s="185" t="s">
        <v>336</v>
      </c>
      <c r="B446" s="177"/>
      <c r="C446" s="177"/>
      <c r="D446" s="161"/>
      <c r="E446" s="161"/>
      <c r="F446" s="162"/>
      <c r="G446" s="161"/>
      <c r="H446" s="163"/>
      <c r="I446" s="163"/>
      <c r="J446" s="162"/>
      <c r="K446" s="162"/>
      <c r="L446" s="163"/>
      <c r="M446" s="161"/>
      <c r="N446" s="161"/>
      <c r="O446" s="161"/>
      <c r="P446" s="162"/>
    </row>
    <row r="447" spans="1:16" ht="33.75">
      <c r="A447" s="184" t="s">
        <v>337</v>
      </c>
      <c r="B447" s="177"/>
      <c r="C447" s="177"/>
      <c r="D447" s="161"/>
      <c r="E447" s="161"/>
      <c r="F447" s="162"/>
      <c r="G447" s="161"/>
      <c r="H447" s="162">
        <v>199000</v>
      </c>
      <c r="I447" s="162"/>
      <c r="J447" s="162">
        <f>G447+H447</f>
        <v>199000</v>
      </c>
      <c r="K447" s="162"/>
      <c r="L447" s="163"/>
      <c r="M447" s="161"/>
      <c r="N447" s="161"/>
      <c r="O447" s="161"/>
      <c r="P447" s="162"/>
    </row>
    <row r="448" spans="1:16" ht="11.25">
      <c r="A448" s="185" t="s">
        <v>338</v>
      </c>
      <c r="B448" s="177"/>
      <c r="C448" s="177"/>
      <c r="D448" s="161"/>
      <c r="E448" s="161"/>
      <c r="F448" s="162"/>
      <c r="G448" s="161"/>
      <c r="H448" s="162"/>
      <c r="I448" s="162"/>
      <c r="J448" s="162"/>
      <c r="K448" s="162"/>
      <c r="L448" s="163"/>
      <c r="M448" s="161"/>
      <c r="N448" s="161"/>
      <c r="O448" s="161"/>
      <c r="P448" s="162"/>
    </row>
    <row r="449" spans="1:16" ht="37.5" customHeight="1">
      <c r="A449" s="184" t="s">
        <v>339</v>
      </c>
      <c r="B449" s="177"/>
      <c r="C449" s="177"/>
      <c r="D449" s="161"/>
      <c r="E449" s="161"/>
      <c r="F449" s="162"/>
      <c r="G449" s="161"/>
      <c r="H449" s="162">
        <v>199000</v>
      </c>
      <c r="I449" s="162"/>
      <c r="J449" s="162">
        <f>G449+H449</f>
        <v>199000</v>
      </c>
      <c r="K449" s="162"/>
      <c r="L449" s="163"/>
      <c r="M449" s="161"/>
      <c r="N449" s="161"/>
      <c r="O449" s="161"/>
      <c r="P449" s="162"/>
    </row>
    <row r="450" spans="1:16" ht="16.5" customHeight="1">
      <c r="A450" s="24">
        <v>100302</v>
      </c>
      <c r="B450" s="25"/>
      <c r="C450" s="25"/>
      <c r="D450" s="101">
        <f>D451</f>
        <v>2172800</v>
      </c>
      <c r="E450" s="101">
        <f>E459</f>
        <v>13000</v>
      </c>
      <c r="F450" s="101">
        <f>D450+E450</f>
        <v>2185800</v>
      </c>
      <c r="G450" s="101">
        <f>G451</f>
        <v>400000</v>
      </c>
      <c r="H450" s="101"/>
      <c r="I450" s="101">
        <f>I451</f>
        <v>0</v>
      </c>
      <c r="J450" s="245">
        <f>G450</f>
        <v>400000</v>
      </c>
      <c r="K450" s="101" t="e">
        <f>#REF!+K451</f>
        <v>#REF!</v>
      </c>
      <c r="L450" s="101" t="e">
        <f>#REF!+L451</f>
        <v>#REF!</v>
      </c>
      <c r="M450" s="101" t="e">
        <f>#REF!+M451</f>
        <v>#REF!</v>
      </c>
      <c r="N450" s="101">
        <f>N451</f>
        <v>300000</v>
      </c>
      <c r="O450" s="101"/>
      <c r="P450" s="101">
        <f>N450</f>
        <v>300000</v>
      </c>
    </row>
    <row r="451" spans="1:235" s="191" customFormat="1" ht="29.25" customHeight="1">
      <c r="A451" s="178" t="s">
        <v>368</v>
      </c>
      <c r="B451" s="187"/>
      <c r="C451" s="187"/>
      <c r="D451" s="189">
        <f>D454</f>
        <v>2172800</v>
      </c>
      <c r="E451" s="189"/>
      <c r="F451" s="189">
        <f>D451</f>
        <v>2172800</v>
      </c>
      <c r="G451" s="189">
        <f>G454</f>
        <v>400000</v>
      </c>
      <c r="H451" s="189"/>
      <c r="I451" s="189">
        <f>I454</f>
        <v>0</v>
      </c>
      <c r="J451" s="236">
        <f>G451</f>
        <v>400000</v>
      </c>
      <c r="K451" s="189"/>
      <c r="L451" s="189"/>
      <c r="M451" s="189"/>
      <c r="N451" s="189">
        <f>N454</f>
        <v>300000</v>
      </c>
      <c r="O451" s="189"/>
      <c r="P451" s="189">
        <f>N451</f>
        <v>300000</v>
      </c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  <c r="AA451" s="190"/>
      <c r="AB451" s="190"/>
      <c r="AC451" s="190"/>
      <c r="AD451" s="190"/>
      <c r="AE451" s="190"/>
      <c r="AF451" s="190"/>
      <c r="AG451" s="190"/>
      <c r="AH451" s="190"/>
      <c r="AI451" s="190"/>
      <c r="AJ451" s="190"/>
      <c r="AK451" s="190"/>
      <c r="AL451" s="190"/>
      <c r="AM451" s="190"/>
      <c r="AN451" s="190"/>
      <c r="AO451" s="190"/>
      <c r="AP451" s="190"/>
      <c r="AQ451" s="190"/>
      <c r="AR451" s="190"/>
      <c r="AS451" s="190"/>
      <c r="AT451" s="190"/>
      <c r="AU451" s="190"/>
      <c r="AV451" s="190"/>
      <c r="AW451" s="190"/>
      <c r="AX451" s="190"/>
      <c r="AY451" s="190"/>
      <c r="AZ451" s="190"/>
      <c r="BA451" s="190"/>
      <c r="BB451" s="190"/>
      <c r="BC451" s="190"/>
      <c r="BD451" s="190"/>
      <c r="BE451" s="190"/>
      <c r="BF451" s="190"/>
      <c r="BG451" s="190"/>
      <c r="BH451" s="190"/>
      <c r="BI451" s="190"/>
      <c r="BJ451" s="190"/>
      <c r="BK451" s="190"/>
      <c r="BL451" s="190"/>
      <c r="BM451" s="190"/>
      <c r="BN451" s="190"/>
      <c r="BO451" s="190"/>
      <c r="BP451" s="190"/>
      <c r="BQ451" s="190"/>
      <c r="BR451" s="190"/>
      <c r="BS451" s="190"/>
      <c r="BT451" s="190"/>
      <c r="BU451" s="190"/>
      <c r="BV451" s="190"/>
      <c r="BW451" s="190"/>
      <c r="BX451" s="190"/>
      <c r="BY451" s="190"/>
      <c r="BZ451" s="190"/>
      <c r="CA451" s="190"/>
      <c r="CB451" s="190"/>
      <c r="CC451" s="190"/>
      <c r="CD451" s="190"/>
      <c r="CE451" s="190"/>
      <c r="CF451" s="190"/>
      <c r="CG451" s="190"/>
      <c r="CH451" s="190"/>
      <c r="CI451" s="190"/>
      <c r="CJ451" s="190"/>
      <c r="CK451" s="190"/>
      <c r="CL451" s="190"/>
      <c r="CM451" s="190"/>
      <c r="CN451" s="190"/>
      <c r="CO451" s="190"/>
      <c r="CP451" s="190"/>
      <c r="CQ451" s="190"/>
      <c r="CR451" s="190"/>
      <c r="CS451" s="190"/>
      <c r="CT451" s="190"/>
      <c r="CU451" s="190"/>
      <c r="CV451" s="190"/>
      <c r="CW451" s="190"/>
      <c r="CX451" s="190"/>
      <c r="CY451" s="190"/>
      <c r="CZ451" s="190"/>
      <c r="DA451" s="190"/>
      <c r="DB451" s="190"/>
      <c r="DC451" s="190"/>
      <c r="DD451" s="190"/>
      <c r="DE451" s="190"/>
      <c r="DF451" s="190"/>
      <c r="DG451" s="190"/>
      <c r="DH451" s="190"/>
      <c r="DI451" s="190"/>
      <c r="DJ451" s="190"/>
      <c r="DK451" s="190"/>
      <c r="DL451" s="190"/>
      <c r="DM451" s="190"/>
      <c r="DN451" s="190"/>
      <c r="DO451" s="190"/>
      <c r="DP451" s="190"/>
      <c r="DQ451" s="190"/>
      <c r="DR451" s="190"/>
      <c r="DS451" s="190"/>
      <c r="DT451" s="190"/>
      <c r="DU451" s="190"/>
      <c r="DV451" s="190"/>
      <c r="DW451" s="190"/>
      <c r="DX451" s="190"/>
      <c r="DY451" s="190"/>
      <c r="DZ451" s="190"/>
      <c r="EA451" s="190"/>
      <c r="EB451" s="190"/>
      <c r="EC451" s="190"/>
      <c r="ED451" s="190"/>
      <c r="EE451" s="190"/>
      <c r="EF451" s="190"/>
      <c r="EG451" s="190"/>
      <c r="EH451" s="190"/>
      <c r="EI451" s="190"/>
      <c r="EJ451" s="190"/>
      <c r="EK451" s="190"/>
      <c r="EL451" s="190"/>
      <c r="EM451" s="190"/>
      <c r="EN451" s="190"/>
      <c r="EO451" s="190"/>
      <c r="EP451" s="190"/>
      <c r="EQ451" s="190"/>
      <c r="ER451" s="190"/>
      <c r="ES451" s="190"/>
      <c r="ET451" s="190"/>
      <c r="EU451" s="190"/>
      <c r="EV451" s="190"/>
      <c r="EW451" s="190"/>
      <c r="EX451" s="190"/>
      <c r="EY451" s="190"/>
      <c r="EZ451" s="190"/>
      <c r="FA451" s="190"/>
      <c r="FB451" s="190"/>
      <c r="FC451" s="190"/>
      <c r="FD451" s="190"/>
      <c r="FE451" s="190"/>
      <c r="FF451" s="190"/>
      <c r="FG451" s="190"/>
      <c r="FH451" s="190"/>
      <c r="FI451" s="190"/>
      <c r="FJ451" s="190"/>
      <c r="FK451" s="190"/>
      <c r="FL451" s="190"/>
      <c r="FM451" s="190"/>
      <c r="FN451" s="190"/>
      <c r="FO451" s="190"/>
      <c r="FP451" s="190"/>
      <c r="FQ451" s="190"/>
      <c r="FR451" s="190"/>
      <c r="FS451" s="190"/>
      <c r="FT451" s="190"/>
      <c r="FU451" s="190"/>
      <c r="FV451" s="190"/>
      <c r="FW451" s="190"/>
      <c r="FX451" s="190"/>
      <c r="FY451" s="190"/>
      <c r="FZ451" s="190"/>
      <c r="GA451" s="190"/>
      <c r="GB451" s="190"/>
      <c r="GC451" s="190"/>
      <c r="GD451" s="190"/>
      <c r="GE451" s="190"/>
      <c r="GF451" s="190"/>
      <c r="GG451" s="190"/>
      <c r="GH451" s="190"/>
      <c r="GI451" s="190"/>
      <c r="GJ451" s="190"/>
      <c r="GK451" s="190"/>
      <c r="GL451" s="190"/>
      <c r="GM451" s="190"/>
      <c r="GN451" s="190"/>
      <c r="GO451" s="190"/>
      <c r="GP451" s="190"/>
      <c r="GQ451" s="190"/>
      <c r="GR451" s="190"/>
      <c r="GS451" s="190"/>
      <c r="GT451" s="190"/>
      <c r="GU451" s="190"/>
      <c r="GV451" s="190"/>
      <c r="GW451" s="190"/>
      <c r="GX451" s="190"/>
      <c r="GY451" s="190"/>
      <c r="GZ451" s="190"/>
      <c r="HA451" s="190"/>
      <c r="HB451" s="190"/>
      <c r="HC451" s="190"/>
      <c r="HD451" s="190"/>
      <c r="HE451" s="190"/>
      <c r="HF451" s="190"/>
      <c r="HG451" s="190"/>
      <c r="HH451" s="190"/>
      <c r="HI451" s="190"/>
      <c r="HJ451" s="190"/>
      <c r="HK451" s="190"/>
      <c r="HL451" s="190"/>
      <c r="HM451" s="190"/>
      <c r="HN451" s="190"/>
      <c r="HO451" s="190"/>
      <c r="HP451" s="190"/>
      <c r="HQ451" s="190"/>
      <c r="HR451" s="190"/>
      <c r="HS451" s="190"/>
      <c r="HT451" s="190"/>
      <c r="HU451" s="190"/>
      <c r="HV451" s="190"/>
      <c r="HW451" s="190"/>
      <c r="HX451" s="190"/>
      <c r="HY451" s="190"/>
      <c r="HZ451" s="190"/>
      <c r="IA451" s="190"/>
    </row>
    <row r="452" spans="1:16" ht="26.25" customHeight="1">
      <c r="A452" s="75" t="s">
        <v>219</v>
      </c>
      <c r="B452" s="8"/>
      <c r="C452" s="8"/>
      <c r="D452" s="96"/>
      <c r="E452" s="96"/>
      <c r="F452" s="96"/>
      <c r="G452" s="96"/>
      <c r="H452" s="96"/>
      <c r="I452" s="96"/>
      <c r="J452" s="96"/>
      <c r="K452" s="7"/>
      <c r="L452" s="7"/>
      <c r="M452" s="7"/>
      <c r="N452" s="96"/>
      <c r="O452" s="96"/>
      <c r="P452" s="96"/>
    </row>
    <row r="453" spans="1:16" ht="11.25">
      <c r="A453" s="31" t="s">
        <v>4</v>
      </c>
      <c r="B453" s="8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35.25" customHeight="1">
      <c r="A454" s="91" t="s">
        <v>281</v>
      </c>
      <c r="B454" s="105"/>
      <c r="C454" s="105"/>
      <c r="D454" s="108">
        <f>458700+125100+1589000</f>
        <v>2172800</v>
      </c>
      <c r="E454" s="108"/>
      <c r="F454" s="108">
        <f>D454</f>
        <v>2172800</v>
      </c>
      <c r="G454" s="7">
        <f>300000+100000</f>
        <v>400000</v>
      </c>
      <c r="H454" s="7"/>
      <c r="I454" s="7"/>
      <c r="J454" s="7">
        <f>G454</f>
        <v>400000</v>
      </c>
      <c r="K454" s="7"/>
      <c r="L454" s="7"/>
      <c r="M454" s="7"/>
      <c r="N454" s="7">
        <v>300000</v>
      </c>
      <c r="O454" s="7"/>
      <c r="P454" s="7">
        <f>N454</f>
        <v>300000</v>
      </c>
    </row>
    <row r="455" spans="1:16" ht="11.25">
      <c r="A455" s="90" t="s">
        <v>5</v>
      </c>
      <c r="B455" s="105"/>
      <c r="C455" s="105"/>
      <c r="D455" s="108"/>
      <c r="E455" s="108"/>
      <c r="F455" s="108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27" customHeight="1">
      <c r="A456" s="91" t="s">
        <v>250</v>
      </c>
      <c r="B456" s="105"/>
      <c r="C456" s="105"/>
      <c r="D456" s="106">
        <v>3</v>
      </c>
      <c r="E456" s="108"/>
      <c r="F456" s="106">
        <f>D456</f>
        <v>3</v>
      </c>
      <c r="G456" s="10">
        <v>3</v>
      </c>
      <c r="H456" s="10"/>
      <c r="I456" s="10"/>
      <c r="J456" s="10">
        <f>G456</f>
        <v>3</v>
      </c>
      <c r="K456" s="10"/>
      <c r="L456" s="10"/>
      <c r="M456" s="10"/>
      <c r="N456" s="10">
        <v>2</v>
      </c>
      <c r="O456" s="10"/>
      <c r="P456" s="10">
        <f>N456</f>
        <v>2</v>
      </c>
    </row>
    <row r="457" spans="1:16" ht="11.25">
      <c r="A457" s="90" t="s">
        <v>7</v>
      </c>
      <c r="B457" s="105"/>
      <c r="C457" s="105"/>
      <c r="D457" s="108"/>
      <c r="E457" s="108"/>
      <c r="F457" s="108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24.75" customHeight="1">
      <c r="A458" s="32" t="s">
        <v>222</v>
      </c>
      <c r="B458" s="8"/>
      <c r="C458" s="8"/>
      <c r="D458" s="108">
        <f>D454/D456</f>
        <v>724266.6666666666</v>
      </c>
      <c r="E458" s="108"/>
      <c r="F458" s="108">
        <f>F454/F456</f>
        <v>724266.6666666666</v>
      </c>
      <c r="G458" s="7">
        <f>G454/G456</f>
        <v>133333.33333333334</v>
      </c>
      <c r="H458" s="7"/>
      <c r="I458" s="7"/>
      <c r="J458" s="7">
        <f>J454/J456</f>
        <v>133333.33333333334</v>
      </c>
      <c r="K458" s="7"/>
      <c r="L458" s="7"/>
      <c r="M458" s="7"/>
      <c r="N458" s="7">
        <f>N454/N456</f>
        <v>150000</v>
      </c>
      <c r="O458" s="7"/>
      <c r="P458" s="7">
        <f>P454/P456</f>
        <v>150000</v>
      </c>
    </row>
    <row r="459" spans="1:235" s="191" customFormat="1" ht="33.75">
      <c r="A459" s="178" t="s">
        <v>369</v>
      </c>
      <c r="B459" s="187"/>
      <c r="C459" s="187"/>
      <c r="D459" s="189" t="str">
        <f>D461</f>
        <v> </v>
      </c>
      <c r="E459" s="189">
        <f>E461</f>
        <v>13000</v>
      </c>
      <c r="F459" s="189">
        <f>E459</f>
        <v>13000</v>
      </c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0"/>
      <c r="AT459" s="190"/>
      <c r="AU459" s="190"/>
      <c r="AV459" s="190"/>
      <c r="AW459" s="190"/>
      <c r="AX459" s="190"/>
      <c r="AY459" s="190"/>
      <c r="AZ459" s="190"/>
      <c r="BA459" s="190"/>
      <c r="BB459" s="190"/>
      <c r="BC459" s="190"/>
      <c r="BD459" s="190"/>
      <c r="BE459" s="190"/>
      <c r="BF459" s="190"/>
      <c r="BG459" s="190"/>
      <c r="BH459" s="190"/>
      <c r="BI459" s="190"/>
      <c r="BJ459" s="190"/>
      <c r="BK459" s="190"/>
      <c r="BL459" s="190"/>
      <c r="BM459" s="190"/>
      <c r="BN459" s="190"/>
      <c r="BO459" s="190"/>
      <c r="BP459" s="190"/>
      <c r="BQ459" s="190"/>
      <c r="BR459" s="190"/>
      <c r="BS459" s="190"/>
      <c r="BT459" s="190"/>
      <c r="BU459" s="190"/>
      <c r="BV459" s="190"/>
      <c r="BW459" s="190"/>
      <c r="BX459" s="190"/>
      <c r="BY459" s="190"/>
      <c r="BZ459" s="190"/>
      <c r="CA459" s="190"/>
      <c r="CB459" s="190"/>
      <c r="CC459" s="190"/>
      <c r="CD459" s="190"/>
      <c r="CE459" s="190"/>
      <c r="CF459" s="190"/>
      <c r="CG459" s="190"/>
      <c r="CH459" s="190"/>
      <c r="CI459" s="190"/>
      <c r="CJ459" s="190"/>
      <c r="CK459" s="190"/>
      <c r="CL459" s="190"/>
      <c r="CM459" s="190"/>
      <c r="CN459" s="190"/>
      <c r="CO459" s="190"/>
      <c r="CP459" s="190"/>
      <c r="CQ459" s="190"/>
      <c r="CR459" s="190"/>
      <c r="CS459" s="190"/>
      <c r="CT459" s="190"/>
      <c r="CU459" s="190"/>
      <c r="CV459" s="190"/>
      <c r="CW459" s="190"/>
      <c r="CX459" s="190"/>
      <c r="CY459" s="190"/>
      <c r="CZ459" s="190"/>
      <c r="DA459" s="190"/>
      <c r="DB459" s="190"/>
      <c r="DC459" s="190"/>
      <c r="DD459" s="190"/>
      <c r="DE459" s="190"/>
      <c r="DF459" s="190"/>
      <c r="DG459" s="190"/>
      <c r="DH459" s="190"/>
      <c r="DI459" s="190"/>
      <c r="DJ459" s="190"/>
      <c r="DK459" s="190"/>
      <c r="DL459" s="190"/>
      <c r="DM459" s="190"/>
      <c r="DN459" s="190"/>
      <c r="DO459" s="190"/>
      <c r="DP459" s="190"/>
      <c r="DQ459" s="190"/>
      <c r="DR459" s="190"/>
      <c r="DS459" s="190"/>
      <c r="DT459" s="190"/>
      <c r="DU459" s="190"/>
      <c r="DV459" s="190"/>
      <c r="DW459" s="190"/>
      <c r="DX459" s="190"/>
      <c r="DY459" s="190"/>
      <c r="DZ459" s="190"/>
      <c r="EA459" s="190"/>
      <c r="EB459" s="190"/>
      <c r="EC459" s="190"/>
      <c r="ED459" s="190"/>
      <c r="EE459" s="190"/>
      <c r="EF459" s="190"/>
      <c r="EG459" s="190"/>
      <c r="EH459" s="190"/>
      <c r="EI459" s="190"/>
      <c r="EJ459" s="190"/>
      <c r="EK459" s="190"/>
      <c r="EL459" s="190"/>
      <c r="EM459" s="190"/>
      <c r="EN459" s="190"/>
      <c r="EO459" s="190"/>
      <c r="EP459" s="190"/>
      <c r="EQ459" s="190"/>
      <c r="ER459" s="190"/>
      <c r="ES459" s="190"/>
      <c r="ET459" s="190"/>
      <c r="EU459" s="190"/>
      <c r="EV459" s="190"/>
      <c r="EW459" s="190"/>
      <c r="EX459" s="190"/>
      <c r="EY459" s="190"/>
      <c r="EZ459" s="190"/>
      <c r="FA459" s="190"/>
      <c r="FB459" s="190"/>
      <c r="FC459" s="190"/>
      <c r="FD459" s="190"/>
      <c r="FE459" s="190"/>
      <c r="FF459" s="190"/>
      <c r="FG459" s="190"/>
      <c r="FH459" s="190"/>
      <c r="FI459" s="190"/>
      <c r="FJ459" s="190"/>
      <c r="FK459" s="190"/>
      <c r="FL459" s="190"/>
      <c r="FM459" s="190"/>
      <c r="FN459" s="190"/>
      <c r="FO459" s="190"/>
      <c r="FP459" s="190"/>
      <c r="FQ459" s="190"/>
      <c r="FR459" s="190"/>
      <c r="FS459" s="190"/>
      <c r="FT459" s="190"/>
      <c r="FU459" s="190"/>
      <c r="FV459" s="190"/>
      <c r="FW459" s="190"/>
      <c r="FX459" s="190"/>
      <c r="FY459" s="190"/>
      <c r="FZ459" s="190"/>
      <c r="GA459" s="190"/>
      <c r="GB459" s="190"/>
      <c r="GC459" s="190"/>
      <c r="GD459" s="190"/>
      <c r="GE459" s="190"/>
      <c r="GF459" s="190"/>
      <c r="GG459" s="190"/>
      <c r="GH459" s="190"/>
      <c r="GI459" s="190"/>
      <c r="GJ459" s="190"/>
      <c r="GK459" s="190"/>
      <c r="GL459" s="190"/>
      <c r="GM459" s="190"/>
      <c r="GN459" s="190"/>
      <c r="GO459" s="190"/>
      <c r="GP459" s="190"/>
      <c r="GQ459" s="190"/>
      <c r="GR459" s="190"/>
      <c r="GS459" s="190"/>
      <c r="GT459" s="190"/>
      <c r="GU459" s="190"/>
      <c r="GV459" s="190"/>
      <c r="GW459" s="190"/>
      <c r="GX459" s="190"/>
      <c r="GY459" s="190"/>
      <c r="GZ459" s="190"/>
      <c r="HA459" s="190"/>
      <c r="HB459" s="190"/>
      <c r="HC459" s="190"/>
      <c r="HD459" s="190"/>
      <c r="HE459" s="190"/>
      <c r="HF459" s="190"/>
      <c r="HG459" s="190"/>
      <c r="HH459" s="190"/>
      <c r="HI459" s="190"/>
      <c r="HJ459" s="190"/>
      <c r="HK459" s="190"/>
      <c r="HL459" s="190"/>
      <c r="HM459" s="190"/>
      <c r="HN459" s="190"/>
      <c r="HO459" s="190"/>
      <c r="HP459" s="190"/>
      <c r="HQ459" s="190"/>
      <c r="HR459" s="190"/>
      <c r="HS459" s="190"/>
      <c r="HT459" s="190"/>
      <c r="HU459" s="190"/>
      <c r="HV459" s="190"/>
      <c r="HW459" s="190"/>
      <c r="HX459" s="190"/>
      <c r="HY459" s="190"/>
      <c r="HZ459" s="190"/>
      <c r="IA459" s="190"/>
    </row>
    <row r="460" spans="1:16" ht="11.25">
      <c r="A460" s="90" t="s">
        <v>4</v>
      </c>
      <c r="B460" s="8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91" t="s">
        <v>63</v>
      </c>
      <c r="B461" s="8"/>
      <c r="C461" s="8"/>
      <c r="D461" s="7" t="s">
        <v>282</v>
      </c>
      <c r="E461" s="7">
        <v>13000</v>
      </c>
      <c r="F461" s="7">
        <f>E461</f>
        <v>13000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1.25">
      <c r="A462" s="90" t="s">
        <v>5</v>
      </c>
      <c r="B462" s="8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41.25" customHeight="1">
      <c r="A463" s="91" t="s">
        <v>271</v>
      </c>
      <c r="B463" s="8"/>
      <c r="C463" s="8"/>
      <c r="D463" s="7" t="s">
        <v>282</v>
      </c>
      <c r="E463" s="7">
        <v>1</v>
      </c>
      <c r="F463" s="7">
        <f>E463</f>
        <v>1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1.25">
      <c r="A464" s="90" t="s">
        <v>7</v>
      </c>
      <c r="B464" s="8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35.25" customHeight="1">
      <c r="A465" s="91" t="s">
        <v>272</v>
      </c>
      <c r="B465" s="8"/>
      <c r="C465" s="8"/>
      <c r="D465" s="7" t="s">
        <v>282</v>
      </c>
      <c r="E465" s="7">
        <v>13000</v>
      </c>
      <c r="F465" s="7">
        <f>E465</f>
        <v>13000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" customHeight="1">
      <c r="A466" s="24">
        <v>100202</v>
      </c>
      <c r="B466" s="8"/>
      <c r="C466" s="8"/>
      <c r="D466" s="37">
        <f>D468+D475+D482+D491+D498</f>
        <v>2702500</v>
      </c>
      <c r="E466" s="37"/>
      <c r="F466" s="37">
        <f>D466</f>
        <v>2702500</v>
      </c>
      <c r="G466" s="37">
        <f>G468+G475+G491+G505+G512+G482+G498+G519</f>
        <v>2470200</v>
      </c>
      <c r="H466" s="37">
        <f>H468+H475+H491+H505+H512+H482+H498+H519</f>
        <v>4269334</v>
      </c>
      <c r="I466" s="37">
        <f>I468+I475+I491+I505+I512+I482+I498+I519</f>
        <v>0</v>
      </c>
      <c r="J466" s="247">
        <f>G466+H466</f>
        <v>6739534</v>
      </c>
      <c r="K466" s="37"/>
      <c r="L466" s="37"/>
      <c r="M466" s="37"/>
      <c r="N466" s="37"/>
      <c r="O466" s="37"/>
      <c r="P466" s="37"/>
    </row>
    <row r="467" spans="1:16" ht="23.25" customHeight="1">
      <c r="A467" s="32" t="s">
        <v>220</v>
      </c>
      <c r="B467" s="8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235" s="191" customFormat="1" ht="27.75" customHeight="1">
      <c r="A468" s="178" t="s">
        <v>370</v>
      </c>
      <c r="B468" s="187"/>
      <c r="C468" s="187"/>
      <c r="D468" s="188">
        <f>D470</f>
        <v>2200000</v>
      </c>
      <c r="E468" s="189"/>
      <c r="F468" s="189">
        <f>D468</f>
        <v>2200000</v>
      </c>
      <c r="G468" s="189">
        <f>G470</f>
        <v>2100000</v>
      </c>
      <c r="H468" s="189"/>
      <c r="I468" s="189"/>
      <c r="J468" s="236">
        <f>G468</f>
        <v>2100000</v>
      </c>
      <c r="K468" s="189"/>
      <c r="L468" s="189"/>
      <c r="M468" s="189"/>
      <c r="N468" s="189"/>
      <c r="O468" s="189"/>
      <c r="P468" s="189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  <c r="AA468" s="190"/>
      <c r="AB468" s="190"/>
      <c r="AC468" s="190"/>
      <c r="AD468" s="190"/>
      <c r="AE468" s="190"/>
      <c r="AF468" s="190"/>
      <c r="AG468" s="190"/>
      <c r="AH468" s="190"/>
      <c r="AI468" s="190"/>
      <c r="AJ468" s="190"/>
      <c r="AK468" s="190"/>
      <c r="AL468" s="190"/>
      <c r="AM468" s="190"/>
      <c r="AN468" s="190"/>
      <c r="AO468" s="190"/>
      <c r="AP468" s="190"/>
      <c r="AQ468" s="190"/>
      <c r="AR468" s="190"/>
      <c r="AS468" s="190"/>
      <c r="AT468" s="190"/>
      <c r="AU468" s="190"/>
      <c r="AV468" s="190"/>
      <c r="AW468" s="190"/>
      <c r="AX468" s="190"/>
      <c r="AY468" s="190"/>
      <c r="AZ468" s="190"/>
      <c r="BA468" s="190"/>
      <c r="BB468" s="190"/>
      <c r="BC468" s="190"/>
      <c r="BD468" s="190"/>
      <c r="BE468" s="190"/>
      <c r="BF468" s="190"/>
      <c r="BG468" s="190"/>
      <c r="BH468" s="190"/>
      <c r="BI468" s="190"/>
      <c r="BJ468" s="190"/>
      <c r="BK468" s="190"/>
      <c r="BL468" s="190"/>
      <c r="BM468" s="190"/>
      <c r="BN468" s="190"/>
      <c r="BO468" s="190"/>
      <c r="BP468" s="190"/>
      <c r="BQ468" s="190"/>
      <c r="BR468" s="190"/>
      <c r="BS468" s="190"/>
      <c r="BT468" s="190"/>
      <c r="BU468" s="190"/>
      <c r="BV468" s="190"/>
      <c r="BW468" s="190"/>
      <c r="BX468" s="190"/>
      <c r="BY468" s="190"/>
      <c r="BZ468" s="190"/>
      <c r="CA468" s="190"/>
      <c r="CB468" s="190"/>
      <c r="CC468" s="190"/>
      <c r="CD468" s="190"/>
      <c r="CE468" s="190"/>
      <c r="CF468" s="190"/>
      <c r="CG468" s="190"/>
      <c r="CH468" s="190"/>
      <c r="CI468" s="190"/>
      <c r="CJ468" s="190"/>
      <c r="CK468" s="190"/>
      <c r="CL468" s="190"/>
      <c r="CM468" s="190"/>
      <c r="CN468" s="190"/>
      <c r="CO468" s="190"/>
      <c r="CP468" s="190"/>
      <c r="CQ468" s="190"/>
      <c r="CR468" s="190"/>
      <c r="CS468" s="190"/>
      <c r="CT468" s="190"/>
      <c r="CU468" s="190"/>
      <c r="CV468" s="190"/>
      <c r="CW468" s="190"/>
      <c r="CX468" s="190"/>
      <c r="CY468" s="190"/>
      <c r="CZ468" s="190"/>
      <c r="DA468" s="190"/>
      <c r="DB468" s="190"/>
      <c r="DC468" s="190"/>
      <c r="DD468" s="190"/>
      <c r="DE468" s="190"/>
      <c r="DF468" s="190"/>
      <c r="DG468" s="190"/>
      <c r="DH468" s="190"/>
      <c r="DI468" s="190"/>
      <c r="DJ468" s="190"/>
      <c r="DK468" s="190"/>
      <c r="DL468" s="190"/>
      <c r="DM468" s="190"/>
      <c r="DN468" s="190"/>
      <c r="DO468" s="190"/>
      <c r="DP468" s="190"/>
      <c r="DQ468" s="190"/>
      <c r="DR468" s="190"/>
      <c r="DS468" s="190"/>
      <c r="DT468" s="190"/>
      <c r="DU468" s="190"/>
      <c r="DV468" s="190"/>
      <c r="DW468" s="190"/>
      <c r="DX468" s="190"/>
      <c r="DY468" s="190"/>
      <c r="DZ468" s="190"/>
      <c r="EA468" s="190"/>
      <c r="EB468" s="190"/>
      <c r="EC468" s="190"/>
      <c r="ED468" s="190"/>
      <c r="EE468" s="190"/>
      <c r="EF468" s="190"/>
      <c r="EG468" s="190"/>
      <c r="EH468" s="190"/>
      <c r="EI468" s="190"/>
      <c r="EJ468" s="190"/>
      <c r="EK468" s="190"/>
      <c r="EL468" s="190"/>
      <c r="EM468" s="190"/>
      <c r="EN468" s="190"/>
      <c r="EO468" s="190"/>
      <c r="EP468" s="190"/>
      <c r="EQ468" s="190"/>
      <c r="ER468" s="190"/>
      <c r="ES468" s="190"/>
      <c r="ET468" s="190"/>
      <c r="EU468" s="190"/>
      <c r="EV468" s="190"/>
      <c r="EW468" s="190"/>
      <c r="EX468" s="190"/>
      <c r="EY468" s="190"/>
      <c r="EZ468" s="190"/>
      <c r="FA468" s="190"/>
      <c r="FB468" s="190"/>
      <c r="FC468" s="190"/>
      <c r="FD468" s="190"/>
      <c r="FE468" s="190"/>
      <c r="FF468" s="190"/>
      <c r="FG468" s="190"/>
      <c r="FH468" s="190"/>
      <c r="FI468" s="190"/>
      <c r="FJ468" s="190"/>
      <c r="FK468" s="190"/>
      <c r="FL468" s="190"/>
      <c r="FM468" s="190"/>
      <c r="FN468" s="190"/>
      <c r="FO468" s="190"/>
      <c r="FP468" s="190"/>
      <c r="FQ468" s="190"/>
      <c r="FR468" s="190"/>
      <c r="FS468" s="190"/>
      <c r="FT468" s="190"/>
      <c r="FU468" s="190"/>
      <c r="FV468" s="190"/>
      <c r="FW468" s="190"/>
      <c r="FX468" s="190"/>
      <c r="FY468" s="190"/>
      <c r="FZ468" s="190"/>
      <c r="GA468" s="190"/>
      <c r="GB468" s="190"/>
      <c r="GC468" s="190"/>
      <c r="GD468" s="190"/>
      <c r="GE468" s="190"/>
      <c r="GF468" s="190"/>
      <c r="GG468" s="190"/>
      <c r="GH468" s="190"/>
      <c r="GI468" s="190"/>
      <c r="GJ468" s="190"/>
      <c r="GK468" s="190"/>
      <c r="GL468" s="190"/>
      <c r="GM468" s="190"/>
      <c r="GN468" s="190"/>
      <c r="GO468" s="190"/>
      <c r="GP468" s="190"/>
      <c r="GQ468" s="190"/>
      <c r="GR468" s="190"/>
      <c r="GS468" s="190"/>
      <c r="GT468" s="190"/>
      <c r="GU468" s="190"/>
      <c r="GV468" s="190"/>
      <c r="GW468" s="190"/>
      <c r="GX468" s="190"/>
      <c r="GY468" s="190"/>
      <c r="GZ468" s="190"/>
      <c r="HA468" s="190"/>
      <c r="HB468" s="190"/>
      <c r="HC468" s="190"/>
      <c r="HD468" s="190"/>
      <c r="HE468" s="190"/>
      <c r="HF468" s="190"/>
      <c r="HG468" s="190"/>
      <c r="HH468" s="190"/>
      <c r="HI468" s="190"/>
      <c r="HJ468" s="190"/>
      <c r="HK468" s="190"/>
      <c r="HL468" s="190"/>
      <c r="HM468" s="190"/>
      <c r="HN468" s="190"/>
      <c r="HO468" s="190"/>
      <c r="HP468" s="190"/>
      <c r="HQ468" s="190"/>
      <c r="HR468" s="190"/>
      <c r="HS468" s="190"/>
      <c r="HT468" s="190"/>
      <c r="HU468" s="190"/>
      <c r="HV468" s="190"/>
      <c r="HW468" s="190"/>
      <c r="HX468" s="190"/>
      <c r="HY468" s="190"/>
      <c r="HZ468" s="190"/>
      <c r="IA468" s="190"/>
    </row>
    <row r="469" spans="1:16" ht="12" customHeight="1">
      <c r="A469" s="31" t="s">
        <v>4</v>
      </c>
      <c r="B469" s="8"/>
      <c r="C469" s="8"/>
      <c r="D469" s="1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32" t="s">
        <v>63</v>
      </c>
      <c r="B470" s="8"/>
      <c r="C470" s="8"/>
      <c r="D470" s="19">
        <v>2200000</v>
      </c>
      <c r="E470" s="7"/>
      <c r="F470" s="7">
        <f>D470</f>
        <v>2200000</v>
      </c>
      <c r="G470" s="7">
        <f>1600000+500000</f>
        <v>2100000</v>
      </c>
      <c r="H470" s="7"/>
      <c r="I470" s="7"/>
      <c r="J470" s="7">
        <f>G470</f>
        <v>2100000</v>
      </c>
      <c r="K470" s="7"/>
      <c r="L470" s="7"/>
      <c r="M470" s="7"/>
      <c r="N470" s="7"/>
      <c r="O470" s="7"/>
      <c r="P470" s="7"/>
    </row>
    <row r="471" spans="1:16" ht="12" customHeight="1">
      <c r="A471" s="31" t="s">
        <v>5</v>
      </c>
      <c r="B471" s="8"/>
      <c r="C471" s="8"/>
      <c r="D471" s="19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3" customHeight="1">
      <c r="A472" s="32" t="s">
        <v>64</v>
      </c>
      <c r="B472" s="8"/>
      <c r="C472" s="8"/>
      <c r="D472" s="19">
        <v>1</v>
      </c>
      <c r="E472" s="7"/>
      <c r="F472" s="7">
        <v>1</v>
      </c>
      <c r="G472" s="10">
        <v>1</v>
      </c>
      <c r="H472" s="10"/>
      <c r="I472" s="10"/>
      <c r="J472" s="10">
        <v>1</v>
      </c>
      <c r="K472" s="10"/>
      <c r="L472" s="10"/>
      <c r="M472" s="10"/>
      <c r="N472" s="10"/>
      <c r="O472" s="10"/>
      <c r="P472" s="10"/>
    </row>
    <row r="473" spans="1:16" ht="11.25">
      <c r="A473" s="31" t="s">
        <v>7</v>
      </c>
      <c r="B473" s="8"/>
      <c r="C473" s="8"/>
      <c r="D473" s="19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21" customHeight="1">
      <c r="A474" s="32" t="s">
        <v>222</v>
      </c>
      <c r="B474" s="8"/>
      <c r="C474" s="8"/>
      <c r="D474" s="19">
        <f>D470/D472</f>
        <v>2200000</v>
      </c>
      <c r="E474" s="7"/>
      <c r="F474" s="7">
        <f>D474</f>
        <v>2200000</v>
      </c>
      <c r="G474" s="7">
        <f>G468/G472</f>
        <v>2100000</v>
      </c>
      <c r="H474" s="7"/>
      <c r="I474" s="7"/>
      <c r="J474" s="7">
        <f>G474</f>
        <v>2100000</v>
      </c>
      <c r="K474" s="7"/>
      <c r="L474" s="7"/>
      <c r="M474" s="7"/>
      <c r="N474" s="7"/>
      <c r="O474" s="7"/>
      <c r="P474" s="7"/>
    </row>
    <row r="475" spans="1:235" s="191" customFormat="1" ht="25.5" customHeight="1">
      <c r="A475" s="178" t="s">
        <v>371</v>
      </c>
      <c r="B475" s="187"/>
      <c r="C475" s="187"/>
      <c r="D475" s="188"/>
      <c r="E475" s="189"/>
      <c r="F475" s="189"/>
      <c r="G475" s="188">
        <f>G477</f>
        <v>120000</v>
      </c>
      <c r="H475" s="189"/>
      <c r="I475" s="189"/>
      <c r="J475" s="236">
        <f>G475</f>
        <v>120000</v>
      </c>
      <c r="K475" s="189"/>
      <c r="L475" s="189"/>
      <c r="M475" s="189"/>
      <c r="N475" s="189"/>
      <c r="O475" s="189"/>
      <c r="P475" s="189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0"/>
      <c r="AT475" s="190"/>
      <c r="AU475" s="190"/>
      <c r="AV475" s="190"/>
      <c r="AW475" s="190"/>
      <c r="AX475" s="190"/>
      <c r="AY475" s="190"/>
      <c r="AZ475" s="190"/>
      <c r="BA475" s="190"/>
      <c r="BB475" s="190"/>
      <c r="BC475" s="190"/>
      <c r="BD475" s="190"/>
      <c r="BE475" s="190"/>
      <c r="BF475" s="190"/>
      <c r="BG475" s="190"/>
      <c r="BH475" s="190"/>
      <c r="BI475" s="190"/>
      <c r="BJ475" s="190"/>
      <c r="BK475" s="190"/>
      <c r="BL475" s="190"/>
      <c r="BM475" s="190"/>
      <c r="BN475" s="190"/>
      <c r="BO475" s="190"/>
      <c r="BP475" s="190"/>
      <c r="BQ475" s="190"/>
      <c r="BR475" s="190"/>
      <c r="BS475" s="190"/>
      <c r="BT475" s="190"/>
      <c r="BU475" s="190"/>
      <c r="BV475" s="190"/>
      <c r="BW475" s="190"/>
      <c r="BX475" s="190"/>
      <c r="BY475" s="190"/>
      <c r="BZ475" s="190"/>
      <c r="CA475" s="190"/>
      <c r="CB475" s="190"/>
      <c r="CC475" s="190"/>
      <c r="CD475" s="190"/>
      <c r="CE475" s="190"/>
      <c r="CF475" s="190"/>
      <c r="CG475" s="190"/>
      <c r="CH475" s="190"/>
      <c r="CI475" s="190"/>
      <c r="CJ475" s="190"/>
      <c r="CK475" s="190"/>
      <c r="CL475" s="190"/>
      <c r="CM475" s="190"/>
      <c r="CN475" s="190"/>
      <c r="CO475" s="190"/>
      <c r="CP475" s="190"/>
      <c r="CQ475" s="190"/>
      <c r="CR475" s="190"/>
      <c r="CS475" s="190"/>
      <c r="CT475" s="190"/>
      <c r="CU475" s="190"/>
      <c r="CV475" s="190"/>
      <c r="CW475" s="190"/>
      <c r="CX475" s="190"/>
      <c r="CY475" s="190"/>
      <c r="CZ475" s="190"/>
      <c r="DA475" s="190"/>
      <c r="DB475" s="190"/>
      <c r="DC475" s="190"/>
      <c r="DD475" s="190"/>
      <c r="DE475" s="190"/>
      <c r="DF475" s="190"/>
      <c r="DG475" s="190"/>
      <c r="DH475" s="190"/>
      <c r="DI475" s="190"/>
      <c r="DJ475" s="190"/>
      <c r="DK475" s="190"/>
      <c r="DL475" s="190"/>
      <c r="DM475" s="190"/>
      <c r="DN475" s="190"/>
      <c r="DO475" s="190"/>
      <c r="DP475" s="190"/>
      <c r="DQ475" s="190"/>
      <c r="DR475" s="190"/>
      <c r="DS475" s="190"/>
      <c r="DT475" s="190"/>
      <c r="DU475" s="190"/>
      <c r="DV475" s="190"/>
      <c r="DW475" s="190"/>
      <c r="DX475" s="190"/>
      <c r="DY475" s="190"/>
      <c r="DZ475" s="190"/>
      <c r="EA475" s="190"/>
      <c r="EB475" s="190"/>
      <c r="EC475" s="190"/>
      <c r="ED475" s="190"/>
      <c r="EE475" s="190"/>
      <c r="EF475" s="190"/>
      <c r="EG475" s="190"/>
      <c r="EH475" s="190"/>
      <c r="EI475" s="190"/>
      <c r="EJ475" s="190"/>
      <c r="EK475" s="190"/>
      <c r="EL475" s="190"/>
      <c r="EM475" s="190"/>
      <c r="EN475" s="190"/>
      <c r="EO475" s="190"/>
      <c r="EP475" s="190"/>
      <c r="EQ475" s="190"/>
      <c r="ER475" s="190"/>
      <c r="ES475" s="190"/>
      <c r="ET475" s="190"/>
      <c r="EU475" s="190"/>
      <c r="EV475" s="190"/>
      <c r="EW475" s="190"/>
      <c r="EX475" s="190"/>
      <c r="EY475" s="190"/>
      <c r="EZ475" s="190"/>
      <c r="FA475" s="190"/>
      <c r="FB475" s="190"/>
      <c r="FC475" s="190"/>
      <c r="FD475" s="190"/>
      <c r="FE475" s="190"/>
      <c r="FF475" s="190"/>
      <c r="FG475" s="190"/>
      <c r="FH475" s="190"/>
      <c r="FI475" s="190"/>
      <c r="FJ475" s="190"/>
      <c r="FK475" s="190"/>
      <c r="FL475" s="190"/>
      <c r="FM475" s="190"/>
      <c r="FN475" s="190"/>
      <c r="FO475" s="190"/>
      <c r="FP475" s="190"/>
      <c r="FQ475" s="190"/>
      <c r="FR475" s="190"/>
      <c r="FS475" s="190"/>
      <c r="FT475" s="190"/>
      <c r="FU475" s="190"/>
      <c r="FV475" s="190"/>
      <c r="FW475" s="190"/>
      <c r="FX475" s="190"/>
      <c r="FY475" s="190"/>
      <c r="FZ475" s="190"/>
      <c r="GA475" s="190"/>
      <c r="GB475" s="190"/>
      <c r="GC475" s="190"/>
      <c r="GD475" s="190"/>
      <c r="GE475" s="190"/>
      <c r="GF475" s="190"/>
      <c r="GG475" s="190"/>
      <c r="GH475" s="190"/>
      <c r="GI475" s="190"/>
      <c r="GJ475" s="190"/>
      <c r="GK475" s="190"/>
      <c r="GL475" s="190"/>
      <c r="GM475" s="190"/>
      <c r="GN475" s="190"/>
      <c r="GO475" s="190"/>
      <c r="GP475" s="190"/>
      <c r="GQ475" s="190"/>
      <c r="GR475" s="190"/>
      <c r="GS475" s="190"/>
      <c r="GT475" s="190"/>
      <c r="GU475" s="190"/>
      <c r="GV475" s="190"/>
      <c r="GW475" s="190"/>
      <c r="GX475" s="190"/>
      <c r="GY475" s="190"/>
      <c r="GZ475" s="190"/>
      <c r="HA475" s="190"/>
      <c r="HB475" s="190"/>
      <c r="HC475" s="190"/>
      <c r="HD475" s="190"/>
      <c r="HE475" s="190"/>
      <c r="HF475" s="190"/>
      <c r="HG475" s="190"/>
      <c r="HH475" s="190"/>
      <c r="HI475" s="190"/>
      <c r="HJ475" s="190"/>
      <c r="HK475" s="190"/>
      <c r="HL475" s="190"/>
      <c r="HM475" s="190"/>
      <c r="HN475" s="190"/>
      <c r="HO475" s="190"/>
      <c r="HP475" s="190"/>
      <c r="HQ475" s="190"/>
      <c r="HR475" s="190"/>
      <c r="HS475" s="190"/>
      <c r="HT475" s="190"/>
      <c r="HU475" s="190"/>
      <c r="HV475" s="190"/>
      <c r="HW475" s="190"/>
      <c r="HX475" s="190"/>
      <c r="HY475" s="190"/>
      <c r="HZ475" s="190"/>
      <c r="IA475" s="190"/>
    </row>
    <row r="476" spans="1:16" ht="11.25">
      <c r="A476" s="31" t="s">
        <v>4</v>
      </c>
      <c r="B476" s="8"/>
      <c r="C476" s="8"/>
      <c r="D476" s="19"/>
      <c r="E476" s="7"/>
      <c r="F476" s="7"/>
      <c r="G476" s="19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4.25" customHeight="1">
      <c r="A477" s="32" t="s">
        <v>63</v>
      </c>
      <c r="B477" s="8"/>
      <c r="C477" s="8"/>
      <c r="D477" s="19"/>
      <c r="E477" s="7"/>
      <c r="F477" s="7"/>
      <c r="G477" s="19">
        <v>120000</v>
      </c>
      <c r="H477" s="7"/>
      <c r="I477" s="7"/>
      <c r="J477" s="7">
        <f>G477</f>
        <v>120000</v>
      </c>
      <c r="K477" s="7"/>
      <c r="L477" s="7"/>
      <c r="M477" s="7"/>
      <c r="N477" s="7"/>
      <c r="O477" s="7"/>
      <c r="P477" s="7"/>
    </row>
    <row r="478" spans="1:16" ht="11.25">
      <c r="A478" s="31" t="s">
        <v>5</v>
      </c>
      <c r="B478" s="8"/>
      <c r="C478" s="8"/>
      <c r="D478" s="19"/>
      <c r="E478" s="7"/>
      <c r="F478" s="7"/>
      <c r="G478" s="19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23.25" customHeight="1">
      <c r="A479" s="32" t="s">
        <v>221</v>
      </c>
      <c r="B479" s="8"/>
      <c r="C479" s="8"/>
      <c r="D479" s="10"/>
      <c r="E479" s="10"/>
      <c r="F479" s="10"/>
      <c r="G479" s="10">
        <v>2</v>
      </c>
      <c r="H479" s="10"/>
      <c r="I479" s="10"/>
      <c r="J479" s="10">
        <v>2</v>
      </c>
      <c r="K479" s="10"/>
      <c r="L479" s="10"/>
      <c r="M479" s="10"/>
      <c r="N479" s="10"/>
      <c r="O479" s="10"/>
      <c r="P479" s="10"/>
    </row>
    <row r="480" spans="1:16" ht="11.25">
      <c r="A480" s="31" t="s">
        <v>7</v>
      </c>
      <c r="B480" s="8"/>
      <c r="C480" s="8"/>
      <c r="D480" s="19"/>
      <c r="E480" s="7"/>
      <c r="F480" s="7"/>
      <c r="G480" s="19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24.75" customHeight="1">
      <c r="A481" s="32" t="s">
        <v>223</v>
      </c>
      <c r="B481" s="8"/>
      <c r="C481" s="8"/>
      <c r="D481" s="19"/>
      <c r="E481" s="7"/>
      <c r="F481" s="7"/>
      <c r="G481" s="19">
        <f>G477/G479</f>
        <v>60000</v>
      </c>
      <c r="H481" s="7"/>
      <c r="I481" s="7"/>
      <c r="J481" s="7">
        <f>G481</f>
        <v>60000</v>
      </c>
      <c r="K481" s="7"/>
      <c r="L481" s="7"/>
      <c r="M481" s="7"/>
      <c r="N481" s="7"/>
      <c r="O481" s="7"/>
      <c r="P481" s="7"/>
    </row>
    <row r="482" spans="1:235" s="191" customFormat="1" ht="11.25">
      <c r="A482" s="178" t="s">
        <v>372</v>
      </c>
      <c r="B482" s="187"/>
      <c r="C482" s="187"/>
      <c r="D482" s="188">
        <f>D484</f>
        <v>150400</v>
      </c>
      <c r="E482" s="189"/>
      <c r="F482" s="189">
        <f>D482</f>
        <v>150400</v>
      </c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  <c r="AS482" s="190"/>
      <c r="AT482" s="190"/>
      <c r="AU482" s="190"/>
      <c r="AV482" s="190"/>
      <c r="AW482" s="190"/>
      <c r="AX482" s="190"/>
      <c r="AY482" s="190"/>
      <c r="AZ482" s="190"/>
      <c r="BA482" s="190"/>
      <c r="BB482" s="190"/>
      <c r="BC482" s="190"/>
      <c r="BD482" s="190"/>
      <c r="BE482" s="190"/>
      <c r="BF482" s="190"/>
      <c r="BG482" s="190"/>
      <c r="BH482" s="190"/>
      <c r="BI482" s="190"/>
      <c r="BJ482" s="190"/>
      <c r="BK482" s="190"/>
      <c r="BL482" s="190"/>
      <c r="BM482" s="190"/>
      <c r="BN482" s="190"/>
      <c r="BO482" s="190"/>
      <c r="BP482" s="190"/>
      <c r="BQ482" s="190"/>
      <c r="BR482" s="190"/>
      <c r="BS482" s="190"/>
      <c r="BT482" s="190"/>
      <c r="BU482" s="190"/>
      <c r="BV482" s="190"/>
      <c r="BW482" s="190"/>
      <c r="BX482" s="190"/>
      <c r="BY482" s="190"/>
      <c r="BZ482" s="190"/>
      <c r="CA482" s="190"/>
      <c r="CB482" s="190"/>
      <c r="CC482" s="190"/>
      <c r="CD482" s="190"/>
      <c r="CE482" s="190"/>
      <c r="CF482" s="190"/>
      <c r="CG482" s="190"/>
      <c r="CH482" s="190"/>
      <c r="CI482" s="190"/>
      <c r="CJ482" s="190"/>
      <c r="CK482" s="190"/>
      <c r="CL482" s="190"/>
      <c r="CM482" s="190"/>
      <c r="CN482" s="190"/>
      <c r="CO482" s="190"/>
      <c r="CP482" s="190"/>
      <c r="CQ482" s="190"/>
      <c r="CR482" s="190"/>
      <c r="CS482" s="190"/>
      <c r="CT482" s="190"/>
      <c r="CU482" s="190"/>
      <c r="CV482" s="190"/>
      <c r="CW482" s="190"/>
      <c r="CX482" s="190"/>
      <c r="CY482" s="190"/>
      <c r="CZ482" s="190"/>
      <c r="DA482" s="190"/>
      <c r="DB482" s="190"/>
      <c r="DC482" s="190"/>
      <c r="DD482" s="190"/>
      <c r="DE482" s="190"/>
      <c r="DF482" s="190"/>
      <c r="DG482" s="190"/>
      <c r="DH482" s="190"/>
      <c r="DI482" s="190"/>
      <c r="DJ482" s="190"/>
      <c r="DK482" s="190"/>
      <c r="DL482" s="190"/>
      <c r="DM482" s="190"/>
      <c r="DN482" s="190"/>
      <c r="DO482" s="190"/>
      <c r="DP482" s="190"/>
      <c r="DQ482" s="190"/>
      <c r="DR482" s="190"/>
      <c r="DS482" s="190"/>
      <c r="DT482" s="190"/>
      <c r="DU482" s="190"/>
      <c r="DV482" s="190"/>
      <c r="DW482" s="190"/>
      <c r="DX482" s="190"/>
      <c r="DY482" s="190"/>
      <c r="DZ482" s="190"/>
      <c r="EA482" s="190"/>
      <c r="EB482" s="190"/>
      <c r="EC482" s="190"/>
      <c r="ED482" s="190"/>
      <c r="EE482" s="190"/>
      <c r="EF482" s="190"/>
      <c r="EG482" s="190"/>
      <c r="EH482" s="190"/>
      <c r="EI482" s="190"/>
      <c r="EJ482" s="190"/>
      <c r="EK482" s="190"/>
      <c r="EL482" s="190"/>
      <c r="EM482" s="190"/>
      <c r="EN482" s="190"/>
      <c r="EO482" s="190"/>
      <c r="EP482" s="190"/>
      <c r="EQ482" s="190"/>
      <c r="ER482" s="190"/>
      <c r="ES482" s="190"/>
      <c r="ET482" s="190"/>
      <c r="EU482" s="190"/>
      <c r="EV482" s="190"/>
      <c r="EW482" s="190"/>
      <c r="EX482" s="190"/>
      <c r="EY482" s="190"/>
      <c r="EZ482" s="190"/>
      <c r="FA482" s="190"/>
      <c r="FB482" s="190"/>
      <c r="FC482" s="190"/>
      <c r="FD482" s="190"/>
      <c r="FE482" s="190"/>
      <c r="FF482" s="190"/>
      <c r="FG482" s="190"/>
      <c r="FH482" s="190"/>
      <c r="FI482" s="190"/>
      <c r="FJ482" s="190"/>
      <c r="FK482" s="190"/>
      <c r="FL482" s="190"/>
      <c r="FM482" s="190"/>
      <c r="FN482" s="190"/>
      <c r="FO482" s="190"/>
      <c r="FP482" s="190"/>
      <c r="FQ482" s="190"/>
      <c r="FR482" s="190"/>
      <c r="FS482" s="190"/>
      <c r="FT482" s="190"/>
      <c r="FU482" s="190"/>
      <c r="FV482" s="190"/>
      <c r="FW482" s="190"/>
      <c r="FX482" s="190"/>
      <c r="FY482" s="190"/>
      <c r="FZ482" s="190"/>
      <c r="GA482" s="190"/>
      <c r="GB482" s="190"/>
      <c r="GC482" s="190"/>
      <c r="GD482" s="190"/>
      <c r="GE482" s="190"/>
      <c r="GF482" s="190"/>
      <c r="GG482" s="190"/>
      <c r="GH482" s="190"/>
      <c r="GI482" s="190"/>
      <c r="GJ482" s="190"/>
      <c r="GK482" s="190"/>
      <c r="GL482" s="190"/>
      <c r="GM482" s="190"/>
      <c r="GN482" s="190"/>
      <c r="GO482" s="190"/>
      <c r="GP482" s="190"/>
      <c r="GQ482" s="190"/>
      <c r="GR482" s="190"/>
      <c r="GS482" s="190"/>
      <c r="GT482" s="190"/>
      <c r="GU482" s="190"/>
      <c r="GV482" s="190"/>
      <c r="GW482" s="190"/>
      <c r="GX482" s="190"/>
      <c r="GY482" s="190"/>
      <c r="GZ482" s="190"/>
      <c r="HA482" s="190"/>
      <c r="HB482" s="190"/>
      <c r="HC482" s="190"/>
      <c r="HD482" s="190"/>
      <c r="HE482" s="190"/>
      <c r="HF482" s="190"/>
      <c r="HG482" s="190"/>
      <c r="HH482" s="190"/>
      <c r="HI482" s="190"/>
      <c r="HJ482" s="190"/>
      <c r="HK482" s="190"/>
      <c r="HL482" s="190"/>
      <c r="HM482" s="190"/>
      <c r="HN482" s="190"/>
      <c r="HO482" s="190"/>
      <c r="HP482" s="190"/>
      <c r="HQ482" s="190"/>
      <c r="HR482" s="190"/>
      <c r="HS482" s="190"/>
      <c r="HT482" s="190"/>
      <c r="HU482" s="190"/>
      <c r="HV482" s="190"/>
      <c r="HW482" s="190"/>
      <c r="HX482" s="190"/>
      <c r="HY482" s="190"/>
      <c r="HZ482" s="190"/>
      <c r="IA482" s="190"/>
    </row>
    <row r="483" spans="1:16" ht="12" customHeight="1">
      <c r="A483" s="31" t="s">
        <v>4</v>
      </c>
      <c r="B483" s="8"/>
      <c r="C483" s="8"/>
      <c r="D483" s="19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2" customHeight="1">
      <c r="A484" s="32" t="s">
        <v>63</v>
      </c>
      <c r="B484" s="8"/>
      <c r="C484" s="8"/>
      <c r="D484" s="19">
        <f>(D486*D489)+(D487*D490)-0.03</f>
        <v>150400</v>
      </c>
      <c r="E484" s="7"/>
      <c r="F484" s="7">
        <f>D484</f>
        <v>150400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2" customHeight="1">
      <c r="A485" s="31" t="s">
        <v>5</v>
      </c>
      <c r="B485" s="8"/>
      <c r="C485" s="8"/>
      <c r="D485" s="19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24.75" customHeight="1">
      <c r="A486" s="32" t="s">
        <v>253</v>
      </c>
      <c r="B486" s="8"/>
      <c r="C486" s="8"/>
      <c r="D486" s="10">
        <v>57</v>
      </c>
      <c r="E486" s="10"/>
      <c r="F486" s="10">
        <v>57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ht="15.75" customHeight="1">
      <c r="A487" s="32" t="s">
        <v>251</v>
      </c>
      <c r="B487" s="8"/>
      <c r="C487" s="8"/>
      <c r="D487" s="10">
        <v>145</v>
      </c>
      <c r="E487" s="10"/>
      <c r="F487" s="10">
        <f>D487</f>
        <v>145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2.75" customHeight="1">
      <c r="A488" s="31" t="s">
        <v>7</v>
      </c>
      <c r="B488" s="8"/>
      <c r="C488" s="8"/>
      <c r="D488" s="1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24.75" customHeight="1">
      <c r="A489" s="32" t="s">
        <v>252</v>
      </c>
      <c r="B489" s="8"/>
      <c r="C489" s="8"/>
      <c r="D489" s="19">
        <v>1950.89</v>
      </c>
      <c r="E489" s="7"/>
      <c r="F489" s="7">
        <f>D489</f>
        <v>1950.89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24.75" customHeight="1">
      <c r="A490" s="32" t="s">
        <v>254</v>
      </c>
      <c r="B490" s="8"/>
      <c r="C490" s="8"/>
      <c r="D490" s="19">
        <v>270.34</v>
      </c>
      <c r="E490" s="7"/>
      <c r="F490" s="7">
        <f>D490</f>
        <v>270.34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235" s="191" customFormat="1" ht="41.25" customHeight="1">
      <c r="A491" s="178" t="s">
        <v>373</v>
      </c>
      <c r="B491" s="187"/>
      <c r="C491" s="187"/>
      <c r="D491" s="188">
        <v>127900</v>
      </c>
      <c r="E491" s="189"/>
      <c r="F491" s="189">
        <f>D491</f>
        <v>127900</v>
      </c>
      <c r="G491" s="189">
        <f>G493</f>
        <v>130000</v>
      </c>
      <c r="H491" s="189"/>
      <c r="I491" s="189"/>
      <c r="J491" s="236">
        <f>G491</f>
        <v>130000</v>
      </c>
      <c r="K491" s="189"/>
      <c r="L491" s="189"/>
      <c r="M491" s="189"/>
      <c r="N491" s="189"/>
      <c r="O491" s="189"/>
      <c r="P491" s="189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  <c r="BA491" s="190"/>
      <c r="BB491" s="190"/>
      <c r="BC491" s="190"/>
      <c r="BD491" s="190"/>
      <c r="BE491" s="190"/>
      <c r="BF491" s="190"/>
      <c r="BG491" s="190"/>
      <c r="BH491" s="190"/>
      <c r="BI491" s="190"/>
      <c r="BJ491" s="190"/>
      <c r="BK491" s="190"/>
      <c r="BL491" s="190"/>
      <c r="BM491" s="190"/>
      <c r="BN491" s="190"/>
      <c r="BO491" s="190"/>
      <c r="BP491" s="190"/>
      <c r="BQ491" s="190"/>
      <c r="BR491" s="190"/>
      <c r="BS491" s="190"/>
      <c r="BT491" s="190"/>
      <c r="BU491" s="190"/>
      <c r="BV491" s="190"/>
      <c r="BW491" s="190"/>
      <c r="BX491" s="190"/>
      <c r="BY491" s="190"/>
      <c r="BZ491" s="190"/>
      <c r="CA491" s="190"/>
      <c r="CB491" s="190"/>
      <c r="CC491" s="190"/>
      <c r="CD491" s="190"/>
      <c r="CE491" s="190"/>
      <c r="CF491" s="190"/>
      <c r="CG491" s="190"/>
      <c r="CH491" s="190"/>
      <c r="CI491" s="190"/>
      <c r="CJ491" s="190"/>
      <c r="CK491" s="190"/>
      <c r="CL491" s="190"/>
      <c r="CM491" s="190"/>
      <c r="CN491" s="190"/>
      <c r="CO491" s="190"/>
      <c r="CP491" s="190"/>
      <c r="CQ491" s="190"/>
      <c r="CR491" s="190"/>
      <c r="CS491" s="190"/>
      <c r="CT491" s="190"/>
      <c r="CU491" s="190"/>
      <c r="CV491" s="190"/>
      <c r="CW491" s="190"/>
      <c r="CX491" s="190"/>
      <c r="CY491" s="190"/>
      <c r="CZ491" s="190"/>
      <c r="DA491" s="190"/>
      <c r="DB491" s="190"/>
      <c r="DC491" s="190"/>
      <c r="DD491" s="190"/>
      <c r="DE491" s="190"/>
      <c r="DF491" s="190"/>
      <c r="DG491" s="190"/>
      <c r="DH491" s="190"/>
      <c r="DI491" s="190"/>
      <c r="DJ491" s="190"/>
      <c r="DK491" s="190"/>
      <c r="DL491" s="190"/>
      <c r="DM491" s="190"/>
      <c r="DN491" s="190"/>
      <c r="DO491" s="190"/>
      <c r="DP491" s="190"/>
      <c r="DQ491" s="190"/>
      <c r="DR491" s="190"/>
      <c r="DS491" s="190"/>
      <c r="DT491" s="190"/>
      <c r="DU491" s="190"/>
      <c r="DV491" s="190"/>
      <c r="DW491" s="190"/>
      <c r="DX491" s="190"/>
      <c r="DY491" s="190"/>
      <c r="DZ491" s="190"/>
      <c r="EA491" s="190"/>
      <c r="EB491" s="190"/>
      <c r="EC491" s="190"/>
      <c r="ED491" s="190"/>
      <c r="EE491" s="190"/>
      <c r="EF491" s="190"/>
      <c r="EG491" s="190"/>
      <c r="EH491" s="190"/>
      <c r="EI491" s="190"/>
      <c r="EJ491" s="190"/>
      <c r="EK491" s="190"/>
      <c r="EL491" s="190"/>
      <c r="EM491" s="190"/>
      <c r="EN491" s="190"/>
      <c r="EO491" s="190"/>
      <c r="EP491" s="190"/>
      <c r="EQ491" s="190"/>
      <c r="ER491" s="190"/>
      <c r="ES491" s="190"/>
      <c r="ET491" s="190"/>
      <c r="EU491" s="190"/>
      <c r="EV491" s="190"/>
      <c r="EW491" s="190"/>
      <c r="EX491" s="190"/>
      <c r="EY491" s="190"/>
      <c r="EZ491" s="190"/>
      <c r="FA491" s="190"/>
      <c r="FB491" s="190"/>
      <c r="FC491" s="190"/>
      <c r="FD491" s="190"/>
      <c r="FE491" s="190"/>
      <c r="FF491" s="190"/>
      <c r="FG491" s="190"/>
      <c r="FH491" s="190"/>
      <c r="FI491" s="190"/>
      <c r="FJ491" s="190"/>
      <c r="FK491" s="190"/>
      <c r="FL491" s="190"/>
      <c r="FM491" s="190"/>
      <c r="FN491" s="190"/>
      <c r="FO491" s="190"/>
      <c r="FP491" s="190"/>
      <c r="FQ491" s="190"/>
      <c r="FR491" s="190"/>
      <c r="FS491" s="190"/>
      <c r="FT491" s="190"/>
      <c r="FU491" s="190"/>
      <c r="FV491" s="190"/>
      <c r="FW491" s="190"/>
      <c r="FX491" s="190"/>
      <c r="FY491" s="190"/>
      <c r="FZ491" s="190"/>
      <c r="GA491" s="190"/>
      <c r="GB491" s="190"/>
      <c r="GC491" s="190"/>
      <c r="GD491" s="190"/>
      <c r="GE491" s="190"/>
      <c r="GF491" s="190"/>
      <c r="GG491" s="190"/>
      <c r="GH491" s="190"/>
      <c r="GI491" s="190"/>
      <c r="GJ491" s="190"/>
      <c r="GK491" s="190"/>
      <c r="GL491" s="190"/>
      <c r="GM491" s="190"/>
      <c r="GN491" s="190"/>
      <c r="GO491" s="190"/>
      <c r="GP491" s="190"/>
      <c r="GQ491" s="190"/>
      <c r="GR491" s="190"/>
      <c r="GS491" s="190"/>
      <c r="GT491" s="190"/>
      <c r="GU491" s="190"/>
      <c r="GV491" s="190"/>
      <c r="GW491" s="190"/>
      <c r="GX491" s="190"/>
      <c r="GY491" s="190"/>
      <c r="GZ491" s="190"/>
      <c r="HA491" s="190"/>
      <c r="HB491" s="190"/>
      <c r="HC491" s="190"/>
      <c r="HD491" s="190"/>
      <c r="HE491" s="190"/>
      <c r="HF491" s="190"/>
      <c r="HG491" s="190"/>
      <c r="HH491" s="190"/>
      <c r="HI491" s="190"/>
      <c r="HJ491" s="190"/>
      <c r="HK491" s="190"/>
      <c r="HL491" s="190"/>
      <c r="HM491" s="190"/>
      <c r="HN491" s="190"/>
      <c r="HO491" s="190"/>
      <c r="HP491" s="190"/>
      <c r="HQ491" s="190"/>
      <c r="HR491" s="190"/>
      <c r="HS491" s="190"/>
      <c r="HT491" s="190"/>
      <c r="HU491" s="190"/>
      <c r="HV491" s="190"/>
      <c r="HW491" s="190"/>
      <c r="HX491" s="190"/>
      <c r="HY491" s="190"/>
      <c r="HZ491" s="190"/>
      <c r="IA491" s="190"/>
    </row>
    <row r="492" spans="1:16" ht="11.25" customHeight="1">
      <c r="A492" s="31" t="s">
        <v>4</v>
      </c>
      <c r="B492" s="8"/>
      <c r="C492" s="8"/>
      <c r="D492" s="1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4.25" customHeight="1">
      <c r="A493" s="32" t="s">
        <v>63</v>
      </c>
      <c r="B493" s="8"/>
      <c r="C493" s="8"/>
      <c r="D493" s="113">
        <f>D491</f>
        <v>127900</v>
      </c>
      <c r="E493" s="7"/>
      <c r="F493" s="7">
        <f>D493</f>
        <v>127900</v>
      </c>
      <c r="G493" s="7">
        <v>130000</v>
      </c>
      <c r="H493" s="7"/>
      <c r="I493" s="7"/>
      <c r="J493" s="7">
        <f>G493</f>
        <v>130000</v>
      </c>
      <c r="K493" s="7"/>
      <c r="L493" s="7"/>
      <c r="M493" s="7"/>
      <c r="N493" s="7"/>
      <c r="O493" s="7"/>
      <c r="P493" s="7"/>
    </row>
    <row r="494" spans="1:16" ht="10.5" customHeight="1">
      <c r="A494" s="31" t="s">
        <v>5</v>
      </c>
      <c r="B494" s="8"/>
      <c r="C494" s="8"/>
      <c r="D494" s="113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24.75" customHeight="1">
      <c r="A495" s="32" t="s">
        <v>258</v>
      </c>
      <c r="B495" s="8"/>
      <c r="C495" s="8"/>
      <c r="D495" s="120">
        <v>4</v>
      </c>
      <c r="E495" s="141"/>
      <c r="F495" s="141">
        <f>D495</f>
        <v>4</v>
      </c>
      <c r="G495" s="7">
        <v>4</v>
      </c>
      <c r="H495" s="7"/>
      <c r="I495" s="7"/>
      <c r="J495" s="7">
        <v>4</v>
      </c>
      <c r="K495" s="7"/>
      <c r="L495" s="7"/>
      <c r="M495" s="7"/>
      <c r="N495" s="7"/>
      <c r="O495" s="7"/>
      <c r="P495" s="7"/>
    </row>
    <row r="496" spans="1:16" ht="11.25">
      <c r="A496" s="31" t="s">
        <v>7</v>
      </c>
      <c r="B496" s="8"/>
      <c r="C496" s="8"/>
      <c r="D496" s="113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24.75" customHeight="1">
      <c r="A497" s="32" t="s">
        <v>257</v>
      </c>
      <c r="B497" s="8"/>
      <c r="C497" s="8"/>
      <c r="D497" s="113">
        <f>D491/D495</f>
        <v>31975</v>
      </c>
      <c r="E497" s="7"/>
      <c r="F497" s="7">
        <f>D497</f>
        <v>31975</v>
      </c>
      <c r="G497" s="7">
        <f>G493/G495</f>
        <v>32500</v>
      </c>
      <c r="H497" s="7"/>
      <c r="I497" s="7"/>
      <c r="J497" s="7">
        <f>G497</f>
        <v>32500</v>
      </c>
      <c r="K497" s="7"/>
      <c r="L497" s="7"/>
      <c r="M497" s="7"/>
      <c r="N497" s="7"/>
      <c r="O497" s="7"/>
      <c r="P497" s="7"/>
    </row>
    <row r="498" spans="1:235" s="191" customFormat="1" ht="25.5" customHeight="1">
      <c r="A498" s="178" t="s">
        <v>374</v>
      </c>
      <c r="B498" s="187"/>
      <c r="C498" s="187"/>
      <c r="D498" s="188">
        <v>224200</v>
      </c>
      <c r="E498" s="189"/>
      <c r="F498" s="189">
        <f>D498</f>
        <v>224200</v>
      </c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0"/>
      <c r="AT498" s="190"/>
      <c r="AU498" s="190"/>
      <c r="AV498" s="190"/>
      <c r="AW498" s="190"/>
      <c r="AX498" s="190"/>
      <c r="AY498" s="190"/>
      <c r="AZ498" s="190"/>
      <c r="BA498" s="190"/>
      <c r="BB498" s="190"/>
      <c r="BC498" s="190"/>
      <c r="BD498" s="190"/>
      <c r="BE498" s="190"/>
      <c r="BF498" s="190"/>
      <c r="BG498" s="190"/>
      <c r="BH498" s="190"/>
      <c r="BI498" s="190"/>
      <c r="BJ498" s="190"/>
      <c r="BK498" s="190"/>
      <c r="BL498" s="190"/>
      <c r="BM498" s="190"/>
      <c r="BN498" s="190"/>
      <c r="BO498" s="190"/>
      <c r="BP498" s="190"/>
      <c r="BQ498" s="190"/>
      <c r="BR498" s="190"/>
      <c r="BS498" s="190"/>
      <c r="BT498" s="190"/>
      <c r="BU498" s="190"/>
      <c r="BV498" s="190"/>
      <c r="BW498" s="190"/>
      <c r="BX498" s="190"/>
      <c r="BY498" s="190"/>
      <c r="BZ498" s="190"/>
      <c r="CA498" s="190"/>
      <c r="CB498" s="190"/>
      <c r="CC498" s="190"/>
      <c r="CD498" s="190"/>
      <c r="CE498" s="190"/>
      <c r="CF498" s="190"/>
      <c r="CG498" s="190"/>
      <c r="CH498" s="190"/>
      <c r="CI498" s="190"/>
      <c r="CJ498" s="190"/>
      <c r="CK498" s="190"/>
      <c r="CL498" s="190"/>
      <c r="CM498" s="190"/>
      <c r="CN498" s="190"/>
      <c r="CO498" s="190"/>
      <c r="CP498" s="190"/>
      <c r="CQ498" s="190"/>
      <c r="CR498" s="190"/>
      <c r="CS498" s="190"/>
      <c r="CT498" s="190"/>
      <c r="CU498" s="190"/>
      <c r="CV498" s="190"/>
      <c r="CW498" s="190"/>
      <c r="CX498" s="190"/>
      <c r="CY498" s="190"/>
      <c r="CZ498" s="190"/>
      <c r="DA498" s="190"/>
      <c r="DB498" s="190"/>
      <c r="DC498" s="190"/>
      <c r="DD498" s="190"/>
      <c r="DE498" s="190"/>
      <c r="DF498" s="190"/>
      <c r="DG498" s="190"/>
      <c r="DH498" s="190"/>
      <c r="DI498" s="190"/>
      <c r="DJ498" s="190"/>
      <c r="DK498" s="190"/>
      <c r="DL498" s="190"/>
      <c r="DM498" s="190"/>
      <c r="DN498" s="190"/>
      <c r="DO498" s="190"/>
      <c r="DP498" s="190"/>
      <c r="DQ498" s="190"/>
      <c r="DR498" s="190"/>
      <c r="DS498" s="190"/>
      <c r="DT498" s="190"/>
      <c r="DU498" s="190"/>
      <c r="DV498" s="190"/>
      <c r="DW498" s="190"/>
      <c r="DX498" s="190"/>
      <c r="DY498" s="190"/>
      <c r="DZ498" s="190"/>
      <c r="EA498" s="190"/>
      <c r="EB498" s="190"/>
      <c r="EC498" s="190"/>
      <c r="ED498" s="190"/>
      <c r="EE498" s="190"/>
      <c r="EF498" s="190"/>
      <c r="EG498" s="190"/>
      <c r="EH498" s="190"/>
      <c r="EI498" s="190"/>
      <c r="EJ498" s="190"/>
      <c r="EK498" s="190"/>
      <c r="EL498" s="190"/>
      <c r="EM498" s="190"/>
      <c r="EN498" s="190"/>
      <c r="EO498" s="190"/>
      <c r="EP498" s="190"/>
      <c r="EQ498" s="190"/>
      <c r="ER498" s="190"/>
      <c r="ES498" s="190"/>
      <c r="ET498" s="190"/>
      <c r="EU498" s="190"/>
      <c r="EV498" s="190"/>
      <c r="EW498" s="190"/>
      <c r="EX498" s="190"/>
      <c r="EY498" s="190"/>
      <c r="EZ498" s="190"/>
      <c r="FA498" s="190"/>
      <c r="FB498" s="190"/>
      <c r="FC498" s="190"/>
      <c r="FD498" s="190"/>
      <c r="FE498" s="190"/>
      <c r="FF498" s="190"/>
      <c r="FG498" s="190"/>
      <c r="FH498" s="190"/>
      <c r="FI498" s="190"/>
      <c r="FJ498" s="190"/>
      <c r="FK498" s="190"/>
      <c r="FL498" s="190"/>
      <c r="FM498" s="190"/>
      <c r="FN498" s="190"/>
      <c r="FO498" s="190"/>
      <c r="FP498" s="190"/>
      <c r="FQ498" s="190"/>
      <c r="FR498" s="190"/>
      <c r="FS498" s="190"/>
      <c r="FT498" s="190"/>
      <c r="FU498" s="190"/>
      <c r="FV498" s="190"/>
      <c r="FW498" s="190"/>
      <c r="FX498" s="190"/>
      <c r="FY498" s="190"/>
      <c r="FZ498" s="190"/>
      <c r="GA498" s="190"/>
      <c r="GB498" s="190"/>
      <c r="GC498" s="190"/>
      <c r="GD498" s="190"/>
      <c r="GE498" s="190"/>
      <c r="GF498" s="190"/>
      <c r="GG498" s="190"/>
      <c r="GH498" s="190"/>
      <c r="GI498" s="190"/>
      <c r="GJ498" s="190"/>
      <c r="GK498" s="190"/>
      <c r="GL498" s="190"/>
      <c r="GM498" s="190"/>
      <c r="GN498" s="190"/>
      <c r="GO498" s="190"/>
      <c r="GP498" s="190"/>
      <c r="GQ498" s="190"/>
      <c r="GR498" s="190"/>
      <c r="GS498" s="190"/>
      <c r="GT498" s="190"/>
      <c r="GU498" s="190"/>
      <c r="GV498" s="190"/>
      <c r="GW498" s="190"/>
      <c r="GX498" s="190"/>
      <c r="GY498" s="190"/>
      <c r="GZ498" s="190"/>
      <c r="HA498" s="190"/>
      <c r="HB498" s="190"/>
      <c r="HC498" s="190"/>
      <c r="HD498" s="190"/>
      <c r="HE498" s="190"/>
      <c r="HF498" s="190"/>
      <c r="HG498" s="190"/>
      <c r="HH498" s="190"/>
      <c r="HI498" s="190"/>
      <c r="HJ498" s="190"/>
      <c r="HK498" s="190"/>
      <c r="HL498" s="190"/>
      <c r="HM498" s="190"/>
      <c r="HN498" s="190"/>
      <c r="HO498" s="190"/>
      <c r="HP498" s="190"/>
      <c r="HQ498" s="190"/>
      <c r="HR498" s="190"/>
      <c r="HS498" s="190"/>
      <c r="HT498" s="190"/>
      <c r="HU498" s="190"/>
      <c r="HV498" s="190"/>
      <c r="HW498" s="190"/>
      <c r="HX498" s="190"/>
      <c r="HY498" s="190"/>
      <c r="HZ498" s="190"/>
      <c r="IA498" s="190"/>
    </row>
    <row r="499" spans="1:16" ht="11.25" customHeight="1">
      <c r="A499" s="31" t="s">
        <v>4</v>
      </c>
      <c r="B499" s="8"/>
      <c r="C499" s="8"/>
      <c r="D499" s="1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4.25" customHeight="1">
      <c r="A500" s="32" t="s">
        <v>63</v>
      </c>
      <c r="B500" s="8"/>
      <c r="C500" s="8"/>
      <c r="D500" s="113">
        <f>D498</f>
        <v>224200</v>
      </c>
      <c r="E500" s="7"/>
      <c r="F500" s="7">
        <v>224200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0.5" customHeight="1">
      <c r="A501" s="31" t="s">
        <v>5</v>
      </c>
      <c r="B501" s="8"/>
      <c r="C501" s="8"/>
      <c r="D501" s="113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24.75" customHeight="1">
      <c r="A502" s="32" t="s">
        <v>276</v>
      </c>
      <c r="B502" s="8"/>
      <c r="C502" s="8"/>
      <c r="D502" s="120">
        <v>398</v>
      </c>
      <c r="E502" s="141"/>
      <c r="F502" s="141">
        <f>D502</f>
        <v>398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1.25">
      <c r="A503" s="31" t="s">
        <v>7</v>
      </c>
      <c r="B503" s="8"/>
      <c r="C503" s="8"/>
      <c r="D503" s="113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24.75" customHeight="1">
      <c r="A504" s="32" t="s">
        <v>277</v>
      </c>
      <c r="B504" s="8"/>
      <c r="C504" s="8"/>
      <c r="D504" s="113">
        <f>D498/D502</f>
        <v>563.3165829145729</v>
      </c>
      <c r="E504" s="7"/>
      <c r="F504" s="7">
        <f>D504</f>
        <v>563.3165829145729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235" s="191" customFormat="1" ht="45.75" customHeight="1">
      <c r="A505" s="178" t="s">
        <v>375</v>
      </c>
      <c r="B505" s="187"/>
      <c r="C505" s="187"/>
      <c r="D505" s="188"/>
      <c r="E505" s="189"/>
      <c r="F505" s="189"/>
      <c r="G505" s="189">
        <v>70100</v>
      </c>
      <c r="H505" s="189"/>
      <c r="I505" s="189"/>
      <c r="J505" s="236">
        <f>G505</f>
        <v>70100</v>
      </c>
      <c r="K505" s="189"/>
      <c r="L505" s="189"/>
      <c r="M505" s="189"/>
      <c r="N505" s="189"/>
      <c r="O505" s="189"/>
      <c r="P505" s="189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  <c r="AA505" s="190"/>
      <c r="AB505" s="190"/>
      <c r="AC505" s="190"/>
      <c r="AD505" s="190"/>
      <c r="AE505" s="190"/>
      <c r="AF505" s="190"/>
      <c r="AG505" s="190"/>
      <c r="AH505" s="190"/>
      <c r="AI505" s="190"/>
      <c r="AJ505" s="190"/>
      <c r="AK505" s="190"/>
      <c r="AL505" s="190"/>
      <c r="AM505" s="190"/>
      <c r="AN505" s="190"/>
      <c r="AO505" s="190"/>
      <c r="AP505" s="190"/>
      <c r="AQ505" s="190"/>
      <c r="AR505" s="190"/>
      <c r="AS505" s="190"/>
      <c r="AT505" s="190"/>
      <c r="AU505" s="190"/>
      <c r="AV505" s="190"/>
      <c r="AW505" s="190"/>
      <c r="AX505" s="190"/>
      <c r="AY505" s="190"/>
      <c r="AZ505" s="190"/>
      <c r="BA505" s="190"/>
      <c r="BB505" s="190"/>
      <c r="BC505" s="190"/>
      <c r="BD505" s="190"/>
      <c r="BE505" s="190"/>
      <c r="BF505" s="190"/>
      <c r="BG505" s="190"/>
      <c r="BH505" s="190"/>
      <c r="BI505" s="190"/>
      <c r="BJ505" s="190"/>
      <c r="BK505" s="190"/>
      <c r="BL505" s="190"/>
      <c r="BM505" s="190"/>
      <c r="BN505" s="190"/>
      <c r="BO505" s="190"/>
      <c r="BP505" s="190"/>
      <c r="BQ505" s="190"/>
      <c r="BR505" s="190"/>
      <c r="BS505" s="190"/>
      <c r="BT505" s="190"/>
      <c r="BU505" s="190"/>
      <c r="BV505" s="190"/>
      <c r="BW505" s="190"/>
      <c r="BX505" s="190"/>
      <c r="BY505" s="190"/>
      <c r="BZ505" s="190"/>
      <c r="CA505" s="190"/>
      <c r="CB505" s="190"/>
      <c r="CC505" s="190"/>
      <c r="CD505" s="190"/>
      <c r="CE505" s="190"/>
      <c r="CF505" s="190"/>
      <c r="CG505" s="190"/>
      <c r="CH505" s="190"/>
      <c r="CI505" s="190"/>
      <c r="CJ505" s="190"/>
      <c r="CK505" s="190"/>
      <c r="CL505" s="190"/>
      <c r="CM505" s="190"/>
      <c r="CN505" s="190"/>
      <c r="CO505" s="190"/>
      <c r="CP505" s="190"/>
      <c r="CQ505" s="190"/>
      <c r="CR505" s="190"/>
      <c r="CS505" s="190"/>
      <c r="CT505" s="190"/>
      <c r="CU505" s="190"/>
      <c r="CV505" s="190"/>
      <c r="CW505" s="190"/>
      <c r="CX505" s="190"/>
      <c r="CY505" s="190"/>
      <c r="CZ505" s="190"/>
      <c r="DA505" s="190"/>
      <c r="DB505" s="190"/>
      <c r="DC505" s="190"/>
      <c r="DD505" s="190"/>
      <c r="DE505" s="190"/>
      <c r="DF505" s="190"/>
      <c r="DG505" s="190"/>
      <c r="DH505" s="190"/>
      <c r="DI505" s="190"/>
      <c r="DJ505" s="190"/>
      <c r="DK505" s="190"/>
      <c r="DL505" s="190"/>
      <c r="DM505" s="190"/>
      <c r="DN505" s="190"/>
      <c r="DO505" s="190"/>
      <c r="DP505" s="190"/>
      <c r="DQ505" s="190"/>
      <c r="DR505" s="190"/>
      <c r="DS505" s="190"/>
      <c r="DT505" s="190"/>
      <c r="DU505" s="190"/>
      <c r="DV505" s="190"/>
      <c r="DW505" s="190"/>
      <c r="DX505" s="190"/>
      <c r="DY505" s="190"/>
      <c r="DZ505" s="190"/>
      <c r="EA505" s="190"/>
      <c r="EB505" s="190"/>
      <c r="EC505" s="190"/>
      <c r="ED505" s="190"/>
      <c r="EE505" s="190"/>
      <c r="EF505" s="190"/>
      <c r="EG505" s="190"/>
      <c r="EH505" s="190"/>
      <c r="EI505" s="190"/>
      <c r="EJ505" s="190"/>
      <c r="EK505" s="190"/>
      <c r="EL505" s="190"/>
      <c r="EM505" s="190"/>
      <c r="EN505" s="190"/>
      <c r="EO505" s="190"/>
      <c r="EP505" s="190"/>
      <c r="EQ505" s="190"/>
      <c r="ER505" s="190"/>
      <c r="ES505" s="190"/>
      <c r="ET505" s="190"/>
      <c r="EU505" s="190"/>
      <c r="EV505" s="190"/>
      <c r="EW505" s="190"/>
      <c r="EX505" s="190"/>
      <c r="EY505" s="190"/>
      <c r="EZ505" s="190"/>
      <c r="FA505" s="190"/>
      <c r="FB505" s="190"/>
      <c r="FC505" s="190"/>
      <c r="FD505" s="190"/>
      <c r="FE505" s="190"/>
      <c r="FF505" s="190"/>
      <c r="FG505" s="190"/>
      <c r="FH505" s="190"/>
      <c r="FI505" s="190"/>
      <c r="FJ505" s="190"/>
      <c r="FK505" s="190"/>
      <c r="FL505" s="190"/>
      <c r="FM505" s="190"/>
      <c r="FN505" s="190"/>
      <c r="FO505" s="190"/>
      <c r="FP505" s="190"/>
      <c r="FQ505" s="190"/>
      <c r="FR505" s="190"/>
      <c r="FS505" s="190"/>
      <c r="FT505" s="190"/>
      <c r="FU505" s="190"/>
      <c r="FV505" s="190"/>
      <c r="FW505" s="190"/>
      <c r="FX505" s="190"/>
      <c r="FY505" s="190"/>
      <c r="FZ505" s="190"/>
      <c r="GA505" s="190"/>
      <c r="GB505" s="190"/>
      <c r="GC505" s="190"/>
      <c r="GD505" s="190"/>
      <c r="GE505" s="190"/>
      <c r="GF505" s="190"/>
      <c r="GG505" s="190"/>
      <c r="GH505" s="190"/>
      <c r="GI505" s="190"/>
      <c r="GJ505" s="190"/>
      <c r="GK505" s="190"/>
      <c r="GL505" s="190"/>
      <c r="GM505" s="190"/>
      <c r="GN505" s="190"/>
      <c r="GO505" s="190"/>
      <c r="GP505" s="190"/>
      <c r="GQ505" s="190"/>
      <c r="GR505" s="190"/>
      <c r="GS505" s="190"/>
      <c r="GT505" s="190"/>
      <c r="GU505" s="190"/>
      <c r="GV505" s="190"/>
      <c r="GW505" s="190"/>
      <c r="GX505" s="190"/>
      <c r="GY505" s="190"/>
      <c r="GZ505" s="190"/>
      <c r="HA505" s="190"/>
      <c r="HB505" s="190"/>
      <c r="HC505" s="190"/>
      <c r="HD505" s="190"/>
      <c r="HE505" s="190"/>
      <c r="HF505" s="190"/>
      <c r="HG505" s="190"/>
      <c r="HH505" s="190"/>
      <c r="HI505" s="190"/>
      <c r="HJ505" s="190"/>
      <c r="HK505" s="190"/>
      <c r="HL505" s="190"/>
      <c r="HM505" s="190"/>
      <c r="HN505" s="190"/>
      <c r="HO505" s="190"/>
      <c r="HP505" s="190"/>
      <c r="HQ505" s="190"/>
      <c r="HR505" s="190"/>
      <c r="HS505" s="190"/>
      <c r="HT505" s="190"/>
      <c r="HU505" s="190"/>
      <c r="HV505" s="190"/>
      <c r="HW505" s="190"/>
      <c r="HX505" s="190"/>
      <c r="HY505" s="190"/>
      <c r="HZ505" s="190"/>
      <c r="IA505" s="190"/>
    </row>
    <row r="506" spans="1:16" ht="12.75" customHeight="1">
      <c r="A506" s="31" t="s">
        <v>4</v>
      </c>
      <c r="B506" s="8"/>
      <c r="C506" s="8"/>
      <c r="D506" s="113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1.25">
      <c r="A507" s="32" t="s">
        <v>63</v>
      </c>
      <c r="B507" s="8"/>
      <c r="C507" s="8"/>
      <c r="D507" s="113"/>
      <c r="E507" s="7"/>
      <c r="F507" s="7"/>
      <c r="G507" s="7">
        <v>70100</v>
      </c>
      <c r="H507" s="7"/>
      <c r="I507" s="7"/>
      <c r="J507" s="7">
        <f>G507</f>
        <v>70100</v>
      </c>
      <c r="K507" s="7"/>
      <c r="L507" s="7"/>
      <c r="M507" s="7"/>
      <c r="N507" s="7"/>
      <c r="O507" s="7"/>
      <c r="P507" s="7"/>
    </row>
    <row r="508" spans="1:16" ht="11.25">
      <c r="A508" s="31" t="s">
        <v>5</v>
      </c>
      <c r="B508" s="8"/>
      <c r="C508" s="8"/>
      <c r="D508" s="113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32" t="s">
        <v>315</v>
      </c>
      <c r="B509" s="8"/>
      <c r="C509" s="8"/>
      <c r="D509" s="113"/>
      <c r="E509" s="7"/>
      <c r="F509" s="7"/>
      <c r="G509" s="7">
        <v>1</v>
      </c>
      <c r="H509" s="7"/>
      <c r="I509" s="7"/>
      <c r="J509" s="7">
        <v>1</v>
      </c>
      <c r="K509" s="7"/>
      <c r="L509" s="7"/>
      <c r="M509" s="7"/>
      <c r="N509" s="7"/>
      <c r="O509" s="7"/>
      <c r="P509" s="7"/>
    </row>
    <row r="510" spans="1:16" ht="11.25">
      <c r="A510" s="31" t="s">
        <v>7</v>
      </c>
      <c r="B510" s="8"/>
      <c r="C510" s="8"/>
      <c r="D510" s="113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22.5">
      <c r="A511" s="32" t="s">
        <v>316</v>
      </c>
      <c r="B511" s="8"/>
      <c r="C511" s="8"/>
      <c r="D511" s="113"/>
      <c r="E511" s="7"/>
      <c r="F511" s="7"/>
      <c r="G511" s="7">
        <f>G507/G509</f>
        <v>70100</v>
      </c>
      <c r="H511" s="7"/>
      <c r="I511" s="7"/>
      <c r="J511" s="7">
        <f>G511</f>
        <v>70100</v>
      </c>
      <c r="K511" s="7"/>
      <c r="L511" s="7"/>
      <c r="M511" s="7"/>
      <c r="N511" s="7"/>
      <c r="O511" s="7"/>
      <c r="P511" s="7"/>
    </row>
    <row r="512" spans="1:235" s="191" customFormat="1" ht="24.75" customHeight="1">
      <c r="A512" s="178" t="s">
        <v>376</v>
      </c>
      <c r="B512" s="187"/>
      <c r="C512" s="187"/>
      <c r="D512" s="188"/>
      <c r="E512" s="189"/>
      <c r="F512" s="189"/>
      <c r="G512" s="189">
        <v>50100</v>
      </c>
      <c r="H512" s="189"/>
      <c r="I512" s="189"/>
      <c r="J512" s="236">
        <f>G512</f>
        <v>50100</v>
      </c>
      <c r="K512" s="189"/>
      <c r="L512" s="189"/>
      <c r="M512" s="189"/>
      <c r="N512" s="189"/>
      <c r="O512" s="189"/>
      <c r="P512" s="189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0"/>
      <c r="AT512" s="190"/>
      <c r="AU512" s="190"/>
      <c r="AV512" s="190"/>
      <c r="AW512" s="190"/>
      <c r="AX512" s="190"/>
      <c r="AY512" s="190"/>
      <c r="AZ512" s="190"/>
      <c r="BA512" s="190"/>
      <c r="BB512" s="190"/>
      <c r="BC512" s="190"/>
      <c r="BD512" s="190"/>
      <c r="BE512" s="190"/>
      <c r="BF512" s="190"/>
      <c r="BG512" s="190"/>
      <c r="BH512" s="190"/>
      <c r="BI512" s="190"/>
      <c r="BJ512" s="190"/>
      <c r="BK512" s="190"/>
      <c r="BL512" s="190"/>
      <c r="BM512" s="190"/>
      <c r="BN512" s="190"/>
      <c r="BO512" s="190"/>
      <c r="BP512" s="190"/>
      <c r="BQ512" s="190"/>
      <c r="BR512" s="190"/>
      <c r="BS512" s="190"/>
      <c r="BT512" s="190"/>
      <c r="BU512" s="190"/>
      <c r="BV512" s="190"/>
      <c r="BW512" s="190"/>
      <c r="BX512" s="190"/>
      <c r="BY512" s="190"/>
      <c r="BZ512" s="190"/>
      <c r="CA512" s="190"/>
      <c r="CB512" s="190"/>
      <c r="CC512" s="190"/>
      <c r="CD512" s="190"/>
      <c r="CE512" s="190"/>
      <c r="CF512" s="190"/>
      <c r="CG512" s="190"/>
      <c r="CH512" s="190"/>
      <c r="CI512" s="190"/>
      <c r="CJ512" s="190"/>
      <c r="CK512" s="190"/>
      <c r="CL512" s="190"/>
      <c r="CM512" s="190"/>
      <c r="CN512" s="190"/>
      <c r="CO512" s="190"/>
      <c r="CP512" s="190"/>
      <c r="CQ512" s="190"/>
      <c r="CR512" s="190"/>
      <c r="CS512" s="190"/>
      <c r="CT512" s="190"/>
      <c r="CU512" s="190"/>
      <c r="CV512" s="190"/>
      <c r="CW512" s="190"/>
      <c r="CX512" s="190"/>
      <c r="CY512" s="190"/>
      <c r="CZ512" s="190"/>
      <c r="DA512" s="190"/>
      <c r="DB512" s="190"/>
      <c r="DC512" s="190"/>
      <c r="DD512" s="190"/>
      <c r="DE512" s="190"/>
      <c r="DF512" s="190"/>
      <c r="DG512" s="190"/>
      <c r="DH512" s="190"/>
      <c r="DI512" s="190"/>
      <c r="DJ512" s="190"/>
      <c r="DK512" s="190"/>
      <c r="DL512" s="190"/>
      <c r="DM512" s="190"/>
      <c r="DN512" s="190"/>
      <c r="DO512" s="190"/>
      <c r="DP512" s="190"/>
      <c r="DQ512" s="190"/>
      <c r="DR512" s="190"/>
      <c r="DS512" s="190"/>
      <c r="DT512" s="190"/>
      <c r="DU512" s="190"/>
      <c r="DV512" s="190"/>
      <c r="DW512" s="190"/>
      <c r="DX512" s="190"/>
      <c r="DY512" s="190"/>
      <c r="DZ512" s="190"/>
      <c r="EA512" s="190"/>
      <c r="EB512" s="190"/>
      <c r="EC512" s="190"/>
      <c r="ED512" s="190"/>
      <c r="EE512" s="190"/>
      <c r="EF512" s="190"/>
      <c r="EG512" s="190"/>
      <c r="EH512" s="190"/>
      <c r="EI512" s="190"/>
      <c r="EJ512" s="190"/>
      <c r="EK512" s="190"/>
      <c r="EL512" s="190"/>
      <c r="EM512" s="190"/>
      <c r="EN512" s="190"/>
      <c r="EO512" s="190"/>
      <c r="EP512" s="190"/>
      <c r="EQ512" s="190"/>
      <c r="ER512" s="190"/>
      <c r="ES512" s="190"/>
      <c r="ET512" s="190"/>
      <c r="EU512" s="190"/>
      <c r="EV512" s="190"/>
      <c r="EW512" s="190"/>
      <c r="EX512" s="190"/>
      <c r="EY512" s="190"/>
      <c r="EZ512" s="190"/>
      <c r="FA512" s="190"/>
      <c r="FB512" s="190"/>
      <c r="FC512" s="190"/>
      <c r="FD512" s="190"/>
      <c r="FE512" s="190"/>
      <c r="FF512" s="190"/>
      <c r="FG512" s="190"/>
      <c r="FH512" s="190"/>
      <c r="FI512" s="190"/>
      <c r="FJ512" s="190"/>
      <c r="FK512" s="190"/>
      <c r="FL512" s="190"/>
      <c r="FM512" s="190"/>
      <c r="FN512" s="190"/>
      <c r="FO512" s="190"/>
      <c r="FP512" s="190"/>
      <c r="FQ512" s="190"/>
      <c r="FR512" s="190"/>
      <c r="FS512" s="190"/>
      <c r="FT512" s="190"/>
      <c r="FU512" s="190"/>
      <c r="FV512" s="190"/>
      <c r="FW512" s="190"/>
      <c r="FX512" s="190"/>
      <c r="FY512" s="190"/>
      <c r="FZ512" s="190"/>
      <c r="GA512" s="190"/>
      <c r="GB512" s="190"/>
      <c r="GC512" s="190"/>
      <c r="GD512" s="190"/>
      <c r="GE512" s="190"/>
      <c r="GF512" s="190"/>
      <c r="GG512" s="190"/>
      <c r="GH512" s="190"/>
      <c r="GI512" s="190"/>
      <c r="GJ512" s="190"/>
      <c r="GK512" s="190"/>
      <c r="GL512" s="190"/>
      <c r="GM512" s="190"/>
      <c r="GN512" s="190"/>
      <c r="GO512" s="190"/>
      <c r="GP512" s="190"/>
      <c r="GQ512" s="190"/>
      <c r="GR512" s="190"/>
      <c r="GS512" s="190"/>
      <c r="GT512" s="190"/>
      <c r="GU512" s="190"/>
      <c r="GV512" s="190"/>
      <c r="GW512" s="190"/>
      <c r="GX512" s="190"/>
      <c r="GY512" s="190"/>
      <c r="GZ512" s="190"/>
      <c r="HA512" s="190"/>
      <c r="HB512" s="190"/>
      <c r="HC512" s="190"/>
      <c r="HD512" s="190"/>
      <c r="HE512" s="190"/>
      <c r="HF512" s="190"/>
      <c r="HG512" s="190"/>
      <c r="HH512" s="190"/>
      <c r="HI512" s="190"/>
      <c r="HJ512" s="190"/>
      <c r="HK512" s="190"/>
      <c r="HL512" s="190"/>
      <c r="HM512" s="190"/>
      <c r="HN512" s="190"/>
      <c r="HO512" s="190"/>
      <c r="HP512" s="190"/>
      <c r="HQ512" s="190"/>
      <c r="HR512" s="190"/>
      <c r="HS512" s="190"/>
      <c r="HT512" s="190"/>
      <c r="HU512" s="190"/>
      <c r="HV512" s="190"/>
      <c r="HW512" s="190"/>
      <c r="HX512" s="190"/>
      <c r="HY512" s="190"/>
      <c r="HZ512" s="190"/>
      <c r="IA512" s="190"/>
    </row>
    <row r="513" spans="1:16" ht="11.25">
      <c r="A513" s="31" t="s">
        <v>4</v>
      </c>
      <c r="B513" s="8"/>
      <c r="C513" s="8"/>
      <c r="D513" s="113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32" t="s">
        <v>63</v>
      </c>
      <c r="B514" s="8"/>
      <c r="C514" s="8"/>
      <c r="D514" s="113"/>
      <c r="E514" s="7"/>
      <c r="F514" s="7"/>
      <c r="G514" s="7">
        <v>50100</v>
      </c>
      <c r="H514" s="7"/>
      <c r="I514" s="7"/>
      <c r="J514" s="7">
        <f>G514</f>
        <v>50100</v>
      </c>
      <c r="K514" s="7"/>
      <c r="L514" s="7"/>
      <c r="M514" s="7"/>
      <c r="N514" s="7"/>
      <c r="O514" s="7"/>
      <c r="P514" s="7"/>
    </row>
    <row r="515" spans="1:16" ht="11.25">
      <c r="A515" s="31" t="s">
        <v>5</v>
      </c>
      <c r="B515" s="8"/>
      <c r="C515" s="8"/>
      <c r="D515" s="113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32" t="s">
        <v>315</v>
      </c>
      <c r="B516" s="8"/>
      <c r="C516" s="8"/>
      <c r="D516" s="113"/>
      <c r="E516" s="7"/>
      <c r="F516" s="7"/>
      <c r="G516" s="7">
        <v>1</v>
      </c>
      <c r="H516" s="7"/>
      <c r="I516" s="7"/>
      <c r="J516" s="7">
        <v>1</v>
      </c>
      <c r="K516" s="7"/>
      <c r="L516" s="7"/>
      <c r="M516" s="7"/>
      <c r="N516" s="7"/>
      <c r="O516" s="7"/>
      <c r="P516" s="7"/>
    </row>
    <row r="517" spans="1:16" ht="12" customHeight="1">
      <c r="A517" s="31" t="s">
        <v>7</v>
      </c>
      <c r="B517" s="8"/>
      <c r="C517" s="8"/>
      <c r="D517" s="113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32" t="s">
        <v>316</v>
      </c>
      <c r="B518" s="8"/>
      <c r="C518" s="8"/>
      <c r="D518" s="113"/>
      <c r="E518" s="7"/>
      <c r="F518" s="7"/>
      <c r="G518" s="7">
        <f>G514/G516</f>
        <v>50100</v>
      </c>
      <c r="H518" s="7"/>
      <c r="I518" s="7"/>
      <c r="J518" s="7">
        <f>G518</f>
        <v>50100</v>
      </c>
      <c r="K518" s="7"/>
      <c r="L518" s="7"/>
      <c r="M518" s="7"/>
      <c r="N518" s="7"/>
      <c r="O518" s="7"/>
      <c r="P518" s="7"/>
    </row>
    <row r="519" spans="1:235" s="191" customFormat="1" ht="24.75" customHeight="1">
      <c r="A519" s="178" t="s">
        <v>377</v>
      </c>
      <c r="B519" s="187"/>
      <c r="C519" s="187"/>
      <c r="D519" s="188"/>
      <c r="E519" s="189"/>
      <c r="F519" s="189"/>
      <c r="G519" s="189"/>
      <c r="H519" s="189">
        <f>H521</f>
        <v>4269334</v>
      </c>
      <c r="I519" s="189"/>
      <c r="J519" s="236">
        <f>G519+H519</f>
        <v>4269334</v>
      </c>
      <c r="K519" s="189"/>
      <c r="L519" s="189"/>
      <c r="M519" s="189"/>
      <c r="N519" s="189"/>
      <c r="O519" s="189"/>
      <c r="P519" s="189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0"/>
      <c r="BJ519" s="190"/>
      <c r="BK519" s="190"/>
      <c r="BL519" s="190"/>
      <c r="BM519" s="190"/>
      <c r="BN519" s="190"/>
      <c r="BO519" s="190"/>
      <c r="BP519" s="190"/>
      <c r="BQ519" s="190"/>
      <c r="BR519" s="190"/>
      <c r="BS519" s="190"/>
      <c r="BT519" s="190"/>
      <c r="BU519" s="190"/>
      <c r="BV519" s="190"/>
      <c r="BW519" s="190"/>
      <c r="BX519" s="190"/>
      <c r="BY519" s="190"/>
      <c r="BZ519" s="190"/>
      <c r="CA519" s="190"/>
      <c r="CB519" s="190"/>
      <c r="CC519" s="190"/>
      <c r="CD519" s="190"/>
      <c r="CE519" s="190"/>
      <c r="CF519" s="190"/>
      <c r="CG519" s="190"/>
      <c r="CH519" s="190"/>
      <c r="CI519" s="190"/>
      <c r="CJ519" s="190"/>
      <c r="CK519" s="190"/>
      <c r="CL519" s="190"/>
      <c r="CM519" s="190"/>
      <c r="CN519" s="190"/>
      <c r="CO519" s="190"/>
      <c r="CP519" s="190"/>
      <c r="CQ519" s="190"/>
      <c r="CR519" s="190"/>
      <c r="CS519" s="190"/>
      <c r="CT519" s="190"/>
      <c r="CU519" s="190"/>
      <c r="CV519" s="190"/>
      <c r="CW519" s="190"/>
      <c r="CX519" s="190"/>
      <c r="CY519" s="190"/>
      <c r="CZ519" s="190"/>
      <c r="DA519" s="190"/>
      <c r="DB519" s="190"/>
      <c r="DC519" s="190"/>
      <c r="DD519" s="190"/>
      <c r="DE519" s="190"/>
      <c r="DF519" s="190"/>
      <c r="DG519" s="190"/>
      <c r="DH519" s="190"/>
      <c r="DI519" s="190"/>
      <c r="DJ519" s="190"/>
      <c r="DK519" s="190"/>
      <c r="DL519" s="190"/>
      <c r="DM519" s="190"/>
      <c r="DN519" s="190"/>
      <c r="DO519" s="190"/>
      <c r="DP519" s="190"/>
      <c r="DQ519" s="190"/>
      <c r="DR519" s="190"/>
      <c r="DS519" s="190"/>
      <c r="DT519" s="190"/>
      <c r="DU519" s="190"/>
      <c r="DV519" s="190"/>
      <c r="DW519" s="190"/>
      <c r="DX519" s="190"/>
      <c r="DY519" s="190"/>
      <c r="DZ519" s="190"/>
      <c r="EA519" s="190"/>
      <c r="EB519" s="190"/>
      <c r="EC519" s="190"/>
      <c r="ED519" s="190"/>
      <c r="EE519" s="190"/>
      <c r="EF519" s="190"/>
      <c r="EG519" s="190"/>
      <c r="EH519" s="190"/>
      <c r="EI519" s="190"/>
      <c r="EJ519" s="190"/>
      <c r="EK519" s="190"/>
      <c r="EL519" s="190"/>
      <c r="EM519" s="190"/>
      <c r="EN519" s="190"/>
      <c r="EO519" s="190"/>
      <c r="EP519" s="190"/>
      <c r="EQ519" s="190"/>
      <c r="ER519" s="190"/>
      <c r="ES519" s="190"/>
      <c r="ET519" s="190"/>
      <c r="EU519" s="190"/>
      <c r="EV519" s="190"/>
      <c r="EW519" s="190"/>
      <c r="EX519" s="190"/>
      <c r="EY519" s="190"/>
      <c r="EZ519" s="190"/>
      <c r="FA519" s="190"/>
      <c r="FB519" s="190"/>
      <c r="FC519" s="190"/>
      <c r="FD519" s="190"/>
      <c r="FE519" s="190"/>
      <c r="FF519" s="190"/>
      <c r="FG519" s="190"/>
      <c r="FH519" s="190"/>
      <c r="FI519" s="190"/>
      <c r="FJ519" s="190"/>
      <c r="FK519" s="190"/>
      <c r="FL519" s="190"/>
      <c r="FM519" s="190"/>
      <c r="FN519" s="190"/>
      <c r="FO519" s="190"/>
      <c r="FP519" s="190"/>
      <c r="FQ519" s="190"/>
      <c r="FR519" s="190"/>
      <c r="FS519" s="190"/>
      <c r="FT519" s="190"/>
      <c r="FU519" s="190"/>
      <c r="FV519" s="190"/>
      <c r="FW519" s="190"/>
      <c r="FX519" s="190"/>
      <c r="FY519" s="190"/>
      <c r="FZ519" s="190"/>
      <c r="GA519" s="190"/>
      <c r="GB519" s="190"/>
      <c r="GC519" s="190"/>
      <c r="GD519" s="190"/>
      <c r="GE519" s="190"/>
      <c r="GF519" s="190"/>
      <c r="GG519" s="190"/>
      <c r="GH519" s="190"/>
      <c r="GI519" s="190"/>
      <c r="GJ519" s="190"/>
      <c r="GK519" s="190"/>
      <c r="GL519" s="190"/>
      <c r="GM519" s="190"/>
      <c r="GN519" s="190"/>
      <c r="GO519" s="190"/>
      <c r="GP519" s="190"/>
      <c r="GQ519" s="190"/>
      <c r="GR519" s="190"/>
      <c r="GS519" s="190"/>
      <c r="GT519" s="190"/>
      <c r="GU519" s="190"/>
      <c r="GV519" s="190"/>
      <c r="GW519" s="190"/>
      <c r="GX519" s="190"/>
      <c r="GY519" s="190"/>
      <c r="GZ519" s="190"/>
      <c r="HA519" s="190"/>
      <c r="HB519" s="190"/>
      <c r="HC519" s="190"/>
      <c r="HD519" s="190"/>
      <c r="HE519" s="190"/>
      <c r="HF519" s="190"/>
      <c r="HG519" s="190"/>
      <c r="HH519" s="190"/>
      <c r="HI519" s="190"/>
      <c r="HJ519" s="190"/>
      <c r="HK519" s="190"/>
      <c r="HL519" s="190"/>
      <c r="HM519" s="190"/>
      <c r="HN519" s="190"/>
      <c r="HO519" s="190"/>
      <c r="HP519" s="190"/>
      <c r="HQ519" s="190"/>
      <c r="HR519" s="190"/>
      <c r="HS519" s="190"/>
      <c r="HT519" s="190"/>
      <c r="HU519" s="190"/>
      <c r="HV519" s="190"/>
      <c r="HW519" s="190"/>
      <c r="HX519" s="190"/>
      <c r="HY519" s="190"/>
      <c r="HZ519" s="190"/>
      <c r="IA519" s="190"/>
    </row>
    <row r="520" spans="1:16" ht="11.25">
      <c r="A520" s="31" t="s">
        <v>4</v>
      </c>
      <c r="B520" s="8"/>
      <c r="C520" s="8"/>
      <c r="D520" s="113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1.25">
      <c r="A521" s="32" t="s">
        <v>63</v>
      </c>
      <c r="B521" s="8"/>
      <c r="C521" s="8"/>
      <c r="D521" s="113"/>
      <c r="E521" s="7"/>
      <c r="F521" s="7"/>
      <c r="G521" s="7"/>
      <c r="H521" s="10">
        <f>3129500+300702+664532+174600</f>
        <v>4269334</v>
      </c>
      <c r="I521" s="10"/>
      <c r="J521" s="10">
        <f>G521+H521</f>
        <v>4269334</v>
      </c>
      <c r="K521" s="7"/>
      <c r="L521" s="7"/>
      <c r="M521" s="7"/>
      <c r="N521" s="7"/>
      <c r="O521" s="7"/>
      <c r="P521" s="7"/>
    </row>
    <row r="522" spans="1:16" ht="11.25">
      <c r="A522" s="31" t="s">
        <v>5</v>
      </c>
      <c r="B522" s="8"/>
      <c r="C522" s="8"/>
      <c r="D522" s="113"/>
      <c r="E522" s="7"/>
      <c r="F522" s="7"/>
      <c r="G522" s="7"/>
      <c r="H522" s="10"/>
      <c r="I522" s="10"/>
      <c r="J522" s="10"/>
      <c r="K522" s="7"/>
      <c r="L522" s="7"/>
      <c r="M522" s="7"/>
      <c r="N522" s="7"/>
      <c r="O522" s="7"/>
      <c r="P522" s="7"/>
    </row>
    <row r="523" spans="1:16" ht="22.5">
      <c r="A523" s="192" t="s">
        <v>340</v>
      </c>
      <c r="B523" s="8"/>
      <c r="C523" s="8"/>
      <c r="D523" s="113"/>
      <c r="E523" s="7"/>
      <c r="F523" s="7"/>
      <c r="G523" s="7"/>
      <c r="H523" s="10">
        <v>8</v>
      </c>
      <c r="I523" s="10"/>
      <c r="J523" s="10">
        <f>G523+H523</f>
        <v>8</v>
      </c>
      <c r="K523" s="7"/>
      <c r="L523" s="7"/>
      <c r="M523" s="7"/>
      <c r="N523" s="7"/>
      <c r="O523" s="7"/>
      <c r="P523" s="7"/>
    </row>
    <row r="524" spans="1:16" ht="11.25">
      <c r="A524" s="31" t="s">
        <v>7</v>
      </c>
      <c r="B524" s="8"/>
      <c r="C524" s="8"/>
      <c r="D524" s="113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22.5">
      <c r="A525" s="91" t="s">
        <v>182</v>
      </c>
      <c r="B525" s="8"/>
      <c r="C525" s="8"/>
      <c r="D525" s="113"/>
      <c r="E525" s="7"/>
      <c r="F525" s="7"/>
      <c r="G525" s="7"/>
      <c r="H525" s="7">
        <f>H521/H523</f>
        <v>533666.75</v>
      </c>
      <c r="I525" s="7"/>
      <c r="J525" s="7">
        <f>G525+H525</f>
        <v>533666.75</v>
      </c>
      <c r="K525" s="7"/>
      <c r="L525" s="7"/>
      <c r="M525" s="7"/>
      <c r="N525" s="7"/>
      <c r="O525" s="7"/>
      <c r="P525" s="7"/>
    </row>
    <row r="526" spans="1:17" ht="13.5" customHeight="1">
      <c r="A526" s="24">
        <v>160101</v>
      </c>
      <c r="B526" s="40"/>
      <c r="C526" s="40"/>
      <c r="D526" s="37">
        <f>D529</f>
        <v>6000</v>
      </c>
      <c r="E526" s="37">
        <v>0</v>
      </c>
      <c r="F526" s="37">
        <f>D526</f>
        <v>6000</v>
      </c>
      <c r="G526" s="37">
        <f>G529</f>
        <v>4461000</v>
      </c>
      <c r="H526" s="37">
        <f>H529</f>
        <v>0</v>
      </c>
      <c r="I526" s="37">
        <f>I529</f>
        <v>0</v>
      </c>
      <c r="J526" s="247">
        <f>G526</f>
        <v>4461000</v>
      </c>
      <c r="K526" s="37"/>
      <c r="L526" s="37"/>
      <c r="M526" s="37"/>
      <c r="N526" s="37"/>
      <c r="O526" s="37"/>
      <c r="P526" s="37"/>
      <c r="Q526" s="18">
        <v>5500</v>
      </c>
    </row>
    <row r="527" spans="1:17" ht="35.25" customHeight="1">
      <c r="A527" s="33" t="s">
        <v>259</v>
      </c>
      <c r="B527" s="8"/>
      <c r="C527" s="8"/>
      <c r="D527" s="19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24.75" customHeight="1">
      <c r="A528" s="32" t="s">
        <v>256</v>
      </c>
      <c r="B528" s="8"/>
      <c r="C528" s="8"/>
      <c r="D528" s="113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235" s="191" customFormat="1" ht="15" customHeight="1">
      <c r="A529" s="178" t="s">
        <v>378</v>
      </c>
      <c r="B529" s="187"/>
      <c r="C529" s="187"/>
      <c r="D529" s="217">
        <f>D531</f>
        <v>6000</v>
      </c>
      <c r="E529" s="218"/>
      <c r="F529" s="217">
        <f>D529</f>
        <v>6000</v>
      </c>
      <c r="G529" s="188">
        <f>G531</f>
        <v>4461000</v>
      </c>
      <c r="H529" s="189"/>
      <c r="I529" s="189"/>
      <c r="J529" s="236">
        <f>G529</f>
        <v>4461000</v>
      </c>
      <c r="K529" s="189"/>
      <c r="L529" s="189"/>
      <c r="M529" s="189"/>
      <c r="N529" s="189"/>
      <c r="O529" s="189"/>
      <c r="P529" s="189"/>
      <c r="Q529" s="189">
        <v>5500</v>
      </c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190"/>
      <c r="AT529" s="190"/>
      <c r="AU529" s="190"/>
      <c r="AV529" s="190"/>
      <c r="AW529" s="190"/>
      <c r="AX529" s="190"/>
      <c r="AY529" s="190"/>
      <c r="AZ529" s="190"/>
      <c r="BA529" s="190"/>
      <c r="BB529" s="190"/>
      <c r="BC529" s="190"/>
      <c r="BD529" s="190"/>
      <c r="BE529" s="190"/>
      <c r="BF529" s="190"/>
      <c r="BG529" s="190"/>
      <c r="BH529" s="190"/>
      <c r="BI529" s="190"/>
      <c r="BJ529" s="190"/>
      <c r="BK529" s="190"/>
      <c r="BL529" s="190"/>
      <c r="BM529" s="190"/>
      <c r="BN529" s="190"/>
      <c r="BO529" s="190"/>
      <c r="BP529" s="190"/>
      <c r="BQ529" s="190"/>
      <c r="BR529" s="190"/>
      <c r="BS529" s="190"/>
      <c r="BT529" s="190"/>
      <c r="BU529" s="190"/>
      <c r="BV529" s="190"/>
      <c r="BW529" s="190"/>
      <c r="BX529" s="190"/>
      <c r="BY529" s="190"/>
      <c r="BZ529" s="190"/>
      <c r="CA529" s="190"/>
      <c r="CB529" s="190"/>
      <c r="CC529" s="190"/>
      <c r="CD529" s="190"/>
      <c r="CE529" s="190"/>
      <c r="CF529" s="190"/>
      <c r="CG529" s="190"/>
      <c r="CH529" s="190"/>
      <c r="CI529" s="190"/>
      <c r="CJ529" s="190"/>
      <c r="CK529" s="190"/>
      <c r="CL529" s="190"/>
      <c r="CM529" s="190"/>
      <c r="CN529" s="190"/>
      <c r="CO529" s="190"/>
      <c r="CP529" s="190"/>
      <c r="CQ529" s="190"/>
      <c r="CR529" s="190"/>
      <c r="CS529" s="190"/>
      <c r="CT529" s="190"/>
      <c r="CU529" s="190"/>
      <c r="CV529" s="190"/>
      <c r="CW529" s="190"/>
      <c r="CX529" s="190"/>
      <c r="CY529" s="190"/>
      <c r="CZ529" s="190"/>
      <c r="DA529" s="190"/>
      <c r="DB529" s="190"/>
      <c r="DC529" s="190"/>
      <c r="DD529" s="190"/>
      <c r="DE529" s="190"/>
      <c r="DF529" s="190"/>
      <c r="DG529" s="190"/>
      <c r="DH529" s="190"/>
      <c r="DI529" s="190"/>
      <c r="DJ529" s="190"/>
      <c r="DK529" s="190"/>
      <c r="DL529" s="190"/>
      <c r="DM529" s="190"/>
      <c r="DN529" s="190"/>
      <c r="DO529" s="190"/>
      <c r="DP529" s="190"/>
      <c r="DQ529" s="190"/>
      <c r="DR529" s="190"/>
      <c r="DS529" s="190"/>
      <c r="DT529" s="190"/>
      <c r="DU529" s="190"/>
      <c r="DV529" s="190"/>
      <c r="DW529" s="190"/>
      <c r="DX529" s="190"/>
      <c r="DY529" s="190"/>
      <c r="DZ529" s="190"/>
      <c r="EA529" s="190"/>
      <c r="EB529" s="190"/>
      <c r="EC529" s="190"/>
      <c r="ED529" s="190"/>
      <c r="EE529" s="190"/>
      <c r="EF529" s="190"/>
      <c r="EG529" s="190"/>
      <c r="EH529" s="190"/>
      <c r="EI529" s="190"/>
      <c r="EJ529" s="190"/>
      <c r="EK529" s="190"/>
      <c r="EL529" s="190"/>
      <c r="EM529" s="190"/>
      <c r="EN529" s="190"/>
      <c r="EO529" s="190"/>
      <c r="EP529" s="190"/>
      <c r="EQ529" s="190"/>
      <c r="ER529" s="190"/>
      <c r="ES529" s="190"/>
      <c r="ET529" s="190"/>
      <c r="EU529" s="190"/>
      <c r="EV529" s="190"/>
      <c r="EW529" s="190"/>
      <c r="EX529" s="190"/>
      <c r="EY529" s="190"/>
      <c r="EZ529" s="190"/>
      <c r="FA529" s="190"/>
      <c r="FB529" s="190"/>
      <c r="FC529" s="190"/>
      <c r="FD529" s="190"/>
      <c r="FE529" s="190"/>
      <c r="FF529" s="190"/>
      <c r="FG529" s="190"/>
      <c r="FH529" s="190"/>
      <c r="FI529" s="190"/>
      <c r="FJ529" s="190"/>
      <c r="FK529" s="190"/>
      <c r="FL529" s="190"/>
      <c r="FM529" s="190"/>
      <c r="FN529" s="190"/>
      <c r="FO529" s="190"/>
      <c r="FP529" s="190"/>
      <c r="FQ529" s="190"/>
      <c r="FR529" s="190"/>
      <c r="FS529" s="190"/>
      <c r="FT529" s="190"/>
      <c r="FU529" s="190"/>
      <c r="FV529" s="190"/>
      <c r="FW529" s="190"/>
      <c r="FX529" s="190"/>
      <c r="FY529" s="190"/>
      <c r="FZ529" s="190"/>
      <c r="GA529" s="190"/>
      <c r="GB529" s="190"/>
      <c r="GC529" s="190"/>
      <c r="GD529" s="190"/>
      <c r="GE529" s="190"/>
      <c r="GF529" s="190"/>
      <c r="GG529" s="190"/>
      <c r="GH529" s="190"/>
      <c r="GI529" s="190"/>
      <c r="GJ529" s="190"/>
      <c r="GK529" s="190"/>
      <c r="GL529" s="190"/>
      <c r="GM529" s="190"/>
      <c r="GN529" s="190"/>
      <c r="GO529" s="190"/>
      <c r="GP529" s="190"/>
      <c r="GQ529" s="190"/>
      <c r="GR529" s="190"/>
      <c r="GS529" s="190"/>
      <c r="GT529" s="190"/>
      <c r="GU529" s="190"/>
      <c r="GV529" s="190"/>
      <c r="GW529" s="190"/>
      <c r="GX529" s="190"/>
      <c r="GY529" s="190"/>
      <c r="GZ529" s="190"/>
      <c r="HA529" s="190"/>
      <c r="HB529" s="190"/>
      <c r="HC529" s="190"/>
      <c r="HD529" s="190"/>
      <c r="HE529" s="190"/>
      <c r="HF529" s="190"/>
      <c r="HG529" s="190"/>
      <c r="HH529" s="190"/>
      <c r="HI529" s="190"/>
      <c r="HJ529" s="190"/>
      <c r="HK529" s="190"/>
      <c r="HL529" s="190"/>
      <c r="HM529" s="190"/>
      <c r="HN529" s="190"/>
      <c r="HO529" s="190"/>
      <c r="HP529" s="190"/>
      <c r="HQ529" s="190"/>
      <c r="HR529" s="190"/>
      <c r="HS529" s="190"/>
      <c r="HT529" s="190"/>
      <c r="HU529" s="190"/>
      <c r="HV529" s="190"/>
      <c r="HW529" s="190"/>
      <c r="HX529" s="190"/>
      <c r="HY529" s="190"/>
      <c r="HZ529" s="190"/>
      <c r="IA529" s="190"/>
    </row>
    <row r="530" spans="1:17" ht="12" customHeight="1">
      <c r="A530" s="31" t="s">
        <v>4</v>
      </c>
      <c r="B530" s="8"/>
      <c r="C530" s="8"/>
      <c r="D530" s="145"/>
      <c r="E530" s="142"/>
      <c r="F530" s="142"/>
      <c r="G530" s="19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" customHeight="1">
      <c r="A531" s="32" t="s">
        <v>63</v>
      </c>
      <c r="B531" s="8"/>
      <c r="C531" s="8"/>
      <c r="D531" s="144">
        <f>(D533*D537)+(D534*D538)</f>
        <v>6000</v>
      </c>
      <c r="E531" s="142"/>
      <c r="F531" s="143">
        <f>D531</f>
        <v>6000</v>
      </c>
      <c r="G531" s="19">
        <v>4461000</v>
      </c>
      <c r="H531" s="7"/>
      <c r="I531" s="7"/>
      <c r="J531" s="7">
        <f>G531</f>
        <v>4461000</v>
      </c>
      <c r="K531" s="7"/>
      <c r="L531" s="7"/>
      <c r="M531" s="7"/>
      <c r="N531" s="7"/>
      <c r="O531" s="7"/>
      <c r="P531" s="7"/>
      <c r="Q531" s="7">
        <v>5500</v>
      </c>
    </row>
    <row r="532" spans="1:17" ht="12.75" customHeight="1">
      <c r="A532" s="31" t="s">
        <v>5</v>
      </c>
      <c r="B532" s="8"/>
      <c r="C532" s="8"/>
      <c r="D532" s="145"/>
      <c r="E532" s="142"/>
      <c r="F532" s="142"/>
      <c r="G532" s="19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23.25" customHeight="1">
      <c r="A533" s="32" t="s">
        <v>261</v>
      </c>
      <c r="B533" s="8"/>
      <c r="C533" s="8"/>
      <c r="D533" s="145">
        <v>1</v>
      </c>
      <c r="E533" s="142"/>
      <c r="F533" s="142">
        <f>D533</f>
        <v>1</v>
      </c>
      <c r="G533" s="19"/>
      <c r="H533" s="7"/>
      <c r="I533" s="7"/>
      <c r="J533" s="7"/>
      <c r="K533" s="10"/>
      <c r="L533" s="10"/>
      <c r="M533" s="10"/>
      <c r="N533" s="10"/>
      <c r="O533" s="10"/>
      <c r="P533" s="10"/>
      <c r="Q533" s="10">
        <v>1</v>
      </c>
    </row>
    <row r="534" spans="1:17" ht="22.5">
      <c r="A534" s="32" t="s">
        <v>279</v>
      </c>
      <c r="B534" s="8"/>
      <c r="C534" s="8"/>
      <c r="D534" s="145">
        <v>1</v>
      </c>
      <c r="E534" s="142"/>
      <c r="F534" s="142">
        <v>1</v>
      </c>
      <c r="G534" s="19"/>
      <c r="H534" s="7"/>
      <c r="I534" s="7"/>
      <c r="J534" s="7"/>
      <c r="K534" s="10"/>
      <c r="L534" s="10"/>
      <c r="M534" s="10"/>
      <c r="N534" s="10"/>
      <c r="O534" s="10"/>
      <c r="P534" s="10"/>
      <c r="Q534" s="10"/>
    </row>
    <row r="535" spans="1:17" ht="22.5">
      <c r="A535" s="32" t="s">
        <v>313</v>
      </c>
      <c r="B535" s="8"/>
      <c r="C535" s="8"/>
      <c r="D535" s="145"/>
      <c r="E535" s="142"/>
      <c r="F535" s="142"/>
      <c r="G535" s="19">
        <v>1487</v>
      </c>
      <c r="H535" s="7"/>
      <c r="I535" s="7"/>
      <c r="J535" s="7">
        <f>G535</f>
        <v>1487</v>
      </c>
      <c r="K535" s="10"/>
      <c r="L535" s="10"/>
      <c r="M535" s="10"/>
      <c r="N535" s="10"/>
      <c r="O535" s="10"/>
      <c r="P535" s="10"/>
      <c r="Q535" s="10"/>
    </row>
    <row r="536" spans="1:17" ht="12.75" customHeight="1">
      <c r="A536" s="31" t="s">
        <v>7</v>
      </c>
      <c r="B536" s="8"/>
      <c r="C536" s="8"/>
      <c r="D536" s="145"/>
      <c r="E536" s="142"/>
      <c r="F536" s="142"/>
      <c r="G536" s="19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24" customHeight="1">
      <c r="A537" s="32" t="s">
        <v>260</v>
      </c>
      <c r="B537" s="8"/>
      <c r="C537" s="8"/>
      <c r="D537" s="144">
        <v>3000</v>
      </c>
      <c r="E537" s="142"/>
      <c r="F537" s="143">
        <f>D537</f>
        <v>3000</v>
      </c>
      <c r="G537" s="19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26.25" customHeight="1">
      <c r="A538" s="32" t="s">
        <v>280</v>
      </c>
      <c r="B538" s="8"/>
      <c r="C538" s="8"/>
      <c r="D538" s="151">
        <v>3000</v>
      </c>
      <c r="E538" s="88"/>
      <c r="F538" s="89">
        <f>D538</f>
        <v>3000</v>
      </c>
      <c r="G538" s="19"/>
      <c r="H538" s="7"/>
      <c r="I538" s="7"/>
      <c r="J538" s="7"/>
      <c r="K538" s="7"/>
      <c r="L538" s="7"/>
      <c r="M538" s="7"/>
      <c r="N538" s="7"/>
      <c r="O538" s="7"/>
      <c r="P538" s="7"/>
      <c r="Q538" s="7">
        <v>5500</v>
      </c>
    </row>
    <row r="539" spans="1:17" ht="22.5">
      <c r="A539" s="32" t="s">
        <v>314</v>
      </c>
      <c r="B539" s="8"/>
      <c r="C539" s="8"/>
      <c r="D539" s="151"/>
      <c r="E539" s="88"/>
      <c r="F539" s="89"/>
      <c r="G539" s="19">
        <v>3000</v>
      </c>
      <c r="H539" s="7"/>
      <c r="I539" s="7"/>
      <c r="J539" s="7">
        <f>G539</f>
        <v>3000</v>
      </c>
      <c r="K539" s="7"/>
      <c r="L539" s="7"/>
      <c r="M539" s="7"/>
      <c r="N539" s="7"/>
      <c r="O539" s="7"/>
      <c r="P539" s="7"/>
      <c r="Q539" s="157"/>
    </row>
    <row r="540" spans="1:17" ht="12">
      <c r="A540" s="24">
        <v>250903</v>
      </c>
      <c r="B540" s="40"/>
      <c r="C540" s="40"/>
      <c r="D540" s="37">
        <f>D543</f>
        <v>1214000</v>
      </c>
      <c r="E540" s="37">
        <v>0</v>
      </c>
      <c r="F540" s="37">
        <f>D540</f>
        <v>1214000</v>
      </c>
      <c r="G540" s="37">
        <f>G543</f>
        <v>8080000</v>
      </c>
      <c r="H540" s="37"/>
      <c r="I540" s="37">
        <f>I543</f>
        <v>0</v>
      </c>
      <c r="J540" s="247">
        <f>J543</f>
        <v>8080000</v>
      </c>
      <c r="K540" s="37"/>
      <c r="L540" s="37"/>
      <c r="M540" s="37"/>
      <c r="N540" s="37"/>
      <c r="O540" s="37"/>
      <c r="P540" s="37"/>
      <c r="Q540" s="157"/>
    </row>
    <row r="541" spans="1:17" ht="33.75">
      <c r="A541" s="33" t="s">
        <v>259</v>
      </c>
      <c r="B541" s="8"/>
      <c r="C541" s="8"/>
      <c r="D541" s="19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157"/>
    </row>
    <row r="542" spans="1:17" ht="67.5">
      <c r="A542" s="32" t="s">
        <v>341</v>
      </c>
      <c r="B542" s="8"/>
      <c r="C542" s="8"/>
      <c r="D542" s="113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157"/>
    </row>
    <row r="543" spans="1:17" ht="102.75" customHeight="1">
      <c r="A543" s="30" t="s">
        <v>379</v>
      </c>
      <c r="B543" s="40"/>
      <c r="C543" s="40"/>
      <c r="D543" s="179">
        <f>D545</f>
        <v>1214000</v>
      </c>
      <c r="E543" s="180"/>
      <c r="F543" s="179">
        <f>D543</f>
        <v>1214000</v>
      </c>
      <c r="G543" s="102">
        <f>G545</f>
        <v>8080000</v>
      </c>
      <c r="H543" s="85"/>
      <c r="I543" s="85"/>
      <c r="J543" s="85">
        <f>J545</f>
        <v>8080000</v>
      </c>
      <c r="K543" s="36"/>
      <c r="L543" s="36"/>
      <c r="M543" s="36"/>
      <c r="N543" s="85"/>
      <c r="O543" s="85"/>
      <c r="P543" s="85"/>
      <c r="Q543" s="157"/>
    </row>
    <row r="544" spans="1:17" ht="11.25">
      <c r="A544" s="31" t="s">
        <v>4</v>
      </c>
      <c r="B544" s="8"/>
      <c r="C544" s="8"/>
      <c r="D544" s="145"/>
      <c r="E544" s="142"/>
      <c r="F544" s="14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157"/>
    </row>
    <row r="545" spans="1:17" ht="11.25">
      <c r="A545" s="32" t="s">
        <v>63</v>
      </c>
      <c r="B545" s="8"/>
      <c r="C545" s="8"/>
      <c r="D545" s="144">
        <f>D550*D547</f>
        <v>1214000</v>
      </c>
      <c r="E545" s="142"/>
      <c r="F545" s="143">
        <f>D545</f>
        <v>1214000</v>
      </c>
      <c r="G545" s="7">
        <f>G550*G547</f>
        <v>8080000</v>
      </c>
      <c r="H545" s="7"/>
      <c r="I545" s="7"/>
      <c r="J545" s="7">
        <f>G545</f>
        <v>8080000</v>
      </c>
      <c r="K545" s="7"/>
      <c r="L545" s="7"/>
      <c r="M545" s="7"/>
      <c r="N545" s="7"/>
      <c r="O545" s="7"/>
      <c r="P545" s="7"/>
      <c r="Q545" s="157"/>
    </row>
    <row r="546" spans="1:17" ht="11.25">
      <c r="A546" s="31" t="s">
        <v>5</v>
      </c>
      <c r="B546" s="8"/>
      <c r="C546" s="8"/>
      <c r="D546" s="145"/>
      <c r="E546" s="142"/>
      <c r="F546" s="14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157"/>
    </row>
    <row r="547" spans="1:17" ht="22.5">
      <c r="A547" s="32" t="s">
        <v>330</v>
      </c>
      <c r="B547" s="8"/>
      <c r="C547" s="8"/>
      <c r="D547" s="145">
        <v>2</v>
      </c>
      <c r="E547" s="142"/>
      <c r="F547" s="142">
        <v>2</v>
      </c>
      <c r="G547" s="7">
        <v>2</v>
      </c>
      <c r="H547" s="7"/>
      <c r="I547" s="7"/>
      <c r="J547" s="7">
        <f>G547</f>
        <v>2</v>
      </c>
      <c r="K547" s="10"/>
      <c r="L547" s="10"/>
      <c r="M547" s="10"/>
      <c r="N547" s="10"/>
      <c r="O547" s="10"/>
      <c r="P547" s="10"/>
      <c r="Q547" s="157"/>
    </row>
    <row r="548" spans="1:17" ht="22.5" hidden="1">
      <c r="A548" s="32" t="s">
        <v>279</v>
      </c>
      <c r="B548" s="8"/>
      <c r="C548" s="8"/>
      <c r="D548" s="145"/>
      <c r="E548" s="142"/>
      <c r="F548" s="142"/>
      <c r="G548" s="7"/>
      <c r="H548" s="7"/>
      <c r="I548" s="7"/>
      <c r="J548" s="7"/>
      <c r="K548" s="10"/>
      <c r="L548" s="10"/>
      <c r="M548" s="10"/>
      <c r="N548" s="10"/>
      <c r="O548" s="10"/>
      <c r="P548" s="10"/>
      <c r="Q548" s="157"/>
    </row>
    <row r="549" spans="1:17" ht="11.25">
      <c r="A549" s="31" t="s">
        <v>7</v>
      </c>
      <c r="B549" s="8"/>
      <c r="C549" s="8"/>
      <c r="D549" s="145"/>
      <c r="E549" s="142"/>
      <c r="F549" s="14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157"/>
    </row>
    <row r="550" spans="1:17" ht="22.5">
      <c r="A550" s="32" t="s">
        <v>331</v>
      </c>
      <c r="B550" s="8"/>
      <c r="C550" s="8"/>
      <c r="D550" s="144">
        <v>607000</v>
      </c>
      <c r="E550" s="142"/>
      <c r="F550" s="143">
        <f>D550</f>
        <v>607000</v>
      </c>
      <c r="G550" s="7">
        <v>4040000</v>
      </c>
      <c r="H550" s="7"/>
      <c r="I550" s="7"/>
      <c r="J550" s="7">
        <f>G550</f>
        <v>4040000</v>
      </c>
      <c r="K550" s="7"/>
      <c r="L550" s="7"/>
      <c r="M550" s="7"/>
      <c r="N550" s="7"/>
      <c r="O550" s="7"/>
      <c r="P550" s="7"/>
      <c r="Q550" s="157"/>
    </row>
    <row r="551" spans="1:235" ht="33.75" hidden="1">
      <c r="A551" s="32" t="s">
        <v>280</v>
      </c>
      <c r="B551" s="8"/>
      <c r="C551" s="8"/>
      <c r="D551" s="151"/>
      <c r="E551" s="88"/>
      <c r="F551" s="89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157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</row>
    <row r="552" spans="1:235" ht="12">
      <c r="A552" s="24">
        <v>180107</v>
      </c>
      <c r="B552" s="40"/>
      <c r="C552" s="40"/>
      <c r="D552" s="37">
        <f>D555</f>
        <v>0</v>
      </c>
      <c r="E552" s="37">
        <v>0</v>
      </c>
      <c r="F552" s="37">
        <f>D552</f>
        <v>0</v>
      </c>
      <c r="G552" s="37">
        <f>G555</f>
        <v>1200000</v>
      </c>
      <c r="H552" s="37"/>
      <c r="I552" s="37">
        <f>I555</f>
        <v>0</v>
      </c>
      <c r="J552" s="247">
        <f>J555</f>
        <v>1200000</v>
      </c>
      <c r="K552" s="37"/>
      <c r="L552" s="37"/>
      <c r="M552" s="37"/>
      <c r="N552" s="37">
        <f>N555</f>
        <v>500000</v>
      </c>
      <c r="O552" s="37"/>
      <c r="P552" s="37">
        <f>P555</f>
        <v>500000</v>
      </c>
      <c r="Q552" s="157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</row>
    <row r="553" spans="1:235" ht="33.75">
      <c r="A553" s="33" t="s">
        <v>259</v>
      </c>
      <c r="B553" s="8"/>
      <c r="C553" s="8"/>
      <c r="D553" s="19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157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</row>
    <row r="554" spans="1:235" ht="67.5">
      <c r="A554" s="32" t="s">
        <v>283</v>
      </c>
      <c r="B554" s="8"/>
      <c r="C554" s="8"/>
      <c r="D554" s="113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157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</row>
    <row r="555" spans="1:235" ht="22.5">
      <c r="A555" s="30" t="s">
        <v>380</v>
      </c>
      <c r="B555" s="40"/>
      <c r="C555" s="40"/>
      <c r="D555" s="149">
        <f>200000-200000</f>
        <v>0</v>
      </c>
      <c r="E555" s="150"/>
      <c r="F555" s="149">
        <f>D555</f>
        <v>0</v>
      </c>
      <c r="G555" s="102">
        <f>500000+200000+500000</f>
        <v>1200000</v>
      </c>
      <c r="H555" s="85"/>
      <c r="I555" s="85"/>
      <c r="J555" s="239">
        <f>G555</f>
        <v>1200000</v>
      </c>
      <c r="K555" s="36"/>
      <c r="L555" s="36"/>
      <c r="M555" s="36"/>
      <c r="N555" s="85">
        <v>500000</v>
      </c>
      <c r="O555" s="85"/>
      <c r="P555" s="85">
        <f>N555</f>
        <v>500000</v>
      </c>
      <c r="Q555" s="157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</row>
    <row r="556" spans="1:235" ht="11.25">
      <c r="A556" s="31" t="s">
        <v>4</v>
      </c>
      <c r="B556" s="8"/>
      <c r="C556" s="8"/>
      <c r="D556" s="145"/>
      <c r="E556" s="142"/>
      <c r="F556" s="142"/>
      <c r="G556" s="19"/>
      <c r="H556" s="7"/>
      <c r="I556" s="7"/>
      <c r="J556" s="7"/>
      <c r="K556" s="7"/>
      <c r="L556" s="7"/>
      <c r="M556" s="7"/>
      <c r="N556" s="7"/>
      <c r="O556" s="7"/>
      <c r="P556" s="7"/>
      <c r="Q556" s="157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</row>
    <row r="557" spans="1:235" ht="33.75">
      <c r="A557" s="32" t="s">
        <v>290</v>
      </c>
      <c r="B557" s="8"/>
      <c r="C557" s="8"/>
      <c r="D557" s="158">
        <v>120</v>
      </c>
      <c r="E557" s="159"/>
      <c r="F557" s="159">
        <f>D557</f>
        <v>120</v>
      </c>
      <c r="G557" s="159">
        <v>120</v>
      </c>
      <c r="H557" s="159"/>
      <c r="I557" s="159"/>
      <c r="J557" s="159">
        <f>G557</f>
        <v>120</v>
      </c>
      <c r="K557" s="159">
        <f>H557</f>
        <v>0</v>
      </c>
      <c r="L557" s="159">
        <f>J557</f>
        <v>120</v>
      </c>
      <c r="M557" s="159">
        <f>K557</f>
        <v>0</v>
      </c>
      <c r="N557" s="159">
        <f>L557</f>
        <v>120</v>
      </c>
      <c r="O557" s="159"/>
      <c r="P557" s="159">
        <f>N557</f>
        <v>120</v>
      </c>
      <c r="Q557" s="1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</row>
    <row r="558" spans="1:235" ht="11.25">
      <c r="A558" s="31" t="s">
        <v>5</v>
      </c>
      <c r="B558" s="8"/>
      <c r="C558" s="8"/>
      <c r="D558" s="145"/>
      <c r="E558" s="142"/>
      <c r="F558" s="142"/>
      <c r="G558" s="19"/>
      <c r="H558" s="7"/>
      <c r="I558" s="7"/>
      <c r="J558" s="7"/>
      <c r="K558" s="7"/>
      <c r="L558" s="7"/>
      <c r="M558" s="7"/>
      <c r="N558" s="7"/>
      <c r="O558" s="7"/>
      <c r="P558" s="7"/>
      <c r="Q558" s="157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</row>
    <row r="559" spans="1:235" ht="32.25" customHeight="1">
      <c r="A559" s="32" t="s">
        <v>291</v>
      </c>
      <c r="B559" s="8"/>
      <c r="C559" s="8"/>
      <c r="D559" s="145">
        <v>120</v>
      </c>
      <c r="E559" s="142"/>
      <c r="F559" s="142">
        <v>120</v>
      </c>
      <c r="G559" s="10">
        <v>120</v>
      </c>
      <c r="H559" s="10"/>
      <c r="I559" s="10"/>
      <c r="J559" s="10">
        <f>G559</f>
        <v>120</v>
      </c>
      <c r="K559" s="10"/>
      <c r="L559" s="10"/>
      <c r="M559" s="10"/>
      <c r="N559" s="10">
        <v>120</v>
      </c>
      <c r="O559" s="10"/>
      <c r="P559" s="10">
        <f>N559</f>
        <v>120</v>
      </c>
      <c r="Q559" s="157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</row>
    <row r="560" spans="1:235" ht="22.5" hidden="1">
      <c r="A560" s="32" t="s">
        <v>279</v>
      </c>
      <c r="B560" s="8"/>
      <c r="C560" s="8"/>
      <c r="D560" s="145"/>
      <c r="E560" s="142"/>
      <c r="F560" s="142"/>
      <c r="G560" s="19"/>
      <c r="H560" s="7"/>
      <c r="I560" s="7"/>
      <c r="J560" s="7"/>
      <c r="K560" s="10"/>
      <c r="L560" s="10"/>
      <c r="M560" s="10"/>
      <c r="N560" s="10"/>
      <c r="O560" s="10"/>
      <c r="P560" s="10"/>
      <c r="Q560" s="157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</row>
    <row r="561" spans="1:235" ht="11.25">
      <c r="A561" s="31" t="s">
        <v>7</v>
      </c>
      <c r="B561" s="8"/>
      <c r="C561" s="8"/>
      <c r="D561" s="145"/>
      <c r="E561" s="142"/>
      <c r="F561" s="142"/>
      <c r="G561" s="19"/>
      <c r="H561" s="7"/>
      <c r="I561" s="7"/>
      <c r="J561" s="7"/>
      <c r="K561" s="7"/>
      <c r="L561" s="7"/>
      <c r="M561" s="7"/>
      <c r="N561" s="7"/>
      <c r="O561" s="7"/>
      <c r="P561" s="7"/>
      <c r="Q561" s="157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</row>
    <row r="562" spans="1:235" ht="22.5">
      <c r="A562" s="32" t="s">
        <v>292</v>
      </c>
      <c r="B562" s="8"/>
      <c r="C562" s="8"/>
      <c r="D562" s="144">
        <f>D555/D559</f>
        <v>0</v>
      </c>
      <c r="E562" s="142"/>
      <c r="F562" s="143">
        <f>D562</f>
        <v>0</v>
      </c>
      <c r="G562" s="19">
        <f>G555/G559</f>
        <v>10000</v>
      </c>
      <c r="H562" s="7"/>
      <c r="I562" s="7"/>
      <c r="J562" s="7">
        <f>G562</f>
        <v>10000</v>
      </c>
      <c r="K562" s="7"/>
      <c r="L562" s="7"/>
      <c r="M562" s="7"/>
      <c r="N562" s="7">
        <f>N555/N559</f>
        <v>4166.666666666667</v>
      </c>
      <c r="O562" s="7"/>
      <c r="P562" s="7">
        <f>N562</f>
        <v>4166.666666666667</v>
      </c>
      <c r="Q562" s="157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</row>
    <row r="563" spans="1:235" ht="11.25" hidden="1">
      <c r="A563" s="152"/>
      <c r="B563" s="84"/>
      <c r="C563" s="84"/>
      <c r="D563" s="153"/>
      <c r="E563" s="154"/>
      <c r="F563" s="155"/>
      <c r="G563" s="156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</row>
    <row r="564" spans="1:235" ht="11.25" hidden="1">
      <c r="A564" s="152"/>
      <c r="B564" s="84"/>
      <c r="C564" s="84"/>
      <c r="D564" s="153"/>
      <c r="E564" s="154"/>
      <c r="F564" s="155"/>
      <c r="G564" s="156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</row>
    <row r="565" spans="1:235" ht="11.25" hidden="1">
      <c r="A565" s="152"/>
      <c r="B565" s="84"/>
      <c r="C565" s="84"/>
      <c r="D565" s="153"/>
      <c r="E565" s="154"/>
      <c r="F565" s="155"/>
      <c r="G565" s="156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</row>
    <row r="566" spans="1:235" ht="11.25" hidden="1">
      <c r="A566" s="152"/>
      <c r="B566" s="84"/>
      <c r="C566" s="84"/>
      <c r="D566" s="153"/>
      <c r="E566" s="154"/>
      <c r="F566" s="155"/>
      <c r="G566" s="156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</row>
    <row r="567" spans="1:235" ht="12">
      <c r="A567" s="24">
        <v>100208</v>
      </c>
      <c r="B567" s="8"/>
      <c r="C567" s="8"/>
      <c r="D567" s="37">
        <f>D570</f>
        <v>0</v>
      </c>
      <c r="E567" s="37">
        <f>E570</f>
        <v>1084420</v>
      </c>
      <c r="F567" s="37">
        <f>D567+E567</f>
        <v>1084420</v>
      </c>
      <c r="G567" s="37"/>
      <c r="H567" s="37">
        <f>H570</f>
        <v>3700000</v>
      </c>
      <c r="I567" s="37">
        <f>I570</f>
        <v>0</v>
      </c>
      <c r="J567" s="247">
        <f>J570</f>
        <v>3700000</v>
      </c>
      <c r="K567" s="37"/>
      <c r="L567" s="37"/>
      <c r="M567" s="37"/>
      <c r="N567" s="37"/>
      <c r="O567" s="37"/>
      <c r="P567" s="37"/>
      <c r="Q567" s="15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</row>
    <row r="568" spans="1:235" ht="33.75">
      <c r="A568" s="33" t="s">
        <v>259</v>
      </c>
      <c r="B568" s="8"/>
      <c r="C568" s="8"/>
      <c r="D568" s="19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157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</row>
    <row r="569" spans="1:235" ht="22.5">
      <c r="A569" s="32" t="s">
        <v>293</v>
      </c>
      <c r="B569" s="8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157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</row>
    <row r="570" spans="1:17" s="191" customFormat="1" ht="22.5">
      <c r="A570" s="178" t="s">
        <v>381</v>
      </c>
      <c r="B570" s="187"/>
      <c r="C570" s="187"/>
      <c r="D570" s="188"/>
      <c r="E570" s="189">
        <v>1084420</v>
      </c>
      <c r="F570" s="189">
        <f>D570+E570</f>
        <v>1084420</v>
      </c>
      <c r="G570" s="189"/>
      <c r="H570" s="189">
        <v>3700000</v>
      </c>
      <c r="I570" s="189"/>
      <c r="J570" s="236">
        <f>H570</f>
        <v>3700000</v>
      </c>
      <c r="K570" s="189"/>
      <c r="L570" s="189"/>
      <c r="M570" s="189"/>
      <c r="N570" s="189"/>
      <c r="O570" s="189"/>
      <c r="P570" s="189"/>
      <c r="Q570" s="219"/>
    </row>
    <row r="571" spans="1:235" ht="11.25">
      <c r="A571" s="31" t="s">
        <v>4</v>
      </c>
      <c r="B571" s="8"/>
      <c r="C571" s="8"/>
      <c r="D571" s="1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157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</row>
    <row r="572" spans="1:235" ht="11.25">
      <c r="A572" s="32" t="s">
        <v>63</v>
      </c>
      <c r="B572" s="8"/>
      <c r="C572" s="8"/>
      <c r="D572" s="19"/>
      <c r="E572" s="7">
        <f>E570</f>
        <v>1084420</v>
      </c>
      <c r="F572" s="7">
        <f>D572+E572</f>
        <v>1084420</v>
      </c>
      <c r="G572" s="7"/>
      <c r="H572" s="7">
        <f>H570</f>
        <v>3700000</v>
      </c>
      <c r="I572" s="7"/>
      <c r="J572" s="7">
        <f>H572</f>
        <v>3700000</v>
      </c>
      <c r="K572" s="7"/>
      <c r="L572" s="7"/>
      <c r="M572" s="7"/>
      <c r="N572" s="7"/>
      <c r="O572" s="7"/>
      <c r="P572" s="7"/>
      <c r="Q572" s="157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</row>
    <row r="573" spans="1:235" ht="11.25">
      <c r="A573" s="31" t="s">
        <v>5</v>
      </c>
      <c r="B573" s="8"/>
      <c r="C573" s="8"/>
      <c r="D573" s="1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157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</row>
    <row r="574" spans="1:235" ht="26.25" customHeight="1">
      <c r="A574" s="32" t="s">
        <v>294</v>
      </c>
      <c r="B574" s="8"/>
      <c r="C574" s="8"/>
      <c r="D574" s="10"/>
      <c r="E574" s="10">
        <v>39</v>
      </c>
      <c r="F574" s="10">
        <f>D574+E574</f>
        <v>39</v>
      </c>
      <c r="G574" s="10"/>
      <c r="H574" s="10">
        <f>H572/H577</f>
        <v>133.06652894880318</v>
      </c>
      <c r="I574" s="10"/>
      <c r="J574" s="10">
        <f>H574</f>
        <v>133.06652894880318</v>
      </c>
      <c r="K574" s="10"/>
      <c r="L574" s="10"/>
      <c r="M574" s="10"/>
      <c r="N574" s="10"/>
      <c r="O574" s="10"/>
      <c r="P574" s="10"/>
      <c r="Q574" s="157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</row>
    <row r="575" spans="1:235" ht="11.25" hidden="1">
      <c r="A575" s="32" t="s">
        <v>251</v>
      </c>
      <c r="B575" s="8"/>
      <c r="C575" s="8"/>
      <c r="D575" s="10">
        <v>145</v>
      </c>
      <c r="E575" s="10"/>
      <c r="F575" s="10">
        <f>D575</f>
        <v>145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57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</row>
    <row r="576" spans="1:235" ht="11.25">
      <c r="A576" s="31" t="s">
        <v>7</v>
      </c>
      <c r="B576" s="8"/>
      <c r="C576" s="8"/>
      <c r="D576" s="1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157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</row>
    <row r="577" spans="1:235" ht="22.5">
      <c r="A577" s="32" t="s">
        <v>295</v>
      </c>
      <c r="B577" s="8"/>
      <c r="C577" s="8"/>
      <c r="D577" s="19"/>
      <c r="E577" s="7">
        <f>E572/E574</f>
        <v>27805.641025641027</v>
      </c>
      <c r="F577" s="7">
        <f>F572/F574</f>
        <v>27805.641025641027</v>
      </c>
      <c r="G577" s="7"/>
      <c r="H577" s="7">
        <v>27805.64</v>
      </c>
      <c r="I577" s="7"/>
      <c r="J577" s="7">
        <f>H577</f>
        <v>27805.64</v>
      </c>
      <c r="K577" s="7"/>
      <c r="L577" s="7"/>
      <c r="M577" s="7"/>
      <c r="N577" s="7"/>
      <c r="O577" s="7"/>
      <c r="P577" s="7"/>
      <c r="Q577" s="15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</row>
    <row r="578" spans="1:235" ht="22.5" hidden="1">
      <c r="A578" s="32" t="s">
        <v>254</v>
      </c>
      <c r="B578" s="8"/>
      <c r="C578" s="8"/>
      <c r="D578" s="19">
        <v>270.34</v>
      </c>
      <c r="E578" s="7"/>
      <c r="F578" s="7">
        <f>D578</f>
        <v>270.34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157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</row>
    <row r="579" spans="1:235" ht="12">
      <c r="A579" s="24">
        <v>150202</v>
      </c>
      <c r="B579" s="40"/>
      <c r="C579" s="40"/>
      <c r="D579" s="37">
        <f>D582</f>
        <v>0</v>
      </c>
      <c r="E579" s="37">
        <v>0</v>
      </c>
      <c r="F579" s="37">
        <f>D579</f>
        <v>0</v>
      </c>
      <c r="G579" s="37">
        <f>G582</f>
        <v>465000</v>
      </c>
      <c r="H579" s="37"/>
      <c r="I579" s="37">
        <f>I582</f>
        <v>0</v>
      </c>
      <c r="J579" s="247">
        <f>J582</f>
        <v>465000</v>
      </c>
      <c r="K579" s="37"/>
      <c r="L579" s="37"/>
      <c r="M579" s="37"/>
      <c r="N579" s="37">
        <f>N582</f>
        <v>0</v>
      </c>
      <c r="O579" s="37"/>
      <c r="P579" s="37">
        <f>P582</f>
        <v>0</v>
      </c>
      <c r="Q579" s="157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</row>
    <row r="580" spans="1:235" ht="33.75">
      <c r="A580" s="33" t="s">
        <v>259</v>
      </c>
      <c r="B580" s="8"/>
      <c r="C580" s="8"/>
      <c r="D580" s="19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157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</row>
    <row r="581" spans="1:235" ht="11.25">
      <c r="A581" s="32" t="s">
        <v>318</v>
      </c>
      <c r="B581" s="8"/>
      <c r="C581" s="8"/>
      <c r="D581" s="113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157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</row>
    <row r="582" spans="1:17" s="191" customFormat="1" ht="22.5">
      <c r="A582" s="178" t="s">
        <v>382</v>
      </c>
      <c r="B582" s="187"/>
      <c r="C582" s="187"/>
      <c r="D582" s="217"/>
      <c r="E582" s="218"/>
      <c r="F582" s="217">
        <f>D582</f>
        <v>0</v>
      </c>
      <c r="G582" s="188">
        <f>465000</f>
        <v>465000</v>
      </c>
      <c r="H582" s="189"/>
      <c r="I582" s="189"/>
      <c r="J582" s="236">
        <f>G582</f>
        <v>465000</v>
      </c>
      <c r="K582" s="189"/>
      <c r="L582" s="189"/>
      <c r="M582" s="189"/>
      <c r="N582" s="189"/>
      <c r="O582" s="189"/>
      <c r="P582" s="189"/>
      <c r="Q582" s="219"/>
    </row>
    <row r="583" spans="1:235" ht="11.25">
      <c r="A583" s="31" t="s">
        <v>4</v>
      </c>
      <c r="B583" s="8"/>
      <c r="C583" s="8"/>
      <c r="D583" s="145"/>
      <c r="E583" s="142"/>
      <c r="F583" s="142"/>
      <c r="G583" s="19"/>
      <c r="H583" s="7"/>
      <c r="I583" s="7"/>
      <c r="J583" s="7"/>
      <c r="K583" s="7"/>
      <c r="L583" s="7"/>
      <c r="M583" s="7"/>
      <c r="N583" s="7"/>
      <c r="O583" s="7"/>
      <c r="P583" s="7"/>
      <c r="Q583" s="157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</row>
    <row r="584" spans="1:235" ht="10.5" customHeight="1">
      <c r="A584" s="32" t="s">
        <v>63</v>
      </c>
      <c r="B584" s="8"/>
      <c r="C584" s="8"/>
      <c r="D584" s="145"/>
      <c r="E584" s="142"/>
      <c r="F584" s="142"/>
      <c r="G584" s="19">
        <f>465000</f>
        <v>465000</v>
      </c>
      <c r="H584" s="7"/>
      <c r="I584" s="7"/>
      <c r="J584" s="7">
        <f>G584</f>
        <v>465000</v>
      </c>
      <c r="K584" s="7"/>
      <c r="L584" s="7"/>
      <c r="M584" s="7"/>
      <c r="N584" s="7"/>
      <c r="O584" s="7"/>
      <c r="P584" s="7"/>
      <c r="Q584" s="157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</row>
    <row r="585" spans="1:235" ht="11.25" hidden="1">
      <c r="A585" s="32" t="s">
        <v>63</v>
      </c>
      <c r="B585" s="8"/>
      <c r="C585" s="8"/>
      <c r="D585" s="145"/>
      <c r="E585" s="142"/>
      <c r="F585" s="142"/>
      <c r="G585" s="19"/>
      <c r="H585" s="7"/>
      <c r="I585" s="7"/>
      <c r="J585" s="7"/>
      <c r="K585" s="7"/>
      <c r="L585" s="7"/>
      <c r="M585" s="7"/>
      <c r="N585" s="7"/>
      <c r="O585" s="7"/>
      <c r="P585" s="7"/>
      <c r="Q585" s="157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</row>
    <row r="586" spans="1:235" ht="11.25">
      <c r="A586" s="31" t="s">
        <v>5</v>
      </c>
      <c r="B586" s="8"/>
      <c r="C586" s="8"/>
      <c r="D586" s="145"/>
      <c r="E586" s="142"/>
      <c r="F586" s="142"/>
      <c r="G586" s="19"/>
      <c r="H586" s="7"/>
      <c r="I586" s="7"/>
      <c r="J586" s="7"/>
      <c r="K586" s="7"/>
      <c r="L586" s="7"/>
      <c r="M586" s="7"/>
      <c r="N586" s="7"/>
      <c r="O586" s="7"/>
      <c r="P586" s="7"/>
      <c r="Q586" s="157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</row>
    <row r="587" spans="1:235" ht="10.5" customHeight="1">
      <c r="A587" s="32" t="s">
        <v>296</v>
      </c>
      <c r="B587" s="8"/>
      <c r="C587" s="8"/>
      <c r="D587" s="158"/>
      <c r="E587" s="159"/>
      <c r="F587" s="159">
        <f>D587</f>
        <v>0</v>
      </c>
      <c r="G587" s="159">
        <v>1</v>
      </c>
      <c r="H587" s="159"/>
      <c r="I587" s="159"/>
      <c r="J587" s="159">
        <f>G587</f>
        <v>1</v>
      </c>
      <c r="K587" s="159">
        <f>H587</f>
        <v>0</v>
      </c>
      <c r="L587" s="159">
        <f>J587</f>
        <v>1</v>
      </c>
      <c r="M587" s="159">
        <f>K587</f>
        <v>0</v>
      </c>
      <c r="N587" s="159"/>
      <c r="O587" s="159"/>
      <c r="P587" s="159"/>
      <c r="Q587" s="15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</row>
    <row r="588" spans="1:235" ht="11.25" hidden="1">
      <c r="A588" s="32" t="s">
        <v>311</v>
      </c>
      <c r="B588" s="8"/>
      <c r="C588" s="8"/>
      <c r="D588" s="158"/>
      <c r="E588" s="159"/>
      <c r="F588" s="159"/>
      <c r="G588" s="159">
        <v>1487</v>
      </c>
      <c r="H588" s="159"/>
      <c r="I588" s="159"/>
      <c r="J588" s="159">
        <f>G588</f>
        <v>1487</v>
      </c>
      <c r="K588" s="159"/>
      <c r="L588" s="159"/>
      <c r="M588" s="159"/>
      <c r="N588" s="159"/>
      <c r="O588" s="159"/>
      <c r="P588" s="159"/>
      <c r="Q588" s="157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</row>
    <row r="589" spans="1:235" ht="11.25">
      <c r="A589" s="31" t="s">
        <v>7</v>
      </c>
      <c r="B589" s="8"/>
      <c r="C589" s="8"/>
      <c r="D589" s="145"/>
      <c r="E589" s="142"/>
      <c r="F589" s="142"/>
      <c r="G589" s="19"/>
      <c r="H589" s="7"/>
      <c r="I589" s="7"/>
      <c r="J589" s="7"/>
      <c r="K589" s="7"/>
      <c r="L589" s="7"/>
      <c r="M589" s="7"/>
      <c r="N589" s="7"/>
      <c r="O589" s="7"/>
      <c r="P589" s="7"/>
      <c r="Q589" s="157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</row>
    <row r="590" spans="1:235" ht="11.25">
      <c r="A590" s="32" t="s">
        <v>297</v>
      </c>
      <c r="B590" s="8"/>
      <c r="C590" s="8"/>
      <c r="D590" s="144"/>
      <c r="E590" s="142"/>
      <c r="F590" s="143"/>
      <c r="G590" s="19">
        <v>465000</v>
      </c>
      <c r="H590" s="7"/>
      <c r="I590" s="7"/>
      <c r="J590" s="7">
        <f>G590</f>
        <v>465000</v>
      </c>
      <c r="K590" s="7"/>
      <c r="L590" s="7"/>
      <c r="M590" s="7"/>
      <c r="N590" s="7"/>
      <c r="O590" s="7"/>
      <c r="P590" s="7"/>
      <c r="Q590" s="157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</row>
    <row r="591" spans="1:235" ht="11.25" hidden="1">
      <c r="A591" s="32"/>
      <c r="B591" s="8"/>
      <c r="C591" s="8"/>
      <c r="D591" s="19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157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</row>
    <row r="592" spans="1:235" ht="11.25" hidden="1">
      <c r="A592" s="32"/>
      <c r="B592" s="8"/>
      <c r="C592" s="8"/>
      <c r="D592" s="1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157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</row>
    <row r="593" spans="1:235" ht="11.25" hidden="1">
      <c r="A593" s="32"/>
      <c r="B593" s="8"/>
      <c r="C593" s="8"/>
      <c r="D593" s="1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157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</row>
    <row r="594" spans="1:235" ht="11.25" hidden="1">
      <c r="A594" s="32"/>
      <c r="B594" s="8"/>
      <c r="C594" s="8"/>
      <c r="D594" s="19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157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</row>
    <row r="595" spans="1:235" ht="11.25" hidden="1">
      <c r="A595" s="32"/>
      <c r="B595" s="8"/>
      <c r="C595" s="8"/>
      <c r="D595" s="1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157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</row>
    <row r="596" spans="1:235" ht="21" customHeight="1" hidden="1">
      <c r="A596" s="32" t="s">
        <v>312</v>
      </c>
      <c r="B596" s="8"/>
      <c r="C596" s="8"/>
      <c r="D596" s="19"/>
      <c r="E596" s="7"/>
      <c r="F596" s="7"/>
      <c r="G596" s="7">
        <v>3000</v>
      </c>
      <c r="H596" s="7"/>
      <c r="I596" s="7"/>
      <c r="J596" s="7">
        <f>G596</f>
        <v>3000</v>
      </c>
      <c r="K596" s="7"/>
      <c r="L596" s="7"/>
      <c r="M596" s="7"/>
      <c r="N596" s="7"/>
      <c r="O596" s="7"/>
      <c r="P596" s="7"/>
      <c r="Q596" s="157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</row>
    <row r="597" spans="1:17" s="183" customFormat="1" ht="12">
      <c r="A597" s="221">
        <v>180409</v>
      </c>
      <c r="B597" s="170"/>
      <c r="C597" s="170"/>
      <c r="D597" s="188">
        <f>D599+D613+D652+D661+D668</f>
        <v>0</v>
      </c>
      <c r="E597" s="188"/>
      <c r="F597" s="188">
        <f>D597</f>
        <v>0</v>
      </c>
      <c r="G597" s="188"/>
      <c r="H597" s="188">
        <f>H599</f>
        <v>64840231</v>
      </c>
      <c r="I597" s="235">
        <f>I599</f>
        <v>47000</v>
      </c>
      <c r="J597" s="247">
        <f>H597+I597</f>
        <v>64887231</v>
      </c>
      <c r="K597" s="188"/>
      <c r="L597" s="188"/>
      <c r="M597" s="188"/>
      <c r="N597" s="188"/>
      <c r="O597" s="188"/>
      <c r="P597" s="189"/>
      <c r="Q597" s="182"/>
    </row>
    <row r="598" spans="1:235" ht="22.5">
      <c r="A598" s="32" t="s">
        <v>298</v>
      </c>
      <c r="B598" s="8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157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</row>
    <row r="599" spans="1:17" s="191" customFormat="1" ht="33.75">
      <c r="A599" s="178" t="s">
        <v>383</v>
      </c>
      <c r="B599" s="187"/>
      <c r="C599" s="187"/>
      <c r="D599" s="188"/>
      <c r="E599" s="189"/>
      <c r="F599" s="189">
        <f>D599</f>
        <v>0</v>
      </c>
      <c r="G599" s="189"/>
      <c r="H599" s="189">
        <f>H601</f>
        <v>64840231</v>
      </c>
      <c r="I599" s="189">
        <f>I601</f>
        <v>47000</v>
      </c>
      <c r="J599" s="189">
        <f>H599+I599</f>
        <v>64887231</v>
      </c>
      <c r="K599" s="189"/>
      <c r="L599" s="189"/>
      <c r="M599" s="189"/>
      <c r="N599" s="189"/>
      <c r="O599" s="189"/>
      <c r="P599" s="189"/>
      <c r="Q599" s="219"/>
    </row>
    <row r="600" spans="1:235" ht="11.25">
      <c r="A600" s="31" t="s">
        <v>4</v>
      </c>
      <c r="B600" s="8"/>
      <c r="C600" s="8"/>
      <c r="D600" s="1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157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</row>
    <row r="601" spans="1:235" ht="11.25">
      <c r="A601" s="32" t="s">
        <v>63</v>
      </c>
      <c r="B601" s="8"/>
      <c r="C601" s="8"/>
      <c r="D601" s="19"/>
      <c r="E601" s="7"/>
      <c r="F601" s="7">
        <f>D601</f>
        <v>0</v>
      </c>
      <c r="G601" s="7"/>
      <c r="H601" s="7">
        <f>49855600+12000000+250000+1116250+339900+677700+277200+14159+17372+292000+50</f>
        <v>64840231</v>
      </c>
      <c r="I601" s="7">
        <v>47000</v>
      </c>
      <c r="J601" s="7">
        <f>H601+I601</f>
        <v>64887231</v>
      </c>
      <c r="K601" s="7"/>
      <c r="L601" s="7"/>
      <c r="M601" s="7"/>
      <c r="N601" s="7"/>
      <c r="O601" s="7"/>
      <c r="P601" s="10"/>
      <c r="Q601" s="157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</row>
    <row r="602" spans="1:235" ht="11.25">
      <c r="A602" s="31" t="s">
        <v>5</v>
      </c>
      <c r="B602" s="8"/>
      <c r="C602" s="8"/>
      <c r="D602" s="1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10"/>
      <c r="Q602" s="157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</row>
    <row r="603" spans="1:235" ht="33.75">
      <c r="A603" s="32" t="s">
        <v>299</v>
      </c>
      <c r="B603" s="8"/>
      <c r="C603" s="8"/>
      <c r="D603" s="19"/>
      <c r="E603" s="7"/>
      <c r="F603" s="7"/>
      <c r="G603" s="10"/>
      <c r="H603" s="10">
        <v>7</v>
      </c>
      <c r="I603" s="10"/>
      <c r="J603" s="10">
        <v>7</v>
      </c>
      <c r="K603" s="10"/>
      <c r="L603" s="10"/>
      <c r="M603" s="10"/>
      <c r="N603" s="10"/>
      <c r="O603" s="10"/>
      <c r="P603" s="7"/>
      <c r="Q603" s="157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</row>
    <row r="604" spans="1:235" ht="11.25">
      <c r="A604" s="31" t="s">
        <v>7</v>
      </c>
      <c r="B604" s="8"/>
      <c r="C604" s="8"/>
      <c r="D604" s="19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157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</row>
    <row r="605" spans="1:235" ht="24.75" customHeight="1">
      <c r="A605" s="32" t="s">
        <v>300</v>
      </c>
      <c r="B605" s="8"/>
      <c r="C605" s="8"/>
      <c r="D605" s="19"/>
      <c r="E605" s="7"/>
      <c r="F605" s="7"/>
      <c r="G605" s="7"/>
      <c r="H605" s="7">
        <f>H601/H603</f>
        <v>9262890.142857144</v>
      </c>
      <c r="I605" s="7"/>
      <c r="J605" s="7">
        <f>J601/J603</f>
        <v>9269604.42857143</v>
      </c>
      <c r="K605" s="7"/>
      <c r="L605" s="7"/>
      <c r="M605" s="7"/>
      <c r="N605" s="7"/>
      <c r="O605" s="7"/>
      <c r="P605" s="157"/>
      <c r="Q605" s="157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</row>
    <row r="606" spans="1:235" ht="11.25" hidden="1">
      <c r="A606" s="32"/>
      <c r="B606" s="8"/>
      <c r="C606" s="8"/>
      <c r="D606" s="1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157"/>
      <c r="Q606" s="157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</row>
    <row r="607" spans="1:235" ht="11.25" hidden="1">
      <c r="A607" s="32"/>
      <c r="B607" s="8"/>
      <c r="C607" s="8"/>
      <c r="D607" s="19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157"/>
      <c r="Q607" s="15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</row>
    <row r="608" spans="1:235" ht="11.25" hidden="1">
      <c r="A608" s="32"/>
      <c r="B608" s="8"/>
      <c r="C608" s="8"/>
      <c r="D608" s="19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157"/>
      <c r="Q608" s="157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</row>
    <row r="609" spans="1:235" ht="11.25" hidden="1">
      <c r="A609" s="32"/>
      <c r="B609" s="8"/>
      <c r="C609" s="8"/>
      <c r="D609" s="19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157"/>
      <c r="Q609" s="157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</row>
    <row r="610" spans="1:235" ht="11.25" hidden="1">
      <c r="A610" s="32"/>
      <c r="B610" s="8"/>
      <c r="C610" s="8"/>
      <c r="D610" s="1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157"/>
      <c r="Q610" s="157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</row>
    <row r="611" spans="1:235" ht="11.25" hidden="1">
      <c r="A611" s="32"/>
      <c r="B611" s="8"/>
      <c r="C611" s="8"/>
      <c r="D611" s="19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157"/>
      <c r="Q611" s="157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</row>
    <row r="612" spans="1:235" ht="11.25" hidden="1">
      <c r="A612" s="32"/>
      <c r="B612" s="8"/>
      <c r="C612" s="8"/>
      <c r="D612" s="19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157"/>
      <c r="Q612" s="157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</row>
    <row r="613" spans="1:235" ht="12">
      <c r="A613" s="24">
        <v>250380</v>
      </c>
      <c r="B613" s="8"/>
      <c r="C613" s="8"/>
      <c r="D613" s="37">
        <f>D615+D650+D661+D670+D678</f>
        <v>0</v>
      </c>
      <c r="E613" s="37"/>
      <c r="F613" s="37">
        <f>D613</f>
        <v>0</v>
      </c>
      <c r="G613" s="37">
        <f>G615</f>
        <v>229500</v>
      </c>
      <c r="H613" s="37">
        <f>H615</f>
        <v>750500</v>
      </c>
      <c r="I613" s="37">
        <f>I615</f>
        <v>0</v>
      </c>
      <c r="J613" s="247">
        <f>G613+H613</f>
        <v>980000</v>
      </c>
      <c r="K613" s="37"/>
      <c r="L613" s="37"/>
      <c r="M613" s="37"/>
      <c r="N613" s="37"/>
      <c r="O613" s="37"/>
      <c r="P613" s="36"/>
      <c r="Q613" s="157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</row>
    <row r="614" spans="1:235" ht="56.25">
      <c r="A614" s="32" t="s">
        <v>325</v>
      </c>
      <c r="B614" s="8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157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</row>
    <row r="615" spans="1:17" s="191" customFormat="1" ht="36" customHeight="1">
      <c r="A615" s="178" t="s">
        <v>384</v>
      </c>
      <c r="B615" s="187"/>
      <c r="C615" s="187"/>
      <c r="D615" s="188"/>
      <c r="E615" s="189"/>
      <c r="F615" s="189">
        <f>D615</f>
        <v>0</v>
      </c>
      <c r="G615" s="189">
        <f>G617</f>
        <v>229500</v>
      </c>
      <c r="H615" s="189">
        <f>H617</f>
        <v>750500</v>
      </c>
      <c r="I615" s="189"/>
      <c r="J615" s="236">
        <f>G615+H615</f>
        <v>980000</v>
      </c>
      <c r="K615" s="189"/>
      <c r="L615" s="189"/>
      <c r="M615" s="189"/>
      <c r="N615" s="189"/>
      <c r="O615" s="189"/>
      <c r="P615" s="189"/>
      <c r="Q615" s="219"/>
    </row>
    <row r="616" spans="1:235" ht="11.25">
      <c r="A616" s="31" t="s">
        <v>4</v>
      </c>
      <c r="B616" s="8"/>
      <c r="C616" s="8"/>
      <c r="D616" s="1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157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</row>
    <row r="617" spans="1:235" ht="11.25">
      <c r="A617" s="32" t="s">
        <v>63</v>
      </c>
      <c r="B617" s="8"/>
      <c r="C617" s="8"/>
      <c r="D617" s="19"/>
      <c r="E617" s="7"/>
      <c r="F617" s="7">
        <f>D617</f>
        <v>0</v>
      </c>
      <c r="G617" s="7">
        <v>229500</v>
      </c>
      <c r="H617" s="7">
        <v>750500</v>
      </c>
      <c r="I617" s="7"/>
      <c r="J617" s="7">
        <f>G617+H617</f>
        <v>980000</v>
      </c>
      <c r="K617" s="7"/>
      <c r="L617" s="7"/>
      <c r="M617" s="7"/>
      <c r="N617" s="7"/>
      <c r="O617" s="7"/>
      <c r="P617" s="10"/>
      <c r="Q617" s="15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</row>
    <row r="618" spans="1:235" ht="11.25">
      <c r="A618" s="31" t="s">
        <v>5</v>
      </c>
      <c r="B618" s="8"/>
      <c r="C618" s="8"/>
      <c r="D618" s="1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10"/>
      <c r="Q618" s="157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</row>
    <row r="619" spans="1:235" ht="22.5">
      <c r="A619" s="32" t="s">
        <v>328</v>
      </c>
      <c r="B619" s="8"/>
      <c r="C619" s="8"/>
      <c r="D619" s="19"/>
      <c r="E619" s="7"/>
      <c r="F619" s="7"/>
      <c r="G619" s="10">
        <v>1</v>
      </c>
      <c r="H619" s="10">
        <v>1</v>
      </c>
      <c r="I619" s="10"/>
      <c r="J619" s="10">
        <v>1</v>
      </c>
      <c r="K619" s="10"/>
      <c r="L619" s="10"/>
      <c r="M619" s="10"/>
      <c r="N619" s="10"/>
      <c r="O619" s="10"/>
      <c r="P619" s="7"/>
      <c r="Q619" s="157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</row>
    <row r="620" spans="1:235" ht="11.25">
      <c r="A620" s="31" t="s">
        <v>7</v>
      </c>
      <c r="B620" s="8"/>
      <c r="C620" s="8"/>
      <c r="D620" s="1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157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</row>
    <row r="621" spans="1:235" ht="22.5">
      <c r="A621" s="32" t="s">
        <v>329</v>
      </c>
      <c r="B621" s="8"/>
      <c r="C621" s="8"/>
      <c r="D621" s="19"/>
      <c r="E621" s="7"/>
      <c r="F621" s="7"/>
      <c r="G621" s="7">
        <f>G617/G619</f>
        <v>229500</v>
      </c>
      <c r="H621" s="7">
        <f>H617/H619</f>
        <v>750500</v>
      </c>
      <c r="I621" s="173"/>
      <c r="J621" s="173">
        <f>J617/J619</f>
        <v>980000</v>
      </c>
      <c r="K621" s="173"/>
      <c r="L621" s="173"/>
      <c r="M621" s="173"/>
      <c r="N621" s="173"/>
      <c r="O621" s="173"/>
      <c r="P621" s="157"/>
      <c r="Q621" s="157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</row>
    <row r="622" spans="1:235" ht="12">
      <c r="A622" s="24">
        <v>100101</v>
      </c>
      <c r="B622" s="40"/>
      <c r="C622" s="40"/>
      <c r="D622" s="37">
        <f>D625</f>
        <v>0</v>
      </c>
      <c r="E622" s="37">
        <v>0</v>
      </c>
      <c r="F622" s="37">
        <f>D622</f>
        <v>0</v>
      </c>
      <c r="G622" s="37">
        <f>G625</f>
        <v>4461000</v>
      </c>
      <c r="H622" s="37"/>
      <c r="I622" s="37">
        <f>I625</f>
        <v>0</v>
      </c>
      <c r="J622" s="247">
        <f>J625</f>
        <v>4461000</v>
      </c>
      <c r="K622" s="37"/>
      <c r="L622" s="37"/>
      <c r="M622" s="37"/>
      <c r="N622" s="37">
        <f>N625</f>
        <v>0</v>
      </c>
      <c r="O622" s="37"/>
      <c r="P622" s="37">
        <f>P625</f>
        <v>0</v>
      </c>
      <c r="Q622" s="157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</row>
    <row r="623" spans="1:235" ht="33.75">
      <c r="A623" s="33" t="s">
        <v>259</v>
      </c>
      <c r="B623" s="8"/>
      <c r="C623" s="8"/>
      <c r="D623" s="1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157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</row>
    <row r="624" spans="1:235" ht="22.5">
      <c r="A624" s="32" t="s">
        <v>317</v>
      </c>
      <c r="B624" s="8"/>
      <c r="C624" s="8"/>
      <c r="D624" s="113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157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</row>
    <row r="625" spans="1:17" s="191" customFormat="1" ht="37.5" customHeight="1">
      <c r="A625" s="178" t="s">
        <v>385</v>
      </c>
      <c r="B625" s="187"/>
      <c r="C625" s="187"/>
      <c r="D625" s="217"/>
      <c r="E625" s="218"/>
      <c r="F625" s="217">
        <f>D625</f>
        <v>0</v>
      </c>
      <c r="G625" s="188">
        <f>4461000</f>
        <v>4461000</v>
      </c>
      <c r="H625" s="189"/>
      <c r="I625" s="189"/>
      <c r="J625" s="236">
        <f>G625</f>
        <v>4461000</v>
      </c>
      <c r="K625" s="189"/>
      <c r="L625" s="189"/>
      <c r="M625" s="189"/>
      <c r="N625" s="189"/>
      <c r="O625" s="189"/>
      <c r="P625" s="189"/>
      <c r="Q625" s="219"/>
    </row>
    <row r="626" spans="1:235" ht="11.25">
      <c r="A626" s="31" t="s">
        <v>4</v>
      </c>
      <c r="B626" s="8"/>
      <c r="C626" s="8"/>
      <c r="D626" s="145"/>
      <c r="E626" s="142"/>
      <c r="F626" s="142"/>
      <c r="G626" s="19"/>
      <c r="H626" s="7"/>
      <c r="I626" s="7"/>
      <c r="J626" s="7"/>
      <c r="K626" s="7"/>
      <c r="L626" s="7"/>
      <c r="M626" s="7"/>
      <c r="N626" s="7"/>
      <c r="O626" s="7"/>
      <c r="P626" s="7"/>
      <c r="Q626" s="157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</row>
    <row r="627" spans="1:235" ht="10.5" customHeight="1">
      <c r="A627" s="32" t="s">
        <v>63</v>
      </c>
      <c r="B627" s="8"/>
      <c r="C627" s="8"/>
      <c r="D627" s="145"/>
      <c r="E627" s="142"/>
      <c r="F627" s="142"/>
      <c r="G627" s="19">
        <f>4461000</f>
        <v>4461000</v>
      </c>
      <c r="H627" s="7"/>
      <c r="I627" s="7"/>
      <c r="J627" s="7">
        <f>G627</f>
        <v>4461000</v>
      </c>
      <c r="K627" s="7"/>
      <c r="L627" s="7"/>
      <c r="M627" s="7"/>
      <c r="N627" s="7"/>
      <c r="O627" s="7"/>
      <c r="P627" s="7"/>
      <c r="Q627" s="15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</row>
    <row r="628" spans="1:235" ht="11.25" hidden="1">
      <c r="A628" s="32" t="s">
        <v>63</v>
      </c>
      <c r="B628" s="8"/>
      <c r="C628" s="8"/>
      <c r="D628" s="145"/>
      <c r="E628" s="142"/>
      <c r="F628" s="142"/>
      <c r="G628" s="19"/>
      <c r="H628" s="7"/>
      <c r="I628" s="7"/>
      <c r="J628" s="7"/>
      <c r="K628" s="7"/>
      <c r="L628" s="7"/>
      <c r="M628" s="7"/>
      <c r="N628" s="7"/>
      <c r="O628" s="7"/>
      <c r="P628" s="7"/>
      <c r="Q628" s="157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</row>
    <row r="629" spans="1:235" ht="11.25">
      <c r="A629" s="31" t="s">
        <v>5</v>
      </c>
      <c r="B629" s="8"/>
      <c r="C629" s="8"/>
      <c r="D629" s="145"/>
      <c r="E629" s="142"/>
      <c r="F629" s="142"/>
      <c r="G629" s="19"/>
      <c r="H629" s="7"/>
      <c r="I629" s="7"/>
      <c r="J629" s="7"/>
      <c r="K629" s="7"/>
      <c r="L629" s="7"/>
      <c r="M629" s="7"/>
      <c r="N629" s="7"/>
      <c r="O629" s="7"/>
      <c r="P629" s="7"/>
      <c r="Q629" s="157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</row>
    <row r="630" spans="1:235" ht="0.75" customHeight="1" hidden="1">
      <c r="A630" s="32" t="s">
        <v>296</v>
      </c>
      <c r="B630" s="8"/>
      <c r="C630" s="8"/>
      <c r="D630" s="158"/>
      <c r="E630" s="159"/>
      <c r="F630" s="159">
        <f>D630</f>
        <v>0</v>
      </c>
      <c r="G630" s="159">
        <v>1</v>
      </c>
      <c r="H630" s="159"/>
      <c r="I630" s="159"/>
      <c r="J630" s="159">
        <f>G630</f>
        <v>1</v>
      </c>
      <c r="K630" s="7"/>
      <c r="L630" s="7"/>
      <c r="M630" s="7"/>
      <c r="N630" s="7"/>
      <c r="O630" s="7"/>
      <c r="P630" s="7"/>
      <c r="Q630" s="157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</row>
    <row r="631" spans="1:235" ht="11.25">
      <c r="A631" s="32" t="s">
        <v>311</v>
      </c>
      <c r="B631" s="8"/>
      <c r="C631" s="8"/>
      <c r="D631" s="158"/>
      <c r="E631" s="159"/>
      <c r="F631" s="159"/>
      <c r="G631" s="159">
        <v>1487</v>
      </c>
      <c r="H631" s="159"/>
      <c r="I631" s="159"/>
      <c r="J631" s="159">
        <f>G631</f>
        <v>1487</v>
      </c>
      <c r="K631" s="7"/>
      <c r="L631" s="7"/>
      <c r="M631" s="7"/>
      <c r="N631" s="7"/>
      <c r="O631" s="7"/>
      <c r="P631" s="7"/>
      <c r="Q631" s="157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</row>
    <row r="632" spans="1:235" ht="10.5" customHeight="1">
      <c r="A632" s="31" t="s">
        <v>7</v>
      </c>
      <c r="B632" s="8"/>
      <c r="C632" s="8"/>
      <c r="D632" s="145"/>
      <c r="E632" s="142"/>
      <c r="F632" s="142"/>
      <c r="G632" s="19"/>
      <c r="H632" s="7"/>
      <c r="I632" s="7"/>
      <c r="J632" s="7"/>
      <c r="K632" s="7"/>
      <c r="L632" s="7"/>
      <c r="M632" s="7"/>
      <c r="N632" s="7"/>
      <c r="O632" s="7"/>
      <c r="P632" s="7"/>
      <c r="Q632" s="157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</row>
    <row r="633" spans="1:235" ht="15" customHeight="1" hidden="1">
      <c r="A633" s="32" t="s">
        <v>297</v>
      </c>
      <c r="B633" s="8"/>
      <c r="C633" s="8"/>
      <c r="D633" s="144"/>
      <c r="E633" s="142"/>
      <c r="F633" s="143"/>
      <c r="G633" s="19">
        <v>465000</v>
      </c>
      <c r="H633" s="7"/>
      <c r="I633" s="7"/>
      <c r="J633" s="7">
        <f>G633</f>
        <v>465000</v>
      </c>
      <c r="K633" s="7"/>
      <c r="L633" s="7"/>
      <c r="M633" s="7"/>
      <c r="N633" s="7"/>
      <c r="O633" s="7"/>
      <c r="P633" s="7"/>
      <c r="Q633" s="157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</row>
    <row r="634" spans="1:235" ht="11.25" hidden="1">
      <c r="A634" s="32"/>
      <c r="B634" s="8"/>
      <c r="C634" s="8"/>
      <c r="D634" s="1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157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</row>
    <row r="635" spans="1:235" ht="11.25" hidden="1">
      <c r="A635" s="32"/>
      <c r="B635" s="8"/>
      <c r="C635" s="8"/>
      <c r="D635" s="19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157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</row>
    <row r="636" spans="1:235" ht="11.25" hidden="1">
      <c r="A636" s="32"/>
      <c r="B636" s="8"/>
      <c r="C636" s="8"/>
      <c r="D636" s="1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157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</row>
    <row r="637" spans="1:235" ht="11.25" hidden="1">
      <c r="A637" s="32"/>
      <c r="B637" s="8"/>
      <c r="C637" s="8"/>
      <c r="D637" s="1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15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</row>
    <row r="638" spans="1:235" ht="11.25" hidden="1">
      <c r="A638" s="32"/>
      <c r="B638" s="8"/>
      <c r="C638" s="8"/>
      <c r="D638" s="1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157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</row>
    <row r="639" spans="1:235" ht="22.5">
      <c r="A639" s="32" t="s">
        <v>312</v>
      </c>
      <c r="B639" s="8"/>
      <c r="C639" s="8"/>
      <c r="D639" s="19"/>
      <c r="E639" s="7"/>
      <c r="F639" s="7"/>
      <c r="G639" s="7">
        <v>3000</v>
      </c>
      <c r="H639" s="7"/>
      <c r="I639" s="7"/>
      <c r="J639" s="7">
        <f>G639</f>
        <v>3000</v>
      </c>
      <c r="K639" s="7"/>
      <c r="L639" s="7"/>
      <c r="M639" s="7"/>
      <c r="N639" s="7"/>
      <c r="O639" s="7"/>
      <c r="P639" s="7"/>
      <c r="Q639" s="157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</row>
    <row r="640" spans="1:17" s="183" customFormat="1" ht="12.75">
      <c r="A640" s="181" t="s">
        <v>332</v>
      </c>
      <c r="B640" s="170"/>
      <c r="C640" s="170"/>
      <c r="D640" s="171"/>
      <c r="E640" s="172"/>
      <c r="F640" s="172"/>
      <c r="G640" s="222">
        <f>G641</f>
        <v>350000</v>
      </c>
      <c r="H640" s="222"/>
      <c r="I640" s="222">
        <f>I641</f>
        <v>0</v>
      </c>
      <c r="J640" s="248">
        <f>G640</f>
        <v>350000</v>
      </c>
      <c r="K640" s="172"/>
      <c r="L640" s="172"/>
      <c r="M640" s="172"/>
      <c r="N640" s="172"/>
      <c r="O640" s="172"/>
      <c r="P640" s="172"/>
      <c r="Q640" s="182"/>
    </row>
    <row r="641" spans="1:17" s="191" customFormat="1" ht="22.5">
      <c r="A641" s="178" t="s">
        <v>386</v>
      </c>
      <c r="B641" s="187"/>
      <c r="C641" s="187"/>
      <c r="D641" s="188"/>
      <c r="E641" s="189"/>
      <c r="F641" s="189"/>
      <c r="G641" s="189">
        <f>G643</f>
        <v>350000</v>
      </c>
      <c r="H641" s="189"/>
      <c r="I641" s="189"/>
      <c r="J641" s="236">
        <f>G641</f>
        <v>350000</v>
      </c>
      <c r="K641" s="189"/>
      <c r="L641" s="189"/>
      <c r="M641" s="189"/>
      <c r="N641" s="189"/>
      <c r="O641" s="189"/>
      <c r="P641" s="189"/>
      <c r="Q641" s="219"/>
    </row>
    <row r="642" spans="1:235" ht="11.25">
      <c r="A642" s="31" t="s">
        <v>4</v>
      </c>
      <c r="B642" s="8"/>
      <c r="C642" s="8"/>
      <c r="D642" s="1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157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</row>
    <row r="643" spans="1:235" ht="22.5">
      <c r="A643" s="91" t="s">
        <v>79</v>
      </c>
      <c r="B643" s="8"/>
      <c r="C643" s="8"/>
      <c r="D643" s="19"/>
      <c r="E643" s="7"/>
      <c r="F643" s="7"/>
      <c r="G643" s="7">
        <f>300000+50000</f>
        <v>350000</v>
      </c>
      <c r="H643" s="7"/>
      <c r="I643" s="7"/>
      <c r="J643" s="7">
        <f>G643</f>
        <v>350000</v>
      </c>
      <c r="K643" s="7"/>
      <c r="L643" s="7"/>
      <c r="M643" s="7"/>
      <c r="N643" s="7"/>
      <c r="O643" s="7"/>
      <c r="P643" s="7"/>
      <c r="Q643" s="157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</row>
    <row r="644" spans="1:235" ht="11.25">
      <c r="A644" s="31" t="s">
        <v>5</v>
      </c>
      <c r="B644" s="8"/>
      <c r="C644" s="8"/>
      <c r="D644" s="19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157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</row>
    <row r="645" spans="1:235" ht="27.75" customHeight="1">
      <c r="A645" s="91" t="s">
        <v>78</v>
      </c>
      <c r="B645" s="8"/>
      <c r="C645" s="8"/>
      <c r="D645" s="19"/>
      <c r="E645" s="7"/>
      <c r="F645" s="7"/>
      <c r="G645" s="7">
        <v>12</v>
      </c>
      <c r="H645" s="7"/>
      <c r="I645" s="7"/>
      <c r="J645" s="7">
        <f>G645</f>
        <v>12</v>
      </c>
      <c r="K645" s="7"/>
      <c r="L645" s="7"/>
      <c r="M645" s="7"/>
      <c r="N645" s="7"/>
      <c r="O645" s="7"/>
      <c r="P645" s="7"/>
      <c r="Q645" s="157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</row>
    <row r="646" spans="1:235" ht="11.25">
      <c r="A646" s="31" t="s">
        <v>7</v>
      </c>
      <c r="B646" s="8"/>
      <c r="C646" s="8"/>
      <c r="D646" s="1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157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</row>
    <row r="647" spans="1:235" ht="33.75">
      <c r="A647" s="91" t="s">
        <v>82</v>
      </c>
      <c r="B647" s="8"/>
      <c r="C647" s="8"/>
      <c r="D647" s="19"/>
      <c r="E647" s="7"/>
      <c r="F647" s="7"/>
      <c r="G647" s="7">
        <f>G643/G645</f>
        <v>29166.666666666668</v>
      </c>
      <c r="H647" s="7"/>
      <c r="I647" s="7"/>
      <c r="J647" s="7">
        <f>G647</f>
        <v>29166.666666666668</v>
      </c>
      <c r="K647" s="7"/>
      <c r="L647" s="7"/>
      <c r="M647" s="7"/>
      <c r="N647" s="7"/>
      <c r="O647" s="7"/>
      <c r="P647" s="7"/>
      <c r="Q647" s="15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</row>
    <row r="648" spans="1:235" ht="11.25">
      <c r="A648" s="152"/>
      <c r="B648" s="84"/>
      <c r="C648" s="84"/>
      <c r="D648" s="156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</row>
    <row r="649" spans="1:235" ht="11.25">
      <c r="A649" s="152"/>
      <c r="B649" s="84"/>
      <c r="C649" s="84"/>
      <c r="D649" s="156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</row>
    <row r="650" spans="1:235" ht="6.75" customHeight="1">
      <c r="A650" s="152"/>
      <c r="B650" s="84"/>
      <c r="C650" s="84"/>
      <c r="D650" s="156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</row>
    <row r="651" spans="1:235" ht="11.25" hidden="1">
      <c r="A651" s="152"/>
      <c r="B651" s="84"/>
      <c r="C651" s="84"/>
      <c r="D651" s="156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</row>
    <row r="652" spans="1:235" ht="11.25" hidden="1">
      <c r="A652" s="152"/>
      <c r="B652" s="84"/>
      <c r="C652" s="84"/>
      <c r="D652" s="156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</row>
    <row r="653" spans="1:235" ht="11.25" hidden="1">
      <c r="A653" s="152"/>
      <c r="B653" s="84"/>
      <c r="C653" s="84"/>
      <c r="D653" s="156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</row>
    <row r="654" spans="1:235" ht="11.25" hidden="1">
      <c r="A654" s="152"/>
      <c r="B654" s="84"/>
      <c r="C654" s="84"/>
      <c r="D654" s="156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</row>
    <row r="655" spans="1:235" ht="11.25" hidden="1">
      <c r="A655" s="152"/>
      <c r="B655" s="84"/>
      <c r="C655" s="84"/>
      <c r="D655" s="156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</row>
    <row r="656" spans="1:235" ht="11.25" hidden="1">
      <c r="A656" s="152"/>
      <c r="B656" s="84"/>
      <c r="C656" s="84"/>
      <c r="D656" s="156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</row>
    <row r="657" spans="1:235" ht="11.25" hidden="1">
      <c r="A657" s="152"/>
      <c r="B657" s="84"/>
      <c r="C657" s="84"/>
      <c r="D657" s="156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</row>
    <row r="658" spans="1:235" ht="11.25" hidden="1">
      <c r="A658" s="152"/>
      <c r="B658" s="84"/>
      <c r="C658" s="84"/>
      <c r="D658" s="156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</row>
    <row r="659" spans="1:235" ht="11.25" hidden="1">
      <c r="A659" s="152"/>
      <c r="B659" s="84"/>
      <c r="C659" s="84"/>
      <c r="D659" s="156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</row>
    <row r="660" spans="1:235" ht="10.5" customHeight="1" hidden="1">
      <c r="A660" s="152"/>
      <c r="B660" s="84"/>
      <c r="C660" s="84"/>
      <c r="D660" s="153"/>
      <c r="E660" s="154"/>
      <c r="F660" s="155"/>
      <c r="G660" s="156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</row>
    <row r="661" spans="1:235" ht="11.25" hidden="1">
      <c r="A661" s="152"/>
      <c r="B661" s="84"/>
      <c r="C661" s="84"/>
      <c r="D661" s="153"/>
      <c r="E661" s="154"/>
      <c r="F661" s="155"/>
      <c r="G661" s="156"/>
      <c r="H661" s="157"/>
      <c r="I661" s="157"/>
      <c r="J661" s="157"/>
      <c r="K661" s="157"/>
      <c r="L661" s="157"/>
      <c r="M661" s="157"/>
      <c r="N661" s="157"/>
      <c r="O661" s="157"/>
      <c r="P661" s="157"/>
      <c r="Q661" s="157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</row>
    <row r="662" spans="1:235" ht="11.25" hidden="1">
      <c r="A662" s="152"/>
      <c r="B662" s="84"/>
      <c r="C662" s="84"/>
      <c r="D662" s="153"/>
      <c r="E662" s="154"/>
      <c r="F662" s="155"/>
      <c r="G662" s="156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</row>
    <row r="663" spans="1:235" ht="11.25" hidden="1">
      <c r="A663" s="152"/>
      <c r="B663" s="84"/>
      <c r="C663" s="84"/>
      <c r="D663" s="153"/>
      <c r="E663" s="154"/>
      <c r="F663" s="155"/>
      <c r="G663" s="156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</row>
    <row r="664" spans="1:235" ht="11.25" hidden="1">
      <c r="A664" s="152"/>
      <c r="B664" s="84"/>
      <c r="C664" s="84"/>
      <c r="D664" s="153"/>
      <c r="E664" s="154"/>
      <c r="F664" s="155"/>
      <c r="G664" s="156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</row>
    <row r="665" spans="1:235" ht="11.25" hidden="1">
      <c r="A665" s="152"/>
      <c r="B665" s="84"/>
      <c r="C665" s="84"/>
      <c r="D665" s="153"/>
      <c r="E665" s="154"/>
      <c r="F665" s="155"/>
      <c r="G665" s="156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</row>
    <row r="666" spans="1:235" ht="11.25" hidden="1">
      <c r="A666" s="152"/>
      <c r="B666" s="84"/>
      <c r="C666" s="84"/>
      <c r="D666" s="153"/>
      <c r="E666" s="154"/>
      <c r="F666" s="155"/>
      <c r="G666" s="156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</row>
    <row r="667" spans="1:235" ht="11.25" hidden="1">
      <c r="A667" s="152"/>
      <c r="B667" s="84"/>
      <c r="C667" s="84"/>
      <c r="D667" s="153"/>
      <c r="E667" s="154"/>
      <c r="F667" s="155"/>
      <c r="G667" s="156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</row>
    <row r="668" spans="1:235" ht="11.25" hidden="1">
      <c r="A668" s="152"/>
      <c r="B668" s="84"/>
      <c r="C668" s="84"/>
      <c r="D668" s="153"/>
      <c r="E668" s="154"/>
      <c r="F668" s="155"/>
      <c r="G668" s="156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</row>
    <row r="669" spans="1:235" ht="12" customHeight="1" hidden="1">
      <c r="A669" s="152"/>
      <c r="B669" s="84"/>
      <c r="C669" s="84"/>
      <c r="D669" s="153"/>
      <c r="E669" s="154"/>
      <c r="F669" s="155"/>
      <c r="G669" s="156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</row>
    <row r="670" spans="1:235" ht="11.25" hidden="1">
      <c r="A670" s="152"/>
      <c r="B670" s="84"/>
      <c r="C670" s="84"/>
      <c r="D670" s="153"/>
      <c r="E670" s="154"/>
      <c r="F670" s="155"/>
      <c r="G670" s="156"/>
      <c r="H670" s="157"/>
      <c r="I670" s="157"/>
      <c r="J670" s="157"/>
      <c r="K670" s="157"/>
      <c r="L670" s="157"/>
      <c r="M670" s="157"/>
      <c r="N670" s="157"/>
      <c r="O670" s="157"/>
      <c r="P670" s="157"/>
      <c r="Q670" s="157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</row>
    <row r="671" spans="1:235" ht="29.25" customHeight="1" hidden="1">
      <c r="A671" s="137"/>
      <c r="B671" s="137"/>
      <c r="C671" s="137"/>
      <c r="D671" s="137"/>
      <c r="E671" s="133"/>
      <c r="F671" s="133"/>
      <c r="G671" s="133"/>
      <c r="H671" s="133"/>
      <c r="I671" s="133"/>
      <c r="J671" s="136"/>
      <c r="K671" s="136"/>
      <c r="L671" s="136"/>
      <c r="M671" s="136"/>
      <c r="N671" s="136"/>
      <c r="O671" s="136"/>
      <c r="P671" s="136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</row>
    <row r="672" spans="1:235" ht="20.25" customHeight="1">
      <c r="A672" s="267" t="s">
        <v>244</v>
      </c>
      <c r="B672" s="267"/>
      <c r="C672" s="267"/>
      <c r="D672" s="135"/>
      <c r="E672" s="135"/>
      <c r="F672" s="139"/>
      <c r="G672" s="169"/>
      <c r="H672" s="169"/>
      <c r="I672" s="169"/>
      <c r="J672" s="134"/>
      <c r="K672" s="134"/>
      <c r="L672" s="134"/>
      <c r="M672" s="134"/>
      <c r="N672" s="169"/>
      <c r="O672" s="251" t="s">
        <v>245</v>
      </c>
      <c r="P672" s="251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</row>
    <row r="673" spans="1:235" ht="20.25" customHeight="1">
      <c r="A673" s="193"/>
      <c r="B673" s="193"/>
      <c r="C673" s="193"/>
      <c r="D673" s="135"/>
      <c r="E673" s="135"/>
      <c r="F673" s="139"/>
      <c r="G673" s="169"/>
      <c r="H673" s="169"/>
      <c r="I673" s="169"/>
      <c r="J673" s="134"/>
      <c r="K673" s="134"/>
      <c r="L673" s="134"/>
      <c r="M673" s="134"/>
      <c r="N673" s="169"/>
      <c r="O673" s="194"/>
      <c r="P673" s="194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</row>
    <row r="674" spans="1:235" ht="18.75" customHeight="1">
      <c r="A674" s="266" t="s">
        <v>278</v>
      </c>
      <c r="B674" s="266"/>
      <c r="C674" s="138"/>
      <c r="D674" s="41"/>
      <c r="E674" s="135"/>
      <c r="F674" s="169"/>
      <c r="G674" s="135"/>
      <c r="H674" s="135"/>
      <c r="I674" s="135"/>
      <c r="J674" s="140"/>
      <c r="K674" s="140"/>
      <c r="L674" s="140"/>
      <c r="M674" s="140"/>
      <c r="N674" s="140"/>
      <c r="O674" s="140"/>
      <c r="P674" s="140"/>
      <c r="Q674" s="140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</row>
    <row r="675" spans="1:235" ht="27.75" customHeight="1">
      <c r="A675" s="79" t="s">
        <v>246</v>
      </c>
      <c r="B675" s="79"/>
      <c r="C675" s="44"/>
      <c r="D675" s="44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</row>
    <row r="676" spans="1:235" ht="28.5" customHeight="1">
      <c r="A676" s="42"/>
      <c r="B676" s="43"/>
      <c r="C676" s="35"/>
      <c r="D676" s="35"/>
      <c r="E676" s="35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</row>
    <row r="677" spans="1:235" ht="11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2"/>
      <c r="L677" s="2"/>
      <c r="M677" s="2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</row>
    <row r="678" spans="1:235" ht="11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2"/>
      <c r="L678" s="2"/>
      <c r="M678" s="2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</row>
    <row r="679" spans="1:235" ht="11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2"/>
      <c r="L679" s="2"/>
      <c r="M679" s="2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</row>
    <row r="680" spans="1:235" ht="11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2"/>
      <c r="L680" s="2"/>
      <c r="M680" s="2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</row>
    <row r="681" spans="1:235" ht="11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</row>
    <row r="682" spans="1:235" ht="11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</row>
    <row r="683" spans="1:235" ht="11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</row>
    <row r="684" spans="1:235" ht="11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</row>
    <row r="685" spans="1:235" ht="11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</row>
    <row r="686" spans="1:235" ht="11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</row>
    <row r="687" spans="1:235" ht="11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</row>
    <row r="688" spans="1:235" ht="11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</row>
    <row r="689" spans="1:235" ht="11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</row>
    <row r="690" spans="1:235" ht="11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</row>
    <row r="691" spans="1:235" ht="11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</row>
    <row r="692" spans="1:235" ht="11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</row>
    <row r="693" spans="1:235" ht="11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</row>
    <row r="694" spans="1:235" ht="11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</row>
    <row r="695" spans="1:235" ht="11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</row>
    <row r="696" spans="1:235" ht="11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</row>
    <row r="697" spans="1:235" ht="11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</row>
    <row r="698" spans="1:235" ht="11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</row>
    <row r="699" spans="1:235" ht="11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</row>
    <row r="700" spans="1:235" ht="11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</row>
    <row r="701" spans="1:235" ht="11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</row>
    <row r="702" spans="1:235" ht="11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</row>
    <row r="703" spans="1:235" ht="11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</row>
    <row r="704" spans="1:235" ht="11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</row>
    <row r="705" spans="1:235" ht="11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</row>
    <row r="706" spans="1:235" ht="11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</row>
    <row r="707" spans="1:235" ht="11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</row>
    <row r="708" spans="1:235" ht="11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</row>
    <row r="709" spans="1:235" ht="11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</row>
    <row r="710" spans="1:235" ht="11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</row>
    <row r="711" spans="1:235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</row>
    <row r="712" spans="1:235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</row>
    <row r="713" spans="1:235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</row>
    <row r="714" spans="1:235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</row>
    <row r="715" spans="1:235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</row>
    <row r="716" spans="1:235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</row>
    <row r="717" spans="1:235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</row>
    <row r="718" spans="1:235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</row>
    <row r="719" spans="1:235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</row>
    <row r="720" spans="1:235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</row>
    <row r="721" spans="1:235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</row>
    <row r="722" spans="1:235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</row>
    <row r="723" spans="1:235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</row>
    <row r="724" spans="1:235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</row>
    <row r="725" spans="1:235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</row>
    <row r="726" spans="1:235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</row>
    <row r="727" spans="1:235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</row>
    <row r="728" spans="1:235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</row>
    <row r="729" spans="1:235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</row>
    <row r="730" spans="1:235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</row>
    <row r="731" spans="1:235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</row>
    <row r="732" spans="1:235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</row>
    <row r="733" spans="1:235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</row>
    <row r="734" spans="1:235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</row>
    <row r="735" spans="1:235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</row>
    <row r="736" spans="1:235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</row>
    <row r="737" spans="1:235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</row>
    <row r="738" spans="1:235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</row>
    <row r="739" spans="1:235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</row>
    <row r="740" spans="1:235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</row>
    <row r="741" spans="1:235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</row>
    <row r="742" spans="1:235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</row>
    <row r="743" spans="1:235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</row>
    <row r="744" spans="1:235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</row>
    <row r="745" spans="1:235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</row>
    <row r="746" spans="1:235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</row>
    <row r="747" spans="1:235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</row>
    <row r="748" spans="1:235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</row>
    <row r="749" spans="1:235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</row>
    <row r="750" spans="1:235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</row>
    <row r="751" spans="1:235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</row>
    <row r="752" spans="1:235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</row>
    <row r="753" spans="1:235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</row>
    <row r="754" spans="1:235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</row>
    <row r="755" spans="1:235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</row>
    <row r="756" spans="1:235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</row>
    <row r="757" spans="1:235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</row>
    <row r="758" spans="1:235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</row>
    <row r="759" spans="1:235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</row>
    <row r="760" spans="1:235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</row>
    <row r="761" spans="1:235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</row>
    <row r="762" spans="1:235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</row>
    <row r="763" spans="1:235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</row>
    <row r="764" spans="1:235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</row>
    <row r="765" spans="1:235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</row>
    <row r="766" spans="1:235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</row>
    <row r="767" spans="1:235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</row>
    <row r="768" spans="1:235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</row>
    <row r="769" spans="1:235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</row>
    <row r="770" spans="1:235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</row>
    <row r="771" spans="1:235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</row>
    <row r="772" spans="1:235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</row>
  </sheetData>
  <sheetProtection/>
  <mergeCells count="24">
    <mergeCell ref="C12:C14"/>
    <mergeCell ref="D13:E13"/>
    <mergeCell ref="G12:J12"/>
    <mergeCell ref="A674:B674"/>
    <mergeCell ref="A672:C672"/>
    <mergeCell ref="F13:F14"/>
    <mergeCell ref="D12:F12"/>
    <mergeCell ref="G13:I13"/>
    <mergeCell ref="A10:P10"/>
    <mergeCell ref="O672:P672"/>
    <mergeCell ref="N7:P7"/>
    <mergeCell ref="N12:P12"/>
    <mergeCell ref="N13:O13"/>
    <mergeCell ref="P13:P14"/>
    <mergeCell ref="J13:J14"/>
    <mergeCell ref="K13:M13"/>
    <mergeCell ref="A12:A14"/>
    <mergeCell ref="B12:B14"/>
    <mergeCell ref="N5:P5"/>
    <mergeCell ref="N6:P6"/>
    <mergeCell ref="N1:P1"/>
    <mergeCell ref="N2:P2"/>
    <mergeCell ref="N3:P3"/>
    <mergeCell ref="N4:P4"/>
  </mergeCells>
  <printOptions horizontalCentered="1"/>
  <pageMargins left="0.3937007874015748" right="0.3937007874015748" top="0.3937007874015748" bottom="0.3937007874015748" header="0" footer="0"/>
  <pageSetup fitToWidth="0" horizontalDpi="600" verticalDpi="600" orientation="landscape" paperSize="9" scale="77" r:id="rId1"/>
  <rowBreaks count="16" manualBreakCount="16">
    <brk id="35" max="15" man="1"/>
    <brk id="72" max="15" man="1"/>
    <brk id="105" max="15" man="1"/>
    <brk id="138" max="15" man="1"/>
    <brk id="167" max="15" man="1"/>
    <brk id="232" max="16" man="1"/>
    <brk id="268" max="16" man="1"/>
    <brk id="301" max="16" man="1"/>
    <brk id="331" max="16" man="1"/>
    <brk id="383" max="16" man="1"/>
    <brk id="415" max="16" man="1"/>
    <brk id="445" max="16" man="1"/>
    <brk id="481" max="16" man="1"/>
    <brk id="521" max="16" man="1"/>
    <brk id="554" max="16" man="1"/>
    <brk id="6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2016-07-08T12:31:35Z</cp:lastPrinted>
  <dcterms:created xsi:type="dcterms:W3CDTF">2014-04-22T08:24:49Z</dcterms:created>
  <dcterms:modified xsi:type="dcterms:W3CDTF">2016-07-11T07:56:08Z</dcterms:modified>
  <cp:category/>
  <cp:version/>
  <cp:contentType/>
  <cp:contentStatus/>
</cp:coreProperties>
</file>