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885" windowHeight="10320" activeTab="0"/>
  </bookViews>
  <sheets>
    <sheet name="дод. 5" sheetId="1" r:id="rId1"/>
  </sheets>
  <definedNames>
    <definedName name="_xlfn.AGGREGATE" hidden="1">#NAME?</definedName>
    <definedName name="_xlnm.Print_Titles" localSheetId="0">'дод. 5'!$10:$10</definedName>
    <definedName name="_xlnm.Print_Area" localSheetId="0">'дод. 5'!$B$1:$H$184</definedName>
  </definedNames>
  <calcPr fullCalcOnLoad="1"/>
</workbook>
</file>

<file path=xl/sharedStrings.xml><?xml version="1.0" encoding="utf-8"?>
<sst xmlns="http://schemas.openxmlformats.org/spreadsheetml/2006/main" count="537" uniqueCount="255">
  <si>
    <t>Загальний фонд</t>
  </si>
  <si>
    <t>Спеціальний фонд</t>
  </si>
  <si>
    <t>0111</t>
  </si>
  <si>
    <t>010116</t>
  </si>
  <si>
    <t xml:space="preserve">Всього </t>
  </si>
  <si>
    <t>Разом загальний та спеціальний фонди</t>
  </si>
  <si>
    <t>1060</t>
  </si>
  <si>
    <t>150101</t>
  </si>
  <si>
    <t>0490</t>
  </si>
  <si>
    <t>180404</t>
  </si>
  <si>
    <t>0411</t>
  </si>
  <si>
    <t>Код тимчасової класифікації видатків та кредитування місцевого бюджету</t>
  </si>
  <si>
    <t>Органи місцевого самоврядування</t>
  </si>
  <si>
    <t>090412</t>
  </si>
  <si>
    <t>Інші видатки на соціальний захист населення</t>
  </si>
  <si>
    <t>1090</t>
  </si>
  <si>
    <t>091102</t>
  </si>
  <si>
    <t xml:space="preserve">Програми і заходи центрів соціальних служб для сім'ї, дітей та молоді </t>
  </si>
  <si>
    <t>1040</t>
  </si>
  <si>
    <t>Програма   захисту  населення   і    території    м.  Суми    від  надзвичайних   ситуацій  техногенного та природного характеру на 2014-2018 роки</t>
  </si>
  <si>
    <t>Соціальні програми і заходи державних органів у справах молоді</t>
  </si>
  <si>
    <t>091103</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</si>
  <si>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</si>
  <si>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</si>
  <si>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</si>
  <si>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</si>
  <si>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</si>
  <si>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</si>
  <si>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0620</t>
  </si>
  <si>
    <t>Інші культурно-освітні заклади та заходи</t>
  </si>
  <si>
    <t>110502</t>
  </si>
  <si>
    <t>0829</t>
  </si>
  <si>
    <t>130102</t>
  </si>
  <si>
    <t>Проведення навчально-тренувальних зборів і змагань</t>
  </si>
  <si>
    <t>0810</t>
  </si>
  <si>
    <t>130106</t>
  </si>
  <si>
    <t>Проведення навчально-тренувальних зборів і змагань з неолімпійських видів спорту</t>
  </si>
  <si>
    <t>Утримання  та  навчально - тренувальна  робота дитячо-юнацьких спортивних шкіл</t>
  </si>
  <si>
    <t>130107</t>
  </si>
  <si>
    <t>130112</t>
  </si>
  <si>
    <t>130115</t>
  </si>
  <si>
    <t>Центри «Спорт для всіх» та заходи з фізичної культури</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</si>
  <si>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</si>
  <si>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130203</t>
  </si>
  <si>
    <t xml:space="preserve">Інші заходи у сфері електротранспорту </t>
  </si>
  <si>
    <t>0455</t>
  </si>
  <si>
    <t>170603</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</si>
  <si>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</si>
  <si>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</si>
  <si>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</si>
  <si>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</si>
  <si>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</si>
  <si>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Заходи у сфері захисту населення і територій від надзвичайних ситуацій техногенного та природного характеу</t>
  </si>
  <si>
    <t>210106</t>
  </si>
  <si>
    <t>0220</t>
  </si>
  <si>
    <t>0540</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</si>
  <si>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</si>
  <si>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</si>
  <si>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0133</t>
  </si>
  <si>
    <t>250404</t>
  </si>
  <si>
    <t>Програма контролю за додержанням правил благоустрою, торгівлі та станом довкілля на території міста Суми на 2014-2016 роки</t>
  </si>
  <si>
    <t>Комплексна цільова програма реформування і розвитку житлово-комунального господарства міста Суми на 2015-2017 роки</t>
  </si>
  <si>
    <t>03 Виконавчий комітет Сумської міської ради</t>
  </si>
  <si>
    <t>10 Управління  освіти і науки Сумської міської ради</t>
  </si>
  <si>
    <t>070101</t>
  </si>
  <si>
    <t>0910</t>
  </si>
  <si>
    <t>Дошкільні заклади освіти</t>
  </si>
  <si>
    <t>070201</t>
  </si>
  <si>
    <t xml:space="preserve">Загальноосвітні школи ( в т.ч. школа - дитячий заклад, інтернат при школі), ліцеї, гімназії,  колегіуми </t>
  </si>
  <si>
    <t>0921</t>
  </si>
  <si>
    <t>070807</t>
  </si>
  <si>
    <t>0990</t>
  </si>
  <si>
    <t>Збереження природно-заповідного фонду</t>
  </si>
  <si>
    <t>0520</t>
  </si>
  <si>
    <t xml:space="preserve">14 Відділ охорони здоров’я Сумської міської ради  </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</si>
  <si>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</si>
  <si>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</si>
  <si>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</si>
  <si>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</si>
  <si>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</si>
  <si>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</si>
  <si>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</si>
  <si>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</si>
  <si>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0731</t>
  </si>
  <si>
    <t>0733</t>
  </si>
  <si>
    <t>0722</t>
  </si>
  <si>
    <t>0726</t>
  </si>
  <si>
    <t>090212</t>
  </si>
  <si>
    <t>Пільги на медичне обслуговування громадянам, які постраждали внаслідок Чорнобильської катастрофи</t>
  </si>
  <si>
    <t>1070</t>
  </si>
  <si>
    <t>090416</t>
  </si>
  <si>
    <t>Інші видатки на соціальний захист ветеранів війни та праці</t>
  </si>
  <si>
    <t>1030</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</si>
  <si>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</si>
  <si>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</si>
  <si>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</si>
  <si>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</si>
  <si>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170602</t>
  </si>
  <si>
    <t>Компенсаційні виплати на пільговий проїзд електротранспортом окремим категоріям громадян</t>
  </si>
  <si>
    <t>Міська цільова Програма з реалізації Конвенції ООН про права дитини на 2013-2016 роки</t>
  </si>
  <si>
    <t>20 Служба у справах дітей Сумської міської ради</t>
  </si>
  <si>
    <t>Інші програми соціального захисту дітей</t>
  </si>
  <si>
    <t>090802</t>
  </si>
  <si>
    <t>24 Відділ культури та туризму Сумської міської ради</t>
  </si>
  <si>
    <t xml:space="preserve">Філармонії, музичні колективи і ансамблі та інші мистецькі заклади та заходи </t>
  </si>
  <si>
    <t>110103</t>
  </si>
  <si>
    <t>0822</t>
  </si>
  <si>
    <t>41 Департамент інфраструктури міста Сумської міської ради</t>
  </si>
  <si>
    <t xml:space="preserve">Програм енергозбереження та енергоефективності в бюджетній сфері м. Суми на 2014-2016 роки </t>
  </si>
  <si>
    <t>100102</t>
  </si>
  <si>
    <t>Капітальний ремонт житлового фонду місцевих органів влади</t>
  </si>
  <si>
    <t>0610</t>
  </si>
  <si>
    <t>100106</t>
  </si>
  <si>
    <t>Капітальний ремонт житлового фонду об'єднань співвласників багатоквартирних будинків</t>
  </si>
  <si>
    <t>100202</t>
  </si>
  <si>
    <t>Водопровідно-каналізаційне господарство</t>
  </si>
  <si>
    <t>160101</t>
  </si>
  <si>
    <t>Землеустрій</t>
  </si>
  <si>
    <t>0421</t>
  </si>
  <si>
    <t>180107</t>
  </si>
  <si>
    <t xml:space="preserve">Фінансування енергозберігаючих заходів </t>
  </si>
  <si>
    <t>0470</t>
  </si>
  <si>
    <t>240601</t>
  </si>
  <si>
    <t>Охорона та раціональне використання природних ресурсів</t>
  </si>
  <si>
    <t>0511</t>
  </si>
  <si>
    <t>250904</t>
  </si>
  <si>
    <t>Повернення бюджетних позичок</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</si>
  <si>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</si>
  <si>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</si>
  <si>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 xml:space="preserve">Програма молодіжного житлового кредитування м.Суми на 2011 - 2017 роки </t>
  </si>
  <si>
    <t>Капiтальнi вкладення</t>
  </si>
  <si>
    <t>250908</t>
  </si>
  <si>
    <t>250909</t>
  </si>
  <si>
    <t>250913</t>
  </si>
  <si>
    <t>Надання пільгового довгострокового кредиту громадянам на будівництво (реконструкцію) та придбання житла</t>
  </si>
  <si>
    <t xml:space="preserve">Повернення коштів, наданих для кредитування громадян на будівництво (реконструкцію) та придбання житла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</si>
  <si>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</si>
  <si>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48 Департамент містобудування та земельних відносин Сумської міської ради</t>
  </si>
  <si>
    <t>0180</t>
  </si>
  <si>
    <t>250380</t>
  </si>
  <si>
    <t>Інші субвенції</t>
  </si>
  <si>
    <t>50 Управління «Інспекція з благоустрою міста Суми»  Сумської міської ради</t>
  </si>
  <si>
    <t>грн.</t>
  </si>
  <si>
    <t>Найменування
згідно з типовою відомчою/тимчасовою класифікацією видатків та кредитування місцевого бюджету</t>
  </si>
  <si>
    <t>Код функціональ-ної класифікації видатків та кредитування бюджету</t>
  </si>
  <si>
    <t>Цільова (комплексна) програма підтримки малого та середнього підприємництва в м.Суми на 2013-2016 роки</t>
  </si>
  <si>
    <t>Найменування міської цільової програми</t>
  </si>
  <si>
    <t>120300</t>
  </si>
  <si>
    <t>Книговидання</t>
  </si>
  <si>
    <t>0830</t>
  </si>
  <si>
    <t>150202</t>
  </si>
  <si>
    <t>0443</t>
  </si>
  <si>
    <t>Розробка схем та проектних рішень масового застосування</t>
  </si>
  <si>
    <t>200600</t>
  </si>
  <si>
    <t>Програма зайнятості населення м. Суми на період до 2017 року</t>
  </si>
  <si>
    <t xml:space="preserve">Міська програма «Відкритий інформаційний простір м. Суми» на 2016-2018 роки </t>
  </si>
  <si>
    <t xml:space="preserve">Міська програма «Автоматизація муніципальних телекомунікаційних систем на 2016- 2018 роки в м. Суми»  </t>
  </si>
  <si>
    <t>Міська програма «Місто Суми – територія добра та милосердя на 2016 – 2018 роки»</t>
  </si>
  <si>
    <t>Міська цільова програма «Соціальні служби готові прийти на допомогу на 2016-2018 роки»</t>
  </si>
  <si>
    <t xml:space="preserve">Програма «Молодь міста Суми на 2016-2018 роки» </t>
  </si>
  <si>
    <t>Програма  «Фізична культура і спорт  міста Суми на 2016 - 2018 роки»</t>
  </si>
  <si>
    <t xml:space="preserve">Міська цільова (комплексна) Програма розвитку міського пасажирського транспорту м. Суми на 2016-2018 роки </t>
  </si>
  <si>
    <t>Комплексна програма охорони навколишнього природного середовища м. Суми на 2016-2018 роки</t>
  </si>
  <si>
    <t xml:space="preserve">Міська комплексна програма «Правопорядок» на період 2016-2018 роки </t>
  </si>
  <si>
    <t xml:space="preserve">Комплексна цільова Програма управління та ефективного використання майна комунальної власності  та земельних ресурсів територіальної громади міста Суми 
на 2016-2018 роки
</t>
  </si>
  <si>
    <t>Міська програма «Автоматизація муніципальних телекомунікаційних систем на 2016- 2018 роки в м. Суми»</t>
  </si>
  <si>
    <t>090501</t>
  </si>
  <si>
    <t xml:space="preserve">Програм енергозбереження та енергоефективності в бюджетній сфері м. Суми на 2014-2016 роки 
</t>
  </si>
  <si>
    <t>Програма економічного і соціального розвитку м. Суми на  2016 рік</t>
  </si>
  <si>
    <t>170101</t>
  </si>
  <si>
    <t>Регулювання цін на послуги місцевого автотранспорту</t>
  </si>
  <si>
    <t>0451</t>
  </si>
  <si>
    <t>Регулювання цін на послуги міського електротранспорту</t>
  </si>
  <si>
    <t>0453</t>
  </si>
  <si>
    <t>170601</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</si>
  <si>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</si>
  <si>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1050</t>
  </si>
  <si>
    <t>Організація проведення громадських робіт</t>
  </si>
  <si>
    <t xml:space="preserve">Програма економічного і соціального розвитку м. Суми на 2016 рік  </t>
  </si>
  <si>
    <t xml:space="preserve">Програма економічного і соціального розвитку м. Суми на 2016 рік </t>
  </si>
  <si>
    <t>Інші освітні програми</t>
  </si>
  <si>
    <t>110201</t>
  </si>
  <si>
    <t>0824</t>
  </si>
  <si>
    <t>Бібліотеки</t>
  </si>
  <si>
    <t>110205</t>
  </si>
  <si>
    <t>0960</t>
  </si>
  <si>
    <t>Школи естетичного виховання дітей</t>
  </si>
  <si>
    <t>Міська комплексна програма «Охорона здоров’я на 2016-2020 роки» (Підпрограма  VІІ «Розвиток матеріально-технічної бази лікувально-профілактичних закладів міста на 2016-2020 роки»)</t>
  </si>
  <si>
    <t>Міська цільова комплексна Програма розвитку культури  міста Суми на 2016 - 2018 роки (Підпрограма І «Культурно-масова робота»)</t>
  </si>
  <si>
    <t>Міська цільова комплексна Програма розвитку культури  міста Суми на 2016 - 2018 роки (Підпрограма ІV «Розвиток та модернізація існуючої мережі закладів культури міста»)</t>
  </si>
  <si>
    <t>Комплексна міська програма «Освіта м. Суми на 2016-2018 роки» (Підпрограма V «Робота з обдарованою учнівською молоддю»)</t>
  </si>
  <si>
    <t>100101</t>
  </si>
  <si>
    <t>Житлово-експлуатаційне господарство</t>
  </si>
  <si>
    <t>Комплексна міська програма «Освіта м. Суми на 2016-2018 роки» (Підпрограма 10 «Матеріально-технічне забезпечення закладів»)</t>
  </si>
  <si>
    <t>070304</t>
  </si>
  <si>
    <t>0922</t>
  </si>
  <si>
    <t>Спеціалізовані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</si>
  <si>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</si>
  <si>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</si>
  <si>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070806</t>
  </si>
  <si>
    <t>Інші заклади освіти</t>
  </si>
  <si>
    <t>091204</t>
  </si>
  <si>
    <t>Територіальні центри соціального обслуговування (наданих соціальних послуг)</t>
  </si>
  <si>
    <t>1020</t>
  </si>
  <si>
    <t>091212</t>
  </si>
  <si>
    <t>Обработка інформації з нарахування та виплати допомог і компенсацій</t>
  </si>
  <si>
    <t>0512</t>
  </si>
  <si>
    <t>Утилізація відходів</t>
  </si>
  <si>
    <t>Інша діяльність у сфері охорони навколишнього природного середовища</t>
  </si>
  <si>
    <t>240604</t>
  </si>
  <si>
    <t xml:space="preserve">                                                                                   Інша діяльність у сфері охорони навколишнього природного середовища</t>
  </si>
  <si>
    <t>240605</t>
  </si>
  <si>
    <t>100208</t>
  </si>
  <si>
    <t>Видатки на впровадження засобів обліку витрат та регулювання споживання води та теплової енергії</t>
  </si>
  <si>
    <t xml:space="preserve">Комплексна цільова програма реформування і розвитку житлово-комунального господарства міста Суми на 2015-2017 роки </t>
  </si>
  <si>
    <t>170103</t>
  </si>
  <si>
    <t>Інші заходи у сфері автомобільного транспорту</t>
  </si>
  <si>
    <t>250344</t>
  </si>
  <si>
    <t>Субвенція з місцевого бюджету державному бюджету на виконання програм соціально-економічного та культурного розвитку регіонів</t>
  </si>
  <si>
    <t>250903</t>
  </si>
  <si>
    <t>Надання бюджетних позичок суб'єктам підприємницької діяльності</t>
  </si>
  <si>
    <t>Програма регулювання містобудівної діяльності</t>
  </si>
  <si>
    <t>240603</t>
  </si>
  <si>
    <t>Ліквідація іншого забруднення навколишнього
природного середовища</t>
  </si>
  <si>
    <t>0513</t>
  </si>
  <si>
    <t>100302</t>
  </si>
  <si>
    <t xml:space="preserve">Комбінати комунальних підприємств, районні виробничі об'єднання та інші підприємства, установи та організації житлово-комунального господарства </t>
  </si>
  <si>
    <t>«Програма енергозбереження та енергоефективності в бюджетній сфері м. Суми на 2014-2016 роки»</t>
  </si>
  <si>
    <t>«Міська цільова Програма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2016 рік»</t>
  </si>
  <si>
    <t xml:space="preserve">15 Департамент соціального захисту населення Сумської міської ради </t>
  </si>
  <si>
    <t>150201</t>
  </si>
  <si>
    <t>75 Департамент фінансів, економіки та інвестицій Сумської міської ради</t>
  </si>
  <si>
    <t>Збереження, розвиток, реконструкція та реставрація пам'яток історії та культур</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</si>
  <si>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</si>
  <si>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</si>
  <si>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</si>
  <si>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090209</t>
  </si>
  <si>
    <t>090214</t>
  </si>
  <si>
    <t>Пільги окремим категоріям громадян з послуг зв'язку</t>
  </si>
  <si>
    <t>170102</t>
  </si>
  <si>
    <t>Компенсаційні виплати на пільговий проїзд автомобільним транспортом окремим категоріям громадян</t>
  </si>
  <si>
    <t>48 Управління архітектури та містобудування Сумської міської ради</t>
  </si>
  <si>
    <t>76 Департамент фінансів, економіки та інвестицій Сумської міської ради (в частині міжбюджетних трансфертів, резервного фонду)</t>
  </si>
  <si>
    <t>Перелік міських цільових програм, які фінансуватимуться за рахунок коштів
міського бюджету у 2016 році</t>
  </si>
  <si>
    <t>Благоустрій міст, сіл, селищ</t>
  </si>
  <si>
    <t>45 Департамент забезпечення  ресурсних платежів Сумської міської ради</t>
  </si>
  <si>
    <t>Капітальні вкладення</t>
  </si>
  <si>
    <t>до  рішення Сумської  міської   ради</t>
  </si>
  <si>
    <t>«Про  внесення   змін  та   доповнень</t>
  </si>
  <si>
    <t>до  міського  бюджету  на  2016  рік»</t>
  </si>
  <si>
    <t xml:space="preserve">                   Додаток № 5</t>
  </si>
  <si>
    <r>
      <t xml:space="preserve">від </t>
    </r>
    <r>
      <rPr>
        <sz val="18"/>
        <color indexed="9"/>
        <rFont val="Times New Roman"/>
        <family val="1"/>
      </rPr>
      <t xml:space="preserve">27 липня </t>
    </r>
    <r>
      <rPr>
        <sz val="18"/>
        <rFont val="Times New Roman"/>
        <family val="1"/>
      </rPr>
      <t xml:space="preserve">2016  року № </t>
    </r>
    <r>
      <rPr>
        <sz val="18"/>
        <color indexed="9"/>
        <rFont val="Times New Roman"/>
        <family val="1"/>
      </rPr>
      <t>1032</t>
    </r>
    <r>
      <rPr>
        <sz val="18"/>
        <rFont val="Times New Roman"/>
        <family val="1"/>
      </rPr>
      <t xml:space="preserve"> - МР</t>
    </r>
  </si>
  <si>
    <t>Виконавець: Співакова Л.І.</t>
  </si>
  <si>
    <t>Міський голова</t>
  </si>
  <si>
    <t>О.М. Лисенко</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</si>
</sst>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
  </numFmts>
  <fonts count="40">
    <font>
      <sz val="10"/>
      <name val="Times New Roman"/>
      <family val="0"/>
    </font>
    <font>
      <b/>
      <sz val="10"/>
      <name val="Arial"/>
      <family val="0"/>
    </font>
    <font>
      <i/>
      <sz val="10"/>
      <name val="Arial"/>
      <family val="0"/>
    </font>
    <font>
      <b/>
      <i/>
      <sz val="10"/>
      <name val="Arial"/>
      <family val="0"/>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4"/>
      <name val="Times New Roman"/>
      <family val="1"/>
    </font>
    <font>
      <sz val="12"/>
      <name val="Times New Roman"/>
      <family val="1"/>
    </font>
    <font>
      <sz val="10"/>
      <color indexed="8"/>
      <name val="Arial"/>
      <family val="2"/>
    </font>
    <font>
      <sz val="18"/>
      <name val="Times New Roman"/>
      <family val="1"/>
    </font>
    <font>
      <b/>
      <sz val="18"/>
      <name val="Times New Roman"/>
      <family val="1"/>
    </font>
    <font>
      <b/>
      <sz val="14"/>
      <color indexed="8"/>
      <name val="Times New Roman"/>
      <family val="1"/>
    </font>
    <font>
      <sz val="14"/>
      <color indexed="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6"/>
      <name val="Times New Roman"/>
      <family val="1"/>
    </font>
    <font>
      <sz val="18"/>
      <color indexed="9"/>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7"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5"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6" fillId="26" borderId="1" applyNumberFormat="0" applyAlignment="0" applyProtection="0"/>
    <xf numFmtId="0" fontId="21"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7"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12">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26" fillId="0" borderId="0" xfId="0" applyNumberFormat="1" applyFont="1" applyFill="1" applyAlignment="1" applyProtection="1">
      <alignment/>
      <protection/>
    </xf>
    <xf numFmtId="0" fontId="26"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0" fillId="0" borderId="0" xfId="0" applyNumberFormat="1" applyFont="1" applyFill="1" applyBorder="1" applyAlignment="1" applyProtection="1">
      <alignment/>
      <protection/>
    </xf>
    <xf numFmtId="0" fontId="19" fillId="0" borderId="0" xfId="0" applyNumberFormat="1" applyFont="1" applyFill="1" applyAlignment="1" applyProtection="1">
      <alignment/>
      <protection/>
    </xf>
    <xf numFmtId="0" fontId="19" fillId="0" borderId="0" xfId="0" applyFont="1" applyFill="1" applyAlignment="1">
      <alignment/>
    </xf>
    <xf numFmtId="0" fontId="26" fillId="0" borderId="0" xfId="0" applyNumberFormat="1" applyFont="1" applyFill="1" applyAlignment="1" applyProtection="1">
      <alignment horizontal="left" vertical="top"/>
      <protection/>
    </xf>
    <xf numFmtId="0" fontId="26" fillId="0" borderId="0" xfId="0" applyNumberFormat="1" applyFont="1" applyFill="1" applyAlignment="1" applyProtection="1">
      <alignment vertical="top"/>
      <protection/>
    </xf>
    <xf numFmtId="0" fontId="28" fillId="0" borderId="0" xfId="0" applyFont="1" applyFill="1" applyAlignment="1">
      <alignment vertical="center"/>
    </xf>
    <xf numFmtId="49" fontId="25" fillId="0" borderId="13" xfId="0" applyNumberFormat="1" applyFont="1" applyFill="1" applyBorder="1" applyAlignment="1">
      <alignment horizontal="center" vertical="center" wrapText="1"/>
    </xf>
    <xf numFmtId="0" fontId="25" fillId="0" borderId="14" xfId="0" applyFont="1" applyFill="1" applyBorder="1" applyAlignment="1">
      <alignment vertical="center" wrapText="1"/>
    </xf>
    <xf numFmtId="49" fontId="25" fillId="0" borderId="14" xfId="0" applyNumberFormat="1" applyFont="1" applyFill="1" applyBorder="1" applyAlignment="1">
      <alignment horizontal="center" vertical="center" wrapText="1"/>
    </xf>
    <xf numFmtId="0" fontId="25" fillId="0" borderId="13" xfId="0" applyFont="1" applyFill="1" applyBorder="1" applyAlignment="1">
      <alignment vertical="center" wrapText="1"/>
    </xf>
    <xf numFmtId="49" fontId="25" fillId="0" borderId="15" xfId="0" applyNumberFormat="1" applyFont="1" applyFill="1" applyBorder="1" applyAlignment="1">
      <alignment horizontal="center" vertical="center" wrapText="1"/>
    </xf>
    <xf numFmtId="0" fontId="25" fillId="0" borderId="14" xfId="0" applyFont="1" applyFill="1" applyBorder="1" applyAlignment="1">
      <alignment horizontal="left" vertical="center" wrapText="1"/>
    </xf>
    <xf numFmtId="4" fontId="25" fillId="0" borderId="14" xfId="0" applyNumberFormat="1" applyFont="1" applyFill="1" applyBorder="1" applyAlignment="1">
      <alignment vertical="center" wrapText="1"/>
    </xf>
    <xf numFmtId="0" fontId="25" fillId="0" borderId="15" xfId="0" applyFont="1" applyFill="1" applyBorder="1" applyAlignment="1">
      <alignment vertical="center" wrapText="1"/>
    </xf>
    <xf numFmtId="49" fontId="25" fillId="0" borderId="14" xfId="0" applyNumberFormat="1" applyFont="1" applyFill="1" applyBorder="1" applyAlignment="1">
      <alignment horizontal="center" vertical="center"/>
    </xf>
    <xf numFmtId="49" fontId="25" fillId="0" borderId="13" xfId="0" applyNumberFormat="1" applyFont="1" applyFill="1" applyBorder="1" applyAlignment="1">
      <alignment horizontal="center" vertical="center"/>
    </xf>
    <xf numFmtId="4" fontId="25" fillId="0" borderId="14" xfId="0" applyNumberFormat="1" applyFont="1" applyFill="1" applyBorder="1" applyAlignment="1">
      <alignment horizontal="left" vertical="center" wrapText="1"/>
    </xf>
    <xf numFmtId="0" fontId="25" fillId="0" borderId="14"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49" fontId="25" fillId="0" borderId="14" xfId="0" applyNumberFormat="1" applyFont="1" applyFill="1" applyBorder="1" applyAlignment="1">
      <alignment vertical="center" wrapText="1"/>
    </xf>
    <xf numFmtId="0" fontId="28" fillId="0" borderId="0" xfId="0" applyFont="1" applyFill="1" applyAlignment="1">
      <alignment vertical="center" wrapText="1"/>
    </xf>
    <xf numFmtId="0" fontId="25" fillId="0" borderId="16" xfId="0" applyFont="1" applyFill="1" applyBorder="1" applyAlignment="1">
      <alignment vertical="center" wrapText="1"/>
    </xf>
    <xf numFmtId="49" fontId="25" fillId="0" borderId="16" xfId="0" applyNumberFormat="1" applyFont="1" applyFill="1" applyBorder="1" applyAlignment="1">
      <alignment horizontal="center" vertical="center" wrapText="1"/>
    </xf>
    <xf numFmtId="49" fontId="25" fillId="0" borderId="13" xfId="0" applyNumberFormat="1"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0" xfId="0" applyFont="1" applyFill="1" applyBorder="1" applyAlignment="1">
      <alignment horizontal="center" vertical="center" wrapText="1"/>
    </xf>
    <xf numFmtId="49" fontId="25" fillId="0" borderId="0" xfId="0" applyNumberFormat="1" applyFont="1" applyFill="1" applyBorder="1" applyAlignment="1">
      <alignment horizontal="center" vertical="center" wrapText="1"/>
    </xf>
    <xf numFmtId="49" fontId="25" fillId="0" borderId="15" xfId="0" applyNumberFormat="1" applyFont="1" applyFill="1" applyBorder="1" applyAlignment="1">
      <alignment horizontal="center" vertical="center"/>
    </xf>
    <xf numFmtId="49" fontId="25" fillId="0" borderId="15" xfId="0" applyNumberFormat="1" applyFont="1" applyFill="1" applyBorder="1" applyAlignment="1">
      <alignment vertical="center" wrapText="1"/>
    </xf>
    <xf numFmtId="0" fontId="4" fillId="0" borderId="15" xfId="0" applyFont="1" applyFill="1" applyBorder="1" applyAlignment="1">
      <alignment vertical="center" wrapText="1"/>
    </xf>
    <xf numFmtId="0" fontId="4" fillId="0" borderId="14" xfId="0" applyFont="1" applyFill="1" applyBorder="1" applyAlignment="1">
      <alignment vertical="center" wrapText="1"/>
    </xf>
    <xf numFmtId="0" fontId="25" fillId="0" borderId="14" xfId="0" applyFont="1" applyFill="1" applyBorder="1" applyAlignment="1">
      <alignment horizontal="left" vertical="center" wrapText="1"/>
    </xf>
    <xf numFmtId="4" fontId="25" fillId="0" borderId="14" xfId="0" applyNumberFormat="1" applyFont="1" applyFill="1" applyBorder="1" applyAlignment="1">
      <alignment horizontal="left" vertical="center" wrapText="1"/>
    </xf>
    <xf numFmtId="0" fontId="0" fillId="0" borderId="0" xfId="0" applyFont="1" applyFill="1" applyBorder="1" applyAlignment="1">
      <alignment horizontal="center"/>
    </xf>
    <xf numFmtId="0" fontId="4" fillId="0" borderId="14" xfId="0" applyFont="1" applyFill="1" applyBorder="1" applyAlignment="1">
      <alignment horizontal="center" vertical="center" wrapText="1"/>
    </xf>
    <xf numFmtId="192" fontId="4" fillId="0" borderId="14" xfId="95" applyNumberFormat="1" applyFont="1" applyFill="1" applyBorder="1" applyAlignment="1">
      <alignment vertical="center"/>
      <protection/>
    </xf>
    <xf numFmtId="4" fontId="4" fillId="0" borderId="14" xfId="0" applyNumberFormat="1" applyFont="1" applyFill="1" applyBorder="1" applyAlignment="1">
      <alignment horizontal="left" vertical="center" wrapText="1"/>
    </xf>
    <xf numFmtId="192" fontId="25" fillId="0" borderId="14" xfId="0" applyNumberFormat="1" applyFont="1" applyFill="1" applyBorder="1" applyAlignment="1">
      <alignment vertical="justify"/>
    </xf>
    <xf numFmtId="192" fontId="25" fillId="0" borderId="0" xfId="0" applyNumberFormat="1" applyFont="1" applyFill="1" applyBorder="1" applyAlignment="1">
      <alignment vertical="justify"/>
    </xf>
    <xf numFmtId="0" fontId="26" fillId="0" borderId="0" xfId="0" applyNumberFormat="1" applyFont="1" applyFill="1" applyAlignment="1" applyProtection="1">
      <alignment vertical="center"/>
      <protection/>
    </xf>
    <xf numFmtId="0" fontId="0" fillId="0" borderId="0" xfId="0" applyFont="1" applyFill="1" applyBorder="1" applyAlignment="1">
      <alignment vertical="center"/>
    </xf>
    <xf numFmtId="0" fontId="4" fillId="0" borderId="0" xfId="0" applyNumberFormat="1" applyFont="1" applyFill="1" applyBorder="1" applyAlignment="1" applyProtection="1">
      <alignment vertical="center"/>
      <protection/>
    </xf>
    <xf numFmtId="0" fontId="25" fillId="0" borderId="12" xfId="0" applyNumberFormat="1" applyFont="1" applyFill="1" applyBorder="1" applyAlignment="1" applyProtection="1">
      <alignment vertical="center"/>
      <protection/>
    </xf>
    <xf numFmtId="4" fontId="30" fillId="0" borderId="14" xfId="95" applyNumberFormat="1" applyFont="1" applyFill="1" applyBorder="1" applyAlignment="1">
      <alignment vertical="center"/>
      <protection/>
    </xf>
    <xf numFmtId="4" fontId="31" fillId="0" borderId="14" xfId="95" applyNumberFormat="1" applyFont="1" applyFill="1" applyBorder="1" applyAlignment="1">
      <alignment vertical="center"/>
      <protection/>
    </xf>
    <xf numFmtId="4" fontId="25" fillId="0" borderId="14" xfId="95" applyNumberFormat="1" applyFont="1" applyFill="1" applyBorder="1" applyAlignment="1">
      <alignment vertical="center"/>
      <protection/>
    </xf>
    <xf numFmtId="4" fontId="31" fillId="0" borderId="13" xfId="95" applyNumberFormat="1" applyFont="1" applyFill="1" applyBorder="1" applyAlignment="1">
      <alignment vertical="center"/>
      <protection/>
    </xf>
    <xf numFmtId="4" fontId="25" fillId="0" borderId="14" xfId="95" applyNumberFormat="1" applyFont="1" applyFill="1" applyBorder="1" applyAlignment="1">
      <alignment vertical="center"/>
      <protection/>
    </xf>
    <xf numFmtId="4" fontId="30" fillId="0" borderId="14" xfId="0" applyNumberFormat="1" applyFont="1" applyFill="1" applyBorder="1" applyAlignment="1">
      <alignment vertical="center"/>
    </xf>
    <xf numFmtId="4" fontId="30" fillId="0" borderId="0" xfId="0" applyNumberFormat="1" applyFont="1" applyFill="1" applyBorder="1" applyAlignment="1">
      <alignment vertical="center"/>
    </xf>
    <xf numFmtId="4" fontId="31" fillId="0" borderId="14" xfId="95" applyNumberFormat="1" applyFont="1" applyFill="1" applyBorder="1" applyAlignment="1">
      <alignment vertical="center"/>
      <protection/>
    </xf>
    <xf numFmtId="4" fontId="30" fillId="0" borderId="13" xfId="95" applyNumberFormat="1" applyFont="1" applyFill="1" applyBorder="1" applyAlignment="1">
      <alignment vertical="center"/>
      <protection/>
    </xf>
    <xf numFmtId="4" fontId="31" fillId="0" borderId="13" xfId="95" applyNumberFormat="1" applyFont="1" applyFill="1" applyBorder="1" applyAlignment="1">
      <alignment vertical="center"/>
      <protection/>
    </xf>
    <xf numFmtId="4" fontId="25" fillId="0" borderId="13" xfId="95" applyNumberFormat="1" applyFont="1" applyFill="1" applyBorder="1" applyAlignment="1">
      <alignment vertical="center"/>
      <protection/>
    </xf>
    <xf numFmtId="0" fontId="4" fillId="0" borderId="0" xfId="0" applyFont="1" applyFill="1" applyBorder="1" applyAlignment="1">
      <alignment vertical="center" wrapText="1"/>
    </xf>
    <xf numFmtId="4" fontId="25" fillId="0" borderId="0" xfId="0" applyNumberFormat="1" applyFont="1" applyFill="1" applyAlignment="1">
      <alignment horizontal="center" vertical="center"/>
    </xf>
    <xf numFmtId="3" fontId="25" fillId="0" borderId="0" xfId="0" applyNumberFormat="1" applyFont="1" applyFill="1" applyBorder="1" applyAlignment="1">
      <alignment vertical="center" wrapText="1"/>
    </xf>
    <xf numFmtId="4" fontId="25" fillId="0" borderId="0" xfId="0" applyNumberFormat="1" applyFont="1" applyFill="1" applyAlignment="1">
      <alignment vertical="center" wrapText="1"/>
    </xf>
    <xf numFmtId="0" fontId="25" fillId="0" borderId="0" xfId="0" applyFont="1" applyFill="1" applyAlignment="1">
      <alignment/>
    </xf>
    <xf numFmtId="3" fontId="4" fillId="0" borderId="0" xfId="0" applyNumberFormat="1" applyFont="1" applyFill="1" applyBorder="1" applyAlignment="1">
      <alignment horizontal="center" vertical="center" wrapText="1"/>
    </xf>
    <xf numFmtId="0" fontId="25" fillId="0" borderId="0" xfId="0" applyNumberFormat="1" applyFont="1" applyFill="1" applyAlignment="1" applyProtection="1">
      <alignment/>
      <protection/>
    </xf>
    <xf numFmtId="0" fontId="25" fillId="0" borderId="0" xfId="0" applyNumberFormat="1" applyFont="1" applyFill="1" applyAlignment="1" applyProtection="1">
      <alignment vertical="center"/>
      <protection/>
    </xf>
    <xf numFmtId="0" fontId="28" fillId="0" borderId="0" xfId="0" applyFont="1" applyFill="1" applyAlignment="1">
      <alignment horizontal="left" vertical="center"/>
    </xf>
    <xf numFmtId="0" fontId="4" fillId="0" borderId="14" xfId="0" applyNumberFormat="1" applyFont="1" applyFill="1" applyBorder="1" applyAlignment="1" applyProtection="1">
      <alignment horizontal="center" vertical="center" wrapText="1"/>
      <protection/>
    </xf>
    <xf numFmtId="49" fontId="4" fillId="0" borderId="14" xfId="0" applyNumberFormat="1" applyFont="1" applyFill="1" applyBorder="1" applyAlignment="1">
      <alignment horizontal="center" vertical="center" wrapText="1"/>
    </xf>
    <xf numFmtId="0" fontId="25" fillId="0" borderId="0" xfId="0" applyNumberFormat="1" applyFont="1" applyFill="1" applyBorder="1" applyAlignment="1" applyProtection="1">
      <alignment/>
      <protection/>
    </xf>
    <xf numFmtId="4" fontId="38" fillId="0" borderId="0" xfId="0" applyNumberFormat="1" applyFont="1" applyFill="1" applyAlignment="1">
      <alignment horizontal="center" vertical="center"/>
    </xf>
    <xf numFmtId="0" fontId="38" fillId="0" borderId="0" xfId="0" applyFont="1" applyFill="1" applyAlignment="1">
      <alignment vertical="center" wrapText="1"/>
    </xf>
    <xf numFmtId="0" fontId="25" fillId="0" borderId="0" xfId="0" applyFont="1" applyFill="1" applyAlignment="1" applyProtection="1">
      <alignment horizontal="center" vertical="center" textRotation="180"/>
      <protection locked="0"/>
    </xf>
    <xf numFmtId="0" fontId="25" fillId="0" borderId="0" xfId="0" applyFont="1" applyFill="1" applyBorder="1" applyAlignment="1" applyProtection="1">
      <alignment vertical="center" textRotation="180"/>
      <protection locked="0"/>
    </xf>
    <xf numFmtId="0" fontId="0" fillId="0" borderId="0" xfId="0" applyFont="1" applyFill="1" applyAlignment="1">
      <alignment/>
    </xf>
    <xf numFmtId="0" fontId="25" fillId="0" borderId="12" xfId="0" applyNumberFormat="1" applyFont="1" applyFill="1" applyBorder="1" applyAlignment="1" applyProtection="1">
      <alignment/>
      <protection/>
    </xf>
    <xf numFmtId="0" fontId="38" fillId="0" borderId="0" xfId="0" applyNumberFormat="1" applyFont="1" applyFill="1" applyAlignment="1" applyProtection="1">
      <alignment/>
      <protection/>
    </xf>
    <xf numFmtId="0" fontId="38" fillId="0" borderId="0" xfId="0" applyFont="1" applyFill="1" applyAlignment="1">
      <alignment/>
    </xf>
    <xf numFmtId="0" fontId="25" fillId="0" borderId="13"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0" xfId="0" applyFont="1" applyFill="1" applyAlignment="1" applyProtection="1">
      <alignment horizontal="center" vertical="center" textRotation="180"/>
      <protection locked="0"/>
    </xf>
    <xf numFmtId="0" fontId="25" fillId="0" borderId="17" xfId="0" applyFont="1" applyBorder="1" applyAlignment="1">
      <alignment horizontal="center" vertical="center" textRotation="180"/>
    </xf>
    <xf numFmtId="49" fontId="25" fillId="0" borderId="13" xfId="0" applyNumberFormat="1" applyFont="1" applyFill="1" applyBorder="1" applyAlignment="1">
      <alignment horizontal="center" vertical="center" wrapText="1"/>
    </xf>
    <xf numFmtId="49" fontId="25" fillId="0" borderId="15" xfId="0" applyNumberFormat="1" applyFont="1" applyFill="1" applyBorder="1" applyAlignment="1">
      <alignment horizontal="center" vertical="center" wrapText="1"/>
    </xf>
    <xf numFmtId="0" fontId="28" fillId="0" borderId="0" xfId="0" applyFont="1" applyFill="1" applyAlignment="1">
      <alignment vertical="center"/>
    </xf>
    <xf numFmtId="0" fontId="25" fillId="0" borderId="17" xfId="0" applyFont="1" applyFill="1" applyBorder="1" applyAlignment="1" applyProtection="1">
      <alignment horizontal="center" vertical="center" textRotation="180"/>
      <protection locked="0"/>
    </xf>
    <xf numFmtId="0" fontId="25" fillId="0" borderId="16" xfId="0" applyFont="1" applyFill="1" applyBorder="1" applyAlignment="1">
      <alignment/>
    </xf>
    <xf numFmtId="0" fontId="25" fillId="0" borderId="15" xfId="0" applyFont="1" applyFill="1" applyBorder="1" applyAlignment="1">
      <alignment/>
    </xf>
    <xf numFmtId="0" fontId="25" fillId="0" borderId="16" xfId="0" applyFont="1" applyFill="1" applyBorder="1" applyAlignment="1">
      <alignment horizontal="left" vertical="center" wrapText="1"/>
    </xf>
    <xf numFmtId="49" fontId="25" fillId="0" borderId="16" xfId="0" applyNumberFormat="1" applyFont="1" applyFill="1" applyBorder="1" applyAlignment="1">
      <alignment horizontal="center" vertical="center" wrapText="1"/>
    </xf>
    <xf numFmtId="0" fontId="25" fillId="0" borderId="13" xfId="0" applyFont="1" applyFill="1" applyBorder="1" applyAlignment="1">
      <alignment vertical="center" wrapText="1"/>
    </xf>
    <xf numFmtId="0" fontId="25" fillId="0" borderId="16" xfId="0" applyFont="1" applyFill="1" applyBorder="1" applyAlignment="1">
      <alignment/>
    </xf>
    <xf numFmtId="0" fontId="25" fillId="0" borderId="15" xfId="0" applyFont="1" applyFill="1" applyBorder="1" applyAlignment="1">
      <alignment/>
    </xf>
    <xf numFmtId="0" fontId="29" fillId="0" borderId="0" xfId="0" applyNumberFormat="1" applyFont="1" applyFill="1" applyBorder="1" applyAlignment="1" applyProtection="1">
      <alignment horizontal="center" vertical="top" wrapText="1"/>
      <protection/>
    </xf>
    <xf numFmtId="0" fontId="25" fillId="0" borderId="16" xfId="0" applyFont="1" applyFill="1" applyBorder="1" applyAlignment="1">
      <alignment vertical="center" wrapText="1"/>
    </xf>
    <xf numFmtId="0" fontId="25" fillId="0" borderId="13" xfId="0" applyFont="1" applyFill="1" applyBorder="1" applyAlignment="1">
      <alignment horizontal="center" vertical="center" wrapText="1"/>
    </xf>
    <xf numFmtId="0" fontId="25" fillId="0" borderId="16" xfId="0" applyFont="1" applyFill="1" applyBorder="1" applyAlignment="1">
      <alignment horizontal="center" vertical="center" wrapText="1"/>
    </xf>
    <xf numFmtId="49" fontId="25" fillId="0" borderId="13" xfId="0" applyNumberFormat="1" applyFont="1" applyFill="1" applyBorder="1" applyAlignment="1">
      <alignment horizontal="center" vertical="center"/>
    </xf>
    <xf numFmtId="49" fontId="25" fillId="0" borderId="15" xfId="0" applyNumberFormat="1" applyFont="1" applyFill="1" applyBorder="1" applyAlignment="1">
      <alignment horizontal="center" vertical="center"/>
    </xf>
    <xf numFmtId="49" fontId="25" fillId="0" borderId="16" xfId="0" applyNumberFormat="1" applyFont="1" applyFill="1" applyBorder="1" applyAlignment="1">
      <alignment horizontal="center" vertical="center"/>
    </xf>
    <xf numFmtId="49" fontId="38" fillId="0" borderId="0" xfId="0" applyNumberFormat="1" applyFont="1" applyFill="1" applyBorder="1" applyAlignment="1">
      <alignment horizontal="left" vertical="center" wrapText="1"/>
    </xf>
    <xf numFmtId="49" fontId="25" fillId="0" borderId="0" xfId="0" applyNumberFormat="1" applyFont="1" applyFill="1" applyBorder="1" applyAlignment="1">
      <alignment horizontal="left" vertical="center" wrapText="1"/>
    </xf>
    <xf numFmtId="0" fontId="38" fillId="0" borderId="0" xfId="0" applyFont="1" applyFill="1" applyAlignment="1">
      <alignment horizontal="right" vertical="center" wrapText="1"/>
    </xf>
    <xf numFmtId="0" fontId="25" fillId="0" borderId="0" xfId="0" applyFont="1" applyAlignment="1">
      <alignment horizontal="center" vertical="center" textRotation="180"/>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90"/>
  <sheetViews>
    <sheetView showZeros="0" tabSelected="1" view="pageBreakPreview" zoomScale="70" zoomScaleNormal="75" zoomScaleSheetLayoutView="70" zoomScalePageLayoutView="0" workbookViewId="0" topLeftCell="B167">
      <selection activeCell="F174" sqref="F174"/>
    </sheetView>
  </sheetViews>
  <sheetFormatPr defaultColWidth="9.16015625" defaultRowHeight="12.75"/>
  <cols>
    <col min="1" max="1" width="3.83203125" style="3" hidden="1" customWidth="1"/>
    <col min="2" max="2" width="20.5" style="9" customWidth="1"/>
    <col min="3" max="3" width="21.33203125" style="9" customWidth="1"/>
    <col min="4" max="4" width="52.16015625" style="3" customWidth="1"/>
    <col min="5" max="5" width="56" style="1" customWidth="1"/>
    <col min="6" max="6" width="25" style="5" customWidth="1"/>
    <col min="7" max="7" width="24.66015625" style="5" customWidth="1"/>
    <col min="8" max="8" width="25" style="5" customWidth="1"/>
    <col min="9" max="9" width="7.16015625" style="80" customWidth="1"/>
    <col min="10" max="16384" width="9.16015625" style="2" customWidth="1"/>
  </cols>
  <sheetData>
    <row r="1" spans="1:10" s="8" customFormat="1" ht="23.25" customHeight="1">
      <c r="A1" s="7"/>
      <c r="B1" s="15"/>
      <c r="C1" s="15"/>
      <c r="D1" s="15"/>
      <c r="E1" s="15"/>
      <c r="F1" s="92" t="s">
        <v>250</v>
      </c>
      <c r="G1" s="92"/>
      <c r="H1" s="92"/>
      <c r="I1" s="88"/>
      <c r="J1" s="16"/>
    </row>
    <row r="2" spans="1:10" s="8" customFormat="1" ht="23.25" customHeight="1">
      <c r="A2" s="7"/>
      <c r="B2" s="15"/>
      <c r="C2" s="15"/>
      <c r="D2" s="15"/>
      <c r="E2" s="15"/>
      <c r="F2" s="74" t="s">
        <v>247</v>
      </c>
      <c r="G2" s="16"/>
      <c r="H2" s="16"/>
      <c r="I2" s="88"/>
      <c r="J2" s="16"/>
    </row>
    <row r="3" spans="1:10" s="8" customFormat="1" ht="23.25" customHeight="1">
      <c r="A3" s="7"/>
      <c r="B3" s="15"/>
      <c r="C3" s="15"/>
      <c r="D3" s="15"/>
      <c r="E3" s="15"/>
      <c r="F3" s="92" t="s">
        <v>248</v>
      </c>
      <c r="G3" s="92"/>
      <c r="H3" s="92"/>
      <c r="I3" s="88"/>
      <c r="J3" s="16"/>
    </row>
    <row r="4" spans="1:10" s="8" customFormat="1" ht="24" customHeight="1">
      <c r="A4" s="7"/>
      <c r="B4" s="14"/>
      <c r="C4" s="14"/>
      <c r="D4" s="14"/>
      <c r="E4" s="14"/>
      <c r="F4" s="16" t="s">
        <v>249</v>
      </c>
      <c r="G4" s="16"/>
      <c r="H4" s="16"/>
      <c r="I4" s="88"/>
      <c r="J4" s="16"/>
    </row>
    <row r="5" spans="1:10" s="8" customFormat="1" ht="22.5" customHeight="1">
      <c r="A5" s="7"/>
      <c r="B5" s="14"/>
      <c r="C5" s="14"/>
      <c r="D5" s="14"/>
      <c r="E5" s="14"/>
      <c r="F5" s="16" t="s">
        <v>251</v>
      </c>
      <c r="G5" s="16"/>
      <c r="H5" s="16"/>
      <c r="I5" s="88"/>
      <c r="J5" s="32"/>
    </row>
    <row r="6" spans="1:10" s="8" customFormat="1" ht="24.75" customHeight="1">
      <c r="A6" s="7"/>
      <c r="B6" s="14"/>
      <c r="C6" s="14"/>
      <c r="D6" s="14"/>
      <c r="E6" s="14"/>
      <c r="F6" s="16"/>
      <c r="G6" s="16"/>
      <c r="H6" s="16"/>
      <c r="I6" s="88"/>
      <c r="J6" s="32"/>
    </row>
    <row r="7" spans="1:9" s="8" customFormat="1" ht="16.5" customHeight="1">
      <c r="A7" s="7"/>
      <c r="B7" s="14"/>
      <c r="C7" s="14"/>
      <c r="D7" s="14"/>
      <c r="E7" s="14"/>
      <c r="F7" s="51"/>
      <c r="G7" s="51"/>
      <c r="H7" s="51"/>
      <c r="I7" s="88"/>
    </row>
    <row r="8" spans="1:9" ht="46.5" customHeight="1">
      <c r="A8" s="1"/>
      <c r="B8" s="101" t="s">
        <v>243</v>
      </c>
      <c r="C8" s="101"/>
      <c r="D8" s="101"/>
      <c r="E8" s="101"/>
      <c r="F8" s="101"/>
      <c r="G8" s="101"/>
      <c r="H8" s="101"/>
      <c r="I8" s="88"/>
    </row>
    <row r="9" spans="2:9" ht="18.75">
      <c r="B9" s="10"/>
      <c r="C9" s="10"/>
      <c r="D9" s="4"/>
      <c r="E9" s="45"/>
      <c r="F9" s="52"/>
      <c r="G9" s="53"/>
      <c r="H9" s="54" t="s">
        <v>142</v>
      </c>
      <c r="I9" s="88"/>
    </row>
    <row r="10" spans="1:9" ht="137.25" customHeight="1">
      <c r="A10" s="11"/>
      <c r="B10" s="75" t="s">
        <v>11</v>
      </c>
      <c r="C10" s="75" t="s">
        <v>144</v>
      </c>
      <c r="D10" s="75" t="s">
        <v>143</v>
      </c>
      <c r="E10" s="46" t="s">
        <v>146</v>
      </c>
      <c r="F10" s="75" t="s">
        <v>0</v>
      </c>
      <c r="G10" s="46" t="s">
        <v>1</v>
      </c>
      <c r="H10" s="46" t="s">
        <v>5</v>
      </c>
      <c r="I10" s="88"/>
    </row>
    <row r="11" spans="1:9" s="6" customFormat="1" ht="48" customHeight="1">
      <c r="A11" s="5"/>
      <c r="B11" s="76"/>
      <c r="C11" s="76"/>
      <c r="D11" s="42" t="s">
        <v>62</v>
      </c>
      <c r="E11" s="47"/>
      <c r="F11" s="55">
        <f>SUM(F12:F49)</f>
        <v>41907502.79</v>
      </c>
      <c r="G11" s="55">
        <f>SUM(G12:G49)</f>
        <v>55010707</v>
      </c>
      <c r="H11" s="55">
        <f>SUM(H12:H49)</f>
        <v>96918209.78999999</v>
      </c>
      <c r="I11" s="88"/>
    </row>
    <row r="12" spans="2:9" ht="61.5" customHeight="1">
      <c r="B12" s="90" t="s">
        <v>3</v>
      </c>
      <c r="C12" s="90" t="s">
        <v>2</v>
      </c>
      <c r="D12" s="98" t="s">
        <v>12</v>
      </c>
      <c r="E12" s="18" t="s">
        <v>155</v>
      </c>
      <c r="F12" s="56">
        <f>404240+60000+40000+40000-40000</f>
        <v>504240</v>
      </c>
      <c r="G12" s="56"/>
      <c r="H12" s="55">
        <f>F12+G12</f>
        <v>504240</v>
      </c>
      <c r="I12" s="88"/>
    </row>
    <row r="13" spans="2:9" ht="56.25">
      <c r="B13" s="94"/>
      <c r="C13" s="94"/>
      <c r="D13" s="99"/>
      <c r="E13" s="18" t="s">
        <v>156</v>
      </c>
      <c r="F13" s="56">
        <f>559640+285000</f>
        <v>844640</v>
      </c>
      <c r="G13" s="56">
        <v>897044</v>
      </c>
      <c r="H13" s="55">
        <f aca="true" t="shared" si="0" ref="H13:H49">F13+G13</f>
        <v>1741684</v>
      </c>
      <c r="I13" s="88"/>
    </row>
    <row r="14" spans="2:9" ht="75" customHeight="1">
      <c r="B14" s="95"/>
      <c r="C14" s="95"/>
      <c r="D14" s="100"/>
      <c r="E14" s="18" t="s">
        <v>145</v>
      </c>
      <c r="F14" s="56">
        <v>50000</v>
      </c>
      <c r="G14" s="56"/>
      <c r="H14" s="55">
        <f t="shared" si="0"/>
        <v>50000</v>
      </c>
      <c r="I14" s="88"/>
    </row>
    <row r="15" spans="2:9" ht="56.25">
      <c r="B15" s="19" t="s">
        <v>13</v>
      </c>
      <c r="C15" s="19" t="s">
        <v>15</v>
      </c>
      <c r="D15" s="18" t="s">
        <v>14</v>
      </c>
      <c r="E15" s="18" t="s">
        <v>157</v>
      </c>
      <c r="F15" s="56">
        <f>143404+22688+10861</f>
        <v>176953</v>
      </c>
      <c r="G15" s="56"/>
      <c r="H15" s="55">
        <f t="shared" si="0"/>
        <v>176953</v>
      </c>
      <c r="I15" s="88"/>
    </row>
    <row r="16" spans="2:9" ht="56.25">
      <c r="B16" s="17" t="s">
        <v>16</v>
      </c>
      <c r="C16" s="17" t="s">
        <v>18</v>
      </c>
      <c r="D16" s="20" t="s">
        <v>17</v>
      </c>
      <c r="E16" s="18" t="s">
        <v>158</v>
      </c>
      <c r="F16" s="56">
        <v>40000</v>
      </c>
      <c r="G16" s="56"/>
      <c r="H16" s="55">
        <f t="shared" si="0"/>
        <v>40000</v>
      </c>
      <c r="I16" s="88"/>
    </row>
    <row r="17" spans="2:9" ht="37.5">
      <c r="B17" s="17" t="s">
        <v>21</v>
      </c>
      <c r="C17" s="17" t="s">
        <v>18</v>
      </c>
      <c r="D17" s="20" t="s">
        <v>20</v>
      </c>
      <c r="E17" s="18" t="s">
        <v>159</v>
      </c>
      <c r="F17" s="56">
        <f>105000+500000</f>
        <v>605000</v>
      </c>
      <c r="G17" s="56"/>
      <c r="H17" s="55">
        <f t="shared" si="0"/>
        <v>605000</v>
      </c>
      <c r="I17" s="93"/>
    </row>
    <row r="18" spans="2:9" ht="56.25">
      <c r="B18" s="17" t="s">
        <v>22</v>
      </c>
      <c r="C18" s="17" t="s">
        <v>18</v>
      </c>
      <c r="D18" s="20" t="s">
        <v>23</v>
      </c>
      <c r="E18" s="18" t="s">
        <v>158</v>
      </c>
      <c r="F18" s="57">
        <f>582100-72200+1600</f>
        <v>511500</v>
      </c>
      <c r="G18" s="56">
        <v>9645</v>
      </c>
      <c r="H18" s="55">
        <f t="shared" si="0"/>
        <v>521145</v>
      </c>
      <c r="I18" s="93"/>
    </row>
    <row r="19" spans="2:9" ht="112.5" customHeight="1">
      <c r="B19" s="19" t="s">
        <v>24</v>
      </c>
      <c r="C19" s="19" t="s">
        <v>18</v>
      </c>
      <c r="D19" s="18" t="s">
        <v>25</v>
      </c>
      <c r="E19" s="18" t="s">
        <v>159</v>
      </c>
      <c r="F19" s="56">
        <f>189000+917888</f>
        <v>1106888</v>
      </c>
      <c r="G19" s="56"/>
      <c r="H19" s="55">
        <f t="shared" si="0"/>
        <v>1106888</v>
      </c>
      <c r="I19" s="93"/>
    </row>
    <row r="20" spans="2:9" ht="75">
      <c r="B20" s="19" t="s">
        <v>26</v>
      </c>
      <c r="C20" s="19" t="s">
        <v>28</v>
      </c>
      <c r="D20" s="18" t="s">
        <v>27</v>
      </c>
      <c r="E20" s="18" t="s">
        <v>61</v>
      </c>
      <c r="F20" s="56">
        <f>125140+37439.79</f>
        <v>162579.79</v>
      </c>
      <c r="G20" s="56"/>
      <c r="H20" s="55">
        <f t="shared" si="0"/>
        <v>162579.79</v>
      </c>
      <c r="I20" s="93"/>
    </row>
    <row r="21" spans="2:9" ht="37.5" customHeight="1">
      <c r="B21" s="19" t="s">
        <v>30</v>
      </c>
      <c r="C21" s="19" t="s">
        <v>31</v>
      </c>
      <c r="D21" s="18" t="s">
        <v>29</v>
      </c>
      <c r="E21" s="18" t="s">
        <v>159</v>
      </c>
      <c r="F21" s="59">
        <f>130000+100000+12000+26825+47000</f>
        <v>315825</v>
      </c>
      <c r="G21" s="56"/>
      <c r="H21" s="55">
        <f t="shared" si="0"/>
        <v>315825</v>
      </c>
      <c r="I21" s="93"/>
    </row>
    <row r="22" spans="2:9" ht="56.25">
      <c r="B22" s="34" t="s">
        <v>147</v>
      </c>
      <c r="C22" s="34" t="s">
        <v>149</v>
      </c>
      <c r="D22" s="33" t="s">
        <v>148</v>
      </c>
      <c r="E22" s="24" t="s">
        <v>155</v>
      </c>
      <c r="F22" s="56">
        <f>90300+7700+3500</f>
        <v>101500</v>
      </c>
      <c r="G22" s="56"/>
      <c r="H22" s="55">
        <f t="shared" si="0"/>
        <v>101500</v>
      </c>
      <c r="I22" s="93"/>
    </row>
    <row r="23" spans="2:9" ht="37.5">
      <c r="B23" s="17" t="s">
        <v>32</v>
      </c>
      <c r="C23" s="17" t="s">
        <v>34</v>
      </c>
      <c r="D23" s="20" t="s">
        <v>33</v>
      </c>
      <c r="E23" s="18" t="s">
        <v>160</v>
      </c>
      <c r="F23" s="56">
        <v>500000</v>
      </c>
      <c r="G23" s="56"/>
      <c r="H23" s="55">
        <f t="shared" si="0"/>
        <v>500000</v>
      </c>
      <c r="I23" s="93"/>
    </row>
    <row r="24" spans="2:9" ht="56.25" customHeight="1">
      <c r="B24" s="17" t="s">
        <v>35</v>
      </c>
      <c r="C24" s="17" t="s">
        <v>34</v>
      </c>
      <c r="D24" s="20" t="s">
        <v>36</v>
      </c>
      <c r="E24" s="18" t="s">
        <v>160</v>
      </c>
      <c r="F24" s="56">
        <f>500000+16500+7280</f>
        <v>523780</v>
      </c>
      <c r="G24" s="56"/>
      <c r="H24" s="55">
        <f t="shared" si="0"/>
        <v>523780</v>
      </c>
      <c r="I24" s="93"/>
    </row>
    <row r="25" spans="2:9" ht="56.25">
      <c r="B25" s="17" t="s">
        <v>38</v>
      </c>
      <c r="C25" s="17" t="s">
        <v>34</v>
      </c>
      <c r="D25" s="20" t="s">
        <v>37</v>
      </c>
      <c r="E25" s="18" t="s">
        <v>160</v>
      </c>
      <c r="F25" s="56">
        <f>5633420-548729+30000+7000+34000+14132+13000+1569+4000+10000+124142</f>
        <v>5322534</v>
      </c>
      <c r="G25" s="56">
        <f>200000+10000-13000</f>
        <v>197000</v>
      </c>
      <c r="H25" s="55">
        <f t="shared" si="0"/>
        <v>5519534</v>
      </c>
      <c r="I25" s="93"/>
    </row>
    <row r="26" spans="2:9" ht="37.5" customHeight="1">
      <c r="B26" s="17" t="s">
        <v>39</v>
      </c>
      <c r="C26" s="17" t="s">
        <v>34</v>
      </c>
      <c r="D26" s="20" t="s">
        <v>23</v>
      </c>
      <c r="E26" s="18" t="s">
        <v>160</v>
      </c>
      <c r="F26" s="56">
        <f>2545380-198212+20000+6195</f>
        <v>2373363</v>
      </c>
      <c r="G26" s="56"/>
      <c r="H26" s="55">
        <f t="shared" si="0"/>
        <v>2373363</v>
      </c>
      <c r="I26" s="93"/>
    </row>
    <row r="27" spans="2:9" ht="37.5" customHeight="1">
      <c r="B27" s="17" t="s">
        <v>40</v>
      </c>
      <c r="C27" s="17" t="s">
        <v>34</v>
      </c>
      <c r="D27" s="20" t="s">
        <v>41</v>
      </c>
      <c r="E27" s="18" t="s">
        <v>160</v>
      </c>
      <c r="F27" s="56">
        <f>1995340-308001+14500+17000+6327+400000</f>
        <v>2125166</v>
      </c>
      <c r="G27" s="56">
        <v>817714</v>
      </c>
      <c r="H27" s="55">
        <f t="shared" si="0"/>
        <v>2942880</v>
      </c>
      <c r="I27" s="89"/>
    </row>
    <row r="28" spans="2:9" ht="97.5" customHeight="1">
      <c r="B28" s="19" t="s">
        <v>43</v>
      </c>
      <c r="C28" s="19" t="s">
        <v>34</v>
      </c>
      <c r="D28" s="18" t="s">
        <v>42</v>
      </c>
      <c r="E28" s="18" t="s">
        <v>160</v>
      </c>
      <c r="F28" s="56">
        <f>4485660-399442+10000+25000+38000+5659+42000+6000</f>
        <v>4212877</v>
      </c>
      <c r="G28" s="56">
        <f>12000+11000</f>
        <v>23000</v>
      </c>
      <c r="H28" s="55">
        <f t="shared" si="0"/>
        <v>4235877</v>
      </c>
      <c r="I28" s="89"/>
    </row>
    <row r="29" spans="2:9" ht="56.25">
      <c r="B29" s="19" t="s">
        <v>150</v>
      </c>
      <c r="C29" s="19" t="s">
        <v>151</v>
      </c>
      <c r="D29" s="18" t="s">
        <v>152</v>
      </c>
      <c r="E29" s="23" t="s">
        <v>161</v>
      </c>
      <c r="F29" s="56">
        <v>99000</v>
      </c>
      <c r="G29" s="56"/>
      <c r="H29" s="55">
        <f t="shared" si="0"/>
        <v>99000</v>
      </c>
      <c r="I29" s="89"/>
    </row>
    <row r="30" spans="2:9" ht="59.25" customHeight="1">
      <c r="B30" s="19" t="s">
        <v>169</v>
      </c>
      <c r="C30" s="19" t="s">
        <v>171</v>
      </c>
      <c r="D30" s="18" t="s">
        <v>170</v>
      </c>
      <c r="E30" s="18" t="s">
        <v>161</v>
      </c>
      <c r="F30" s="56">
        <v>1642000</v>
      </c>
      <c r="G30" s="56"/>
      <c r="H30" s="55">
        <f t="shared" si="0"/>
        <v>1642000</v>
      </c>
      <c r="I30" s="89"/>
    </row>
    <row r="31" spans="2:9" ht="60.75" customHeight="1">
      <c r="B31" s="19" t="s">
        <v>215</v>
      </c>
      <c r="C31" s="19" t="s">
        <v>171</v>
      </c>
      <c r="D31" s="18" t="s">
        <v>216</v>
      </c>
      <c r="E31" s="18" t="s">
        <v>161</v>
      </c>
      <c r="F31" s="56">
        <f>200000+150000+156400+1941100</f>
        <v>2447500</v>
      </c>
      <c r="G31" s="56"/>
      <c r="H31" s="55">
        <f t="shared" si="0"/>
        <v>2447500</v>
      </c>
      <c r="I31" s="89"/>
    </row>
    <row r="32" spans="2:9" ht="56.25">
      <c r="B32" s="19" t="s">
        <v>174</v>
      </c>
      <c r="C32" s="19" t="s">
        <v>173</v>
      </c>
      <c r="D32" s="18" t="s">
        <v>172</v>
      </c>
      <c r="E32" s="18" t="s">
        <v>161</v>
      </c>
      <c r="F32" s="56">
        <v>3607600</v>
      </c>
      <c r="G32" s="56"/>
      <c r="H32" s="55">
        <f t="shared" si="0"/>
        <v>3607600</v>
      </c>
      <c r="I32" s="89"/>
    </row>
    <row r="33" spans="2:9" ht="56.25">
      <c r="B33" s="19" t="s">
        <v>97</v>
      </c>
      <c r="C33" s="19" t="s">
        <v>89</v>
      </c>
      <c r="D33" s="18" t="s">
        <v>98</v>
      </c>
      <c r="E33" s="18" t="s">
        <v>159</v>
      </c>
      <c r="F33" s="56">
        <v>32500</v>
      </c>
      <c r="G33" s="56"/>
      <c r="H33" s="55">
        <f t="shared" si="0"/>
        <v>32500</v>
      </c>
      <c r="I33" s="89"/>
    </row>
    <row r="34" spans="2:9" ht="57" customHeight="1">
      <c r="B34" s="19" t="s">
        <v>46</v>
      </c>
      <c r="C34" s="19" t="s">
        <v>45</v>
      </c>
      <c r="D34" s="18" t="s">
        <v>44</v>
      </c>
      <c r="E34" s="18" t="s">
        <v>161</v>
      </c>
      <c r="F34" s="56">
        <f>2000000+1600000+2098040+420000+1474800+3058900</f>
        <v>10651740</v>
      </c>
      <c r="G34" s="56">
        <f>650000</f>
        <v>650000</v>
      </c>
      <c r="H34" s="55">
        <f t="shared" si="0"/>
        <v>11301740</v>
      </c>
      <c r="I34" s="89"/>
    </row>
    <row r="35" spans="2:9" ht="75">
      <c r="B35" s="17" t="s">
        <v>9</v>
      </c>
      <c r="C35" s="17" t="s">
        <v>10</v>
      </c>
      <c r="D35" s="20" t="s">
        <v>47</v>
      </c>
      <c r="E35" s="18" t="s">
        <v>145</v>
      </c>
      <c r="F35" s="56">
        <v>85000</v>
      </c>
      <c r="G35" s="56"/>
      <c r="H35" s="55">
        <f t="shared" si="0"/>
        <v>85000</v>
      </c>
      <c r="I35" s="93"/>
    </row>
    <row r="36" spans="2:9" ht="79.5" customHeight="1">
      <c r="B36" s="17" t="s">
        <v>48</v>
      </c>
      <c r="C36" s="17" t="s">
        <v>8</v>
      </c>
      <c r="D36" s="20" t="s">
        <v>49</v>
      </c>
      <c r="E36" s="18" t="s">
        <v>161</v>
      </c>
      <c r="F36" s="56"/>
      <c r="G36" s="56">
        <f>46000000+5400000+1302900-1302900</f>
        <v>51400000</v>
      </c>
      <c r="H36" s="55">
        <f t="shared" si="0"/>
        <v>51400000</v>
      </c>
      <c r="I36" s="93"/>
    </row>
    <row r="37" spans="2:9" ht="56.25">
      <c r="B37" s="17" t="s">
        <v>50</v>
      </c>
      <c r="C37" s="17" t="s">
        <v>10</v>
      </c>
      <c r="D37" s="20" t="s">
        <v>51</v>
      </c>
      <c r="E37" s="18" t="s">
        <v>155</v>
      </c>
      <c r="F37" s="56">
        <v>837300</v>
      </c>
      <c r="G37" s="56"/>
      <c r="H37" s="55">
        <f t="shared" si="0"/>
        <v>837300</v>
      </c>
      <c r="I37" s="93"/>
    </row>
    <row r="38" spans="2:9" ht="93.75">
      <c r="B38" s="19" t="s">
        <v>53</v>
      </c>
      <c r="C38" s="19" t="s">
        <v>54</v>
      </c>
      <c r="D38" s="18" t="s">
        <v>52</v>
      </c>
      <c r="E38" s="18" t="s">
        <v>19</v>
      </c>
      <c r="F38" s="56">
        <f>162726+9684</f>
        <v>172410</v>
      </c>
      <c r="G38" s="56">
        <v>343874</v>
      </c>
      <c r="H38" s="55">
        <f t="shared" si="0"/>
        <v>516284</v>
      </c>
      <c r="I38" s="93"/>
    </row>
    <row r="39" spans="2:9" ht="75">
      <c r="B39" s="17">
        <v>240604</v>
      </c>
      <c r="C39" s="19" t="s">
        <v>55</v>
      </c>
      <c r="D39" s="30" t="s">
        <v>208</v>
      </c>
      <c r="E39" s="23" t="s">
        <v>162</v>
      </c>
      <c r="F39" s="56"/>
      <c r="G39" s="56">
        <v>30600</v>
      </c>
      <c r="H39" s="55">
        <f t="shared" si="0"/>
        <v>30600</v>
      </c>
      <c r="I39" s="93"/>
    </row>
    <row r="40" spans="2:9" ht="102" customHeight="1">
      <c r="B40" s="17" t="s">
        <v>56</v>
      </c>
      <c r="C40" s="17" t="s">
        <v>58</v>
      </c>
      <c r="D40" s="30" t="s">
        <v>57</v>
      </c>
      <c r="E40" s="18" t="s">
        <v>155</v>
      </c>
      <c r="F40" s="56"/>
      <c r="G40" s="56">
        <v>9000</v>
      </c>
      <c r="H40" s="55">
        <f t="shared" si="0"/>
        <v>9000</v>
      </c>
      <c r="I40" s="93"/>
    </row>
    <row r="41" spans="2:9" ht="56.25" customHeight="1">
      <c r="B41" s="90" t="s">
        <v>217</v>
      </c>
      <c r="C41" s="90" t="s">
        <v>138</v>
      </c>
      <c r="D41" s="86" t="s">
        <v>218</v>
      </c>
      <c r="E41" s="18" t="s">
        <v>163</v>
      </c>
      <c r="F41" s="56">
        <f>100000+30000+181170</f>
        <v>311170</v>
      </c>
      <c r="G41" s="56">
        <v>18830</v>
      </c>
      <c r="H41" s="55">
        <f t="shared" si="0"/>
        <v>330000</v>
      </c>
      <c r="I41" s="93"/>
    </row>
    <row r="42" spans="2:9" ht="168.75" customHeight="1">
      <c r="B42" s="97"/>
      <c r="C42" s="97"/>
      <c r="D42" s="96"/>
      <c r="E42" s="18" t="s">
        <v>228</v>
      </c>
      <c r="F42" s="62">
        <f>40000+100000</f>
        <v>140000</v>
      </c>
      <c r="G42" s="56">
        <v>500000</v>
      </c>
      <c r="H42" s="55">
        <f t="shared" si="0"/>
        <v>640000</v>
      </c>
      <c r="I42" s="93"/>
    </row>
    <row r="43" spans="2:9" ht="46.5" customHeight="1">
      <c r="B43" s="91"/>
      <c r="C43" s="91"/>
      <c r="D43" s="87"/>
      <c r="E43" s="18" t="s">
        <v>178</v>
      </c>
      <c r="F43" s="56">
        <v>50000</v>
      </c>
      <c r="G43" s="56"/>
      <c r="H43" s="55">
        <f t="shared" si="0"/>
        <v>50000</v>
      </c>
      <c r="I43" s="93"/>
    </row>
    <row r="44" spans="2:9" ht="56.25">
      <c r="B44" s="90" t="s">
        <v>59</v>
      </c>
      <c r="C44" s="90" t="s">
        <v>58</v>
      </c>
      <c r="D44" s="86" t="s">
        <v>23</v>
      </c>
      <c r="E44" s="18" t="s">
        <v>163</v>
      </c>
      <c r="F44" s="56">
        <v>572644</v>
      </c>
      <c r="G44" s="56">
        <v>89000</v>
      </c>
      <c r="H44" s="55">
        <f t="shared" si="0"/>
        <v>661644</v>
      </c>
      <c r="I44" s="93"/>
    </row>
    <row r="45" spans="2:9" ht="37.5">
      <c r="B45" s="97"/>
      <c r="C45" s="97"/>
      <c r="D45" s="96"/>
      <c r="E45" s="23" t="s">
        <v>168</v>
      </c>
      <c r="F45" s="56">
        <f>80580+15000</f>
        <v>95580</v>
      </c>
      <c r="G45" s="56"/>
      <c r="H45" s="55">
        <f t="shared" si="0"/>
        <v>95580</v>
      </c>
      <c r="I45" s="93"/>
    </row>
    <row r="46" spans="2:9" ht="56.25">
      <c r="B46" s="97"/>
      <c r="C46" s="97"/>
      <c r="D46" s="96"/>
      <c r="E46" s="18" t="s">
        <v>156</v>
      </c>
      <c r="F46" s="56">
        <v>130200</v>
      </c>
      <c r="G46" s="56">
        <v>25000</v>
      </c>
      <c r="H46" s="55">
        <f t="shared" si="0"/>
        <v>155200</v>
      </c>
      <c r="I46" s="93"/>
    </row>
    <row r="47" spans="2:9" ht="56.25">
      <c r="B47" s="97"/>
      <c r="C47" s="97"/>
      <c r="D47" s="96"/>
      <c r="E47" s="18" t="s">
        <v>155</v>
      </c>
      <c r="F47" s="56">
        <v>822500</v>
      </c>
      <c r="G47" s="56"/>
      <c r="H47" s="55">
        <f t="shared" si="0"/>
        <v>822500</v>
      </c>
      <c r="I47" s="93"/>
    </row>
    <row r="48" spans="2:9" ht="56.25">
      <c r="B48" s="97"/>
      <c r="C48" s="97"/>
      <c r="D48" s="96"/>
      <c r="E48" s="20" t="s">
        <v>227</v>
      </c>
      <c r="F48" s="64">
        <f>45000</f>
        <v>45000</v>
      </c>
      <c r="G48" s="58"/>
      <c r="H48" s="63">
        <f t="shared" si="0"/>
        <v>45000</v>
      </c>
      <c r="I48" s="93"/>
    </row>
    <row r="49" spans="2:9" ht="37.5">
      <c r="B49" s="97"/>
      <c r="C49" s="97"/>
      <c r="D49" s="87"/>
      <c r="E49" s="20" t="s">
        <v>160</v>
      </c>
      <c r="F49" s="65">
        <f>602640-97102+22000+160975</f>
        <v>688513</v>
      </c>
      <c r="G49" s="58"/>
      <c r="H49" s="63">
        <f t="shared" si="0"/>
        <v>688513</v>
      </c>
      <c r="I49" s="93"/>
    </row>
    <row r="50" spans="2:9" ht="44.25" customHeight="1">
      <c r="B50" s="19"/>
      <c r="C50" s="19"/>
      <c r="D50" s="42" t="s">
        <v>63</v>
      </c>
      <c r="E50" s="18"/>
      <c r="F50" s="55">
        <f>SUM(F51:F64)</f>
        <v>5607185</v>
      </c>
      <c r="G50" s="55">
        <f>SUM(G51:G64)</f>
        <v>20724271.45</v>
      </c>
      <c r="H50" s="55">
        <f>SUM(H51:H64)</f>
        <v>26331456.45</v>
      </c>
      <c r="I50" s="93"/>
    </row>
    <row r="51" spans="2:9" ht="56.25">
      <c r="B51" s="19" t="s">
        <v>3</v>
      </c>
      <c r="C51" s="19" t="s">
        <v>2</v>
      </c>
      <c r="D51" s="18" t="s">
        <v>12</v>
      </c>
      <c r="E51" s="18" t="s">
        <v>155</v>
      </c>
      <c r="F51" s="56">
        <v>30000</v>
      </c>
      <c r="G51" s="56"/>
      <c r="H51" s="55">
        <f>F51+G51</f>
        <v>30000</v>
      </c>
      <c r="I51" s="93"/>
    </row>
    <row r="52" spans="2:9" ht="56.25">
      <c r="B52" s="90" t="s">
        <v>64</v>
      </c>
      <c r="C52" s="90" t="s">
        <v>65</v>
      </c>
      <c r="D52" s="86" t="s">
        <v>66</v>
      </c>
      <c r="E52" s="18" t="s">
        <v>157</v>
      </c>
      <c r="F52" s="56">
        <v>331474</v>
      </c>
      <c r="G52" s="56"/>
      <c r="H52" s="55">
        <f aca="true" t="shared" si="1" ref="H52:H64">F52+G52</f>
        <v>331474</v>
      </c>
      <c r="I52" s="93"/>
    </row>
    <row r="53" spans="2:9" ht="82.5" customHeight="1">
      <c r="B53" s="91"/>
      <c r="C53" s="91"/>
      <c r="D53" s="87"/>
      <c r="E53" s="18" t="s">
        <v>193</v>
      </c>
      <c r="F53" s="56"/>
      <c r="G53" s="62">
        <f>3959492-6200+5000-2600+9000-2750+84000+892900</f>
        <v>4938842</v>
      </c>
      <c r="H53" s="55">
        <f t="shared" si="1"/>
        <v>4938842</v>
      </c>
      <c r="I53" s="93"/>
    </row>
    <row r="54" spans="2:9" ht="57.75" customHeight="1">
      <c r="B54" s="90" t="s">
        <v>67</v>
      </c>
      <c r="C54" s="90" t="s">
        <v>69</v>
      </c>
      <c r="D54" s="86" t="s">
        <v>68</v>
      </c>
      <c r="E54" s="24" t="s">
        <v>157</v>
      </c>
      <c r="F54" s="56">
        <v>488200</v>
      </c>
      <c r="G54" s="56"/>
      <c r="H54" s="55">
        <f t="shared" si="1"/>
        <v>488200</v>
      </c>
      <c r="I54" s="93"/>
    </row>
    <row r="55" spans="2:9" ht="74.25" customHeight="1">
      <c r="B55" s="91"/>
      <c r="C55" s="91"/>
      <c r="D55" s="87"/>
      <c r="E55" s="18" t="s">
        <v>193</v>
      </c>
      <c r="F55" s="56"/>
      <c r="G55" s="62">
        <f>11498416+359032.45-3580+16300+344410+40000+20000+41500+12611+1635157+140000+168000+20000+450000</f>
        <v>14741846.45</v>
      </c>
      <c r="H55" s="55">
        <f t="shared" si="1"/>
        <v>14741846.45</v>
      </c>
      <c r="I55" s="93"/>
    </row>
    <row r="56" spans="2:9" ht="88.5" customHeight="1">
      <c r="B56" s="25" t="s">
        <v>194</v>
      </c>
      <c r="C56" s="21" t="s">
        <v>195</v>
      </c>
      <c r="D56" s="36" t="s">
        <v>196</v>
      </c>
      <c r="E56" s="18" t="s">
        <v>193</v>
      </c>
      <c r="F56" s="56"/>
      <c r="G56" s="62">
        <f>150000-26417</f>
        <v>123583</v>
      </c>
      <c r="H56" s="55">
        <f t="shared" si="1"/>
        <v>123583</v>
      </c>
      <c r="I56" s="93"/>
    </row>
    <row r="57" spans="2:9" ht="75">
      <c r="B57" s="25" t="s">
        <v>197</v>
      </c>
      <c r="C57" s="21" t="s">
        <v>185</v>
      </c>
      <c r="D57" s="36" t="s">
        <v>198</v>
      </c>
      <c r="E57" s="18" t="s">
        <v>193</v>
      </c>
      <c r="F57" s="56"/>
      <c r="G57" s="62">
        <f>525000-75000</f>
        <v>450000</v>
      </c>
      <c r="H57" s="55">
        <f t="shared" si="1"/>
        <v>450000</v>
      </c>
      <c r="I57" s="93"/>
    </row>
    <row r="58" spans="2:9" ht="78" customHeight="1">
      <c r="B58" s="25" t="s">
        <v>199</v>
      </c>
      <c r="C58" s="21" t="s">
        <v>71</v>
      </c>
      <c r="D58" s="36" t="s">
        <v>200</v>
      </c>
      <c r="E58" s="18" t="s">
        <v>193</v>
      </c>
      <c r="F58" s="56"/>
      <c r="G58" s="56">
        <v>150000</v>
      </c>
      <c r="H58" s="55">
        <f t="shared" si="1"/>
        <v>150000</v>
      </c>
      <c r="I58" s="89"/>
    </row>
    <row r="59" spans="2:9" ht="75">
      <c r="B59" s="25" t="s">
        <v>70</v>
      </c>
      <c r="C59" s="21" t="s">
        <v>71</v>
      </c>
      <c r="D59" s="18" t="s">
        <v>180</v>
      </c>
      <c r="E59" s="18" t="s">
        <v>190</v>
      </c>
      <c r="F59" s="56">
        <f>73148-19908</f>
        <v>53240</v>
      </c>
      <c r="G59" s="56"/>
      <c r="H59" s="55">
        <f t="shared" si="1"/>
        <v>53240</v>
      </c>
      <c r="I59" s="89"/>
    </row>
    <row r="60" spans="2:9" ht="37.5">
      <c r="B60" s="105" t="s">
        <v>24</v>
      </c>
      <c r="C60" s="90" t="s">
        <v>18</v>
      </c>
      <c r="D60" s="86" t="s">
        <v>25</v>
      </c>
      <c r="E60" s="18" t="s">
        <v>159</v>
      </c>
      <c r="F60" s="62">
        <f>1912500+112480</f>
        <v>2024980</v>
      </c>
      <c r="G60" s="56"/>
      <c r="H60" s="55">
        <f t="shared" si="1"/>
        <v>2024980</v>
      </c>
      <c r="I60" s="89"/>
    </row>
    <row r="61" spans="2:9" ht="75.75" customHeight="1">
      <c r="B61" s="106"/>
      <c r="C61" s="91"/>
      <c r="D61" s="87"/>
      <c r="E61" s="24" t="s">
        <v>157</v>
      </c>
      <c r="F61" s="62">
        <f>87500-2500</f>
        <v>85000</v>
      </c>
      <c r="G61" s="56"/>
      <c r="H61" s="55">
        <f t="shared" si="1"/>
        <v>85000</v>
      </c>
      <c r="I61" s="89"/>
    </row>
    <row r="62" spans="2:9" ht="63.75" customHeight="1">
      <c r="B62" s="17" t="s">
        <v>38</v>
      </c>
      <c r="C62" s="17" t="s">
        <v>34</v>
      </c>
      <c r="D62" s="20" t="s">
        <v>37</v>
      </c>
      <c r="E62" s="22" t="s">
        <v>160</v>
      </c>
      <c r="F62" s="56">
        <f>2940630-378096+28970+2787</f>
        <v>2594291</v>
      </c>
      <c r="G62" s="56"/>
      <c r="H62" s="55">
        <f t="shared" si="1"/>
        <v>2594291</v>
      </c>
      <c r="I62" s="89"/>
    </row>
    <row r="63" spans="2:9" ht="81.75" customHeight="1">
      <c r="B63" s="26" t="s">
        <v>209</v>
      </c>
      <c r="C63" s="17" t="s">
        <v>55</v>
      </c>
      <c r="D63" s="18" t="s">
        <v>210</v>
      </c>
      <c r="E63" s="22" t="s">
        <v>162</v>
      </c>
      <c r="F63" s="56"/>
      <c r="G63" s="56">
        <f>70000</f>
        <v>70000</v>
      </c>
      <c r="H63" s="55">
        <f t="shared" si="1"/>
        <v>70000</v>
      </c>
      <c r="I63" s="89"/>
    </row>
    <row r="64" spans="2:9" ht="75">
      <c r="B64" s="26" t="s">
        <v>211</v>
      </c>
      <c r="C64" s="17" t="s">
        <v>73</v>
      </c>
      <c r="D64" s="30" t="s">
        <v>72</v>
      </c>
      <c r="E64" s="22" t="s">
        <v>162</v>
      </c>
      <c r="F64" s="56"/>
      <c r="G64" s="56">
        <v>250000</v>
      </c>
      <c r="H64" s="55">
        <f t="shared" si="1"/>
        <v>250000</v>
      </c>
      <c r="I64" s="89"/>
    </row>
    <row r="65" spans="2:9" ht="52.5" customHeight="1">
      <c r="B65" s="19"/>
      <c r="C65" s="19"/>
      <c r="D65" s="42" t="s">
        <v>74</v>
      </c>
      <c r="E65" s="22"/>
      <c r="F65" s="55">
        <f>SUM(F66:F70)</f>
        <v>15068</v>
      </c>
      <c r="G65" s="55">
        <f>SUM(G66:G70)</f>
        <v>23685796</v>
      </c>
      <c r="H65" s="55">
        <f>SUM(H66:H70)</f>
        <v>23700864</v>
      </c>
      <c r="I65" s="89"/>
    </row>
    <row r="66" spans="2:9" ht="56.25">
      <c r="B66" s="19" t="s">
        <v>3</v>
      </c>
      <c r="C66" s="19" t="s">
        <v>2</v>
      </c>
      <c r="D66" s="18" t="s">
        <v>12</v>
      </c>
      <c r="E66" s="18" t="s">
        <v>155</v>
      </c>
      <c r="F66" s="56">
        <v>5000</v>
      </c>
      <c r="G66" s="55"/>
      <c r="H66" s="55">
        <f>F66+G66</f>
        <v>5000</v>
      </c>
      <c r="I66" s="89"/>
    </row>
    <row r="67" spans="2:9" ht="117.75" customHeight="1">
      <c r="B67" s="25" t="s">
        <v>75</v>
      </c>
      <c r="C67" s="17" t="s">
        <v>83</v>
      </c>
      <c r="D67" s="18" t="s">
        <v>76</v>
      </c>
      <c r="E67" s="23" t="s">
        <v>187</v>
      </c>
      <c r="F67" s="56"/>
      <c r="G67" s="62">
        <f>12000000+4331400+40000+30000+30000+20500+279700+50000+35000+548200+5000</f>
        <v>17369800</v>
      </c>
      <c r="H67" s="55">
        <f>F67+G67</f>
        <v>17369800</v>
      </c>
      <c r="I67" s="89"/>
    </row>
    <row r="68" spans="2:9" ht="112.5">
      <c r="B68" s="25" t="s">
        <v>77</v>
      </c>
      <c r="C68" s="17" t="s">
        <v>84</v>
      </c>
      <c r="D68" s="18" t="s">
        <v>78</v>
      </c>
      <c r="E68" s="23" t="s">
        <v>187</v>
      </c>
      <c r="F68" s="56">
        <v>10068</v>
      </c>
      <c r="G68" s="56">
        <f>1500000+500000+879064+15000-10068</f>
        <v>2883996</v>
      </c>
      <c r="H68" s="55">
        <f>F68+G68</f>
        <v>2894064</v>
      </c>
      <c r="I68" s="89"/>
    </row>
    <row r="69" spans="2:9" ht="112.5">
      <c r="B69" s="26" t="s">
        <v>79</v>
      </c>
      <c r="C69" s="17" t="s">
        <v>85</v>
      </c>
      <c r="D69" s="20" t="s">
        <v>80</v>
      </c>
      <c r="E69" s="23" t="s">
        <v>187</v>
      </c>
      <c r="F69" s="56"/>
      <c r="G69" s="56">
        <v>1000000</v>
      </c>
      <c r="H69" s="55">
        <f>F69+G69</f>
        <v>1000000</v>
      </c>
      <c r="I69" s="89"/>
    </row>
    <row r="70" spans="2:9" ht="112.5">
      <c r="B70" s="25" t="s">
        <v>81</v>
      </c>
      <c r="C70" s="19" t="s">
        <v>86</v>
      </c>
      <c r="D70" s="18" t="s">
        <v>82</v>
      </c>
      <c r="E70" s="23" t="s">
        <v>187</v>
      </c>
      <c r="F70" s="56"/>
      <c r="G70" s="56">
        <f>1700000+719000+13000</f>
        <v>2432000</v>
      </c>
      <c r="H70" s="55">
        <f>F70+G70</f>
        <v>2432000</v>
      </c>
      <c r="I70" s="89"/>
    </row>
    <row r="71" spans="2:9" ht="56.25">
      <c r="B71" s="21"/>
      <c r="C71" s="21"/>
      <c r="D71" s="41" t="s">
        <v>229</v>
      </c>
      <c r="E71" s="24"/>
      <c r="F71" s="55">
        <f>SUM(F72:F86)</f>
        <v>28108381.03</v>
      </c>
      <c r="G71" s="55">
        <f>SUM(G72:G86)</f>
        <v>429000</v>
      </c>
      <c r="H71" s="55">
        <f>SUM(H72:H86)</f>
        <v>28537381.03</v>
      </c>
      <c r="I71" s="89"/>
    </row>
    <row r="72" spans="2:9" ht="56.25">
      <c r="B72" s="28" t="s">
        <v>3</v>
      </c>
      <c r="C72" s="28" t="s">
        <v>2</v>
      </c>
      <c r="D72" s="18" t="s">
        <v>12</v>
      </c>
      <c r="E72" s="22" t="s">
        <v>155</v>
      </c>
      <c r="F72" s="57">
        <v>60000</v>
      </c>
      <c r="G72" s="57"/>
      <c r="H72" s="55">
        <f>F72+G72</f>
        <v>60000</v>
      </c>
      <c r="I72" s="89"/>
    </row>
    <row r="73" spans="2:9" ht="324.75" customHeight="1">
      <c r="B73" s="19" t="s">
        <v>233</v>
      </c>
      <c r="C73" s="28">
        <v>1030</v>
      </c>
      <c r="D73" s="18" t="s">
        <v>234</v>
      </c>
      <c r="E73" s="22" t="s">
        <v>157</v>
      </c>
      <c r="F73" s="57">
        <v>269119</v>
      </c>
      <c r="G73" s="57"/>
      <c r="H73" s="55">
        <f>F73+G73</f>
        <v>269119</v>
      </c>
      <c r="I73" s="89"/>
    </row>
    <row r="74" spans="2:9" ht="138" customHeight="1">
      <c r="B74" s="19" t="s">
        <v>236</v>
      </c>
      <c r="C74" s="28">
        <v>1070</v>
      </c>
      <c r="D74" s="18" t="s">
        <v>235</v>
      </c>
      <c r="E74" s="22" t="s">
        <v>157</v>
      </c>
      <c r="F74" s="57">
        <v>70400</v>
      </c>
      <c r="G74" s="57"/>
      <c r="H74" s="55">
        <f>F74+G74</f>
        <v>70400</v>
      </c>
      <c r="I74" s="89"/>
    </row>
    <row r="75" spans="2:9" ht="75">
      <c r="B75" s="28" t="s">
        <v>87</v>
      </c>
      <c r="C75" s="28">
        <v>1070</v>
      </c>
      <c r="D75" s="18" t="s">
        <v>88</v>
      </c>
      <c r="E75" s="22" t="s">
        <v>157</v>
      </c>
      <c r="F75" s="57">
        <f>250000+240900+9100</f>
        <v>500000</v>
      </c>
      <c r="G75" s="57"/>
      <c r="H75" s="55">
        <f aca="true" t="shared" si="2" ref="H75:H86">F75+G75</f>
        <v>500000</v>
      </c>
      <c r="I75" s="89"/>
    </row>
    <row r="76" spans="2:9" ht="56.25">
      <c r="B76" s="19" t="s">
        <v>237</v>
      </c>
      <c r="C76" s="29">
        <v>1070</v>
      </c>
      <c r="D76" s="18" t="s">
        <v>238</v>
      </c>
      <c r="E76" s="22" t="s">
        <v>157</v>
      </c>
      <c r="F76" s="57">
        <v>1394632</v>
      </c>
      <c r="G76" s="57"/>
      <c r="H76" s="55">
        <f t="shared" si="2"/>
        <v>1394632</v>
      </c>
      <c r="I76" s="89"/>
    </row>
    <row r="77" spans="2:9" ht="56.25">
      <c r="B77" s="17" t="s">
        <v>13</v>
      </c>
      <c r="C77" s="17" t="s">
        <v>15</v>
      </c>
      <c r="D77" s="20" t="s">
        <v>14</v>
      </c>
      <c r="E77" s="22" t="s">
        <v>157</v>
      </c>
      <c r="F77" s="59">
        <f>1730323+45128+130000+224000+90870+18000+360000+108700+51390+68890-4499+59000+531692+44646+32027+8680+27216+30000+19000+121934+5000+426400.96+69840+1209360</f>
        <v>5407597.96</v>
      </c>
      <c r="G77" s="57"/>
      <c r="H77" s="55">
        <f t="shared" si="2"/>
        <v>5407597.96</v>
      </c>
      <c r="I77" s="89"/>
    </row>
    <row r="78" spans="2:9" ht="56.25">
      <c r="B78" s="19" t="s">
        <v>90</v>
      </c>
      <c r="C78" s="19" t="s">
        <v>92</v>
      </c>
      <c r="D78" s="18" t="s">
        <v>91</v>
      </c>
      <c r="E78" s="22" t="s">
        <v>157</v>
      </c>
      <c r="F78" s="57">
        <f>902586+88819-4601+1199600-1000000+300000+54755+132000</f>
        <v>1673159</v>
      </c>
      <c r="G78" s="57"/>
      <c r="H78" s="55">
        <f t="shared" si="2"/>
        <v>1673159</v>
      </c>
      <c r="I78" s="89"/>
    </row>
    <row r="79" spans="2:9" ht="37.5">
      <c r="B79" s="19" t="s">
        <v>166</v>
      </c>
      <c r="C79" s="19" t="s">
        <v>176</v>
      </c>
      <c r="D79" s="18" t="s">
        <v>177</v>
      </c>
      <c r="E79" s="22" t="s">
        <v>154</v>
      </c>
      <c r="F79" s="57">
        <f>160429-16831+231305.07</f>
        <v>374903.07</v>
      </c>
      <c r="G79" s="57"/>
      <c r="H79" s="55">
        <f t="shared" si="2"/>
        <v>374903.07</v>
      </c>
      <c r="I79" s="89"/>
    </row>
    <row r="80" spans="2:9" ht="56.25">
      <c r="B80" s="19" t="s">
        <v>201</v>
      </c>
      <c r="C80" s="19" t="s">
        <v>203</v>
      </c>
      <c r="D80" s="18" t="s">
        <v>202</v>
      </c>
      <c r="E80" s="22" t="s">
        <v>157</v>
      </c>
      <c r="F80" s="57">
        <f>170500-7700+4800-2842</f>
        <v>164758</v>
      </c>
      <c r="G80" s="57">
        <f>297000+132000</f>
        <v>429000</v>
      </c>
      <c r="H80" s="55">
        <f t="shared" si="2"/>
        <v>593758</v>
      </c>
      <c r="I80" s="89"/>
    </row>
    <row r="81" spans="2:9" ht="140.25" customHeight="1">
      <c r="B81" s="19" t="s">
        <v>93</v>
      </c>
      <c r="C81" s="19" t="s">
        <v>6</v>
      </c>
      <c r="D81" s="18" t="s">
        <v>94</v>
      </c>
      <c r="E81" s="22" t="s">
        <v>157</v>
      </c>
      <c r="F81" s="57">
        <f>2446698+35741</f>
        <v>2482439</v>
      </c>
      <c r="G81" s="57"/>
      <c r="H81" s="55">
        <f t="shared" si="2"/>
        <v>2482439</v>
      </c>
      <c r="I81" s="89"/>
    </row>
    <row r="82" spans="2:9" ht="56.25">
      <c r="B82" s="19" t="s">
        <v>95</v>
      </c>
      <c r="C82" s="19" t="s">
        <v>92</v>
      </c>
      <c r="D82" s="18" t="s">
        <v>96</v>
      </c>
      <c r="E82" s="22" t="s">
        <v>157</v>
      </c>
      <c r="F82" s="57">
        <v>798900</v>
      </c>
      <c r="G82" s="57"/>
      <c r="H82" s="55">
        <f t="shared" si="2"/>
        <v>798900</v>
      </c>
      <c r="I82" s="89"/>
    </row>
    <row r="83" spans="2:9" ht="56.25">
      <c r="B83" s="19" t="s">
        <v>204</v>
      </c>
      <c r="C83" s="19" t="s">
        <v>203</v>
      </c>
      <c r="D83" s="22" t="s">
        <v>205</v>
      </c>
      <c r="E83" s="22" t="s">
        <v>157</v>
      </c>
      <c r="F83" s="57">
        <f>54417+30000-30000</f>
        <v>54417</v>
      </c>
      <c r="G83" s="57"/>
      <c r="H83" s="55">
        <f t="shared" si="2"/>
        <v>54417</v>
      </c>
      <c r="I83" s="89"/>
    </row>
    <row r="84" spans="2:9" ht="56.25">
      <c r="B84" s="19" t="s">
        <v>239</v>
      </c>
      <c r="C84" s="19" t="s">
        <v>89</v>
      </c>
      <c r="D84" s="22" t="s">
        <v>240</v>
      </c>
      <c r="E84" s="22" t="s">
        <v>157</v>
      </c>
      <c r="F84" s="57">
        <v>3009742</v>
      </c>
      <c r="G84" s="57"/>
      <c r="H84" s="55">
        <f t="shared" si="2"/>
        <v>3009742</v>
      </c>
      <c r="I84" s="89"/>
    </row>
    <row r="85" spans="2:9" ht="56.25">
      <c r="B85" s="19" t="s">
        <v>97</v>
      </c>
      <c r="C85" s="19" t="s">
        <v>89</v>
      </c>
      <c r="D85" s="18" t="s">
        <v>98</v>
      </c>
      <c r="E85" s="22" t="s">
        <v>157</v>
      </c>
      <c r="F85" s="57">
        <f>130000+9557658</f>
        <v>9687658</v>
      </c>
      <c r="G85" s="57"/>
      <c r="H85" s="55">
        <f t="shared" si="2"/>
        <v>9687658</v>
      </c>
      <c r="I85" s="89"/>
    </row>
    <row r="86" spans="2:9" ht="56.25">
      <c r="B86" s="17" t="s">
        <v>139</v>
      </c>
      <c r="C86" s="17" t="s">
        <v>138</v>
      </c>
      <c r="D86" s="20" t="s">
        <v>140</v>
      </c>
      <c r="E86" s="43" t="s">
        <v>157</v>
      </c>
      <c r="F86" s="57">
        <f>1160656+1000000</f>
        <v>2160656</v>
      </c>
      <c r="G86" s="57"/>
      <c r="H86" s="55">
        <f t="shared" si="2"/>
        <v>2160656</v>
      </c>
      <c r="I86" s="89"/>
    </row>
    <row r="87" spans="2:9" ht="42" customHeight="1">
      <c r="B87" s="19"/>
      <c r="C87" s="19"/>
      <c r="D87" s="42" t="s">
        <v>100</v>
      </c>
      <c r="E87" s="18"/>
      <c r="F87" s="55">
        <f>F88</f>
        <v>50000</v>
      </c>
      <c r="G87" s="55">
        <f>G88</f>
        <v>0</v>
      </c>
      <c r="H87" s="55">
        <f>H88</f>
        <v>50000</v>
      </c>
      <c r="I87" s="89"/>
    </row>
    <row r="88" spans="2:9" ht="56.25">
      <c r="B88" s="19" t="s">
        <v>102</v>
      </c>
      <c r="C88" s="19" t="s">
        <v>18</v>
      </c>
      <c r="D88" s="18" t="s">
        <v>101</v>
      </c>
      <c r="E88" s="18" t="s">
        <v>99</v>
      </c>
      <c r="F88" s="56">
        <v>50000</v>
      </c>
      <c r="G88" s="56"/>
      <c r="H88" s="55">
        <f>F88+G88</f>
        <v>50000</v>
      </c>
      <c r="I88" s="89"/>
    </row>
    <row r="89" spans="2:9" ht="51.75" customHeight="1">
      <c r="B89" s="21"/>
      <c r="C89" s="21"/>
      <c r="D89" s="41" t="s">
        <v>103</v>
      </c>
      <c r="E89" s="24"/>
      <c r="F89" s="55">
        <f>SUM(F90:F93)</f>
        <v>1701800</v>
      </c>
      <c r="G89" s="55">
        <f>SUM(G90:G93)</f>
        <v>1122000</v>
      </c>
      <c r="H89" s="55">
        <f>SUM(H90:H93)</f>
        <v>2823800</v>
      </c>
      <c r="I89" s="89"/>
    </row>
    <row r="90" spans="2:9" ht="56.25">
      <c r="B90" s="29" t="s">
        <v>3</v>
      </c>
      <c r="C90" s="29" t="s">
        <v>2</v>
      </c>
      <c r="D90" s="20" t="s">
        <v>12</v>
      </c>
      <c r="E90" s="18" t="s">
        <v>155</v>
      </c>
      <c r="F90" s="56">
        <v>30000</v>
      </c>
      <c r="G90" s="56"/>
      <c r="H90" s="55">
        <f>F90+G90</f>
        <v>30000</v>
      </c>
      <c r="I90" s="89"/>
    </row>
    <row r="91" spans="2:9" ht="81" customHeight="1">
      <c r="B91" s="19" t="s">
        <v>105</v>
      </c>
      <c r="C91" s="19" t="s">
        <v>106</v>
      </c>
      <c r="D91" s="18" t="s">
        <v>104</v>
      </c>
      <c r="E91" s="18" t="s">
        <v>188</v>
      </c>
      <c r="F91" s="56">
        <f>1000000+30000+45000</f>
        <v>1075000</v>
      </c>
      <c r="G91" s="56"/>
      <c r="H91" s="55">
        <f>F91+G91</f>
        <v>1075000</v>
      </c>
      <c r="I91" s="89"/>
    </row>
    <row r="92" spans="2:9" ht="95.25" customHeight="1">
      <c r="B92" s="21" t="s">
        <v>181</v>
      </c>
      <c r="C92" s="21" t="s">
        <v>182</v>
      </c>
      <c r="D92" s="24" t="s">
        <v>183</v>
      </c>
      <c r="E92" s="18" t="s">
        <v>189</v>
      </c>
      <c r="F92" s="59">
        <f>370000+50000+30000+7800+5000+15000+8500+30000+5500</f>
        <v>521800</v>
      </c>
      <c r="G92" s="62">
        <f>534500+95000+8500+20000+20000+10000-8500+5000</f>
        <v>684500</v>
      </c>
      <c r="H92" s="55">
        <f>F92+G92</f>
        <v>1206300</v>
      </c>
      <c r="I92" s="89"/>
    </row>
    <row r="93" spans="2:9" ht="99.75" customHeight="1">
      <c r="B93" s="21" t="s">
        <v>184</v>
      </c>
      <c r="C93" s="21" t="s">
        <v>185</v>
      </c>
      <c r="D93" s="24" t="s">
        <v>186</v>
      </c>
      <c r="E93" s="18" t="s">
        <v>189</v>
      </c>
      <c r="F93" s="59">
        <f>6000+10000+33000+3000+18000+5000</f>
        <v>75000</v>
      </c>
      <c r="G93" s="59">
        <f>435500-18000+20000</f>
        <v>437500</v>
      </c>
      <c r="H93" s="55">
        <f>F93+G93</f>
        <v>512500</v>
      </c>
      <c r="I93" s="89"/>
    </row>
    <row r="94" spans="2:9" ht="48" customHeight="1">
      <c r="B94" s="21"/>
      <c r="C94" s="21"/>
      <c r="D94" s="41" t="s">
        <v>107</v>
      </c>
      <c r="E94" s="18"/>
      <c r="F94" s="55">
        <f>SUM(F95:F119)</f>
        <v>39813859.83</v>
      </c>
      <c r="G94" s="55">
        <f>SUM(G95:G119)</f>
        <v>123705123.34</v>
      </c>
      <c r="H94" s="55">
        <f>SUM(H95:H119)</f>
        <v>163518983.17000002</v>
      </c>
      <c r="I94" s="89"/>
    </row>
    <row r="95" spans="2:9" ht="56.25">
      <c r="B95" s="90" t="s">
        <v>3</v>
      </c>
      <c r="C95" s="103" t="s">
        <v>2</v>
      </c>
      <c r="D95" s="98" t="s">
        <v>12</v>
      </c>
      <c r="E95" s="18" t="s">
        <v>155</v>
      </c>
      <c r="F95" s="56">
        <v>40000</v>
      </c>
      <c r="G95" s="56"/>
      <c r="H95" s="55">
        <f>F95+G95</f>
        <v>40000</v>
      </c>
      <c r="I95" s="89"/>
    </row>
    <row r="96" spans="2:9" ht="56.25">
      <c r="B96" s="97"/>
      <c r="C96" s="104"/>
      <c r="D96" s="102"/>
      <c r="E96" s="18" t="s">
        <v>156</v>
      </c>
      <c r="F96" s="56">
        <v>15000</v>
      </c>
      <c r="G96" s="56"/>
      <c r="H96" s="55">
        <f aca="true" t="shared" si="3" ref="H96:H119">F96+G96</f>
        <v>15000</v>
      </c>
      <c r="I96" s="89"/>
    </row>
    <row r="97" spans="2:9" ht="75">
      <c r="B97" s="19" t="s">
        <v>166</v>
      </c>
      <c r="C97" s="19" t="s">
        <v>176</v>
      </c>
      <c r="D97" s="18" t="s">
        <v>177</v>
      </c>
      <c r="E97" s="22" t="s">
        <v>61</v>
      </c>
      <c r="F97" s="56">
        <v>350000</v>
      </c>
      <c r="G97" s="56"/>
      <c r="H97" s="55">
        <f t="shared" si="3"/>
        <v>350000</v>
      </c>
      <c r="I97" s="89"/>
    </row>
    <row r="98" spans="2:9" ht="75">
      <c r="B98" s="19" t="s">
        <v>191</v>
      </c>
      <c r="C98" s="17" t="s">
        <v>111</v>
      </c>
      <c r="D98" s="18" t="s">
        <v>192</v>
      </c>
      <c r="E98" s="18" t="s">
        <v>61</v>
      </c>
      <c r="F98" s="56">
        <f>180000+1500000</f>
        <v>1680000</v>
      </c>
      <c r="G98" s="56"/>
      <c r="H98" s="55">
        <f t="shared" si="3"/>
        <v>1680000</v>
      </c>
      <c r="I98" s="89"/>
    </row>
    <row r="99" spans="2:9" ht="75">
      <c r="B99" s="17" t="s">
        <v>109</v>
      </c>
      <c r="C99" s="17" t="s">
        <v>111</v>
      </c>
      <c r="D99" s="20" t="s">
        <v>110</v>
      </c>
      <c r="E99" s="18" t="s">
        <v>61</v>
      </c>
      <c r="F99" s="56">
        <f>195000+195000</f>
        <v>390000</v>
      </c>
      <c r="G99" s="62">
        <f>30000000+6285.14-100000+8250000-1000000+11000000+3000000+81197+34241+43208+1500000+1902000+170702+146800+2000000+80000+2000000+201011</f>
        <v>59315444.14</v>
      </c>
      <c r="H99" s="55">
        <f t="shared" si="3"/>
        <v>59705444.14</v>
      </c>
      <c r="I99" s="89"/>
    </row>
    <row r="100" spans="2:9" ht="87" customHeight="1">
      <c r="B100" s="17" t="s">
        <v>112</v>
      </c>
      <c r="C100" s="17" t="s">
        <v>111</v>
      </c>
      <c r="D100" s="20" t="s">
        <v>113</v>
      </c>
      <c r="E100" s="23" t="s">
        <v>61</v>
      </c>
      <c r="F100" s="56"/>
      <c r="G100" s="56">
        <f>2000000+1000000+3000000+1000000</f>
        <v>7000000</v>
      </c>
      <c r="H100" s="55">
        <f t="shared" si="3"/>
        <v>7000000</v>
      </c>
      <c r="I100" s="89"/>
    </row>
    <row r="101" spans="2:9" ht="75">
      <c r="B101" s="26" t="s">
        <v>114</v>
      </c>
      <c r="C101" s="17" t="s">
        <v>28</v>
      </c>
      <c r="D101" s="20" t="s">
        <v>115</v>
      </c>
      <c r="E101" s="18" t="s">
        <v>61</v>
      </c>
      <c r="F101" s="56">
        <f>1825100+120003+350000+150000+2729000</f>
        <v>5174103</v>
      </c>
      <c r="G101" s="56">
        <f>1499312+1630100+300790+664532+174600</f>
        <v>4269334</v>
      </c>
      <c r="H101" s="55">
        <f t="shared" si="3"/>
        <v>9443437</v>
      </c>
      <c r="I101" s="89"/>
    </row>
    <row r="102" spans="2:9" ht="79.5" customHeight="1">
      <c r="B102" s="25" t="s">
        <v>26</v>
      </c>
      <c r="C102" s="19" t="s">
        <v>28</v>
      </c>
      <c r="D102" s="31" t="s">
        <v>27</v>
      </c>
      <c r="E102" s="18" t="s">
        <v>61</v>
      </c>
      <c r="F102" s="62">
        <f>25167912+1900000-224000+3000000-359255-365036-663250-1747.2-392229-483368.8+328000-282375+26000-11719+250000-419848-121017+20000-141277-6200-125209.4+67555-354993.77-5697-154854-5000-193340-49608+200000-6000+48700-70500</f>
        <v>26571642.830000002</v>
      </c>
      <c r="G102" s="62">
        <f>16250000+6500000-731714-461123+1747.2-287161-248820+25000-234505+11719-245322-20000+121017-55500+6200+200000-238002+5697-146800-49000-115000+755000-317234-206011-231972-20000-41000</f>
        <v>20227216.2</v>
      </c>
      <c r="H102" s="55">
        <f t="shared" si="3"/>
        <v>46798859.03</v>
      </c>
      <c r="I102" s="89"/>
    </row>
    <row r="103" spans="2:9" ht="81" customHeight="1">
      <c r="B103" s="39" t="s">
        <v>212</v>
      </c>
      <c r="C103" s="21" t="s">
        <v>28</v>
      </c>
      <c r="D103" s="40" t="s">
        <v>213</v>
      </c>
      <c r="E103" s="18" t="s">
        <v>61</v>
      </c>
      <c r="F103" s="56"/>
      <c r="G103" s="56">
        <v>845938</v>
      </c>
      <c r="H103" s="55">
        <f t="shared" si="3"/>
        <v>845938</v>
      </c>
      <c r="I103" s="89"/>
    </row>
    <row r="104" spans="2:9" ht="93.75">
      <c r="B104" s="19" t="s">
        <v>225</v>
      </c>
      <c r="C104" s="19" t="s">
        <v>28</v>
      </c>
      <c r="D104" s="18" t="s">
        <v>226</v>
      </c>
      <c r="E104" s="18" t="s">
        <v>61</v>
      </c>
      <c r="F104" s="56">
        <v>100000</v>
      </c>
      <c r="G104" s="56"/>
      <c r="H104" s="55">
        <f t="shared" si="3"/>
        <v>100000</v>
      </c>
      <c r="I104" s="89"/>
    </row>
    <row r="105" spans="2:9" ht="75">
      <c r="B105" s="17" t="s">
        <v>7</v>
      </c>
      <c r="C105" s="17" t="s">
        <v>8</v>
      </c>
      <c r="D105" s="18" t="s">
        <v>246</v>
      </c>
      <c r="E105" s="18" t="s">
        <v>61</v>
      </c>
      <c r="F105" s="56"/>
      <c r="G105" s="56">
        <f>500000+1473000+41000</f>
        <v>2014000</v>
      </c>
      <c r="H105" s="55">
        <f t="shared" si="3"/>
        <v>2014000</v>
      </c>
      <c r="I105" s="89"/>
    </row>
    <row r="106" spans="2:9" ht="83.25" customHeight="1">
      <c r="B106" s="17" t="s">
        <v>150</v>
      </c>
      <c r="C106" s="17" t="s">
        <v>151</v>
      </c>
      <c r="D106" s="20" t="s">
        <v>152</v>
      </c>
      <c r="E106" s="18" t="s">
        <v>61</v>
      </c>
      <c r="F106" s="56">
        <v>465000</v>
      </c>
      <c r="G106" s="56"/>
      <c r="H106" s="55">
        <f t="shared" si="3"/>
        <v>465000</v>
      </c>
      <c r="I106" s="89"/>
    </row>
    <row r="107" spans="2:9" ht="83.25" customHeight="1">
      <c r="B107" s="17" t="s">
        <v>116</v>
      </c>
      <c r="C107" s="17" t="s">
        <v>118</v>
      </c>
      <c r="D107" s="20" t="s">
        <v>117</v>
      </c>
      <c r="E107" s="18" t="s">
        <v>61</v>
      </c>
      <c r="F107" s="56">
        <f>180000+1500000+10851</f>
        <v>1690851</v>
      </c>
      <c r="G107" s="56"/>
      <c r="H107" s="55">
        <f t="shared" si="3"/>
        <v>1690851</v>
      </c>
      <c r="I107" s="89"/>
    </row>
    <row r="108" spans="2:9" ht="69" customHeight="1">
      <c r="B108" s="90" t="s">
        <v>119</v>
      </c>
      <c r="C108" s="90" t="s">
        <v>121</v>
      </c>
      <c r="D108" s="86" t="s">
        <v>120</v>
      </c>
      <c r="E108" s="18" t="s">
        <v>108</v>
      </c>
      <c r="F108" s="56">
        <v>30000</v>
      </c>
      <c r="G108" s="56"/>
      <c r="H108" s="55">
        <f t="shared" si="3"/>
        <v>30000</v>
      </c>
      <c r="I108" s="89"/>
    </row>
    <row r="109" spans="2:9" ht="83.25" customHeight="1">
      <c r="B109" s="91"/>
      <c r="C109" s="91"/>
      <c r="D109" s="87"/>
      <c r="E109" s="18" t="s">
        <v>61</v>
      </c>
      <c r="F109" s="56">
        <f>500000+500000</f>
        <v>1000000</v>
      </c>
      <c r="G109" s="56"/>
      <c r="H109" s="55">
        <f t="shared" si="3"/>
        <v>1000000</v>
      </c>
      <c r="I109" s="89"/>
    </row>
    <row r="110" spans="2:9" ht="93.75">
      <c r="B110" s="17" t="s">
        <v>48</v>
      </c>
      <c r="C110" s="17" t="s">
        <v>8</v>
      </c>
      <c r="D110" s="20" t="s">
        <v>49</v>
      </c>
      <c r="E110" s="18" t="s">
        <v>61</v>
      </c>
      <c r="F110" s="56"/>
      <c r="G110" s="62">
        <f>12363400+2550000+4260750+319200+14159+292000+4969900+1470000</f>
        <v>26239409</v>
      </c>
      <c r="H110" s="55">
        <f t="shared" si="3"/>
        <v>26239409</v>
      </c>
      <c r="I110" s="89"/>
    </row>
    <row r="111" spans="2:9" ht="75">
      <c r="B111" s="17" t="s">
        <v>153</v>
      </c>
      <c r="C111" s="17" t="s">
        <v>73</v>
      </c>
      <c r="D111" s="20" t="s">
        <v>72</v>
      </c>
      <c r="E111" s="23" t="s">
        <v>162</v>
      </c>
      <c r="F111" s="56">
        <f>410000-251200</f>
        <v>158800</v>
      </c>
      <c r="G111" s="56"/>
      <c r="H111" s="55">
        <f t="shared" si="3"/>
        <v>158800</v>
      </c>
      <c r="I111" s="89"/>
    </row>
    <row r="112" spans="2:9" ht="75">
      <c r="B112" s="17" t="s">
        <v>122</v>
      </c>
      <c r="C112" s="17" t="s">
        <v>124</v>
      </c>
      <c r="D112" s="30" t="s">
        <v>123</v>
      </c>
      <c r="E112" s="23" t="s">
        <v>162</v>
      </c>
      <c r="F112" s="56"/>
      <c r="G112" s="56">
        <f>54000+1534200+3612538+145344</f>
        <v>5346082</v>
      </c>
      <c r="H112" s="55">
        <f t="shared" si="3"/>
        <v>5346082</v>
      </c>
      <c r="I112" s="89"/>
    </row>
    <row r="113" spans="2:9" ht="75">
      <c r="B113" s="17">
        <v>240602</v>
      </c>
      <c r="C113" s="17" t="s">
        <v>206</v>
      </c>
      <c r="D113" s="30" t="s">
        <v>207</v>
      </c>
      <c r="E113" s="23" t="s">
        <v>162</v>
      </c>
      <c r="F113" s="56"/>
      <c r="G113" s="56">
        <v>250000</v>
      </c>
      <c r="H113" s="55">
        <f t="shared" si="3"/>
        <v>250000</v>
      </c>
      <c r="I113" s="89"/>
    </row>
    <row r="114" spans="2:9" ht="75">
      <c r="B114" s="17">
        <v>240605</v>
      </c>
      <c r="C114" s="19" t="s">
        <v>73</v>
      </c>
      <c r="D114" s="30" t="s">
        <v>72</v>
      </c>
      <c r="E114" s="23" t="s">
        <v>162</v>
      </c>
      <c r="F114" s="56"/>
      <c r="G114" s="56">
        <v>251200</v>
      </c>
      <c r="H114" s="55">
        <f t="shared" si="3"/>
        <v>251200</v>
      </c>
      <c r="I114" s="89"/>
    </row>
    <row r="115" spans="2:9" ht="75">
      <c r="B115" s="17" t="s">
        <v>139</v>
      </c>
      <c r="C115" s="17" t="s">
        <v>138</v>
      </c>
      <c r="D115" s="20" t="s">
        <v>140</v>
      </c>
      <c r="E115" s="23" t="s">
        <v>61</v>
      </c>
      <c r="F115" s="57">
        <v>229500</v>
      </c>
      <c r="G115" s="56">
        <v>750500</v>
      </c>
      <c r="H115" s="55">
        <f>F115+G115</f>
        <v>980000</v>
      </c>
      <c r="I115" s="89"/>
    </row>
    <row r="116" spans="2:9" ht="93.75">
      <c r="B116" s="105" t="s">
        <v>59</v>
      </c>
      <c r="C116" s="90" t="s">
        <v>58</v>
      </c>
      <c r="D116" s="98" t="s">
        <v>23</v>
      </c>
      <c r="E116" s="23" t="s">
        <v>175</v>
      </c>
      <c r="F116" s="56">
        <v>258120</v>
      </c>
      <c r="G116" s="56"/>
      <c r="H116" s="55">
        <f t="shared" si="3"/>
        <v>258120</v>
      </c>
      <c r="I116" s="89"/>
    </row>
    <row r="117" spans="2:9" ht="75">
      <c r="B117" s="107"/>
      <c r="C117" s="97"/>
      <c r="D117" s="102"/>
      <c r="E117" s="18" t="s">
        <v>61</v>
      </c>
      <c r="F117" s="56">
        <f>1429000+1920+67223+82700</f>
        <v>1580843</v>
      </c>
      <c r="G117" s="56"/>
      <c r="H117" s="55">
        <f t="shared" si="3"/>
        <v>1580843</v>
      </c>
      <c r="I117" s="89"/>
    </row>
    <row r="118" spans="2:9" ht="75">
      <c r="B118" s="17" t="s">
        <v>219</v>
      </c>
      <c r="C118" s="19" t="s">
        <v>8</v>
      </c>
      <c r="D118" s="20" t="s">
        <v>220</v>
      </c>
      <c r="E118" s="23" t="s">
        <v>214</v>
      </c>
      <c r="F118" s="56">
        <v>80000</v>
      </c>
      <c r="G118" s="56"/>
      <c r="H118" s="55">
        <f t="shared" si="3"/>
        <v>80000</v>
      </c>
      <c r="I118" s="89"/>
    </row>
    <row r="119" spans="2:9" ht="87" customHeight="1">
      <c r="B119" s="19" t="s">
        <v>125</v>
      </c>
      <c r="C119" s="19" t="s">
        <v>8</v>
      </c>
      <c r="D119" s="18" t="s">
        <v>126</v>
      </c>
      <c r="E119" s="23" t="s">
        <v>61</v>
      </c>
      <c r="F119" s="56"/>
      <c r="G119" s="56">
        <f>-2824000+100000-80000</f>
        <v>-2804000</v>
      </c>
      <c r="H119" s="55">
        <f t="shared" si="3"/>
        <v>-2804000</v>
      </c>
      <c r="I119" s="89"/>
    </row>
    <row r="120" spans="1:9" s="13" customFormat="1" ht="52.5" customHeight="1">
      <c r="A120" s="12"/>
      <c r="B120" s="76"/>
      <c r="C120" s="76"/>
      <c r="D120" s="42" t="s">
        <v>127</v>
      </c>
      <c r="E120" s="42"/>
      <c r="F120" s="55">
        <f>SUM(F121:F122)</f>
        <v>122089.26999999999</v>
      </c>
      <c r="G120" s="55">
        <f>SUM(G121:G122)</f>
        <v>0</v>
      </c>
      <c r="H120" s="55">
        <f>SUM(H121:H122)</f>
        <v>122089.26999999999</v>
      </c>
      <c r="I120" s="89"/>
    </row>
    <row r="121" spans="2:9" ht="131.25">
      <c r="B121" s="17" t="s">
        <v>116</v>
      </c>
      <c r="C121" s="17" t="s">
        <v>118</v>
      </c>
      <c r="D121" s="20" t="s">
        <v>117</v>
      </c>
      <c r="E121" s="23" t="s">
        <v>164</v>
      </c>
      <c r="F121" s="56">
        <f>10500-1200</f>
        <v>9300</v>
      </c>
      <c r="G121" s="56"/>
      <c r="H121" s="55">
        <f>F121+G121</f>
        <v>9300</v>
      </c>
      <c r="I121" s="89"/>
    </row>
    <row r="122" spans="2:9" ht="123.75" customHeight="1">
      <c r="B122" s="17" t="s">
        <v>59</v>
      </c>
      <c r="C122" s="17" t="s">
        <v>58</v>
      </c>
      <c r="D122" s="20" t="s">
        <v>23</v>
      </c>
      <c r="E122" s="23" t="s">
        <v>164</v>
      </c>
      <c r="F122" s="56">
        <f>360000-247210.73</f>
        <v>112789.26999999999</v>
      </c>
      <c r="G122" s="56"/>
      <c r="H122" s="55">
        <f>F122+G122</f>
        <v>112789.26999999999</v>
      </c>
      <c r="I122" s="89"/>
    </row>
    <row r="123" spans="2:9" ht="64.5" customHeight="1">
      <c r="B123" s="76"/>
      <c r="C123" s="76"/>
      <c r="D123" s="42" t="s">
        <v>245</v>
      </c>
      <c r="E123" s="42"/>
      <c r="F123" s="55">
        <f>SUM(F124:F126)</f>
        <v>264170.73</v>
      </c>
      <c r="G123" s="55">
        <f>SUM(G124:G126)</f>
        <v>141000</v>
      </c>
      <c r="H123" s="55">
        <f>SUM(H124:H126)</f>
        <v>405170.73</v>
      </c>
      <c r="I123" s="89"/>
    </row>
    <row r="124" spans="2:9" ht="64.5" customHeight="1">
      <c r="B124" s="17" t="s">
        <v>3</v>
      </c>
      <c r="C124" s="19" t="s">
        <v>2</v>
      </c>
      <c r="D124" s="18" t="s">
        <v>12</v>
      </c>
      <c r="E124" s="18" t="s">
        <v>156</v>
      </c>
      <c r="F124" s="56">
        <v>15760</v>
      </c>
      <c r="G124" s="56"/>
      <c r="H124" s="55">
        <f>F124+G124</f>
        <v>15760</v>
      </c>
      <c r="I124" s="89"/>
    </row>
    <row r="125" spans="2:9" ht="143.25" customHeight="1">
      <c r="B125" s="17" t="s">
        <v>116</v>
      </c>
      <c r="C125" s="17" t="s">
        <v>118</v>
      </c>
      <c r="D125" s="20" t="s">
        <v>117</v>
      </c>
      <c r="E125" s="23" t="s">
        <v>164</v>
      </c>
      <c r="F125" s="56">
        <v>1200</v>
      </c>
      <c r="G125" s="56">
        <v>141000</v>
      </c>
      <c r="H125" s="55">
        <f>F125+G125</f>
        <v>142200</v>
      </c>
      <c r="I125" s="89"/>
    </row>
    <row r="126" spans="2:9" ht="131.25">
      <c r="B126" s="17" t="s">
        <v>59</v>
      </c>
      <c r="C126" s="17" t="s">
        <v>58</v>
      </c>
      <c r="D126" s="20" t="s">
        <v>23</v>
      </c>
      <c r="E126" s="23" t="s">
        <v>164</v>
      </c>
      <c r="F126" s="56">
        <v>247210.73</v>
      </c>
      <c r="G126" s="56"/>
      <c r="H126" s="55">
        <f>F126+G126</f>
        <v>247210.73</v>
      </c>
      <c r="I126" s="89"/>
    </row>
    <row r="127" spans="1:9" s="13" customFormat="1" ht="64.5" customHeight="1">
      <c r="A127" s="12"/>
      <c r="B127" s="76"/>
      <c r="C127" s="76"/>
      <c r="D127" s="42" t="s">
        <v>128</v>
      </c>
      <c r="E127" s="42"/>
      <c r="F127" s="55">
        <f>SUM(F128:F144)</f>
        <v>70223021</v>
      </c>
      <c r="G127" s="55">
        <f>SUM(G128:G144)</f>
        <v>225562267.98</v>
      </c>
      <c r="H127" s="55">
        <f>SUM(H128:H144)</f>
        <v>295785288.97999996</v>
      </c>
      <c r="I127" s="89"/>
    </row>
    <row r="128" spans="2:9" ht="56.25">
      <c r="B128" s="26" t="s">
        <v>3</v>
      </c>
      <c r="C128" s="28" t="s">
        <v>2</v>
      </c>
      <c r="D128" s="20" t="s">
        <v>12</v>
      </c>
      <c r="E128" s="18" t="s">
        <v>155</v>
      </c>
      <c r="F128" s="56"/>
      <c r="G128" s="56">
        <v>10000</v>
      </c>
      <c r="H128" s="55">
        <f>F128+G128</f>
        <v>10000</v>
      </c>
      <c r="I128" s="89"/>
    </row>
    <row r="129" spans="2:9" ht="129" customHeight="1">
      <c r="B129" s="26" t="s">
        <v>75</v>
      </c>
      <c r="C129" s="19" t="s">
        <v>83</v>
      </c>
      <c r="D129" s="20" t="s">
        <v>76</v>
      </c>
      <c r="E129" s="27" t="s">
        <v>187</v>
      </c>
      <c r="F129" s="56"/>
      <c r="G129" s="56">
        <v>1724000</v>
      </c>
      <c r="H129" s="55">
        <f aca="true" t="shared" si="4" ref="H129:H144">F129+G129</f>
        <v>1724000</v>
      </c>
      <c r="I129" s="89"/>
    </row>
    <row r="130" spans="2:9" ht="87" customHeight="1">
      <c r="B130" s="19" t="s">
        <v>26</v>
      </c>
      <c r="C130" s="19" t="s">
        <v>28</v>
      </c>
      <c r="D130" s="18" t="s">
        <v>27</v>
      </c>
      <c r="E130" s="27" t="s">
        <v>61</v>
      </c>
      <c r="F130" s="56">
        <f>30000000+30000000+300000</f>
        <v>60300000</v>
      </c>
      <c r="G130" s="56">
        <f>35000000+16252200+20000000+2000000+2000000</f>
        <v>75252200</v>
      </c>
      <c r="H130" s="55">
        <f t="shared" si="4"/>
        <v>135552200</v>
      </c>
      <c r="I130" s="89"/>
    </row>
    <row r="131" spans="2:9" ht="87" customHeight="1">
      <c r="B131" s="19" t="s">
        <v>7</v>
      </c>
      <c r="C131" s="19" t="s">
        <v>8</v>
      </c>
      <c r="D131" s="20" t="s">
        <v>130</v>
      </c>
      <c r="E131" s="27" t="s">
        <v>178</v>
      </c>
      <c r="F131" s="56"/>
      <c r="G131" s="56">
        <f>76917041.94+15082000+19829065.59+8122934.41+2000000+472250+7365000+185923+9210370+1480000+50000+87000-200000+300000+43500+120000+115000+150000+223234+50000+231972</f>
        <v>141835290.94</v>
      </c>
      <c r="H131" s="55">
        <f t="shared" si="4"/>
        <v>141835290.94</v>
      </c>
      <c r="I131" s="89"/>
    </row>
    <row r="132" spans="2:9" ht="56.25">
      <c r="B132" s="17" t="s">
        <v>230</v>
      </c>
      <c r="C132" s="17" t="s">
        <v>31</v>
      </c>
      <c r="D132" s="20" t="s">
        <v>232</v>
      </c>
      <c r="E132" s="44" t="s">
        <v>178</v>
      </c>
      <c r="F132" s="56"/>
      <c r="G132" s="56">
        <v>200000</v>
      </c>
      <c r="H132" s="55">
        <f t="shared" si="4"/>
        <v>200000</v>
      </c>
      <c r="I132" s="89"/>
    </row>
    <row r="133" spans="2:9" ht="75">
      <c r="B133" s="17" t="s">
        <v>150</v>
      </c>
      <c r="C133" s="17" t="s">
        <v>151</v>
      </c>
      <c r="D133" s="20" t="s">
        <v>152</v>
      </c>
      <c r="E133" s="18" t="s">
        <v>61</v>
      </c>
      <c r="F133" s="56">
        <v>200000</v>
      </c>
      <c r="G133" s="56"/>
      <c r="H133" s="55">
        <f t="shared" si="4"/>
        <v>200000</v>
      </c>
      <c r="I133" s="89"/>
    </row>
    <row r="134" spans="2:9" ht="37.5">
      <c r="B134" s="17" t="s">
        <v>116</v>
      </c>
      <c r="C134" s="17" t="s">
        <v>118</v>
      </c>
      <c r="D134" s="20" t="s">
        <v>117</v>
      </c>
      <c r="E134" s="27" t="s">
        <v>178</v>
      </c>
      <c r="F134" s="56">
        <v>35000</v>
      </c>
      <c r="G134" s="56"/>
      <c r="H134" s="55">
        <f t="shared" si="4"/>
        <v>35000</v>
      </c>
      <c r="I134" s="89"/>
    </row>
    <row r="135" spans="2:9" ht="93.75">
      <c r="B135" s="19" t="s">
        <v>48</v>
      </c>
      <c r="C135" s="19" t="s">
        <v>8</v>
      </c>
      <c r="D135" s="18" t="s">
        <v>49</v>
      </c>
      <c r="E135" s="27" t="s">
        <v>214</v>
      </c>
      <c r="F135" s="56"/>
      <c r="G135" s="56">
        <f>6750000+5250000</f>
        <v>12000000</v>
      </c>
      <c r="H135" s="55">
        <f t="shared" si="4"/>
        <v>12000000</v>
      </c>
      <c r="I135" s="89"/>
    </row>
    <row r="136" spans="2:9" ht="75">
      <c r="B136" s="26" t="s">
        <v>122</v>
      </c>
      <c r="C136" s="19" t="s">
        <v>124</v>
      </c>
      <c r="D136" s="20" t="s">
        <v>123</v>
      </c>
      <c r="E136" s="27" t="s">
        <v>162</v>
      </c>
      <c r="F136" s="56"/>
      <c r="G136" s="56">
        <f>126000+480000</f>
        <v>606000</v>
      </c>
      <c r="H136" s="55">
        <f t="shared" si="4"/>
        <v>606000</v>
      </c>
      <c r="I136" s="89"/>
    </row>
    <row r="137" spans="2:9" ht="75">
      <c r="B137" s="17" t="s">
        <v>222</v>
      </c>
      <c r="C137" s="17" t="s">
        <v>224</v>
      </c>
      <c r="D137" s="30" t="s">
        <v>223</v>
      </c>
      <c r="E137" s="23" t="s">
        <v>162</v>
      </c>
      <c r="F137" s="56"/>
      <c r="G137" s="56">
        <v>1340330</v>
      </c>
      <c r="H137" s="55">
        <f t="shared" si="4"/>
        <v>1340330</v>
      </c>
      <c r="I137" s="89"/>
    </row>
    <row r="138" spans="2:9" ht="75">
      <c r="B138" s="26" t="s">
        <v>211</v>
      </c>
      <c r="C138" s="17" t="s">
        <v>73</v>
      </c>
      <c r="D138" s="30" t="s">
        <v>72</v>
      </c>
      <c r="E138" s="22" t="s">
        <v>162</v>
      </c>
      <c r="F138" s="56"/>
      <c r="G138" s="56">
        <v>400000</v>
      </c>
      <c r="H138" s="55">
        <f t="shared" si="4"/>
        <v>400000</v>
      </c>
      <c r="I138" s="89"/>
    </row>
    <row r="139" spans="2:9" ht="75">
      <c r="B139" s="17" t="s">
        <v>59</v>
      </c>
      <c r="C139" s="17" t="s">
        <v>58</v>
      </c>
      <c r="D139" s="20" t="s">
        <v>23</v>
      </c>
      <c r="E139" s="18" t="s">
        <v>167</v>
      </c>
      <c r="F139" s="56">
        <v>188021</v>
      </c>
      <c r="G139" s="56"/>
      <c r="H139" s="55">
        <f t="shared" si="4"/>
        <v>188021</v>
      </c>
      <c r="I139" s="89"/>
    </row>
    <row r="140" spans="2:9" ht="75">
      <c r="B140" s="17" t="s">
        <v>219</v>
      </c>
      <c r="C140" s="19" t="s">
        <v>8</v>
      </c>
      <c r="D140" s="20" t="s">
        <v>220</v>
      </c>
      <c r="E140" s="27" t="s">
        <v>214</v>
      </c>
      <c r="F140" s="56">
        <f>8000000</f>
        <v>8000000</v>
      </c>
      <c r="G140" s="56"/>
      <c r="H140" s="55">
        <f t="shared" si="4"/>
        <v>8000000</v>
      </c>
      <c r="I140" s="89"/>
    </row>
    <row r="141" spans="2:9" ht="75">
      <c r="B141" s="17" t="s">
        <v>125</v>
      </c>
      <c r="C141" s="19" t="s">
        <v>8</v>
      </c>
      <c r="D141" s="20" t="s">
        <v>126</v>
      </c>
      <c r="E141" s="27" t="s">
        <v>214</v>
      </c>
      <c r="F141" s="56"/>
      <c r="G141" s="56">
        <f>-8000000</f>
        <v>-8000000</v>
      </c>
      <c r="H141" s="55">
        <f t="shared" si="4"/>
        <v>-8000000</v>
      </c>
      <c r="I141" s="89"/>
    </row>
    <row r="142" spans="2:9" ht="75.75" customHeight="1">
      <c r="B142" s="19" t="s">
        <v>131</v>
      </c>
      <c r="C142" s="19" t="s">
        <v>6</v>
      </c>
      <c r="D142" s="18" t="s">
        <v>134</v>
      </c>
      <c r="E142" s="27" t="s">
        <v>129</v>
      </c>
      <c r="F142" s="56">
        <v>1415095</v>
      </c>
      <c r="G142" s="62">
        <f>501157+181925.51+4957</f>
        <v>688039.51</v>
      </c>
      <c r="H142" s="55">
        <f t="shared" si="4"/>
        <v>2103134.51</v>
      </c>
      <c r="I142" s="89"/>
    </row>
    <row r="143" spans="2:9" ht="75" customHeight="1">
      <c r="B143" s="19" t="s">
        <v>132</v>
      </c>
      <c r="C143" s="19" t="s">
        <v>6</v>
      </c>
      <c r="D143" s="18" t="s">
        <v>135</v>
      </c>
      <c r="E143" s="27" t="s">
        <v>129</v>
      </c>
      <c r="F143" s="56"/>
      <c r="G143" s="56">
        <f>-529620</f>
        <v>-529620</v>
      </c>
      <c r="H143" s="55">
        <f t="shared" si="4"/>
        <v>-529620</v>
      </c>
      <c r="I143" s="89"/>
    </row>
    <row r="144" spans="2:9" ht="101.25" customHeight="1">
      <c r="B144" s="19" t="s">
        <v>133</v>
      </c>
      <c r="C144" s="19" t="s">
        <v>6</v>
      </c>
      <c r="D144" s="18" t="s">
        <v>136</v>
      </c>
      <c r="E144" s="27" t="s">
        <v>129</v>
      </c>
      <c r="F144" s="56">
        <v>84905</v>
      </c>
      <c r="G144" s="62">
        <f>30069+10915.53-4957</f>
        <v>36027.53</v>
      </c>
      <c r="H144" s="55">
        <f t="shared" si="4"/>
        <v>120932.53</v>
      </c>
      <c r="I144" s="89"/>
    </row>
    <row r="145" spans="2:9" ht="68.25" customHeight="1">
      <c r="B145" s="19"/>
      <c r="C145" s="19"/>
      <c r="D145" s="42" t="s">
        <v>137</v>
      </c>
      <c r="E145" s="27"/>
      <c r="F145" s="55">
        <f>SUM(F146:F152)</f>
        <v>58050</v>
      </c>
      <c r="G145" s="55">
        <f>SUM(G146:G152)</f>
        <v>240345</v>
      </c>
      <c r="H145" s="55">
        <f>SUM(H146:H152)</f>
        <v>298395</v>
      </c>
      <c r="I145" s="89"/>
    </row>
    <row r="146" spans="2:9" ht="78.75" customHeight="1">
      <c r="B146" s="90" t="s">
        <v>3</v>
      </c>
      <c r="C146" s="90" t="s">
        <v>2</v>
      </c>
      <c r="D146" s="98" t="s">
        <v>12</v>
      </c>
      <c r="E146" s="18" t="s">
        <v>155</v>
      </c>
      <c r="F146" s="57">
        <f>50000-40000+10000</f>
        <v>20000</v>
      </c>
      <c r="G146" s="56"/>
      <c r="H146" s="55">
        <f aca="true" t="shared" si="5" ref="H146:H152">F146+G146</f>
        <v>20000</v>
      </c>
      <c r="I146" s="89"/>
    </row>
    <row r="147" spans="2:9" ht="96" customHeight="1">
      <c r="B147" s="97"/>
      <c r="C147" s="97"/>
      <c r="D147" s="102"/>
      <c r="E147" s="18" t="s">
        <v>156</v>
      </c>
      <c r="F147" s="57">
        <v>4200</v>
      </c>
      <c r="G147" s="56"/>
      <c r="H147" s="55">
        <f t="shared" si="5"/>
        <v>4200</v>
      </c>
      <c r="I147" s="89"/>
    </row>
    <row r="148" spans="2:9" ht="129" customHeight="1">
      <c r="B148" s="17" t="s">
        <v>116</v>
      </c>
      <c r="C148" s="17" t="s">
        <v>118</v>
      </c>
      <c r="D148" s="20" t="s">
        <v>117</v>
      </c>
      <c r="E148" s="18" t="s">
        <v>164</v>
      </c>
      <c r="F148" s="56"/>
      <c r="G148" s="56">
        <f>148000-141000</f>
        <v>7000</v>
      </c>
      <c r="H148" s="55">
        <f t="shared" si="5"/>
        <v>7000</v>
      </c>
      <c r="I148" s="89"/>
    </row>
    <row r="149" spans="2:9" ht="86.25" customHeight="1">
      <c r="B149" s="90" t="s">
        <v>56</v>
      </c>
      <c r="C149" s="90" t="s">
        <v>58</v>
      </c>
      <c r="D149" s="86" t="s">
        <v>57</v>
      </c>
      <c r="E149" s="18" t="s">
        <v>61</v>
      </c>
      <c r="F149" s="56"/>
      <c r="G149" s="56">
        <v>100000</v>
      </c>
      <c r="H149" s="55">
        <f t="shared" si="5"/>
        <v>100000</v>
      </c>
      <c r="I149" s="89"/>
    </row>
    <row r="150" spans="2:9" ht="69.75" customHeight="1">
      <c r="B150" s="91"/>
      <c r="C150" s="91"/>
      <c r="D150" s="87"/>
      <c r="E150" s="20" t="s">
        <v>221</v>
      </c>
      <c r="F150" s="58"/>
      <c r="G150" s="58">
        <v>133345</v>
      </c>
      <c r="H150" s="55">
        <f t="shared" si="5"/>
        <v>133345</v>
      </c>
      <c r="I150" s="89"/>
    </row>
    <row r="151" spans="2:9" ht="65.25" customHeight="1">
      <c r="B151" s="90" t="s">
        <v>59</v>
      </c>
      <c r="C151" s="90" t="s">
        <v>58</v>
      </c>
      <c r="D151" s="86" t="s">
        <v>23</v>
      </c>
      <c r="E151" s="20" t="s">
        <v>168</v>
      </c>
      <c r="F151" s="58">
        <v>15100</v>
      </c>
      <c r="G151" s="58"/>
      <c r="H151" s="55">
        <f t="shared" si="5"/>
        <v>15100</v>
      </c>
      <c r="I151" s="89"/>
    </row>
    <row r="152" spans="2:9" ht="97.5" customHeight="1">
      <c r="B152" s="91"/>
      <c r="C152" s="91"/>
      <c r="D152" s="87"/>
      <c r="E152" s="20" t="s">
        <v>61</v>
      </c>
      <c r="F152" s="58">
        <f>170000-151250</f>
        <v>18750</v>
      </c>
      <c r="G152" s="58"/>
      <c r="H152" s="63">
        <f t="shared" si="5"/>
        <v>18750</v>
      </c>
      <c r="I152" s="89"/>
    </row>
    <row r="153" spans="2:9" ht="67.5" customHeight="1">
      <c r="B153" s="19"/>
      <c r="C153" s="19"/>
      <c r="D153" s="42" t="s">
        <v>241</v>
      </c>
      <c r="E153" s="27"/>
      <c r="F153" s="55">
        <f>SUM(F154:F160)</f>
        <v>187050</v>
      </c>
      <c r="G153" s="55">
        <f>SUM(G154:G160)</f>
        <v>557485</v>
      </c>
      <c r="H153" s="55">
        <f>SUM(H154:H160)</f>
        <v>744535</v>
      </c>
      <c r="I153" s="89"/>
    </row>
    <row r="154" spans="2:9" ht="63.75" customHeight="1">
      <c r="B154" s="90" t="s">
        <v>3</v>
      </c>
      <c r="C154" s="90" t="s">
        <v>2</v>
      </c>
      <c r="D154" s="98" t="s">
        <v>12</v>
      </c>
      <c r="E154" s="18" t="s">
        <v>155</v>
      </c>
      <c r="F154" s="57">
        <f>40000-10000</f>
        <v>30000</v>
      </c>
      <c r="G154" s="56"/>
      <c r="H154" s="55">
        <f aca="true" t="shared" si="6" ref="H154:H160">F154+G154</f>
        <v>30000</v>
      </c>
      <c r="I154" s="89"/>
    </row>
    <row r="155" spans="2:9" ht="63.75" customHeight="1">
      <c r="B155" s="97"/>
      <c r="C155" s="97"/>
      <c r="D155" s="102"/>
      <c r="E155" s="18" t="s">
        <v>156</v>
      </c>
      <c r="F155" s="57">
        <v>5800</v>
      </c>
      <c r="G155" s="56"/>
      <c r="H155" s="55">
        <f t="shared" si="6"/>
        <v>5800</v>
      </c>
      <c r="I155" s="89"/>
    </row>
    <row r="156" spans="2:9" ht="123.75" customHeight="1">
      <c r="B156" s="19" t="s">
        <v>48</v>
      </c>
      <c r="C156" s="19" t="s">
        <v>8</v>
      </c>
      <c r="D156" s="18" t="s">
        <v>49</v>
      </c>
      <c r="E156" s="27" t="s">
        <v>178</v>
      </c>
      <c r="F156" s="56"/>
      <c r="G156" s="56">
        <v>39000</v>
      </c>
      <c r="H156" s="55">
        <f t="shared" si="6"/>
        <v>39000</v>
      </c>
      <c r="I156" s="89"/>
    </row>
    <row r="157" spans="2:9" ht="85.5" customHeight="1">
      <c r="B157" s="90" t="s">
        <v>56</v>
      </c>
      <c r="C157" s="90" t="s">
        <v>58</v>
      </c>
      <c r="D157" s="86" t="s">
        <v>57</v>
      </c>
      <c r="E157" s="18" t="s">
        <v>61</v>
      </c>
      <c r="F157" s="56"/>
      <c r="G157" s="56">
        <v>352830</v>
      </c>
      <c r="H157" s="55">
        <f t="shared" si="6"/>
        <v>352830</v>
      </c>
      <c r="I157" s="89"/>
    </row>
    <row r="158" spans="2:9" ht="57.75" customHeight="1">
      <c r="B158" s="91"/>
      <c r="C158" s="91"/>
      <c r="D158" s="87"/>
      <c r="E158" s="20" t="s">
        <v>221</v>
      </c>
      <c r="F158" s="58"/>
      <c r="G158" s="58">
        <v>66155</v>
      </c>
      <c r="H158" s="55">
        <f t="shared" si="6"/>
        <v>66155</v>
      </c>
      <c r="I158" s="89"/>
    </row>
    <row r="159" spans="2:9" ht="54" customHeight="1">
      <c r="B159" s="26" t="s">
        <v>139</v>
      </c>
      <c r="C159" s="17" t="s">
        <v>138</v>
      </c>
      <c r="D159" s="35" t="s">
        <v>140</v>
      </c>
      <c r="E159" s="23" t="s">
        <v>179</v>
      </c>
      <c r="F159" s="58"/>
      <c r="G159" s="58">
        <v>99500</v>
      </c>
      <c r="H159" s="55">
        <f t="shared" si="6"/>
        <v>99500</v>
      </c>
      <c r="I159" s="89"/>
    </row>
    <row r="160" spans="2:9" ht="87.75" customHeight="1">
      <c r="B160" s="17" t="s">
        <v>59</v>
      </c>
      <c r="C160" s="17" t="s">
        <v>58</v>
      </c>
      <c r="D160" s="30" t="s">
        <v>23</v>
      </c>
      <c r="E160" s="20" t="s">
        <v>61</v>
      </c>
      <c r="F160" s="58">
        <v>151250</v>
      </c>
      <c r="G160" s="58"/>
      <c r="H160" s="55">
        <f t="shared" si="6"/>
        <v>151250</v>
      </c>
      <c r="I160" s="89"/>
    </row>
    <row r="161" spans="2:9" ht="73.5" customHeight="1">
      <c r="B161" s="76"/>
      <c r="C161" s="76"/>
      <c r="D161" s="42" t="s">
        <v>141</v>
      </c>
      <c r="E161" s="42"/>
      <c r="F161" s="55">
        <f>F163+F162</f>
        <v>715080</v>
      </c>
      <c r="G161" s="55">
        <f>G163+G162</f>
        <v>0</v>
      </c>
      <c r="H161" s="55">
        <f>H163+H162</f>
        <v>715080</v>
      </c>
      <c r="I161" s="89"/>
    </row>
    <row r="162" spans="2:9" ht="75">
      <c r="B162" s="19" t="s">
        <v>26</v>
      </c>
      <c r="C162" s="19" t="s">
        <v>28</v>
      </c>
      <c r="D162" s="18" t="s">
        <v>244</v>
      </c>
      <c r="E162" s="27" t="s">
        <v>61</v>
      </c>
      <c r="F162" s="56">
        <v>365080</v>
      </c>
      <c r="G162" s="56"/>
      <c r="H162" s="55">
        <f>F162+G162</f>
        <v>365080</v>
      </c>
      <c r="I162" s="89"/>
    </row>
    <row r="163" spans="1:9" s="13" customFormat="1" ht="76.5" customHeight="1">
      <c r="A163" s="12"/>
      <c r="B163" s="19" t="s">
        <v>59</v>
      </c>
      <c r="C163" s="19" t="s">
        <v>58</v>
      </c>
      <c r="D163" s="18" t="s">
        <v>23</v>
      </c>
      <c r="E163" s="18" t="s">
        <v>60</v>
      </c>
      <c r="F163" s="56">
        <v>350000</v>
      </c>
      <c r="G163" s="56"/>
      <c r="H163" s="55">
        <f>F163+G163</f>
        <v>350000</v>
      </c>
      <c r="I163" s="89"/>
    </row>
    <row r="164" spans="1:9" s="13" customFormat="1" ht="57.75" customHeight="1">
      <c r="A164" s="12"/>
      <c r="B164" s="19"/>
      <c r="C164" s="19"/>
      <c r="D164" s="42" t="s">
        <v>231</v>
      </c>
      <c r="E164" s="27"/>
      <c r="F164" s="55">
        <f>F165+F166</f>
        <v>55920</v>
      </c>
      <c r="G164" s="55">
        <f>G165+G166</f>
        <v>18000</v>
      </c>
      <c r="H164" s="55">
        <f>H165+H166</f>
        <v>73920</v>
      </c>
      <c r="I164" s="89"/>
    </row>
    <row r="165" spans="2:9" ht="75.75" customHeight="1">
      <c r="B165" s="19" t="s">
        <v>3</v>
      </c>
      <c r="C165" s="19" t="s">
        <v>2</v>
      </c>
      <c r="D165" s="18" t="s">
        <v>12</v>
      </c>
      <c r="E165" s="27" t="s">
        <v>165</v>
      </c>
      <c r="F165" s="56">
        <v>55920</v>
      </c>
      <c r="G165" s="56"/>
      <c r="H165" s="55">
        <f>F165+G165</f>
        <v>55920</v>
      </c>
      <c r="I165" s="89"/>
    </row>
    <row r="166" spans="2:9" ht="75.75" customHeight="1">
      <c r="B166" s="17">
        <v>240604</v>
      </c>
      <c r="C166" s="19" t="s">
        <v>55</v>
      </c>
      <c r="D166" s="30" t="s">
        <v>208</v>
      </c>
      <c r="E166" s="23" t="s">
        <v>162</v>
      </c>
      <c r="F166" s="56"/>
      <c r="G166" s="56">
        <v>18000</v>
      </c>
      <c r="H166" s="55">
        <f>F166+G166</f>
        <v>18000</v>
      </c>
      <c r="I166" s="89"/>
    </row>
    <row r="167" spans="2:9" ht="96.75" customHeight="1">
      <c r="B167" s="76"/>
      <c r="C167" s="76"/>
      <c r="D167" s="42" t="s">
        <v>242</v>
      </c>
      <c r="E167" s="48"/>
      <c r="F167" s="55">
        <f>SUM(F168:F168)</f>
        <v>198500</v>
      </c>
      <c r="G167" s="55">
        <f>SUM(G168:G168)</f>
        <v>700000</v>
      </c>
      <c r="H167" s="55">
        <f>SUM(H168:H168)</f>
        <v>898500</v>
      </c>
      <c r="I167" s="111"/>
    </row>
    <row r="168" spans="2:9" ht="51" customHeight="1">
      <c r="B168" s="26" t="s">
        <v>139</v>
      </c>
      <c r="C168" s="17" t="s">
        <v>138</v>
      </c>
      <c r="D168" s="35" t="s">
        <v>140</v>
      </c>
      <c r="E168" s="23" t="s">
        <v>179</v>
      </c>
      <c r="F168" s="57">
        <f>190000+8500</f>
        <v>198500</v>
      </c>
      <c r="G168" s="57">
        <f>500000+200000</f>
        <v>700000</v>
      </c>
      <c r="H168" s="55">
        <f>F168+G168</f>
        <v>898500</v>
      </c>
      <c r="I168" s="111"/>
    </row>
    <row r="169" spans="2:9" ht="24.75" customHeight="1">
      <c r="B169" s="28"/>
      <c r="C169" s="19"/>
      <c r="D169" s="42" t="s">
        <v>4</v>
      </c>
      <c r="E169" s="49"/>
      <c r="F169" s="60">
        <f>F167+F164+F161+F145+F127+F120+F94+F89+F87+F71+F65+F50+F11+F123+F153</f>
        <v>189027677.64999998</v>
      </c>
      <c r="G169" s="60">
        <f>G167+G164+G161+G145+G127+G120+G94+G89+G87+G71+G65+G50+G11+G123+G153</f>
        <v>451895995.77</v>
      </c>
      <c r="H169" s="60">
        <f>H167+H164+H161+H145+H127+H120+H94+H89+H87+H71+H65+H50+H11+H123+H153</f>
        <v>640923673.42</v>
      </c>
      <c r="I169" s="111"/>
    </row>
    <row r="170" spans="2:9" ht="18.75" customHeight="1">
      <c r="B170" s="37"/>
      <c r="C170" s="38"/>
      <c r="D170" s="66"/>
      <c r="E170" s="50"/>
      <c r="F170" s="61"/>
      <c r="G170" s="61"/>
      <c r="H170" s="61"/>
      <c r="I170" s="111"/>
    </row>
    <row r="171" spans="2:9" ht="14.25" customHeight="1">
      <c r="B171" s="37"/>
      <c r="C171" s="38"/>
      <c r="D171" s="66"/>
      <c r="E171" s="50"/>
      <c r="F171" s="61"/>
      <c r="G171" s="61"/>
      <c r="H171" s="61"/>
      <c r="I171" s="111"/>
    </row>
    <row r="172" spans="2:9" ht="18.75" customHeight="1">
      <c r="B172" s="37"/>
      <c r="C172" s="38"/>
      <c r="D172" s="66"/>
      <c r="E172" s="50"/>
      <c r="F172" s="61"/>
      <c r="G172" s="61"/>
      <c r="H172" s="61"/>
      <c r="I172" s="111"/>
    </row>
    <row r="173" spans="1:9" s="85" customFormat="1" ht="32.25" customHeight="1">
      <c r="A173" s="84"/>
      <c r="B173" s="108" t="s">
        <v>253</v>
      </c>
      <c r="C173" s="108"/>
      <c r="D173" s="108"/>
      <c r="E173" s="78"/>
      <c r="F173" s="110" t="s">
        <v>254</v>
      </c>
      <c r="G173" s="110"/>
      <c r="H173" s="79"/>
      <c r="I173" s="111"/>
    </row>
    <row r="174" spans="1:9" s="82" customFormat="1" ht="15" customHeight="1">
      <c r="A174" s="1"/>
      <c r="B174" s="109"/>
      <c r="C174" s="109"/>
      <c r="D174" s="68"/>
      <c r="E174" s="67"/>
      <c r="F174" s="69"/>
      <c r="G174" s="69"/>
      <c r="H174" s="69"/>
      <c r="I174" s="111"/>
    </row>
    <row r="175" spans="1:9" s="82" customFormat="1" ht="26.25" customHeight="1">
      <c r="A175" s="1"/>
      <c r="B175" s="70" t="s">
        <v>252</v>
      </c>
      <c r="C175" s="71"/>
      <c r="D175" s="71"/>
      <c r="E175" s="72"/>
      <c r="F175" s="73"/>
      <c r="G175" s="73"/>
      <c r="H175" s="73"/>
      <c r="I175" s="111"/>
    </row>
    <row r="176" spans="1:9" s="82" customFormat="1" ht="12.75" customHeight="1">
      <c r="A176" s="1"/>
      <c r="B176" s="72"/>
      <c r="C176" s="72"/>
      <c r="D176" s="72"/>
      <c r="E176" s="72"/>
      <c r="F176" s="73"/>
      <c r="G176" s="73"/>
      <c r="H176" s="73"/>
      <c r="I176" s="111"/>
    </row>
    <row r="177" spans="1:9" s="82" customFormat="1" ht="12.75" customHeight="1" hidden="1">
      <c r="A177" s="1"/>
      <c r="B177" s="83"/>
      <c r="C177" s="77"/>
      <c r="D177" s="72"/>
      <c r="E177" s="72"/>
      <c r="F177" s="73"/>
      <c r="G177" s="73"/>
      <c r="H177" s="73"/>
      <c r="I177" s="111"/>
    </row>
    <row r="178" spans="2:9" ht="12.75" customHeight="1">
      <c r="B178" s="77"/>
      <c r="C178" s="77"/>
      <c r="D178" s="72"/>
      <c r="E178" s="72"/>
      <c r="F178" s="73"/>
      <c r="G178" s="73"/>
      <c r="H178" s="73"/>
      <c r="I178" s="111"/>
    </row>
    <row r="179" spans="2:9" ht="12.75" customHeight="1">
      <c r="B179" s="77"/>
      <c r="C179" s="77"/>
      <c r="D179" s="72"/>
      <c r="E179" s="72"/>
      <c r="F179" s="73"/>
      <c r="G179" s="73"/>
      <c r="H179" s="73"/>
      <c r="I179" s="111"/>
    </row>
    <row r="180" ht="12.75">
      <c r="I180" s="111"/>
    </row>
    <row r="181" ht="12.75">
      <c r="I181" s="111"/>
    </row>
    <row r="182" ht="12.75">
      <c r="I182" s="111"/>
    </row>
    <row r="183" ht="12.75">
      <c r="I183" s="111"/>
    </row>
    <row r="184" ht="12.75">
      <c r="I184" s="111"/>
    </row>
    <row r="185" ht="12.75">
      <c r="I185" s="81"/>
    </row>
    <row r="186" ht="12.75">
      <c r="I186" s="81"/>
    </row>
    <row r="187" ht="12.75">
      <c r="I187" s="81"/>
    </row>
    <row r="188" ht="12.75">
      <c r="I188" s="81"/>
    </row>
    <row r="189" ht="12.75">
      <c r="I189" s="81"/>
    </row>
    <row r="190" ht="12.75">
      <c r="I190" s="81"/>
    </row>
  </sheetData>
  <sheetProtection/>
  <mergeCells count="71">
    <mergeCell ref="I106:I112"/>
    <mergeCell ref="I113:I119"/>
    <mergeCell ref="I120:I125"/>
    <mergeCell ref="I160:I166"/>
    <mergeCell ref="I132:I139"/>
    <mergeCell ref="I140:I146"/>
    <mergeCell ref="I147:I152"/>
    <mergeCell ref="I153:I159"/>
    <mergeCell ref="I167:I184"/>
    <mergeCell ref="I58:I65"/>
    <mergeCell ref="I66:I71"/>
    <mergeCell ref="I17:I26"/>
    <mergeCell ref="I27:I34"/>
    <mergeCell ref="I35:I41"/>
    <mergeCell ref="I42:I49"/>
    <mergeCell ref="I72:I74"/>
    <mergeCell ref="I75:I82"/>
    <mergeCell ref="I83:I91"/>
    <mergeCell ref="B173:D173"/>
    <mergeCell ref="B174:C174"/>
    <mergeCell ref="F173:G173"/>
    <mergeCell ref="D146:D147"/>
    <mergeCell ref="C157:C158"/>
    <mergeCell ref="D157:D158"/>
    <mergeCell ref="B154:B155"/>
    <mergeCell ref="B146:B147"/>
    <mergeCell ref="C154:C155"/>
    <mergeCell ref="B151:B152"/>
    <mergeCell ref="D151:D152"/>
    <mergeCell ref="C149:C150"/>
    <mergeCell ref="C151:C152"/>
    <mergeCell ref="C116:C117"/>
    <mergeCell ref="B116:B117"/>
    <mergeCell ref="D116:D117"/>
    <mergeCell ref="C146:C147"/>
    <mergeCell ref="D149:D150"/>
    <mergeCell ref="B157:B158"/>
    <mergeCell ref="B54:B55"/>
    <mergeCell ref="B44:B49"/>
    <mergeCell ref="D52:D53"/>
    <mergeCell ref="D54:D55"/>
    <mergeCell ref="D44:D49"/>
    <mergeCell ref="C44:C49"/>
    <mergeCell ref="B149:B150"/>
    <mergeCell ref="B52:B53"/>
    <mergeCell ref="C52:C53"/>
    <mergeCell ref="B108:B109"/>
    <mergeCell ref="B8:H8"/>
    <mergeCell ref="C41:C43"/>
    <mergeCell ref="D154:D155"/>
    <mergeCell ref="D95:D96"/>
    <mergeCell ref="D60:D61"/>
    <mergeCell ref="B95:B96"/>
    <mergeCell ref="C60:C61"/>
    <mergeCell ref="C95:C96"/>
    <mergeCell ref="B60:B61"/>
    <mergeCell ref="B12:B14"/>
    <mergeCell ref="C12:C14"/>
    <mergeCell ref="D41:D43"/>
    <mergeCell ref="B41:B43"/>
    <mergeCell ref="D12:D14"/>
    <mergeCell ref="D108:D109"/>
    <mergeCell ref="I1:I16"/>
    <mergeCell ref="I126:I131"/>
    <mergeCell ref="C108:C109"/>
    <mergeCell ref="F1:H1"/>
    <mergeCell ref="C54:C55"/>
    <mergeCell ref="I50:I57"/>
    <mergeCell ref="I92:I98"/>
    <mergeCell ref="I99:I105"/>
    <mergeCell ref="F3:H3"/>
  </mergeCells>
  <printOptions/>
  <pageMargins left="0.52" right="0.27" top="1.1811023622047245" bottom="0.3937007874015748" header="0.35433070866141736" footer="0.2755905511811024"/>
  <pageSetup fitToHeight="30" horizontalDpi="600" verticalDpi="600" orientation="landscape" paperSize="9" scale="69" r:id="rId1"/>
  <headerFooter alignWithMargins="0">
    <oddFooter>&amp;RСторінка &amp;P</oddFooter>
  </headerFooter>
  <rowBreaks count="1" manualBreakCount="1">
    <brk id="73" min="1" max="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2016-08-01T09:23:03Z</cp:lastPrinted>
  <dcterms:created xsi:type="dcterms:W3CDTF">2014-01-17T10:52:16Z</dcterms:created>
  <dcterms:modified xsi:type="dcterms:W3CDTF">2016-08-01T09:23:17Z</dcterms:modified>
  <cp:category/>
  <cp:version/>
  <cp:contentType/>
  <cp:contentStatus/>
</cp:coreProperties>
</file>