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'Sheet1'!$A$1:$Q$811</definedName>
  </definedNames>
  <calcPr fullCalcOnLoad="1"/>
</workbook>
</file>

<file path=xl/sharedStrings.xml><?xml version="1.0" encoding="utf-8"?>
<sst xmlns="http://schemas.openxmlformats.org/spreadsheetml/2006/main" count="767" uniqueCount="466">
  <si>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</si>
  <si>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</si>
  <si>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</si>
  <si>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</si>
  <si>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</si>
  <si>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</si>
  <si>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</si>
  <si>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</si>
  <si>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</si>
  <si>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</si>
  <si>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</si>
  <si>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</si>
  <si>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</si>
  <si>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</si>
  <si>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</si>
  <si>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</si>
  <si>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</si>
  <si>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</si>
  <si>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</si>
  <si>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</si>
  <si>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</si>
  <si>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</si>
  <si>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</si>
  <si>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</si>
  <si>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</si>
  <si>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</si>
  <si>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</si>
  <si>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</si>
  <si>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</si>
  <si>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</si>
  <si>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</si>
  <si>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</si>
  <si>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</si>
  <si>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</si>
  <si>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</si>
  <si>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</si>
  <si>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</si>
  <si>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</si>
  <si>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</si>
  <si>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</si>
  <si>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</si>
  <si>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</si>
  <si>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</si>
  <si>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</si>
  <si>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</si>
  <si>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</si>
  <si>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</si>
  <si>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</si>
  <si>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</si>
  <si>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</si>
  <si>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</si>
  <si>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</si>
  <si>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</si>
  <si>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</si>
  <si>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</si>
  <si>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</si>
  <si>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</si>
  <si>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</si>
  <si>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</si>
  <si>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</si>
  <si>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</si>
  <si>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</si>
  <si>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</si>
  <si>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</si>
  <si>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</si>
  <si>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</si>
  <si>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</si>
  <si>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</si>
  <si>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</si>
  <si>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</si>
  <si>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</si>
  <si>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</si>
  <si>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</si>
  <si>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</si>
  <si>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</si>
  <si>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</si>
  <si>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</si>
  <si>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</si>
  <si>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</si>
  <si>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</si>
  <si>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</si>
  <si>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</si>
  <si>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</si>
  <si>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</si>
  <si>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</si>
  <si>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</si>
  <si>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</si>
  <si>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</si>
  <si>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</si>
  <si>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</si>
  <si>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</si>
  <si>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</si>
  <si>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</si>
  <si>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</si>
  <si>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</si>
  <si>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</si>
  <si>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</si>
  <si>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</si>
  <si>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</si>
  <si>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</si>
  <si>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</si>
  <si>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</si>
  <si>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</si>
  <si>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</si>
  <si>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</si>
  <si>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</si>
  <si>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</si>
  <si>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</si>
  <si>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</si>
  <si>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</si>
  <si>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</si>
  <si>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</si>
  <si>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</si>
  <si>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</si>
  <si>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</si>
  <si>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</si>
  <si>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</si>
  <si>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</si>
  <si>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</si>
  <si>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</si>
  <si>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</si>
  <si>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</si>
  <si>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</si>
  <si>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</si>
  <si>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</si>
  <si>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</si>
  <si>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</si>
  <si>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</si>
  <si>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</si>
  <si>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</si>
  <si>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</si>
  <si>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</si>
  <si>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</si>
  <si>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</si>
  <si>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</si>
  <si>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</si>
  <si>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</si>
  <si>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</si>
  <si>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</si>
  <si>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</si>
  <si>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</si>
  <si>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</si>
  <si>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</si>
  <si>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</si>
  <si>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</si>
  <si>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</si>
  <si>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</si>
  <si>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</si>
  <si>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</si>
  <si>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</si>
  <si>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</si>
  <si>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</si>
  <si>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</si>
  <si>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</si>
  <si>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</si>
  <si>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</si>
  <si>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</si>
  <si>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</si>
  <si>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</si>
  <si>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</si>
  <si>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</si>
  <si>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</si>
  <si>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</si>
  <si>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</si>
  <si>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</si>
  <si>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</si>
  <si>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</si>
  <si>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</si>
  <si>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</si>
  <si>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</si>
  <si>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</si>
  <si>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</si>
  <si>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</si>
  <si>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</si>
  <si>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</si>
  <si>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</si>
  <si>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</si>
  <si>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</si>
  <si>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</si>
  <si>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</si>
  <si>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</si>
  <si>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</si>
  <si>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</si>
  <si>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</si>
  <si>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</si>
  <si>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</si>
  <si>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</si>
  <si>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</si>
  <si>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</si>
  <si>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</si>
  <si>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</si>
  <si>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</si>
  <si>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</si>
  <si>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</si>
  <si>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</si>
  <si>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</si>
  <si>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</si>
  <si>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</si>
  <si>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</si>
  <si>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</si>
  <si>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</si>
  <si>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</si>
  <si>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</si>
  <si>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</si>
  <si>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</si>
  <si>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</si>
  <si>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</si>
  <si>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</si>
  <si>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</si>
  <si>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</si>
  <si>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</si>
  <si>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</si>
  <si>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</si>
  <si>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</si>
  <si>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</si>
  <si>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</si>
  <si>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</si>
  <si>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</si>
  <si>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</si>
  <si>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</si>
  <si>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</si>
  <si>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</si>
  <si>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</si>
  <si>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</si>
  <si>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</si>
  <si>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</si>
  <si>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</si>
  <si>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</si>
  <si>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</si>
  <si>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</si>
  <si>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</si>
  <si>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</si>
  <si>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</si>
  <si>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</si>
  <si>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</si>
  <si>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</si>
  <si>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</si>
  <si>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</si>
  <si>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</si>
  <si>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</si>
  <si>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</si>
  <si>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</si>
  <si>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</si>
  <si>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</si>
  <si>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</si>
  <si>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</si>
  <si>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</si>
  <si>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</si>
  <si>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</si>
  <si>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</si>
  <si>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</si>
  <si>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</si>
  <si>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</si>
  <si>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</si>
  <si>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</si>
  <si>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</si>
  <si>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</si>
  <si>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</si>
  <si>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</si>
  <si>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</si>
  <si>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</si>
  <si>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</si>
  <si>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</si>
  <si>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</si>
  <si>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</si>
  <si>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</si>
  <si>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</si>
  <si>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</si>
  <si>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</si>
  <si>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</si>
  <si>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</si>
  <si>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</si>
  <si>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</si>
  <si>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</si>
  <si>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</si>
  <si>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</si>
  <si>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</si>
  <si>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</si>
  <si>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</si>
  <si>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</si>
  <si>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</si>
  <si>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</si>
  <si>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</si>
  <si>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</si>
  <si>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</si>
  <si>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</si>
  <si>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</si>
  <si>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</si>
  <si>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</si>
  <si>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</si>
  <si>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</si>
  <si>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</si>
  <si>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</si>
  <si>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</si>
  <si>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</si>
  <si>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</si>
  <si>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</si>
  <si>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</si>
  <si>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</si>
  <si>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</si>
  <si>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</si>
  <si>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</si>
  <si>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</si>
  <si>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</si>
  <si>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</si>
  <si>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</si>
  <si>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</si>
  <si>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</si>
  <si>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</si>
  <si>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</si>
  <si>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</si>
  <si>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</si>
  <si>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</si>
  <si>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</si>
  <si>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</si>
  <si>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</si>
  <si>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</si>
  <si>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</si>
  <si>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</si>
  <si>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</si>
  <si>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</si>
  <si>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</si>
  <si>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</si>
  <si>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</si>
  <si>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</si>
  <si>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</si>
  <si>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</si>
  <si>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</si>
  <si>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</si>
  <si>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</si>
  <si>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</si>
  <si>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</si>
  <si>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</si>
  <si>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</si>
  <si>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</si>
  <si>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</si>
  <si>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</si>
  <si>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</si>
  <si>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</si>
  <si>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</si>
  <si>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</si>
  <si>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</si>
  <si>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</si>
  <si>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</si>
  <si>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</si>
  <si>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</si>
  <si>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</si>
  <si>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</si>
  <si>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</si>
  <si>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</si>
  <si>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</si>
  <si>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</si>
  <si>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</si>
  <si>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</si>
  <si>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</si>
  <si>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</si>
  <si>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</si>
  <si>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</si>
  <si>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</si>
  <si>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</si>
  <si>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</si>
  <si>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</si>
  <si>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</si>
  <si>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</si>
  <si>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</si>
  <si>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</si>
  <si>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</si>
  <si>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</si>
  <si>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</si>
  <si>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</si>
  <si>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</si>
  <si>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</si>
  <si>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</si>
  <si>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</si>
  <si>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</si>
  <si>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</si>
  <si>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</si>
  <si>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</si>
  <si>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</si>
  <si>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</si>
  <si>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</si>
  <si>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</si>
  <si>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</si>
  <si>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</si>
  <si>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</si>
  <si>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</si>
  <si>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</si>
  <si>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</si>
  <si>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</si>
  <si>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</si>
  <si>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</si>
  <si>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</si>
  <si>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</si>
  <si>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</si>
  <si>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</si>
  <si>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</si>
  <si>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</si>
  <si>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</si>
  <si>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</si>
  <si>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</si>
  <si>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</si>
  <si>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</si>
  <si>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</si>
  <si>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</si>
  <si>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</si>
  <si>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</si>
  <si>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</si>
  <si>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</si>
  <si>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</si>
  <si>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</si>
  <si>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</si>
  <si>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</si>
  <si>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</si>
  <si>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</si>
  <si>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</si>
  <si>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</si>
  <si>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</si>
  <si>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</si>
  <si>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</si>
  <si>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</si>
  <si>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</si>
  <si>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</si>
  <si>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</si>
  <si>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</si>
  <si>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</si>
  <si>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</si>
  <si>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</si>
  <si>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</si>
  <si>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</si>
  <si>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</si>
  <si>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</si>
  <si>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</si>
  <si>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</si>
  <si>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</si>
  <si>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</si>
  <si>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</si>
  <si>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</si>
  <si>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від                2017  року №                  -МР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</si>
  <si>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</si>
  <si>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</si>
  <si>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</si>
  <si>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</si>
  <si>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</si>
  <si>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</si>
  <si>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</si>
  <si>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</si>
  <si>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</si>
  <si>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</si>
  <si>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</si>
  <si>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</si>
  <si>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</si>
  <si>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</si>
  <si>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</si>
  <si>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</si>
  <si>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</si>
  <si>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</si>
  <si>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</si>
  <si>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5</t>
  </si>
  <si>
    <t xml:space="preserve">  Завдання: 17.5. Реставрація житлових будинків</t>
  </si>
  <si>
    <t xml:space="preserve">    Показник: кількість житлових будинків, які планується відреставрувати, шт.</t>
  </si>
  <si>
    <t xml:space="preserve">    Показник: середня вартість реставрації житлового будинку, грн.</t>
  </si>
  <si>
    <t xml:space="preserve">    Показник: Питома вага кількості житлових будинків, які планується відреставрувати, до кількості житлових будинків, що потребують реставрації, %</t>
  </si>
  <si>
    <t>Підпрограма 2. Реставрація житлових будинків</t>
  </si>
  <si>
    <t xml:space="preserve">    Показник: кількість житлових будинків, які необхідно відреставрувати, шт.</t>
  </si>
  <si>
    <t>КТКВК 100102, 100106 / КПКВК 6021, 6022, 6421</t>
  </si>
  <si>
    <t>Підпрограма 3. Капітальний ремонт житлового фонду об'єднань співвласників багатоквартирних будинків</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</si>
</sst>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2">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xf numFmtId="2" fontId="0"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58482213"/>
        <c:axId val="56577870"/>
      </c:barChart>
      <c:catAx>
        <c:axId val="58482213"/>
        <c:scaling>
          <c:orientation val="minMax"/>
        </c:scaling>
        <c:axPos val="b"/>
        <c:delete val="0"/>
        <c:numFmt formatCode="General" sourceLinked="1"/>
        <c:majorTickMark val="out"/>
        <c:minorTickMark val="none"/>
        <c:tickLblPos val="nextTo"/>
        <c:spPr>
          <a:ln w="3175">
            <a:solidFill>
              <a:srgbClr val="000000"/>
            </a:solidFill>
          </a:ln>
        </c:spPr>
        <c:crossAx val="56577870"/>
        <c:crosses val="autoZero"/>
        <c:auto val="1"/>
        <c:lblOffset val="100"/>
        <c:tickLblSkip val="1"/>
        <c:noMultiLvlLbl val="0"/>
      </c:catAx>
      <c:valAx>
        <c:axId val="565778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82213"/>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08"/>
  <sheetViews>
    <sheetView tabSelected="1" view="pageBreakPreview" zoomScale="115" zoomScaleNormal="85" zoomScaleSheetLayoutView="115" workbookViewId="0" topLeftCell="A11">
      <selection activeCell="A11" sqref="A1:P16384"/>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1" customWidth="1"/>
    <col min="5" max="5" width="16.66015625" style="41" customWidth="1"/>
    <col min="6" max="6" width="17.66015625" style="41" customWidth="1"/>
    <col min="7" max="7" width="17.5" style="41" customWidth="1"/>
    <col min="8" max="9" width="16.16015625" style="41" customWidth="1"/>
    <col min="10" max="10" width="17.16015625" style="41" customWidth="1"/>
    <col min="11" max="13" width="16" style="41" hidden="1" customWidth="1"/>
    <col min="14" max="14" width="17.16015625" style="41" customWidth="1"/>
    <col min="15" max="15" width="17.5" style="41" customWidth="1"/>
    <col min="16" max="16" width="16.16015625" style="41" customWidth="1"/>
    <col min="17" max="17" width="0.328125" style="1" customWidth="1"/>
    <col min="18" max="235" width="10.33203125" style="1" customWidth="1"/>
  </cols>
  <sheetData>
    <row r="1" spans="14:16" ht="12.75">
      <c r="N1" s="203" t="s">
        <v>457</v>
      </c>
      <c r="O1" s="203"/>
      <c r="P1" s="203"/>
    </row>
    <row r="2" spans="1:16" ht="12.75">
      <c r="A2" s="114"/>
      <c r="B2" s="114"/>
      <c r="C2" s="114"/>
      <c r="D2" s="116"/>
      <c r="E2" s="116"/>
      <c r="F2" s="116"/>
      <c r="G2" s="116"/>
      <c r="H2" s="116"/>
      <c r="I2" s="116"/>
      <c r="N2" s="203" t="s">
        <v>82</v>
      </c>
      <c r="O2" s="203"/>
      <c r="P2" s="203"/>
    </row>
    <row r="3" spans="1:16" ht="12.75">
      <c r="A3" s="114"/>
      <c r="B3" s="114"/>
      <c r="C3" s="114"/>
      <c r="D3" s="115"/>
      <c r="E3" s="115"/>
      <c r="F3" s="115"/>
      <c r="G3" s="115"/>
      <c r="H3" s="115"/>
      <c r="I3" s="116"/>
      <c r="N3" s="203" t="s">
        <v>241</v>
      </c>
      <c r="O3" s="203"/>
      <c r="P3" s="203"/>
    </row>
    <row r="4" spans="1:16" ht="12.75">
      <c r="A4" s="114"/>
      <c r="B4" s="114"/>
      <c r="C4" s="114"/>
      <c r="D4" s="115"/>
      <c r="E4" s="115"/>
      <c r="F4" s="115"/>
      <c r="G4" s="115"/>
      <c r="H4" s="115"/>
      <c r="I4" s="116"/>
      <c r="N4" s="203" t="s">
        <v>62</v>
      </c>
      <c r="O4" s="203"/>
      <c r="P4" s="203"/>
    </row>
    <row r="5" spans="1:16" ht="12.75">
      <c r="A5" s="114"/>
      <c r="B5" s="114"/>
      <c r="C5" s="114"/>
      <c r="D5" s="115"/>
      <c r="E5" s="115"/>
      <c r="F5" s="115"/>
      <c r="G5" s="115"/>
      <c r="H5" s="115"/>
      <c r="I5" s="116"/>
      <c r="N5" s="203" t="s">
        <v>87</v>
      </c>
      <c r="O5" s="203"/>
      <c r="P5" s="203"/>
    </row>
    <row r="6" spans="1:16" ht="12.75">
      <c r="A6" s="114"/>
      <c r="B6" s="114"/>
      <c r="C6" s="114"/>
      <c r="D6" s="115"/>
      <c r="E6" s="115"/>
      <c r="F6" s="115"/>
      <c r="G6" s="115"/>
      <c r="H6" s="115"/>
      <c r="I6" s="116"/>
      <c r="N6" s="203" t="s">
        <v>248</v>
      </c>
      <c r="O6" s="203"/>
      <c r="P6" s="203"/>
    </row>
    <row r="7" spans="1:17" ht="15.75">
      <c r="A7" s="114"/>
      <c r="B7" s="114"/>
      <c r="C7" s="114"/>
      <c r="D7" s="115"/>
      <c r="E7" s="115"/>
      <c r="F7" s="115"/>
      <c r="G7" s="115"/>
      <c r="H7" s="115"/>
      <c r="I7" s="116"/>
      <c r="N7" s="203" t="s">
        <v>437</v>
      </c>
      <c r="O7" s="203"/>
      <c r="P7" s="203"/>
      <c r="Q7" s="27"/>
    </row>
    <row r="8" spans="1:17" ht="15.75">
      <c r="A8" s="114"/>
      <c r="B8" s="114"/>
      <c r="C8" s="114"/>
      <c r="D8" s="115"/>
      <c r="E8" s="115"/>
      <c r="F8" s="115"/>
      <c r="G8" s="115"/>
      <c r="H8" s="115"/>
      <c r="I8" s="116"/>
      <c r="N8" s="125"/>
      <c r="O8" s="125"/>
      <c r="P8" s="125"/>
      <c r="Q8" s="27"/>
    </row>
    <row r="9" spans="1:9" ht="11.25">
      <c r="A9" s="114"/>
      <c r="B9" s="114"/>
      <c r="C9" s="114"/>
      <c r="D9" s="115"/>
      <c r="E9" s="115"/>
      <c r="F9" s="115"/>
      <c r="G9" s="115"/>
      <c r="H9" s="115"/>
      <c r="I9" s="116"/>
    </row>
    <row r="10" spans="1:16" ht="31.5" customHeight="1">
      <c r="A10" s="204" t="s">
        <v>88</v>
      </c>
      <c r="B10" s="204"/>
      <c r="C10" s="204"/>
      <c r="D10" s="204"/>
      <c r="E10" s="204"/>
      <c r="F10" s="204"/>
      <c r="G10" s="204"/>
      <c r="H10" s="204"/>
      <c r="I10" s="204"/>
      <c r="J10" s="204"/>
      <c r="K10" s="204"/>
      <c r="L10" s="204"/>
      <c r="M10" s="204"/>
      <c r="N10" s="204"/>
      <c r="O10" s="204"/>
      <c r="P10" s="204"/>
    </row>
    <row r="11" spans="1:16" ht="16.5" customHeight="1">
      <c r="A11" s="3"/>
      <c r="B11" s="3"/>
      <c r="C11" s="3"/>
      <c r="D11" s="73"/>
      <c r="E11" s="73"/>
      <c r="F11" s="73"/>
      <c r="G11" s="73"/>
      <c r="H11" s="73"/>
      <c r="I11" s="73"/>
      <c r="K11" s="73"/>
      <c r="P11" s="73" t="s">
        <v>59</v>
      </c>
    </row>
    <row r="12" spans="1:241" ht="11.25" customHeight="1">
      <c r="A12" s="214"/>
      <c r="B12" s="217" t="s">
        <v>52</v>
      </c>
      <c r="C12" s="217" t="s">
        <v>53</v>
      </c>
      <c r="D12" s="206" t="s">
        <v>89</v>
      </c>
      <c r="E12" s="207"/>
      <c r="F12" s="208"/>
      <c r="G12" s="213" t="s">
        <v>90</v>
      </c>
      <c r="H12" s="213"/>
      <c r="I12" s="213"/>
      <c r="J12" s="213"/>
      <c r="K12" s="126"/>
      <c r="L12" s="126"/>
      <c r="M12" s="126"/>
      <c r="N12" s="206" t="s">
        <v>91</v>
      </c>
      <c r="O12" s="207"/>
      <c r="P12" s="208"/>
      <c r="IB12" s="1"/>
      <c r="IC12" s="1"/>
      <c r="ID12" s="1"/>
      <c r="IE12" s="1"/>
      <c r="IF12" s="1"/>
      <c r="IG12" s="1"/>
    </row>
    <row r="13" spans="1:241" ht="12" customHeight="1">
      <c r="A13" s="215"/>
      <c r="B13" s="218"/>
      <c r="C13" s="218"/>
      <c r="D13" s="209" t="s">
        <v>54</v>
      </c>
      <c r="E13" s="210"/>
      <c r="F13" s="211" t="s">
        <v>41</v>
      </c>
      <c r="G13" s="222" t="s">
        <v>54</v>
      </c>
      <c r="H13" s="222"/>
      <c r="I13" s="222"/>
      <c r="J13" s="213" t="s">
        <v>41</v>
      </c>
      <c r="K13" s="206" t="s">
        <v>40</v>
      </c>
      <c r="L13" s="207"/>
      <c r="M13" s="208"/>
      <c r="N13" s="209" t="s">
        <v>54</v>
      </c>
      <c r="O13" s="210"/>
      <c r="P13" s="211" t="s">
        <v>41</v>
      </c>
      <c r="IB13" s="1"/>
      <c r="IC13" s="1"/>
      <c r="ID13" s="1"/>
      <c r="IE13" s="1"/>
      <c r="IF13" s="1"/>
      <c r="IG13" s="1"/>
    </row>
    <row r="14" spans="1:241" ht="24.75" customHeight="1">
      <c r="A14" s="216"/>
      <c r="B14" s="219"/>
      <c r="C14" s="219"/>
      <c r="D14" s="126" t="s">
        <v>0</v>
      </c>
      <c r="E14" s="126" t="s">
        <v>1</v>
      </c>
      <c r="F14" s="212"/>
      <c r="G14" s="126" t="s">
        <v>0</v>
      </c>
      <c r="H14" s="126" t="s">
        <v>1</v>
      </c>
      <c r="I14" s="126" t="s">
        <v>324</v>
      </c>
      <c r="J14" s="213"/>
      <c r="K14" s="126" t="s">
        <v>0</v>
      </c>
      <c r="L14" s="126" t="s">
        <v>1</v>
      </c>
      <c r="M14" s="126" t="s">
        <v>41</v>
      </c>
      <c r="N14" s="126" t="s">
        <v>0</v>
      </c>
      <c r="O14" s="126" t="s">
        <v>1</v>
      </c>
      <c r="P14" s="212"/>
      <c r="IB14" s="1"/>
      <c r="IC14" s="1"/>
      <c r="ID14" s="1"/>
      <c r="IE14" s="1"/>
      <c r="IF14" s="1"/>
      <c r="IG14" s="1"/>
    </row>
    <row r="15" spans="1:241" s="165" customFormat="1" ht="11.25">
      <c r="A15" s="163">
        <v>1</v>
      </c>
      <c r="B15" s="163"/>
      <c r="C15" s="163"/>
      <c r="D15" s="163" t="s">
        <v>2</v>
      </c>
      <c r="E15" s="163" t="s">
        <v>3</v>
      </c>
      <c r="F15" s="163">
        <v>7</v>
      </c>
      <c r="G15" s="163">
        <v>8</v>
      </c>
      <c r="H15" s="163">
        <v>9</v>
      </c>
      <c r="I15" s="163">
        <v>10</v>
      </c>
      <c r="J15" s="163">
        <v>11</v>
      </c>
      <c r="K15" s="163">
        <v>12</v>
      </c>
      <c r="L15" s="163">
        <v>13</v>
      </c>
      <c r="M15" s="163">
        <v>14</v>
      </c>
      <c r="N15" s="163">
        <v>12</v>
      </c>
      <c r="O15" s="163">
        <v>13</v>
      </c>
      <c r="P15" s="163">
        <v>14</v>
      </c>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row>
    <row r="16" spans="1:16" s="1" customFormat="1" ht="28.5" customHeight="1">
      <c r="A16" s="56" t="s">
        <v>76</v>
      </c>
      <c r="B16" s="56"/>
      <c r="C16" s="56"/>
      <c r="D16" s="57">
        <f>D25+D303+D393+D526+D542+D609+D625+D637+D660</f>
        <v>42115300.002</v>
      </c>
      <c r="E16" s="57">
        <f>E25+E303+E393+E526+E542+E609+E663</f>
        <v>42792920</v>
      </c>
      <c r="F16" s="57">
        <f>F25+F303+F393+F526+F542+F609+F625+F637+F663</f>
        <v>84908220.002</v>
      </c>
      <c r="G16" s="174">
        <f>G25+G303+G393+G526+G542+G609+G637+G660+G672+G699+G715+G724+G744+G752+G471</f>
        <v>68231249.99272124</v>
      </c>
      <c r="H16" s="174">
        <f>H25+H303+H393+H526+H542+H637+H672+H715+H609+H724+H744+H660+H699+H752+H773+H471-1000-452400</f>
        <v>210440573.4999594</v>
      </c>
      <c r="I16" s="174">
        <f>I25+I303+I393+I526+I542+I660+I699+I715</f>
        <v>47000</v>
      </c>
      <c r="J16" s="174">
        <f>G16+H16+I16</f>
        <v>278718823.49268067</v>
      </c>
      <c r="K16" s="57" t="e">
        <f>K25+K303+K393+K526+K542</f>
        <v>#REF!</v>
      </c>
      <c r="L16" s="57" t="e">
        <f>L25+L303+L393+L526+L542</f>
        <v>#REF!</v>
      </c>
      <c r="M16" s="57" t="e">
        <f>M25+M303+M393+M526+M542</f>
        <v>#REF!</v>
      </c>
      <c r="N16" s="174">
        <f>N25+N303+N393+N526+N542+N609+N637+N660+N672+N699+N715+N724+N744+N752+N471+35</f>
        <v>117831094.99081063</v>
      </c>
      <c r="O16" s="174">
        <f>O25+O303+O393+O526+O542+O609+O637+O660+O672+O699+O715+O724+O744+O752+O471+O773</f>
        <v>298355192.001878</v>
      </c>
      <c r="P16" s="174">
        <f aca="true" t="shared" si="0" ref="P16:P21">N16+O16</f>
        <v>416186286.99268866</v>
      </c>
    </row>
    <row r="17" spans="1:16" s="1" customFormat="1" ht="41.25" customHeight="1">
      <c r="A17" s="56" t="s">
        <v>61</v>
      </c>
      <c r="B17" s="56"/>
      <c r="C17" s="56"/>
      <c r="D17" s="57">
        <f>D26</f>
        <v>50736000</v>
      </c>
      <c r="E17" s="57">
        <f>E26</f>
        <v>58817800</v>
      </c>
      <c r="F17" s="57">
        <f>D17+E17</f>
        <v>109553800</v>
      </c>
      <c r="G17" s="174">
        <f>G26+G625</f>
        <v>71963199.997529</v>
      </c>
      <c r="H17" s="174">
        <f>H26+H625</f>
        <v>131508929</v>
      </c>
      <c r="I17" s="174">
        <f>I26+I625</f>
        <v>0</v>
      </c>
      <c r="J17" s="174">
        <f>G17+H17</f>
        <v>203472128.997529</v>
      </c>
      <c r="K17" s="57">
        <f>K26</f>
        <v>0</v>
      </c>
      <c r="L17" s="57">
        <f>L26</f>
        <v>0</v>
      </c>
      <c r="M17" s="57">
        <f>M26</f>
        <v>0</v>
      </c>
      <c r="N17" s="174">
        <f>N26+N625</f>
        <v>85227999.99998</v>
      </c>
      <c r="O17" s="174">
        <f>O26+O625</f>
        <v>75995600</v>
      </c>
      <c r="P17" s="174">
        <f t="shared" si="0"/>
        <v>161223599.99998</v>
      </c>
    </row>
    <row r="18" spans="1:17" ht="51" customHeight="1">
      <c r="A18" s="56" t="s">
        <v>338</v>
      </c>
      <c r="B18" s="56"/>
      <c r="C18" s="56"/>
      <c r="D18" s="57">
        <f>D394+D469</f>
        <v>353680</v>
      </c>
      <c r="E18" s="57">
        <f>E394+E469</f>
        <v>534080</v>
      </c>
      <c r="F18" s="57">
        <f>D18+E18</f>
        <v>887760</v>
      </c>
      <c r="G18" s="174">
        <f aca="true" t="shared" si="1" ref="G18:I19">G394+G469</f>
        <v>0</v>
      </c>
      <c r="H18" s="174">
        <f t="shared" si="1"/>
        <v>64399.99999992592</v>
      </c>
      <c r="I18" s="174">
        <f t="shared" si="1"/>
        <v>0</v>
      </c>
      <c r="J18" s="174">
        <f>G18+H18+I18</f>
        <v>64399.99999992592</v>
      </c>
      <c r="K18" s="57">
        <f>K394+K469</f>
        <v>0</v>
      </c>
      <c r="L18" s="57">
        <f>L394+L469</f>
        <v>0</v>
      </c>
      <c r="M18" s="57">
        <f>M394+M469</f>
        <v>0</v>
      </c>
      <c r="N18" s="57">
        <f>N394+N469</f>
        <v>0</v>
      </c>
      <c r="O18" s="57">
        <f>O394+O469</f>
        <v>0</v>
      </c>
      <c r="P18" s="57">
        <f t="shared" si="0"/>
        <v>0</v>
      </c>
      <c r="Q18" s="41"/>
    </row>
    <row r="19" spans="1:17" ht="51" customHeight="1">
      <c r="A19" s="56" t="s">
        <v>337</v>
      </c>
      <c r="B19" s="56"/>
      <c r="C19" s="56"/>
      <c r="D19" s="57">
        <f>D395+D470</f>
        <v>0</v>
      </c>
      <c r="E19" s="57">
        <f aca="true" t="shared" si="2" ref="E19:O19">E395+E470</f>
        <v>0</v>
      </c>
      <c r="F19" s="57">
        <f>D19+E19</f>
        <v>0</v>
      </c>
      <c r="G19" s="174">
        <f t="shared" si="1"/>
        <v>219999.99999799998</v>
      </c>
      <c r="H19" s="174">
        <f t="shared" si="1"/>
        <v>814109.999999774</v>
      </c>
      <c r="I19" s="174">
        <f t="shared" si="1"/>
        <v>0</v>
      </c>
      <c r="J19" s="174">
        <f>G19+H19+I19</f>
        <v>1034109.999997774</v>
      </c>
      <c r="K19" s="57">
        <f t="shared" si="2"/>
        <v>0</v>
      </c>
      <c r="L19" s="57">
        <f t="shared" si="2"/>
        <v>0</v>
      </c>
      <c r="M19" s="57">
        <f t="shared" si="2"/>
        <v>0</v>
      </c>
      <c r="N19" s="57">
        <f t="shared" si="2"/>
        <v>419213.19999932</v>
      </c>
      <c r="O19" s="57">
        <f t="shared" si="2"/>
        <v>569509.9999997</v>
      </c>
      <c r="P19" s="57">
        <f t="shared" si="0"/>
        <v>988723.19999902</v>
      </c>
      <c r="Q19" s="41"/>
    </row>
    <row r="20" spans="1:17" ht="29.25" customHeight="1">
      <c r="A20" s="56" t="s">
        <v>75</v>
      </c>
      <c r="B20" s="56"/>
      <c r="C20" s="56"/>
      <c r="D20" s="57">
        <f>D28</f>
        <v>132300</v>
      </c>
      <c r="E20" s="57">
        <f>E28</f>
        <v>0</v>
      </c>
      <c r="F20" s="57">
        <f>D20+E20</f>
        <v>132300</v>
      </c>
      <c r="G20" s="174">
        <f>G28</f>
        <v>172439.79</v>
      </c>
      <c r="H20" s="174">
        <f>H28</f>
        <v>0</v>
      </c>
      <c r="I20" s="174">
        <f>I28</f>
        <v>0</v>
      </c>
      <c r="J20" s="174">
        <f>G20+H20</f>
        <v>172439.79</v>
      </c>
      <c r="K20" s="57">
        <f>K28</f>
        <v>0</v>
      </c>
      <c r="L20" s="57">
        <f>L28</f>
        <v>0</v>
      </c>
      <c r="M20" s="57">
        <f>M28</f>
        <v>0</v>
      </c>
      <c r="N20" s="57">
        <f>N28</f>
        <v>0</v>
      </c>
      <c r="O20" s="57">
        <f>O28</f>
        <v>0</v>
      </c>
      <c r="P20" s="57">
        <f t="shared" si="0"/>
        <v>0</v>
      </c>
      <c r="Q20" s="41"/>
    </row>
    <row r="21" spans="1:235" s="112" customFormat="1" ht="29.25" customHeight="1">
      <c r="A21" s="172" t="s">
        <v>328</v>
      </c>
      <c r="B21" s="173"/>
      <c r="C21" s="173"/>
      <c r="D21" s="174"/>
      <c r="E21" s="174"/>
      <c r="F21" s="174"/>
      <c r="G21" s="174">
        <f>G29</f>
        <v>365080.002</v>
      </c>
      <c r="H21" s="174">
        <f aca="true" t="shared" si="3" ref="H21:O21">H29</f>
        <v>0</v>
      </c>
      <c r="I21" s="174">
        <f t="shared" si="3"/>
        <v>0</v>
      </c>
      <c r="J21" s="174">
        <f>G21+H21+I21</f>
        <v>365080.002</v>
      </c>
      <c r="K21" s="174">
        <f t="shared" si="3"/>
        <v>0</v>
      </c>
      <c r="L21" s="174">
        <f t="shared" si="3"/>
        <v>0</v>
      </c>
      <c r="M21" s="174">
        <f t="shared" si="3"/>
        <v>0</v>
      </c>
      <c r="N21" s="174">
        <f t="shared" si="3"/>
        <v>789999.9999959131</v>
      </c>
      <c r="O21" s="174">
        <f t="shared" si="3"/>
        <v>0</v>
      </c>
      <c r="P21" s="174">
        <f t="shared" si="0"/>
        <v>789999.9999959131</v>
      </c>
      <c r="Q21" s="175"/>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row>
    <row r="22" spans="1:17" ht="20.25" customHeight="1">
      <c r="A22" s="56" t="s">
        <v>218</v>
      </c>
      <c r="B22" s="56"/>
      <c r="C22" s="56"/>
      <c r="D22" s="57">
        <f>D16+D17+D18+D20</f>
        <v>93337280.002</v>
      </c>
      <c r="E22" s="57">
        <f>E16+E17+E18+E20</f>
        <v>102144800</v>
      </c>
      <c r="F22" s="57">
        <f>F16+F17+F18+F20</f>
        <v>195482080.002</v>
      </c>
      <c r="G22" s="57">
        <f>G16+G17+G18+G20+G21+G19</f>
        <v>140951969.78224823</v>
      </c>
      <c r="H22" s="57">
        <f>H16+H17+H18+H20+H21+H19</f>
        <v>342828012.4999591</v>
      </c>
      <c r="I22" s="57">
        <f>I16+I17+I18+I20+I21+I19</f>
        <v>47000</v>
      </c>
      <c r="J22" s="57">
        <f>J16+J17+J18+J20+J21+J19</f>
        <v>483826982.2822074</v>
      </c>
      <c r="K22" s="57" t="e">
        <f>K16+K17+K18+K20</f>
        <v>#REF!</v>
      </c>
      <c r="L22" s="57" t="e">
        <f>L16+L17+L18+L20</f>
        <v>#REF!</v>
      </c>
      <c r="M22" s="57" t="e">
        <f>M16+M17+M18+M20</f>
        <v>#REF!</v>
      </c>
      <c r="N22" s="57">
        <f>N16+N17+N18+N20+N19+N21</f>
        <v>204268308.19078588</v>
      </c>
      <c r="O22" s="57">
        <f>O16+O17+O18+O20+O19+O21</f>
        <v>374920302.0018777</v>
      </c>
      <c r="P22" s="57">
        <f>P16+P17+P18+P20+P19+P21</f>
        <v>579188610.1926636</v>
      </c>
      <c r="Q22" s="41"/>
    </row>
    <row r="23" spans="1:235" s="84" customFormat="1" ht="30.75" customHeight="1">
      <c r="A23" s="117" t="s">
        <v>438</v>
      </c>
      <c r="B23" s="87"/>
      <c r="C23" s="87"/>
      <c r="D23" s="118">
        <f>D25+D26+D28</f>
        <v>85352300</v>
      </c>
      <c r="E23" s="118">
        <f aca="true" t="shared" si="4" ref="E23:M23">E25+E26+E28</f>
        <v>73485300</v>
      </c>
      <c r="F23" s="118">
        <f>F25+F26+F28</f>
        <v>158837600</v>
      </c>
      <c r="G23" s="118">
        <f>G25+G26+G28+G29</f>
        <v>117518019.7841344</v>
      </c>
      <c r="H23" s="118">
        <f>H25+H26+H28+H29</f>
        <v>155348611.5</v>
      </c>
      <c r="I23" s="118">
        <f>I25+I26+I28+I29</f>
        <v>0</v>
      </c>
      <c r="J23" s="118">
        <f t="shared" si="4"/>
        <v>272501551.2821344</v>
      </c>
      <c r="K23" s="118">
        <f t="shared" si="4"/>
        <v>-1039.33</v>
      </c>
      <c r="L23" s="118">
        <f t="shared" si="4"/>
        <v>-1039.33</v>
      </c>
      <c r="M23" s="118">
        <f t="shared" si="4"/>
        <v>-1039.33</v>
      </c>
      <c r="N23" s="118">
        <f>N25+N26+N28+N29</f>
        <v>168261299.99599954</v>
      </c>
      <c r="O23" s="118">
        <f>O25+O26+O28+O29</f>
        <v>132694160.0019</v>
      </c>
      <c r="P23" s="118">
        <f>N23+O23</f>
        <v>300955459.99789953</v>
      </c>
      <c r="Q23" s="119"/>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row>
    <row r="24" spans="1:17" ht="27" customHeight="1">
      <c r="A24" s="18" t="s">
        <v>219</v>
      </c>
      <c r="B24" s="8"/>
      <c r="C24" s="8"/>
      <c r="D24" s="10"/>
      <c r="E24" s="10"/>
      <c r="F24" s="10"/>
      <c r="G24" s="10"/>
      <c r="H24" s="10"/>
      <c r="I24" s="10"/>
      <c r="J24" s="10"/>
      <c r="K24" s="11"/>
      <c r="L24" s="11"/>
      <c r="M24" s="11"/>
      <c r="N24" s="10"/>
      <c r="O24" s="10"/>
      <c r="P24" s="10"/>
      <c r="Q24" s="41"/>
    </row>
    <row r="25" spans="1:235" s="84" customFormat="1" ht="15" customHeight="1">
      <c r="A25" s="107" t="s">
        <v>97</v>
      </c>
      <c r="B25" s="107"/>
      <c r="C25" s="107"/>
      <c r="D25" s="118">
        <f>D77+(D92*D95)+D141+D169+D206+D247+D262+D282+D292+D99</f>
        <v>34484000</v>
      </c>
      <c r="E25" s="118">
        <f>E77+(E92*E95)+E141+E169+E206+E247+E262+E282+E292</f>
        <v>14667500</v>
      </c>
      <c r="F25" s="118">
        <f>D25+E25</f>
        <v>49151500</v>
      </c>
      <c r="G25" s="118">
        <f>G77+(G92*G95)+G141+G169+G206+G247+G262+G282+G292+G99-G29+G50</f>
        <v>53097299.994605385</v>
      </c>
      <c r="H25" s="118">
        <f>H77+(H92*H95)+H141+H169+H206+H247+H262+H282+H292-H299</f>
        <v>23839682.5</v>
      </c>
      <c r="I25" s="118">
        <f>I77+(I92*I95)+I141+I169+I206+I247+I262+I282+I292-I299</f>
        <v>0</v>
      </c>
      <c r="J25" s="118">
        <f>G25+H25</f>
        <v>76936982.49460539</v>
      </c>
      <c r="K25" s="118">
        <f>K77+(K92*K95)+K141+K169+K206+K247+K262+K282+K292</f>
        <v>-1039.33</v>
      </c>
      <c r="L25" s="118">
        <f>L77+(L92*L95)+L141+L169+L206+L247+L262+L282+L292</f>
        <v>-1039.33</v>
      </c>
      <c r="M25" s="118">
        <f>M77+(M92*M95)+M141+M169+M206+M247+M262+M282+M292</f>
        <v>-1039.33</v>
      </c>
      <c r="N25" s="118">
        <f>N77+(N92*N95)+N141+N169+N206+N247+N262+N282+N292+N99+N50-N29</f>
        <v>94243299.99602363</v>
      </c>
      <c r="O25" s="118">
        <f>O77+(O92*O95)+O141+O169+O206+O247+O262+O282+O292-O299</f>
        <v>56698560.0019</v>
      </c>
      <c r="P25" s="118">
        <f>N25+O25</f>
        <v>150941859.9979236</v>
      </c>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row>
    <row r="26" spans="1:235" s="84" customFormat="1" ht="13.5" customHeight="1">
      <c r="A26" s="107" t="s">
        <v>98</v>
      </c>
      <c r="B26" s="107"/>
      <c r="C26" s="107"/>
      <c r="D26" s="118">
        <f>D30+D41+D59+D106+D113-D28</f>
        <v>50736000</v>
      </c>
      <c r="E26" s="118">
        <f>E30+E41+E59+E106+E113-E28+(E91*E94)</f>
        <v>58817800</v>
      </c>
      <c r="F26" s="118">
        <f>D26+E26</f>
        <v>109553800</v>
      </c>
      <c r="G26" s="118">
        <f>G30+G41+G59+G106+G113-G28</f>
        <v>63883199.997529</v>
      </c>
      <c r="H26" s="118">
        <f>H30+H41+H59+H106+H113-H28+(J91*J94)+H299-600180</f>
        <v>131508929</v>
      </c>
      <c r="I26" s="118">
        <f>I30+I41+I59+I106+I113-I28+(K91*K94)+I299</f>
        <v>0</v>
      </c>
      <c r="J26" s="118">
        <f>G26+H26</f>
        <v>195392128.997529</v>
      </c>
      <c r="K26" s="118">
        <f>K30+K41+K59+K106+K113-K28+(L91*L94)</f>
        <v>0</v>
      </c>
      <c r="L26" s="118">
        <f>L30+L41+L59+L106+L113-L28+(M91*M94)</f>
        <v>0</v>
      </c>
      <c r="M26" s="118">
        <f>M30+M41+M59+M106+M113-M28+(N91*N94)</f>
        <v>0</v>
      </c>
      <c r="N26" s="118">
        <f>N30+N41+N59+N106+N113+N28</f>
        <v>73227999.99998</v>
      </c>
      <c r="O26" s="118">
        <f>O30+O41+O59+O106+O113-O28+O91*O94+O299</f>
        <v>75995600</v>
      </c>
      <c r="P26" s="118">
        <f>N26+O26</f>
        <v>149223599.99998</v>
      </c>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row>
    <row r="27" spans="1:235" s="84" customFormat="1" ht="30.75" customHeight="1" hidden="1">
      <c r="A27" s="107"/>
      <c r="B27" s="107"/>
      <c r="C27" s="107"/>
      <c r="D27" s="118">
        <f>D30+D41+D77+D59+D113</f>
        <v>57221000</v>
      </c>
      <c r="E27" s="118">
        <f>E30+E41+E77+E59+E113</f>
        <v>25700000</v>
      </c>
      <c r="F27" s="118">
        <f>D27+E27</f>
        <v>82921000</v>
      </c>
      <c r="G27" s="118">
        <f>G30+G41+G77+G59+G113</f>
        <v>73655639.78602898</v>
      </c>
      <c r="H27" s="118">
        <f>H30+H41+H77+H59+H113</f>
        <v>72700000</v>
      </c>
      <c r="I27" s="118"/>
      <c r="J27" s="118">
        <f>G27+H27</f>
        <v>146355639.78602898</v>
      </c>
      <c r="K27" s="118">
        <f>K30+K41+K77+K59+K113</f>
        <v>0</v>
      </c>
      <c r="L27" s="118">
        <f>L30+L41+L77+L59+L113</f>
        <v>0</v>
      </c>
      <c r="M27" s="118">
        <f>M30+M41+M77+M59+M113</f>
        <v>0</v>
      </c>
      <c r="N27" s="118">
        <f>N30+N41+N77+N59+N113</f>
        <v>84927999.99998</v>
      </c>
      <c r="O27" s="118" t="e">
        <f>O31+O42+#REF!+#REF!</f>
        <v>#REF!</v>
      </c>
      <c r="P27" s="118" t="e">
        <f>N27+O27</f>
        <v>#REF!</v>
      </c>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row>
    <row r="28" spans="1:235" s="84" customFormat="1" ht="13.5" customHeight="1">
      <c r="A28" s="107" t="s">
        <v>217</v>
      </c>
      <c r="B28" s="107"/>
      <c r="C28" s="107"/>
      <c r="D28" s="118">
        <v>132300</v>
      </c>
      <c r="E28" s="118"/>
      <c r="F28" s="118">
        <f>D28+E28</f>
        <v>132300</v>
      </c>
      <c r="G28" s="118">
        <f>135000+37439.79</f>
        <v>172439.79</v>
      </c>
      <c r="H28" s="118"/>
      <c r="I28" s="118"/>
      <c r="J28" s="118">
        <f>G28+H28</f>
        <v>172439.79</v>
      </c>
      <c r="K28" s="118"/>
      <c r="L28" s="118"/>
      <c r="M28" s="118"/>
      <c r="N28" s="118">
        <f>165000-165000</f>
        <v>0</v>
      </c>
      <c r="O28" s="118"/>
      <c r="P28" s="118">
        <f>N28+O28</f>
        <v>0</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row>
    <row r="29" spans="1:235" s="84" customFormat="1" ht="24">
      <c r="A29" s="107" t="s">
        <v>328</v>
      </c>
      <c r="B29" s="107"/>
      <c r="C29" s="107"/>
      <c r="D29" s="118"/>
      <c r="E29" s="118"/>
      <c r="F29" s="118"/>
      <c r="G29" s="118">
        <f>G252*G257</f>
        <v>365080.002</v>
      </c>
      <c r="H29" s="118">
        <f aca="true" t="shared" si="5" ref="H29:O29">H252*H257</f>
        <v>0</v>
      </c>
      <c r="I29" s="118">
        <f t="shared" si="5"/>
        <v>0</v>
      </c>
      <c r="J29" s="118">
        <f>G29+H29+I29</f>
        <v>365080.002</v>
      </c>
      <c r="K29" s="118">
        <f t="shared" si="5"/>
        <v>0</v>
      </c>
      <c r="L29" s="118">
        <f t="shared" si="5"/>
        <v>0</v>
      </c>
      <c r="M29" s="118">
        <f t="shared" si="5"/>
        <v>0</v>
      </c>
      <c r="N29" s="118">
        <f t="shared" si="5"/>
        <v>789999.9999959131</v>
      </c>
      <c r="O29" s="118">
        <f t="shared" si="5"/>
        <v>0</v>
      </c>
      <c r="P29" s="118">
        <f>N29+O29</f>
        <v>789999.9999959131</v>
      </c>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row>
    <row r="30" spans="1:235" s="101" customFormat="1" ht="33.75">
      <c r="A30" s="81" t="s">
        <v>44</v>
      </c>
      <c r="B30" s="87"/>
      <c r="C30" s="87"/>
      <c r="D30" s="88"/>
      <c r="E30" s="88">
        <f>E37*E35</f>
        <v>22500000</v>
      </c>
      <c r="F30" s="88">
        <f>F37*F35</f>
        <v>22500000</v>
      </c>
      <c r="G30" s="88"/>
      <c r="H30" s="88">
        <f>H35*H37</f>
        <v>71500000</v>
      </c>
      <c r="I30" s="88"/>
      <c r="J30" s="88">
        <f>H30</f>
        <v>71500000</v>
      </c>
      <c r="K30" s="94"/>
      <c r="L30" s="94"/>
      <c r="M30" s="94"/>
      <c r="N30" s="88"/>
      <c r="O30" s="88">
        <f>(O37*O35)</f>
        <v>32400000</v>
      </c>
      <c r="P30" s="88">
        <f>(P37*P35)</f>
        <v>32400000</v>
      </c>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row>
    <row r="31" spans="1:235" s="49" customFormat="1" ht="12">
      <c r="A31" s="53" t="s">
        <v>4</v>
      </c>
      <c r="B31" s="60"/>
      <c r="C31" s="60"/>
      <c r="D31" s="63"/>
      <c r="E31" s="63"/>
      <c r="F31" s="63"/>
      <c r="G31" s="63"/>
      <c r="H31" s="63"/>
      <c r="I31" s="63"/>
      <c r="J31" s="63"/>
      <c r="K31" s="62"/>
      <c r="L31" s="62"/>
      <c r="M31" s="62"/>
      <c r="N31" s="63"/>
      <c r="O31" s="63"/>
      <c r="P31" s="63"/>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row>
    <row r="32" spans="1:235" s="49" customFormat="1" ht="27" customHeight="1">
      <c r="A32" s="54" t="s">
        <v>9</v>
      </c>
      <c r="B32" s="58"/>
      <c r="C32" s="58"/>
      <c r="D32" s="61"/>
      <c r="E32" s="61">
        <v>270000</v>
      </c>
      <c r="F32" s="61">
        <f>E32</f>
        <v>270000</v>
      </c>
      <c r="G32" s="61"/>
      <c r="H32" s="61">
        <v>270000</v>
      </c>
      <c r="I32" s="61"/>
      <c r="J32" s="61">
        <f>H32</f>
        <v>270000</v>
      </c>
      <c r="K32" s="62"/>
      <c r="L32" s="62"/>
      <c r="M32" s="62"/>
      <c r="N32" s="61"/>
      <c r="O32" s="61">
        <v>300000</v>
      </c>
      <c r="P32" s="61">
        <f>O32</f>
        <v>300000</v>
      </c>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row>
    <row r="33" spans="1:235" s="49" customFormat="1" ht="27" customHeight="1">
      <c r="A33" s="54" t="s">
        <v>220</v>
      </c>
      <c r="B33" s="58"/>
      <c r="C33" s="58"/>
      <c r="D33" s="61"/>
      <c r="E33" s="61"/>
      <c r="F33" s="61"/>
      <c r="G33" s="61"/>
      <c r="H33" s="61"/>
      <c r="I33" s="61"/>
      <c r="J33" s="61"/>
      <c r="K33" s="62"/>
      <c r="L33" s="62"/>
      <c r="M33" s="62"/>
      <c r="N33" s="61"/>
      <c r="O33" s="61"/>
      <c r="P33" s="6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row>
    <row r="34" spans="1:235" s="49" customFormat="1" ht="12">
      <c r="A34" s="53" t="s">
        <v>5</v>
      </c>
      <c r="B34" s="60"/>
      <c r="C34" s="60"/>
      <c r="D34" s="61"/>
      <c r="E34" s="63"/>
      <c r="F34" s="63"/>
      <c r="G34" s="61"/>
      <c r="H34" s="63"/>
      <c r="I34" s="63"/>
      <c r="J34" s="63"/>
      <c r="K34" s="62"/>
      <c r="L34" s="62"/>
      <c r="M34" s="62"/>
      <c r="N34" s="61"/>
      <c r="O34" s="63"/>
      <c r="P34" s="63"/>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row>
    <row r="35" spans="1:235" s="49" customFormat="1" ht="22.5">
      <c r="A35" s="54" t="s">
        <v>12</v>
      </c>
      <c r="B35" s="58"/>
      <c r="C35" s="58"/>
      <c r="D35" s="61"/>
      <c r="E35" s="61">
        <f>50000+25000</f>
        <v>75000</v>
      </c>
      <c r="F35" s="61">
        <f>E35</f>
        <v>75000</v>
      </c>
      <c r="G35" s="61"/>
      <c r="H35" s="61">
        <f>50000+25000+103750</f>
        <v>178750</v>
      </c>
      <c r="I35" s="61"/>
      <c r="J35" s="61">
        <f>H35</f>
        <v>178750</v>
      </c>
      <c r="K35" s="62"/>
      <c r="L35" s="62"/>
      <c r="M35" s="62"/>
      <c r="N35" s="61"/>
      <c r="O35" s="61">
        <f>54000+27000</f>
        <v>81000</v>
      </c>
      <c r="P35" s="61">
        <f>O35</f>
        <v>81000</v>
      </c>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row>
    <row r="36" spans="1:235" s="49" customFormat="1" ht="12">
      <c r="A36" s="53" t="s">
        <v>7</v>
      </c>
      <c r="B36" s="60"/>
      <c r="C36" s="60"/>
      <c r="D36" s="61"/>
      <c r="E36" s="63"/>
      <c r="F36" s="63"/>
      <c r="G36" s="61"/>
      <c r="H36" s="63"/>
      <c r="I36" s="63"/>
      <c r="J36" s="63"/>
      <c r="K36" s="62"/>
      <c r="L36" s="62"/>
      <c r="M36" s="62"/>
      <c r="N36" s="61"/>
      <c r="O36" s="63"/>
      <c r="P36" s="63"/>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row>
    <row r="37" spans="1:235" s="49" customFormat="1" ht="22.5">
      <c r="A37" s="54" t="s">
        <v>17</v>
      </c>
      <c r="B37" s="58"/>
      <c r="C37" s="58"/>
      <c r="D37" s="61"/>
      <c r="E37" s="61">
        <v>300</v>
      </c>
      <c r="F37" s="61">
        <f>E37</f>
        <v>300</v>
      </c>
      <c r="G37" s="61"/>
      <c r="H37" s="61">
        <v>400</v>
      </c>
      <c r="I37" s="61"/>
      <c r="J37" s="61">
        <f>H37</f>
        <v>400</v>
      </c>
      <c r="K37" s="62"/>
      <c r="L37" s="62"/>
      <c r="M37" s="62"/>
      <c r="N37" s="61"/>
      <c r="O37" s="61">
        <v>400</v>
      </c>
      <c r="P37" s="61">
        <f>O37</f>
        <v>400</v>
      </c>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row>
    <row r="38" spans="1:235" s="49" customFormat="1" ht="12">
      <c r="A38" s="53" t="s">
        <v>6</v>
      </c>
      <c r="B38" s="60"/>
      <c r="C38" s="60"/>
      <c r="D38" s="61"/>
      <c r="E38" s="63"/>
      <c r="F38" s="63"/>
      <c r="G38" s="61"/>
      <c r="H38" s="63"/>
      <c r="I38" s="63"/>
      <c r="J38" s="63"/>
      <c r="K38" s="62"/>
      <c r="L38" s="62"/>
      <c r="M38" s="62"/>
      <c r="N38" s="61"/>
      <c r="O38" s="63"/>
      <c r="P38" s="63"/>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row>
    <row r="39" spans="1:235" s="49" customFormat="1" ht="22.5">
      <c r="A39" s="54" t="s">
        <v>23</v>
      </c>
      <c r="B39" s="58"/>
      <c r="C39" s="58"/>
      <c r="D39" s="61"/>
      <c r="E39" s="61">
        <f>E35/E32*100</f>
        <v>27.77777777777778</v>
      </c>
      <c r="F39" s="61">
        <f>F35/F32*100</f>
        <v>27.77777777777778</v>
      </c>
      <c r="G39" s="61"/>
      <c r="H39" s="61">
        <f>H35/H32*100</f>
        <v>66.20370370370371</v>
      </c>
      <c r="I39" s="61"/>
      <c r="J39" s="61">
        <f>J35/J32*100</f>
        <v>66.20370370370371</v>
      </c>
      <c r="K39" s="62"/>
      <c r="L39" s="62"/>
      <c r="M39" s="62"/>
      <c r="N39" s="61"/>
      <c r="O39" s="61">
        <f>O35/O32*100</f>
        <v>27</v>
      </c>
      <c r="P39" s="61">
        <f>P35/P32*100</f>
        <v>27</v>
      </c>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row>
    <row r="40" spans="1:235" s="178" customFormat="1" ht="27" customHeight="1">
      <c r="A40" s="107" t="s">
        <v>438</v>
      </c>
      <c r="B40" s="76"/>
      <c r="C40" s="76"/>
      <c r="D40" s="77"/>
      <c r="E40" s="77"/>
      <c r="F40" s="77"/>
      <c r="G40" s="77"/>
      <c r="H40" s="77"/>
      <c r="I40" s="77"/>
      <c r="J40" s="77"/>
      <c r="K40" s="176"/>
      <c r="L40" s="176"/>
      <c r="M40" s="176"/>
      <c r="N40" s="77"/>
      <c r="O40" s="77"/>
      <c r="P40" s="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row>
    <row r="41" spans="1:235" s="101" customFormat="1" ht="35.25" customHeight="1">
      <c r="A41" s="81" t="s">
        <v>92</v>
      </c>
      <c r="B41" s="87"/>
      <c r="C41" s="87"/>
      <c r="D41" s="88">
        <f>D47*D45+100</f>
        <v>29500000</v>
      </c>
      <c r="E41" s="88"/>
      <c r="F41" s="88">
        <f>F47*F45+100</f>
        <v>29500000</v>
      </c>
      <c r="G41" s="88">
        <f>G45*G47</f>
        <v>38399999.9985</v>
      </c>
      <c r="H41" s="88"/>
      <c r="I41" s="88"/>
      <c r="J41" s="88">
        <f>G41</f>
        <v>38399999.9985</v>
      </c>
      <c r="K41" s="94"/>
      <c r="L41" s="94"/>
      <c r="M41" s="94"/>
      <c r="N41" s="88">
        <f>N45*N47</f>
        <v>42480000</v>
      </c>
      <c r="O41" s="88"/>
      <c r="P41" s="88">
        <f>N41</f>
        <v>42480000</v>
      </c>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row>
    <row r="42" spans="1:235" s="49" customFormat="1" ht="12">
      <c r="A42" s="53" t="s">
        <v>4</v>
      </c>
      <c r="B42" s="60"/>
      <c r="C42" s="60"/>
      <c r="D42" s="61"/>
      <c r="E42" s="61"/>
      <c r="F42" s="61"/>
      <c r="G42" s="61"/>
      <c r="H42" s="61"/>
      <c r="I42" s="61"/>
      <c r="J42" s="61"/>
      <c r="K42" s="62"/>
      <c r="L42" s="62"/>
      <c r="M42" s="62"/>
      <c r="N42" s="61"/>
      <c r="O42" s="61"/>
      <c r="P42" s="6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row>
    <row r="43" spans="1:235" s="49" customFormat="1" ht="22.5">
      <c r="A43" s="54" t="s">
        <v>10</v>
      </c>
      <c r="B43" s="58"/>
      <c r="C43" s="58"/>
      <c r="D43" s="61">
        <v>292000</v>
      </c>
      <c r="E43" s="61"/>
      <c r="F43" s="61">
        <f>D43</f>
        <v>292000</v>
      </c>
      <c r="G43" s="61">
        <v>292000</v>
      </c>
      <c r="H43" s="61"/>
      <c r="I43" s="61"/>
      <c r="J43" s="61">
        <f>G43</f>
        <v>292000</v>
      </c>
      <c r="K43" s="62"/>
      <c r="L43" s="62"/>
      <c r="M43" s="62"/>
      <c r="N43" s="61">
        <v>300000</v>
      </c>
      <c r="O43" s="61"/>
      <c r="P43" s="61">
        <f>N43</f>
        <v>300000</v>
      </c>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row>
    <row r="44" spans="1:235" s="49" customFormat="1" ht="12">
      <c r="A44" s="53" t="s">
        <v>5</v>
      </c>
      <c r="B44" s="60"/>
      <c r="C44" s="60"/>
      <c r="D44" s="61"/>
      <c r="E44" s="61"/>
      <c r="F44" s="61"/>
      <c r="G44" s="61"/>
      <c r="H44" s="61"/>
      <c r="I44" s="61"/>
      <c r="J44" s="61"/>
      <c r="K44" s="62"/>
      <c r="L44" s="62"/>
      <c r="M44" s="62"/>
      <c r="N44" s="61"/>
      <c r="O44" s="61"/>
      <c r="P44" s="6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row>
    <row r="45" spans="1:235" s="49" customFormat="1" ht="22.5">
      <c r="A45" s="54" t="s">
        <v>11</v>
      </c>
      <c r="B45" s="58"/>
      <c r="C45" s="58"/>
      <c r="D45" s="61">
        <f>73333+25000</f>
        <v>98333</v>
      </c>
      <c r="E45" s="61"/>
      <c r="F45" s="61">
        <f>D45</f>
        <v>98333</v>
      </c>
      <c r="G45" s="61">
        <f>73333+25000+8333</f>
        <v>106666</v>
      </c>
      <c r="H45" s="61"/>
      <c r="I45" s="61"/>
      <c r="J45" s="61">
        <f>G45</f>
        <v>106666</v>
      </c>
      <c r="K45" s="62"/>
      <c r="L45" s="62"/>
      <c r="M45" s="62"/>
      <c r="N45" s="61">
        <f>79200+27000</f>
        <v>106200</v>
      </c>
      <c r="O45" s="61"/>
      <c r="P45" s="61">
        <f>N45</f>
        <v>106200</v>
      </c>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row>
    <row r="46" spans="1:235" s="49" customFormat="1" ht="12">
      <c r="A46" s="53" t="s">
        <v>7</v>
      </c>
      <c r="B46" s="60"/>
      <c r="C46" s="60"/>
      <c r="D46" s="61"/>
      <c r="E46" s="61"/>
      <c r="F46" s="61"/>
      <c r="G46" s="61"/>
      <c r="H46" s="61"/>
      <c r="I46" s="61"/>
      <c r="J46" s="61"/>
      <c r="K46" s="62"/>
      <c r="L46" s="62"/>
      <c r="M46" s="62"/>
      <c r="N46" s="61"/>
      <c r="O46" s="61"/>
      <c r="P46" s="6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row>
    <row r="47" spans="1:235" s="49" customFormat="1" ht="24" customHeight="1">
      <c r="A47" s="54" t="s">
        <v>20</v>
      </c>
      <c r="B47" s="58"/>
      <c r="C47" s="58"/>
      <c r="D47" s="61">
        <v>300</v>
      </c>
      <c r="E47" s="61"/>
      <c r="F47" s="61">
        <f>D47</f>
        <v>300</v>
      </c>
      <c r="G47" s="61">
        <v>360.00225</v>
      </c>
      <c r="H47" s="61"/>
      <c r="I47" s="61"/>
      <c r="J47" s="61">
        <f>G47</f>
        <v>360.00225</v>
      </c>
      <c r="K47" s="62"/>
      <c r="L47" s="62"/>
      <c r="M47" s="62"/>
      <c r="N47" s="61">
        <v>400</v>
      </c>
      <c r="O47" s="61"/>
      <c r="P47" s="61">
        <f>N47</f>
        <v>400</v>
      </c>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row>
    <row r="48" spans="1:235" s="49" customFormat="1" ht="12">
      <c r="A48" s="53" t="s">
        <v>6</v>
      </c>
      <c r="B48" s="60"/>
      <c r="C48" s="60"/>
      <c r="D48" s="61"/>
      <c r="E48" s="61"/>
      <c r="F48" s="61"/>
      <c r="G48" s="61"/>
      <c r="H48" s="61"/>
      <c r="I48" s="61"/>
      <c r="J48" s="61"/>
      <c r="K48" s="62"/>
      <c r="L48" s="62"/>
      <c r="M48" s="62"/>
      <c r="N48" s="61"/>
      <c r="O48" s="61"/>
      <c r="P48" s="6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row>
    <row r="49" spans="1:235" s="49" customFormat="1" ht="21.75" customHeight="1">
      <c r="A49" s="54" t="s">
        <v>22</v>
      </c>
      <c r="B49" s="58"/>
      <c r="C49" s="58"/>
      <c r="D49" s="61">
        <f aca="true" t="shared" si="6" ref="D49:J49">D45/D43*100</f>
        <v>33.67568493150685</v>
      </c>
      <c r="E49" s="61"/>
      <c r="F49" s="61">
        <f t="shared" si="6"/>
        <v>33.67568493150685</v>
      </c>
      <c r="G49" s="61">
        <f t="shared" si="6"/>
        <v>36.52945205479452</v>
      </c>
      <c r="H49" s="61"/>
      <c r="I49" s="61"/>
      <c r="J49" s="61">
        <f t="shared" si="6"/>
        <v>36.52945205479452</v>
      </c>
      <c r="K49" s="62"/>
      <c r="L49" s="62"/>
      <c r="M49" s="62"/>
      <c r="N49" s="61">
        <f>N45/N43*100</f>
        <v>35.4</v>
      </c>
      <c r="O49" s="61"/>
      <c r="P49" s="61">
        <f>P45/P43*100</f>
        <v>35.4</v>
      </c>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row>
    <row r="50" spans="1:235" s="101" customFormat="1" ht="35.25" customHeight="1">
      <c r="A50" s="81" t="s">
        <v>341</v>
      </c>
      <c r="B50" s="87"/>
      <c r="C50" s="87"/>
      <c r="D50" s="88">
        <f>D56*D54+100</f>
        <v>29500000</v>
      </c>
      <c r="E50" s="88"/>
      <c r="F50" s="88">
        <f>F56*F54</f>
        <v>0</v>
      </c>
      <c r="G50" s="88">
        <f>G54*G56</f>
        <v>150000</v>
      </c>
      <c r="H50" s="88"/>
      <c r="I50" s="88"/>
      <c r="J50" s="88">
        <f>G50</f>
        <v>150000</v>
      </c>
      <c r="K50" s="94"/>
      <c r="L50" s="94"/>
      <c r="M50" s="94"/>
      <c r="N50" s="88">
        <f>N54*N56</f>
        <v>16800000</v>
      </c>
      <c r="O50" s="88"/>
      <c r="P50" s="88">
        <f>N50</f>
        <v>16800000</v>
      </c>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row>
    <row r="51" spans="1:235" s="49" customFormat="1" ht="12">
      <c r="A51" s="53" t="s">
        <v>4</v>
      </c>
      <c r="B51" s="60"/>
      <c r="C51" s="60"/>
      <c r="D51" s="61"/>
      <c r="E51" s="61"/>
      <c r="F51" s="61"/>
      <c r="G51" s="61"/>
      <c r="H51" s="61"/>
      <c r="I51" s="61"/>
      <c r="J51" s="61"/>
      <c r="K51" s="62"/>
      <c r="L51" s="62"/>
      <c r="M51" s="62"/>
      <c r="N51" s="61"/>
      <c r="O51" s="61"/>
      <c r="P51" s="6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row>
    <row r="52" spans="1:235" s="49" customFormat="1" ht="22.5">
      <c r="A52" s="54" t="s">
        <v>343</v>
      </c>
      <c r="B52" s="58"/>
      <c r="C52" s="58"/>
      <c r="D52" s="61">
        <v>292000</v>
      </c>
      <c r="E52" s="61"/>
      <c r="F52" s="61"/>
      <c r="G52" s="61">
        <v>4</v>
      </c>
      <c r="H52" s="61"/>
      <c r="I52" s="61"/>
      <c r="J52" s="61">
        <f>G52</f>
        <v>4</v>
      </c>
      <c r="K52" s="62"/>
      <c r="L52" s="62"/>
      <c r="M52" s="62"/>
      <c r="N52" s="61">
        <v>3</v>
      </c>
      <c r="O52" s="61"/>
      <c r="P52" s="61">
        <f>N52</f>
        <v>3</v>
      </c>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row>
    <row r="53" spans="1:235" s="49" customFormat="1" ht="12">
      <c r="A53" s="53" t="s">
        <v>5</v>
      </c>
      <c r="B53" s="60"/>
      <c r="C53" s="60"/>
      <c r="D53" s="61"/>
      <c r="E53" s="61"/>
      <c r="F53" s="61"/>
      <c r="G53" s="61"/>
      <c r="H53" s="61"/>
      <c r="I53" s="61"/>
      <c r="J53" s="61"/>
      <c r="K53" s="62"/>
      <c r="L53" s="62"/>
      <c r="M53" s="62"/>
      <c r="N53" s="61"/>
      <c r="O53" s="61"/>
      <c r="P53" s="6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row>
    <row r="54" spans="1:235" s="49" customFormat="1" ht="22.5">
      <c r="A54" s="54" t="s">
        <v>342</v>
      </c>
      <c r="B54" s="58"/>
      <c r="C54" s="58"/>
      <c r="D54" s="61">
        <f>73333+25000</f>
        <v>98333</v>
      </c>
      <c r="E54" s="61"/>
      <c r="F54" s="61"/>
      <c r="G54" s="61">
        <v>1</v>
      </c>
      <c r="H54" s="61"/>
      <c r="I54" s="61"/>
      <c r="J54" s="61">
        <f>G54</f>
        <v>1</v>
      </c>
      <c r="K54" s="62"/>
      <c r="L54" s="62"/>
      <c r="M54" s="62"/>
      <c r="N54" s="61">
        <v>4</v>
      </c>
      <c r="O54" s="61"/>
      <c r="P54" s="61">
        <f>N54</f>
        <v>4</v>
      </c>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row>
    <row r="55" spans="1:235" s="49" customFormat="1" ht="12">
      <c r="A55" s="53" t="s">
        <v>7</v>
      </c>
      <c r="B55" s="60"/>
      <c r="C55" s="60"/>
      <c r="D55" s="61"/>
      <c r="E55" s="61"/>
      <c r="F55" s="61"/>
      <c r="G55" s="61"/>
      <c r="H55" s="61"/>
      <c r="I55" s="61"/>
      <c r="J55" s="61"/>
      <c r="K55" s="62"/>
      <c r="L55" s="62"/>
      <c r="M55" s="62"/>
      <c r="N55" s="61"/>
      <c r="O55" s="61"/>
      <c r="P55" s="6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row>
    <row r="56" spans="1:235" s="49" customFormat="1" ht="12">
      <c r="A56" s="54" t="s">
        <v>344</v>
      </c>
      <c r="B56" s="58"/>
      <c r="C56" s="58"/>
      <c r="D56" s="61">
        <v>300</v>
      </c>
      <c r="E56" s="61"/>
      <c r="F56" s="61"/>
      <c r="G56" s="61">
        <v>150000</v>
      </c>
      <c r="H56" s="61"/>
      <c r="I56" s="61"/>
      <c r="J56" s="61">
        <f>G56</f>
        <v>150000</v>
      </c>
      <c r="K56" s="62"/>
      <c r="L56" s="62"/>
      <c r="M56" s="62"/>
      <c r="N56" s="61">
        <v>4200000</v>
      </c>
      <c r="O56" s="61"/>
      <c r="P56" s="61">
        <f>N56</f>
        <v>4200000</v>
      </c>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row>
    <row r="57" spans="1:235" s="49" customFormat="1" ht="12">
      <c r="A57" s="53" t="s">
        <v>6</v>
      </c>
      <c r="B57" s="60"/>
      <c r="C57" s="60"/>
      <c r="D57" s="61"/>
      <c r="E57" s="61"/>
      <c r="F57" s="61"/>
      <c r="G57" s="61"/>
      <c r="H57" s="61"/>
      <c r="I57" s="61"/>
      <c r="J57" s="61"/>
      <c r="K57" s="62"/>
      <c r="L57" s="62"/>
      <c r="M57" s="62"/>
      <c r="N57" s="61"/>
      <c r="O57" s="61"/>
      <c r="P57" s="6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row>
    <row r="58" spans="1:235" s="49" customFormat="1" ht="21.75" customHeight="1">
      <c r="A58" s="54" t="s">
        <v>345</v>
      </c>
      <c r="B58" s="58"/>
      <c r="C58" s="58"/>
      <c r="D58" s="61">
        <f>D54/D52*100</f>
        <v>33.67568493150685</v>
      </c>
      <c r="E58" s="61"/>
      <c r="F58" s="61"/>
      <c r="G58" s="61">
        <f>G54/G52</f>
        <v>0.25</v>
      </c>
      <c r="H58" s="61"/>
      <c r="I58" s="61"/>
      <c r="J58" s="61">
        <f>J54/J52*100</f>
        <v>25</v>
      </c>
      <c r="K58" s="62"/>
      <c r="L58" s="62"/>
      <c r="M58" s="62"/>
      <c r="N58" s="61">
        <f>N54/N52*100</f>
        <v>133.33333333333331</v>
      </c>
      <c r="O58" s="61"/>
      <c r="P58" s="61">
        <f>P54/P52*100</f>
        <v>133.33333333333331</v>
      </c>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row>
    <row r="59" spans="1:235" s="101" customFormat="1" ht="28.5" customHeight="1">
      <c r="A59" s="81" t="s">
        <v>346</v>
      </c>
      <c r="B59" s="87"/>
      <c r="C59" s="87"/>
      <c r="D59" s="88">
        <f>(D63*D65)+0.4</f>
        <v>19000000</v>
      </c>
      <c r="E59" s="88"/>
      <c r="F59" s="88">
        <f>(F63*F65)+0.4</f>
        <v>19000000</v>
      </c>
      <c r="G59" s="88">
        <f>G63*G65</f>
        <v>22799999.9995862</v>
      </c>
      <c r="H59" s="88"/>
      <c r="I59" s="88"/>
      <c r="J59" s="88">
        <f>G59</f>
        <v>22799999.9995862</v>
      </c>
      <c r="K59" s="94"/>
      <c r="L59" s="94"/>
      <c r="M59" s="94"/>
      <c r="N59" s="88">
        <f>N63*N65</f>
        <v>27360000</v>
      </c>
      <c r="O59" s="88"/>
      <c r="P59" s="88">
        <f>N59</f>
        <v>27360000</v>
      </c>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c r="EQ59" s="100"/>
      <c r="ER59" s="100"/>
      <c r="ES59" s="100"/>
      <c r="ET59" s="100"/>
      <c r="EU59" s="100"/>
      <c r="EV59" s="100"/>
      <c r="EW59" s="100"/>
      <c r="EX59" s="100"/>
      <c r="EY59" s="100"/>
      <c r="EZ59" s="100"/>
      <c r="FA59" s="100"/>
      <c r="FB59" s="100"/>
      <c r="FC59" s="100"/>
      <c r="FD59" s="100"/>
      <c r="FE59" s="100"/>
      <c r="FF59" s="100"/>
      <c r="FG59" s="100"/>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100"/>
      <c r="GE59" s="100"/>
      <c r="GF59" s="100"/>
      <c r="GG59" s="100"/>
      <c r="GH59" s="100"/>
      <c r="GI59" s="100"/>
      <c r="GJ59" s="100"/>
      <c r="GK59" s="100"/>
      <c r="GL59" s="100"/>
      <c r="GM59" s="100"/>
      <c r="GN59" s="100"/>
      <c r="GO59" s="100"/>
      <c r="GP59" s="100"/>
      <c r="GQ59" s="100"/>
      <c r="GR59" s="100"/>
      <c r="GS59" s="100"/>
      <c r="GT59" s="100"/>
      <c r="GU59" s="100"/>
      <c r="GV59" s="100"/>
      <c r="GW59" s="100"/>
      <c r="GX59" s="100"/>
      <c r="GY59" s="100"/>
      <c r="GZ59" s="100"/>
      <c r="HA59" s="100"/>
      <c r="HB59" s="100"/>
      <c r="HC59" s="100"/>
      <c r="HD59" s="100"/>
      <c r="HE59" s="100"/>
      <c r="HF59" s="100"/>
      <c r="HG59" s="100"/>
      <c r="HH59" s="100"/>
      <c r="HI59" s="100"/>
      <c r="HJ59" s="100"/>
      <c r="HK59" s="100"/>
      <c r="HL59" s="100"/>
      <c r="HM59" s="100"/>
      <c r="HN59" s="100"/>
      <c r="HO59" s="100"/>
      <c r="HP59" s="100"/>
      <c r="HQ59" s="100"/>
      <c r="HR59" s="100"/>
      <c r="HS59" s="100"/>
      <c r="HT59" s="100"/>
      <c r="HU59" s="100"/>
      <c r="HV59" s="100"/>
      <c r="HW59" s="100"/>
      <c r="HX59" s="100"/>
      <c r="HY59" s="100"/>
      <c r="HZ59" s="100"/>
      <c r="IA59" s="100"/>
    </row>
    <row r="60" spans="1:235" s="49" customFormat="1" ht="12">
      <c r="A60" s="53" t="s">
        <v>4</v>
      </c>
      <c r="B60" s="60"/>
      <c r="C60" s="60"/>
      <c r="D60" s="61"/>
      <c r="E60" s="61"/>
      <c r="F60" s="61"/>
      <c r="G60" s="61"/>
      <c r="H60" s="61"/>
      <c r="I60" s="61"/>
      <c r="J60" s="61"/>
      <c r="K60" s="62"/>
      <c r="L60" s="62"/>
      <c r="M60" s="62"/>
      <c r="N60" s="61"/>
      <c r="O60" s="61"/>
      <c r="P60" s="61"/>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row>
    <row r="61" spans="1:235" s="49" customFormat="1" ht="22.5">
      <c r="A61" s="54" t="s">
        <v>83</v>
      </c>
      <c r="B61" s="58"/>
      <c r="C61" s="58"/>
      <c r="D61" s="61">
        <v>3372600</v>
      </c>
      <c r="E61" s="61"/>
      <c r="F61" s="61">
        <f>D61</f>
        <v>3372600</v>
      </c>
      <c r="G61" s="61">
        <v>3372600</v>
      </c>
      <c r="H61" s="61"/>
      <c r="I61" s="61"/>
      <c r="J61" s="61">
        <f>G61</f>
        <v>3372600</v>
      </c>
      <c r="K61" s="62"/>
      <c r="L61" s="62"/>
      <c r="M61" s="62"/>
      <c r="N61" s="61">
        <v>3372600</v>
      </c>
      <c r="O61" s="61"/>
      <c r="P61" s="61">
        <f>N61</f>
        <v>3372600</v>
      </c>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row>
    <row r="62" spans="1:235" s="49" customFormat="1" ht="12">
      <c r="A62" s="53" t="s">
        <v>5</v>
      </c>
      <c r="B62" s="60"/>
      <c r="C62" s="60"/>
      <c r="D62" s="61"/>
      <c r="E62" s="61"/>
      <c r="F62" s="61"/>
      <c r="G62" s="61"/>
      <c r="H62" s="61"/>
      <c r="I62" s="61"/>
      <c r="J62" s="61"/>
      <c r="K62" s="62"/>
      <c r="L62" s="62"/>
      <c r="M62" s="62"/>
      <c r="N62" s="61"/>
      <c r="O62" s="61"/>
      <c r="P62" s="61"/>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row>
    <row r="63" spans="1:235" s="49" customFormat="1" ht="21.75" customHeight="1">
      <c r="A63" s="54" t="s">
        <v>84</v>
      </c>
      <c r="B63" s="58"/>
      <c r="C63" s="58"/>
      <c r="D63" s="61">
        <v>1310344.8</v>
      </c>
      <c r="E63" s="61"/>
      <c r="F63" s="61">
        <f>D63</f>
        <v>1310344.8</v>
      </c>
      <c r="G63" s="61">
        <v>1310344.8</v>
      </c>
      <c r="H63" s="61"/>
      <c r="I63" s="61"/>
      <c r="J63" s="61">
        <f>G63</f>
        <v>1310344.8</v>
      </c>
      <c r="K63" s="62"/>
      <c r="L63" s="62"/>
      <c r="M63" s="62"/>
      <c r="N63" s="61">
        <v>1425000</v>
      </c>
      <c r="O63" s="61"/>
      <c r="P63" s="61">
        <f>N63</f>
        <v>1425000</v>
      </c>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row>
    <row r="64" spans="1:235" s="49" customFormat="1" ht="12">
      <c r="A64" s="53" t="s">
        <v>7</v>
      </c>
      <c r="B64" s="60"/>
      <c r="C64" s="60"/>
      <c r="D64" s="61"/>
      <c r="E64" s="61"/>
      <c r="F64" s="61"/>
      <c r="G64" s="61"/>
      <c r="H64" s="61"/>
      <c r="I64" s="61"/>
      <c r="J64" s="61"/>
      <c r="K64" s="62"/>
      <c r="L64" s="62"/>
      <c r="M64" s="62"/>
      <c r="N64" s="61"/>
      <c r="O64" s="61"/>
      <c r="P64" s="61"/>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row>
    <row r="65" spans="1:235" s="49" customFormat="1" ht="21.75" customHeight="1">
      <c r="A65" s="54" t="s">
        <v>18</v>
      </c>
      <c r="B65" s="58"/>
      <c r="C65" s="58"/>
      <c r="D65" s="61">
        <v>14.5</v>
      </c>
      <c r="E65" s="61"/>
      <c r="F65" s="61">
        <f>D65</f>
        <v>14.5</v>
      </c>
      <c r="G65" s="61">
        <v>17.400000366</v>
      </c>
      <c r="H65" s="61"/>
      <c r="I65" s="61"/>
      <c r="J65" s="61">
        <f>G65</f>
        <v>17.400000366</v>
      </c>
      <c r="K65" s="62"/>
      <c r="L65" s="62"/>
      <c r="M65" s="62"/>
      <c r="N65" s="61">
        <v>19.2</v>
      </c>
      <c r="O65" s="61"/>
      <c r="P65" s="61">
        <f>N65</f>
        <v>19.2</v>
      </c>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row>
    <row r="66" spans="1:235" s="49" customFormat="1" ht="12">
      <c r="A66" s="53" t="s">
        <v>6</v>
      </c>
      <c r="B66" s="60"/>
      <c r="C66" s="60"/>
      <c r="D66" s="61"/>
      <c r="E66" s="61"/>
      <c r="F66" s="61"/>
      <c r="G66" s="61"/>
      <c r="H66" s="61"/>
      <c r="I66" s="61"/>
      <c r="J66" s="61"/>
      <c r="K66" s="62"/>
      <c r="L66" s="62"/>
      <c r="M66" s="62"/>
      <c r="N66" s="61"/>
      <c r="O66" s="61"/>
      <c r="P66" s="61"/>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row>
    <row r="67" spans="1:235" s="49" customFormat="1" ht="26.25" customHeight="1">
      <c r="A67" s="54" t="s">
        <v>85</v>
      </c>
      <c r="B67" s="58"/>
      <c r="C67" s="58"/>
      <c r="D67" s="61">
        <f>D63/D61*100</f>
        <v>38.852659669098024</v>
      </c>
      <c r="E67" s="61"/>
      <c r="F67" s="61">
        <f>F63/F61*100</f>
        <v>38.852659669098024</v>
      </c>
      <c r="G67" s="61">
        <f>G63/G61*100</f>
        <v>38.852659669098024</v>
      </c>
      <c r="H67" s="61"/>
      <c r="I67" s="61"/>
      <c r="J67" s="61">
        <f>J63/J61*100</f>
        <v>38.852659669098024</v>
      </c>
      <c r="K67" s="62"/>
      <c r="L67" s="62"/>
      <c r="M67" s="62"/>
      <c r="N67" s="61">
        <f>N63/N61*100</f>
        <v>42.252268279665536</v>
      </c>
      <c r="O67" s="61"/>
      <c r="P67" s="61">
        <f>P63/P61*100</f>
        <v>42.252268279665536</v>
      </c>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row>
    <row r="68" spans="1:235" s="49" customFormat="1" ht="0.75" customHeight="1" hidden="1">
      <c r="A68" s="54"/>
      <c r="B68" s="58"/>
      <c r="C68" s="58"/>
      <c r="D68" s="61"/>
      <c r="E68" s="61"/>
      <c r="F68" s="61"/>
      <c r="G68" s="61"/>
      <c r="H68" s="61"/>
      <c r="I68" s="61"/>
      <c r="J68" s="61"/>
      <c r="K68" s="62"/>
      <c r="L68" s="62"/>
      <c r="M68" s="62"/>
      <c r="N68" s="61"/>
      <c r="O68" s="61"/>
      <c r="P68" s="6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row>
    <row r="69" spans="1:235" s="49" customFormat="1" ht="21.75" customHeight="1" hidden="1">
      <c r="A69" s="54"/>
      <c r="B69" s="58"/>
      <c r="C69" s="58"/>
      <c r="D69" s="61"/>
      <c r="E69" s="61"/>
      <c r="F69" s="61"/>
      <c r="G69" s="61"/>
      <c r="H69" s="61"/>
      <c r="I69" s="61"/>
      <c r="J69" s="61"/>
      <c r="K69" s="62"/>
      <c r="L69" s="62"/>
      <c r="M69" s="62"/>
      <c r="N69" s="61"/>
      <c r="O69" s="61"/>
      <c r="P69" s="6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row>
    <row r="70" spans="1:235" s="49" customFormat="1" ht="21.75" customHeight="1" hidden="1">
      <c r="A70" s="54"/>
      <c r="B70" s="58"/>
      <c r="C70" s="58"/>
      <c r="D70" s="61"/>
      <c r="E70" s="61"/>
      <c r="F70" s="61"/>
      <c r="G70" s="61"/>
      <c r="H70" s="61"/>
      <c r="I70" s="61"/>
      <c r="J70" s="61"/>
      <c r="K70" s="62"/>
      <c r="L70" s="62"/>
      <c r="M70" s="62"/>
      <c r="N70" s="61"/>
      <c r="O70" s="61"/>
      <c r="P70" s="6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row>
    <row r="71" spans="1:235" s="49" customFormat="1" ht="1.5" customHeight="1" hidden="1">
      <c r="A71" s="54"/>
      <c r="B71" s="58"/>
      <c r="C71" s="58"/>
      <c r="D71" s="61"/>
      <c r="E71" s="61"/>
      <c r="F71" s="61"/>
      <c r="G71" s="61"/>
      <c r="H71" s="61"/>
      <c r="I71" s="61"/>
      <c r="J71" s="61"/>
      <c r="K71" s="62"/>
      <c r="L71" s="62"/>
      <c r="M71" s="62"/>
      <c r="N71" s="61"/>
      <c r="O71" s="61"/>
      <c r="P71" s="6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row>
    <row r="72" spans="1:235" s="49" customFormat="1" ht="21.75" customHeight="1" hidden="1">
      <c r="A72" s="54"/>
      <c r="B72" s="58"/>
      <c r="C72" s="58"/>
      <c r="D72" s="61"/>
      <c r="E72" s="61"/>
      <c r="F72" s="61"/>
      <c r="G72" s="61"/>
      <c r="H72" s="61"/>
      <c r="I72" s="61"/>
      <c r="J72" s="61"/>
      <c r="K72" s="62"/>
      <c r="L72" s="62"/>
      <c r="M72" s="62"/>
      <c r="N72" s="61"/>
      <c r="O72" s="61"/>
      <c r="P72" s="6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row>
    <row r="73" spans="1:235" s="49" customFormat="1" ht="21.75" customHeight="1" hidden="1">
      <c r="A73" s="54"/>
      <c r="B73" s="58"/>
      <c r="C73" s="58"/>
      <c r="D73" s="61"/>
      <c r="E73" s="61"/>
      <c r="F73" s="61"/>
      <c r="G73" s="61"/>
      <c r="H73" s="61"/>
      <c r="I73" s="61"/>
      <c r="J73" s="61"/>
      <c r="K73" s="62"/>
      <c r="L73" s="62"/>
      <c r="M73" s="62"/>
      <c r="N73" s="61"/>
      <c r="O73" s="61"/>
      <c r="P73" s="61"/>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row>
    <row r="74" spans="1:235" s="49" customFormat="1" ht="21.75" customHeight="1" hidden="1">
      <c r="A74" s="54"/>
      <c r="B74" s="58"/>
      <c r="C74" s="58"/>
      <c r="D74" s="61"/>
      <c r="E74" s="61"/>
      <c r="F74" s="61"/>
      <c r="G74" s="61"/>
      <c r="H74" s="61"/>
      <c r="I74" s="61"/>
      <c r="J74" s="61"/>
      <c r="K74" s="62"/>
      <c r="L74" s="62"/>
      <c r="M74" s="62"/>
      <c r="N74" s="61"/>
      <c r="O74" s="61"/>
      <c r="P74" s="61"/>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row>
    <row r="75" spans="1:235" s="49" customFormat="1" ht="21.75" customHeight="1" hidden="1">
      <c r="A75" s="54"/>
      <c r="B75" s="58"/>
      <c r="C75" s="58"/>
      <c r="D75" s="61"/>
      <c r="E75" s="61"/>
      <c r="F75" s="61"/>
      <c r="G75" s="61"/>
      <c r="H75" s="61"/>
      <c r="I75" s="61"/>
      <c r="J75" s="61"/>
      <c r="K75" s="62"/>
      <c r="L75" s="62"/>
      <c r="M75" s="62"/>
      <c r="N75" s="61"/>
      <c r="O75" s="61"/>
      <c r="P75" s="61"/>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row>
    <row r="76" spans="1:235" s="49" customFormat="1" ht="0.75" customHeight="1" hidden="1">
      <c r="A76" s="54"/>
      <c r="B76" s="58"/>
      <c r="C76" s="58"/>
      <c r="D76" s="61"/>
      <c r="E76" s="61"/>
      <c r="F76" s="61"/>
      <c r="G76" s="61"/>
      <c r="H76" s="61"/>
      <c r="I76" s="61"/>
      <c r="J76" s="61"/>
      <c r="K76" s="62"/>
      <c r="L76" s="62"/>
      <c r="M76" s="62"/>
      <c r="N76" s="61"/>
      <c r="O76" s="61"/>
      <c r="P76" s="61"/>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row>
    <row r="77" spans="1:235" s="91" customFormat="1" ht="38.25" customHeight="1">
      <c r="A77" s="81" t="s">
        <v>347</v>
      </c>
      <c r="B77" s="87"/>
      <c r="C77" s="87"/>
      <c r="D77" s="88">
        <f>(D81*D83)</f>
        <v>6352700</v>
      </c>
      <c r="E77" s="88"/>
      <c r="F77" s="88">
        <f>(F83*F81)</f>
        <v>6352700</v>
      </c>
      <c r="G77" s="88">
        <f>(G83*G81)</f>
        <v>9599999.9985</v>
      </c>
      <c r="H77" s="88"/>
      <c r="I77" s="88"/>
      <c r="J77" s="88">
        <f>G77+H77</f>
        <v>9599999.9985</v>
      </c>
      <c r="K77" s="94"/>
      <c r="L77" s="94"/>
      <c r="M77" s="94"/>
      <c r="N77" s="88">
        <f>(N81*N83)</f>
        <v>11700000</v>
      </c>
      <c r="O77" s="88"/>
      <c r="P77" s="88">
        <f>(P81*P83)</f>
        <v>11700000</v>
      </c>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row>
    <row r="78" spans="1:16" ht="12">
      <c r="A78" s="53" t="s">
        <v>4</v>
      </c>
      <c r="B78" s="60"/>
      <c r="C78" s="60"/>
      <c r="D78" s="61"/>
      <c r="E78" s="61"/>
      <c r="F78" s="61"/>
      <c r="G78" s="61"/>
      <c r="H78" s="61"/>
      <c r="I78" s="61"/>
      <c r="J78" s="61"/>
      <c r="K78" s="62"/>
      <c r="L78" s="62"/>
      <c r="M78" s="62"/>
      <c r="N78" s="61"/>
      <c r="O78" s="61"/>
      <c r="P78" s="61"/>
    </row>
    <row r="79" spans="1:16" ht="33" customHeight="1">
      <c r="A79" s="54" t="s">
        <v>93</v>
      </c>
      <c r="B79" s="58"/>
      <c r="C79" s="58"/>
      <c r="D79" s="61">
        <v>500000</v>
      </c>
      <c r="E79" s="61"/>
      <c r="F79" s="61">
        <f>D79</f>
        <v>500000</v>
      </c>
      <c r="G79" s="61">
        <f>D79</f>
        <v>500000</v>
      </c>
      <c r="H79" s="61"/>
      <c r="I79" s="61"/>
      <c r="J79" s="61">
        <f>G79</f>
        <v>500000</v>
      </c>
      <c r="K79" s="62"/>
      <c r="L79" s="62"/>
      <c r="M79" s="62"/>
      <c r="N79" s="61">
        <f>D79</f>
        <v>500000</v>
      </c>
      <c r="O79" s="61"/>
      <c r="P79" s="61">
        <f>N79</f>
        <v>500000</v>
      </c>
    </row>
    <row r="80" spans="1:16" ht="12">
      <c r="A80" s="53" t="s">
        <v>5</v>
      </c>
      <c r="B80" s="60"/>
      <c r="C80" s="60"/>
      <c r="D80" s="61"/>
      <c r="E80" s="61"/>
      <c r="F80" s="61"/>
      <c r="G80" s="61"/>
      <c r="H80" s="61"/>
      <c r="I80" s="61"/>
      <c r="J80" s="61"/>
      <c r="K80" s="62"/>
      <c r="L80" s="62"/>
      <c r="M80" s="62"/>
      <c r="N80" s="61"/>
      <c r="O80" s="61"/>
      <c r="P80" s="61"/>
    </row>
    <row r="81" spans="1:16" ht="34.5" customHeight="1">
      <c r="A81" s="54" t="s">
        <v>94</v>
      </c>
      <c r="B81" s="58"/>
      <c r="C81" s="58"/>
      <c r="D81" s="14">
        <v>15881.75</v>
      </c>
      <c r="E81" s="61"/>
      <c r="F81" s="61">
        <f>D81</f>
        <v>15881.75</v>
      </c>
      <c r="G81" s="61">
        <v>21333.33333</v>
      </c>
      <c r="H81" s="61"/>
      <c r="I81" s="61"/>
      <c r="J81" s="61">
        <f>G81</f>
        <v>21333.33333</v>
      </c>
      <c r="K81" s="62"/>
      <c r="L81" s="62"/>
      <c r="M81" s="62"/>
      <c r="N81" s="61">
        <v>23400</v>
      </c>
      <c r="O81" s="61"/>
      <c r="P81" s="61">
        <f>N81</f>
        <v>23400</v>
      </c>
    </row>
    <row r="82" spans="1:16" ht="12">
      <c r="A82" s="53" t="s">
        <v>7</v>
      </c>
      <c r="B82" s="60"/>
      <c r="C82" s="60"/>
      <c r="D82" s="61"/>
      <c r="E82" s="61"/>
      <c r="F82" s="61"/>
      <c r="G82" s="61"/>
      <c r="H82" s="61"/>
      <c r="I82" s="61"/>
      <c r="J82" s="61"/>
      <c r="K82" s="62"/>
      <c r="L82" s="62"/>
      <c r="M82" s="62"/>
      <c r="N82" s="61"/>
      <c r="O82" s="61"/>
      <c r="P82" s="61"/>
    </row>
    <row r="83" spans="1:16" ht="33.75">
      <c r="A83" s="54" t="s">
        <v>95</v>
      </c>
      <c r="B83" s="58"/>
      <c r="C83" s="58"/>
      <c r="D83" s="61">
        <v>400</v>
      </c>
      <c r="E83" s="61"/>
      <c r="F83" s="61">
        <f>D83</f>
        <v>400</v>
      </c>
      <c r="G83" s="61">
        <v>450</v>
      </c>
      <c r="H83" s="61"/>
      <c r="I83" s="61"/>
      <c r="J83" s="61">
        <f>G83</f>
        <v>450</v>
      </c>
      <c r="K83" s="62"/>
      <c r="L83" s="62"/>
      <c r="M83" s="62"/>
      <c r="N83" s="61">
        <v>500</v>
      </c>
      <c r="O83" s="61"/>
      <c r="P83" s="61">
        <f>N83</f>
        <v>500</v>
      </c>
    </row>
    <row r="84" spans="1:16" ht="12">
      <c r="A84" s="53" t="s">
        <v>6</v>
      </c>
      <c r="B84" s="60"/>
      <c r="C84" s="60"/>
      <c r="D84" s="61"/>
      <c r="E84" s="61"/>
      <c r="F84" s="61"/>
      <c r="G84" s="61"/>
      <c r="H84" s="61"/>
      <c r="I84" s="61"/>
      <c r="J84" s="61"/>
      <c r="K84" s="62"/>
      <c r="L84" s="62"/>
      <c r="M84" s="62"/>
      <c r="N84" s="61"/>
      <c r="O84" s="61"/>
      <c r="P84" s="61"/>
    </row>
    <row r="85" spans="1:16" ht="45">
      <c r="A85" s="54" t="s">
        <v>96</v>
      </c>
      <c r="B85" s="58"/>
      <c r="C85" s="58"/>
      <c r="D85" s="61">
        <f>D81/D79*100</f>
        <v>3.1763500000000002</v>
      </c>
      <c r="E85" s="61"/>
      <c r="F85" s="61">
        <f>F81/F79*100</f>
        <v>3.1763500000000002</v>
      </c>
      <c r="G85" s="61">
        <f>G81/G79*100</f>
        <v>4.266666666000001</v>
      </c>
      <c r="H85" s="61"/>
      <c r="I85" s="61"/>
      <c r="J85" s="61">
        <f>J81/J79*100</f>
        <v>4.266666666000001</v>
      </c>
      <c r="K85" s="62"/>
      <c r="L85" s="62"/>
      <c r="M85" s="62"/>
      <c r="N85" s="61">
        <f>N81/N79*100</f>
        <v>4.68</v>
      </c>
      <c r="O85" s="61"/>
      <c r="P85" s="61">
        <f>P81/P79*100</f>
        <v>4.68</v>
      </c>
    </row>
    <row r="86" spans="1:235" s="91" customFormat="1" ht="39" customHeight="1">
      <c r="A86" s="81" t="s">
        <v>348</v>
      </c>
      <c r="B86" s="87"/>
      <c r="C86" s="87"/>
      <c r="D86" s="88"/>
      <c r="E86" s="88">
        <f>(E91*E94)+(E92*E95)</f>
        <v>32417800</v>
      </c>
      <c r="F86" s="88">
        <f>E86</f>
        <v>32417800</v>
      </c>
      <c r="G86" s="88"/>
      <c r="H86" s="88">
        <f>(H91*H94)+(H92*H95)-600781.39+599.89</f>
        <v>56164110</v>
      </c>
      <c r="I86" s="88"/>
      <c r="J86" s="88">
        <f>H86</f>
        <v>56164110</v>
      </c>
      <c r="K86" s="88">
        <f aca="true" t="shared" si="7" ref="K86:P86">(K91*K94)+(K92*K95)</f>
        <v>0</v>
      </c>
      <c r="L86" s="88">
        <f t="shared" si="7"/>
        <v>0</v>
      </c>
      <c r="M86" s="88">
        <f t="shared" si="7"/>
        <v>0</v>
      </c>
      <c r="N86" s="88"/>
      <c r="O86" s="88">
        <f>(O91*O94)+(O92*O95)</f>
        <v>52600000</v>
      </c>
      <c r="P86" s="88">
        <f t="shared" si="7"/>
        <v>52600000</v>
      </c>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row>
    <row r="87" spans="1:16" ht="12">
      <c r="A87" s="53" t="s">
        <v>4</v>
      </c>
      <c r="B87" s="58"/>
      <c r="C87" s="58"/>
      <c r="D87" s="61"/>
      <c r="E87" s="61"/>
      <c r="F87" s="61"/>
      <c r="G87" s="61"/>
      <c r="H87" s="61"/>
      <c r="I87" s="61"/>
      <c r="J87" s="63"/>
      <c r="K87" s="62"/>
      <c r="L87" s="62"/>
      <c r="M87" s="62"/>
      <c r="N87" s="61"/>
      <c r="O87" s="61"/>
      <c r="P87" s="61"/>
    </row>
    <row r="88" spans="1:16" ht="33.75">
      <c r="A88" s="54" t="s">
        <v>220</v>
      </c>
      <c r="B88" s="58"/>
      <c r="C88" s="58"/>
      <c r="D88" s="61"/>
      <c r="E88" s="61">
        <v>380000</v>
      </c>
      <c r="F88" s="61">
        <f>E88</f>
        <v>380000</v>
      </c>
      <c r="G88" s="61"/>
      <c r="H88" s="61">
        <f>E88</f>
        <v>380000</v>
      </c>
      <c r="I88" s="61"/>
      <c r="J88" s="63">
        <f aca="true" t="shared" si="8" ref="J88:J94">H88</f>
        <v>380000</v>
      </c>
      <c r="K88" s="62"/>
      <c r="L88" s="62"/>
      <c r="M88" s="62"/>
      <c r="N88" s="61"/>
      <c r="O88" s="61">
        <f>H88</f>
        <v>380000</v>
      </c>
      <c r="P88" s="63">
        <f>O88</f>
        <v>380000</v>
      </c>
    </row>
    <row r="89" spans="1:16" ht="29.25" customHeight="1">
      <c r="A89" s="54" t="s">
        <v>221</v>
      </c>
      <c r="B89" s="58"/>
      <c r="C89" s="58"/>
      <c r="D89" s="61"/>
      <c r="E89" s="61">
        <v>76000</v>
      </c>
      <c r="F89" s="61">
        <f>E89</f>
        <v>76000</v>
      </c>
      <c r="G89" s="61"/>
      <c r="H89" s="61">
        <f>E89</f>
        <v>76000</v>
      </c>
      <c r="I89" s="61"/>
      <c r="J89" s="63">
        <f>H89</f>
        <v>76000</v>
      </c>
      <c r="K89" s="62"/>
      <c r="L89" s="62"/>
      <c r="M89" s="62"/>
      <c r="N89" s="61"/>
      <c r="O89" s="61">
        <f>H89</f>
        <v>76000</v>
      </c>
      <c r="P89" s="63">
        <f>O89</f>
        <v>76000</v>
      </c>
    </row>
    <row r="90" spans="1:235" s="112" customFormat="1" ht="12">
      <c r="A90" s="179" t="s">
        <v>5</v>
      </c>
      <c r="B90" s="109"/>
      <c r="C90" s="109"/>
      <c r="D90" s="113"/>
      <c r="E90" s="113"/>
      <c r="F90" s="113"/>
      <c r="G90" s="113"/>
      <c r="H90" s="113"/>
      <c r="I90" s="113"/>
      <c r="J90" s="180"/>
      <c r="K90" s="110"/>
      <c r="L90" s="110"/>
      <c r="M90" s="110"/>
      <c r="N90" s="113"/>
      <c r="O90" s="113"/>
      <c r="P90" s="113"/>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1"/>
      <c r="GV90" s="111"/>
      <c r="GW90" s="111"/>
      <c r="GX90" s="111"/>
      <c r="GY90" s="111"/>
      <c r="GZ90" s="111"/>
      <c r="HA90" s="111"/>
      <c r="HB90" s="111"/>
      <c r="HC90" s="111"/>
      <c r="HD90" s="111"/>
      <c r="HE90" s="111"/>
      <c r="HF90" s="111"/>
      <c r="HG90" s="111"/>
      <c r="HH90" s="111"/>
      <c r="HI90" s="111"/>
      <c r="HJ90" s="111"/>
      <c r="HK90" s="111"/>
      <c r="HL90" s="111"/>
      <c r="HM90" s="111"/>
      <c r="HN90" s="111"/>
      <c r="HO90" s="111"/>
      <c r="HP90" s="111"/>
      <c r="HQ90" s="111"/>
      <c r="HR90" s="111"/>
      <c r="HS90" s="111"/>
      <c r="HT90" s="111"/>
      <c r="HU90" s="111"/>
      <c r="HV90" s="111"/>
      <c r="HW90" s="111"/>
      <c r="HX90" s="111"/>
      <c r="HY90" s="111"/>
      <c r="HZ90" s="111"/>
      <c r="IA90" s="111"/>
    </row>
    <row r="91" spans="1:235" s="112" customFormat="1" ht="34.5" customHeight="1">
      <c r="A91" s="108" t="s">
        <v>222</v>
      </c>
      <c r="B91" s="109"/>
      <c r="C91" s="109"/>
      <c r="D91" s="113"/>
      <c r="E91" s="113">
        <f>65000+5294.5</f>
        <v>70294.5</v>
      </c>
      <c r="F91" s="113">
        <f>E91</f>
        <v>70294.5</v>
      </c>
      <c r="G91" s="113"/>
      <c r="H91" s="113">
        <v>109798.02</v>
      </c>
      <c r="I91" s="113"/>
      <c r="J91" s="180">
        <f t="shared" si="8"/>
        <v>109798.02</v>
      </c>
      <c r="K91" s="110"/>
      <c r="L91" s="110"/>
      <c r="M91" s="110"/>
      <c r="N91" s="113"/>
      <c r="O91" s="113">
        <v>65200</v>
      </c>
      <c r="P91" s="180">
        <f>O91</f>
        <v>65200</v>
      </c>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c r="HC91" s="111"/>
      <c r="HD91" s="111"/>
      <c r="HE91" s="111"/>
      <c r="HF91" s="111"/>
      <c r="HG91" s="111"/>
      <c r="HH91" s="111"/>
      <c r="HI91" s="111"/>
      <c r="HJ91" s="111"/>
      <c r="HK91" s="111"/>
      <c r="HL91" s="111"/>
      <c r="HM91" s="111"/>
      <c r="HN91" s="111"/>
      <c r="HO91" s="111"/>
      <c r="HP91" s="111"/>
      <c r="HQ91" s="111"/>
      <c r="HR91" s="111"/>
      <c r="HS91" s="111"/>
      <c r="HT91" s="111"/>
      <c r="HU91" s="111"/>
      <c r="HV91" s="111"/>
      <c r="HW91" s="111"/>
      <c r="HX91" s="111"/>
      <c r="HY91" s="111"/>
      <c r="HZ91" s="111"/>
      <c r="IA91" s="111"/>
    </row>
    <row r="92" spans="1:235" s="112" customFormat="1" ht="26.25" customHeight="1">
      <c r="A92" s="108" t="s">
        <v>223</v>
      </c>
      <c r="B92" s="109"/>
      <c r="C92" s="109"/>
      <c r="D92" s="113"/>
      <c r="E92" s="113">
        <v>10750</v>
      </c>
      <c r="F92" s="113">
        <f>E92</f>
        <v>10750</v>
      </c>
      <c r="G92" s="113"/>
      <c r="H92" s="113">
        <v>16344.85</v>
      </c>
      <c r="I92" s="113"/>
      <c r="J92" s="180">
        <f>H92</f>
        <v>16344.85</v>
      </c>
      <c r="K92" s="110"/>
      <c r="L92" s="110"/>
      <c r="M92" s="110"/>
      <c r="N92" s="113"/>
      <c r="O92" s="113">
        <v>40000</v>
      </c>
      <c r="P92" s="180">
        <f>O92</f>
        <v>40000</v>
      </c>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1"/>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1"/>
      <c r="GV92" s="111"/>
      <c r="GW92" s="111"/>
      <c r="GX92" s="111"/>
      <c r="GY92" s="111"/>
      <c r="GZ92" s="111"/>
      <c r="HA92" s="111"/>
      <c r="HB92" s="111"/>
      <c r="HC92" s="111"/>
      <c r="HD92" s="111"/>
      <c r="HE92" s="111"/>
      <c r="HF92" s="111"/>
      <c r="HG92" s="111"/>
      <c r="HH92" s="111"/>
      <c r="HI92" s="111"/>
      <c r="HJ92" s="111"/>
      <c r="HK92" s="111"/>
      <c r="HL92" s="111"/>
      <c r="HM92" s="111"/>
      <c r="HN92" s="111"/>
      <c r="HO92" s="111"/>
      <c r="HP92" s="111"/>
      <c r="HQ92" s="111"/>
      <c r="HR92" s="111"/>
      <c r="HS92" s="111"/>
      <c r="HT92" s="111"/>
      <c r="HU92" s="111"/>
      <c r="HV92" s="111"/>
      <c r="HW92" s="111"/>
      <c r="HX92" s="111"/>
      <c r="HY92" s="111"/>
      <c r="HZ92" s="111"/>
      <c r="IA92" s="111"/>
    </row>
    <row r="93" spans="1:235" s="112" customFormat="1" ht="12">
      <c r="A93" s="179" t="s">
        <v>7</v>
      </c>
      <c r="B93" s="109"/>
      <c r="C93" s="109"/>
      <c r="D93" s="113"/>
      <c r="E93" s="113"/>
      <c r="F93" s="113"/>
      <c r="G93" s="113"/>
      <c r="H93" s="113"/>
      <c r="I93" s="113"/>
      <c r="J93" s="180"/>
      <c r="K93" s="110"/>
      <c r="L93" s="110"/>
      <c r="M93" s="110"/>
      <c r="N93" s="113"/>
      <c r="O93" s="113"/>
      <c r="P93" s="113"/>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1"/>
      <c r="GV93" s="111"/>
      <c r="GW93" s="111"/>
      <c r="GX93" s="111"/>
      <c r="GY93" s="111"/>
      <c r="GZ93" s="111"/>
      <c r="HA93" s="111"/>
      <c r="HB93" s="111"/>
      <c r="HC93" s="111"/>
      <c r="HD93" s="111"/>
      <c r="HE93" s="111"/>
      <c r="HF93" s="111"/>
      <c r="HG93" s="111"/>
      <c r="HH93" s="111"/>
      <c r="HI93" s="111"/>
      <c r="HJ93" s="111"/>
      <c r="HK93" s="111"/>
      <c r="HL93" s="111"/>
      <c r="HM93" s="111"/>
      <c r="HN93" s="111"/>
      <c r="HO93" s="111"/>
      <c r="HP93" s="111"/>
      <c r="HQ93" s="111"/>
      <c r="HR93" s="111"/>
      <c r="HS93" s="111"/>
      <c r="HT93" s="111"/>
      <c r="HU93" s="111"/>
      <c r="HV93" s="111"/>
      <c r="HW93" s="111"/>
      <c r="HX93" s="111"/>
      <c r="HY93" s="111"/>
      <c r="HZ93" s="111"/>
      <c r="IA93" s="111"/>
    </row>
    <row r="94" spans="1:235" s="112" customFormat="1" ht="22.5" customHeight="1">
      <c r="A94" s="108" t="s">
        <v>226</v>
      </c>
      <c r="B94" s="109"/>
      <c r="C94" s="109"/>
      <c r="D94" s="113"/>
      <c r="E94" s="113">
        <v>400</v>
      </c>
      <c r="F94" s="113">
        <f>E94</f>
        <v>400</v>
      </c>
      <c r="G94" s="113"/>
      <c r="H94" s="113">
        <v>450</v>
      </c>
      <c r="I94" s="113"/>
      <c r="J94" s="180">
        <f t="shared" si="8"/>
        <v>450</v>
      </c>
      <c r="K94" s="110"/>
      <c r="L94" s="110"/>
      <c r="M94" s="110"/>
      <c r="N94" s="113"/>
      <c r="O94" s="113">
        <v>500</v>
      </c>
      <c r="P94" s="180">
        <v>500</v>
      </c>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1"/>
      <c r="GV94" s="111"/>
      <c r="GW94" s="111"/>
      <c r="GX94" s="111"/>
      <c r="GY94" s="111"/>
      <c r="GZ94" s="111"/>
      <c r="HA94" s="111"/>
      <c r="HB94" s="111"/>
      <c r="HC94" s="111"/>
      <c r="HD94" s="111"/>
      <c r="HE94" s="111"/>
      <c r="HF94" s="111"/>
      <c r="HG94" s="111"/>
      <c r="HH94" s="111"/>
      <c r="HI94" s="111"/>
      <c r="HJ94" s="111"/>
      <c r="HK94" s="111"/>
      <c r="HL94" s="111"/>
      <c r="HM94" s="111"/>
      <c r="HN94" s="111"/>
      <c r="HO94" s="111"/>
      <c r="HP94" s="111"/>
      <c r="HQ94" s="111"/>
      <c r="HR94" s="111"/>
      <c r="HS94" s="111"/>
      <c r="HT94" s="111"/>
      <c r="HU94" s="111"/>
      <c r="HV94" s="111"/>
      <c r="HW94" s="111"/>
      <c r="HX94" s="111"/>
      <c r="HY94" s="111"/>
      <c r="HZ94" s="111"/>
      <c r="IA94" s="111"/>
    </row>
    <row r="95" spans="1:235" s="112" customFormat="1" ht="22.5" customHeight="1">
      <c r="A95" s="108" t="s">
        <v>227</v>
      </c>
      <c r="B95" s="109"/>
      <c r="C95" s="109"/>
      <c r="D95" s="113"/>
      <c r="E95" s="113">
        <v>400</v>
      </c>
      <c r="F95" s="113">
        <f>E95</f>
        <v>400</v>
      </c>
      <c r="G95" s="113"/>
      <c r="H95" s="113">
        <v>450</v>
      </c>
      <c r="I95" s="113"/>
      <c r="J95" s="180">
        <f>H95</f>
        <v>450</v>
      </c>
      <c r="K95" s="110"/>
      <c r="L95" s="110"/>
      <c r="M95" s="110"/>
      <c r="N95" s="113"/>
      <c r="O95" s="113">
        <v>500</v>
      </c>
      <c r="P95" s="180">
        <f>O95</f>
        <v>500</v>
      </c>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1"/>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1"/>
      <c r="GV95" s="111"/>
      <c r="GW95" s="111"/>
      <c r="GX95" s="111"/>
      <c r="GY95" s="111"/>
      <c r="GZ95" s="111"/>
      <c r="HA95" s="111"/>
      <c r="HB95" s="111"/>
      <c r="HC95" s="111"/>
      <c r="HD95" s="111"/>
      <c r="HE95" s="111"/>
      <c r="HF95" s="111"/>
      <c r="HG95" s="111"/>
      <c r="HH95" s="111"/>
      <c r="HI95" s="111"/>
      <c r="HJ95" s="111"/>
      <c r="HK95" s="111"/>
      <c r="HL95" s="111"/>
      <c r="HM95" s="111"/>
      <c r="HN95" s="111"/>
      <c r="HO95" s="111"/>
      <c r="HP95" s="111"/>
      <c r="HQ95" s="111"/>
      <c r="HR95" s="111"/>
      <c r="HS95" s="111"/>
      <c r="HT95" s="111"/>
      <c r="HU95" s="111"/>
      <c r="HV95" s="111"/>
      <c r="HW95" s="111"/>
      <c r="HX95" s="111"/>
      <c r="HY95" s="111"/>
      <c r="HZ95" s="111"/>
      <c r="IA95" s="111"/>
    </row>
    <row r="96" spans="1:235" s="112" customFormat="1" ht="12">
      <c r="A96" s="179" t="s">
        <v>6</v>
      </c>
      <c r="B96" s="109"/>
      <c r="C96" s="109"/>
      <c r="D96" s="113"/>
      <c r="E96" s="113"/>
      <c r="F96" s="113"/>
      <c r="G96" s="113"/>
      <c r="H96" s="113"/>
      <c r="I96" s="113"/>
      <c r="J96" s="180"/>
      <c r="K96" s="110"/>
      <c r="L96" s="110"/>
      <c r="M96" s="110"/>
      <c r="N96" s="113"/>
      <c r="O96" s="113"/>
      <c r="P96" s="113"/>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1"/>
      <c r="GV96" s="111"/>
      <c r="GW96" s="111"/>
      <c r="GX96" s="111"/>
      <c r="GY96" s="111"/>
      <c r="GZ96" s="111"/>
      <c r="HA96" s="111"/>
      <c r="HB96" s="111"/>
      <c r="HC96" s="111"/>
      <c r="HD96" s="111"/>
      <c r="HE96" s="111"/>
      <c r="HF96" s="111"/>
      <c r="HG96" s="111"/>
      <c r="HH96" s="111"/>
      <c r="HI96" s="111"/>
      <c r="HJ96" s="111"/>
      <c r="HK96" s="111"/>
      <c r="HL96" s="111"/>
      <c r="HM96" s="111"/>
      <c r="HN96" s="111"/>
      <c r="HO96" s="111"/>
      <c r="HP96" s="111"/>
      <c r="HQ96" s="111"/>
      <c r="HR96" s="111"/>
      <c r="HS96" s="111"/>
      <c r="HT96" s="111"/>
      <c r="HU96" s="111"/>
      <c r="HV96" s="111"/>
      <c r="HW96" s="111"/>
      <c r="HX96" s="111"/>
      <c r="HY96" s="111"/>
      <c r="HZ96" s="111"/>
      <c r="IA96" s="111"/>
    </row>
    <row r="97" spans="1:235" s="112" customFormat="1" ht="38.25" customHeight="1">
      <c r="A97" s="108" t="s">
        <v>224</v>
      </c>
      <c r="B97" s="109"/>
      <c r="C97" s="109"/>
      <c r="D97" s="113"/>
      <c r="E97" s="113">
        <f>E91/E88*100</f>
        <v>18.498552631578946</v>
      </c>
      <c r="F97" s="113">
        <f aca="true" t="shared" si="9" ref="F97:P97">F91/F88*100</f>
        <v>18.498552631578946</v>
      </c>
      <c r="G97" s="113"/>
      <c r="H97" s="113">
        <f t="shared" si="9"/>
        <v>28.894215789473687</v>
      </c>
      <c r="I97" s="113"/>
      <c r="J97" s="113">
        <f t="shared" si="9"/>
        <v>28.894215789473687</v>
      </c>
      <c r="K97" s="113" t="e">
        <f t="shared" si="9"/>
        <v>#DIV/0!</v>
      </c>
      <c r="L97" s="113" t="e">
        <f t="shared" si="9"/>
        <v>#DIV/0!</v>
      </c>
      <c r="M97" s="113" t="e">
        <f t="shared" si="9"/>
        <v>#DIV/0!</v>
      </c>
      <c r="N97" s="113"/>
      <c r="O97" s="113">
        <f t="shared" si="9"/>
        <v>17.157894736842106</v>
      </c>
      <c r="P97" s="113">
        <f t="shared" si="9"/>
        <v>17.157894736842106</v>
      </c>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c r="FL97" s="111"/>
      <c r="FM97" s="111"/>
      <c r="FN97" s="111"/>
      <c r="FO97" s="111"/>
      <c r="FP97" s="111"/>
      <c r="FQ97" s="111"/>
      <c r="FR97" s="111"/>
      <c r="FS97" s="111"/>
      <c r="FT97" s="111"/>
      <c r="FU97" s="111"/>
      <c r="FV97" s="111"/>
      <c r="FW97" s="111"/>
      <c r="FX97" s="111"/>
      <c r="FY97" s="111"/>
      <c r="FZ97" s="111"/>
      <c r="GA97" s="111"/>
      <c r="GB97" s="111"/>
      <c r="GC97" s="111"/>
      <c r="GD97" s="111"/>
      <c r="GE97" s="111"/>
      <c r="GF97" s="111"/>
      <c r="GG97" s="111"/>
      <c r="GH97" s="111"/>
      <c r="GI97" s="111"/>
      <c r="GJ97" s="111"/>
      <c r="GK97" s="111"/>
      <c r="GL97" s="111"/>
      <c r="GM97" s="111"/>
      <c r="GN97" s="111"/>
      <c r="GO97" s="111"/>
      <c r="GP97" s="111"/>
      <c r="GQ97" s="111"/>
      <c r="GR97" s="111"/>
      <c r="GS97" s="111"/>
      <c r="GT97" s="111"/>
      <c r="GU97" s="111"/>
      <c r="GV97" s="111"/>
      <c r="GW97" s="111"/>
      <c r="GX97" s="111"/>
      <c r="GY97" s="111"/>
      <c r="GZ97" s="111"/>
      <c r="HA97" s="111"/>
      <c r="HB97" s="111"/>
      <c r="HC97" s="111"/>
      <c r="HD97" s="111"/>
      <c r="HE97" s="111"/>
      <c r="HF97" s="111"/>
      <c r="HG97" s="111"/>
      <c r="HH97" s="111"/>
      <c r="HI97" s="111"/>
      <c r="HJ97" s="111"/>
      <c r="HK97" s="111"/>
      <c r="HL97" s="111"/>
      <c r="HM97" s="111"/>
      <c r="HN97" s="111"/>
      <c r="HO97" s="111"/>
      <c r="HP97" s="111"/>
      <c r="HQ97" s="111"/>
      <c r="HR97" s="111"/>
      <c r="HS97" s="111"/>
      <c r="HT97" s="111"/>
      <c r="HU97" s="111"/>
      <c r="HV97" s="111"/>
      <c r="HW97" s="111"/>
      <c r="HX97" s="111"/>
      <c r="HY97" s="111"/>
      <c r="HZ97" s="111"/>
      <c r="IA97" s="111"/>
    </row>
    <row r="98" spans="1:16" ht="38.25" customHeight="1">
      <c r="A98" s="54" t="s">
        <v>225</v>
      </c>
      <c r="B98" s="58"/>
      <c r="C98" s="58"/>
      <c r="D98" s="61"/>
      <c r="E98" s="61">
        <f>E92/E89*100</f>
        <v>14.144736842105262</v>
      </c>
      <c r="F98" s="61">
        <f aca="true" t="shared" si="10" ref="F98:P98">F92/F89*100</f>
        <v>14.144736842105262</v>
      </c>
      <c r="G98" s="61"/>
      <c r="H98" s="61">
        <f t="shared" si="10"/>
        <v>21.50638157894737</v>
      </c>
      <c r="I98" s="61"/>
      <c r="J98" s="61">
        <f t="shared" si="10"/>
        <v>21.50638157894737</v>
      </c>
      <c r="K98" s="61" t="e">
        <f t="shared" si="10"/>
        <v>#DIV/0!</v>
      </c>
      <c r="L98" s="61" t="e">
        <f t="shared" si="10"/>
        <v>#DIV/0!</v>
      </c>
      <c r="M98" s="61" t="e">
        <f t="shared" si="10"/>
        <v>#DIV/0!</v>
      </c>
      <c r="N98" s="61"/>
      <c r="O98" s="61">
        <f t="shared" si="10"/>
        <v>52.63157894736842</v>
      </c>
      <c r="P98" s="61">
        <f t="shared" si="10"/>
        <v>52.63157894736842</v>
      </c>
    </row>
    <row r="99" spans="1:235" s="91" customFormat="1" ht="33.75">
      <c r="A99" s="81" t="s">
        <v>349</v>
      </c>
      <c r="B99" s="87"/>
      <c r="C99" s="87"/>
      <c r="D99" s="88">
        <f>D101</f>
        <v>37000</v>
      </c>
      <c r="E99" s="88"/>
      <c r="F99" s="88">
        <f>D99</f>
        <v>37000</v>
      </c>
      <c r="G99" s="88">
        <f>G101</f>
        <v>200000</v>
      </c>
      <c r="H99" s="88"/>
      <c r="I99" s="88"/>
      <c r="J99" s="88">
        <f>G99</f>
        <v>200000</v>
      </c>
      <c r="K99" s="88"/>
      <c r="L99" s="88"/>
      <c r="M99" s="88"/>
      <c r="N99" s="88">
        <f>N105*N103</f>
        <v>110000</v>
      </c>
      <c r="O99" s="88"/>
      <c r="P99" s="88">
        <f>N99+O99</f>
        <v>110000</v>
      </c>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row>
    <row r="100" spans="1:16" ht="11.25">
      <c r="A100" s="53" t="s">
        <v>4</v>
      </c>
      <c r="B100" s="58"/>
      <c r="C100" s="58"/>
      <c r="D100" s="61"/>
      <c r="E100" s="61"/>
      <c r="F100" s="61"/>
      <c r="G100" s="61"/>
      <c r="H100" s="61"/>
      <c r="I100" s="61"/>
      <c r="J100" s="61"/>
      <c r="K100" s="61"/>
      <c r="L100" s="61"/>
      <c r="M100" s="61"/>
      <c r="N100" s="61"/>
      <c r="O100" s="61"/>
      <c r="P100" s="61"/>
    </row>
    <row r="101" spans="1:16" ht="27" customHeight="1">
      <c r="A101" s="54" t="s">
        <v>249</v>
      </c>
      <c r="B101" s="58"/>
      <c r="C101" s="58"/>
      <c r="D101" s="14">
        <v>37000</v>
      </c>
      <c r="E101" s="61"/>
      <c r="F101" s="61">
        <f>D101</f>
        <v>37000</v>
      </c>
      <c r="G101" s="14">
        <v>200000</v>
      </c>
      <c r="H101" s="61"/>
      <c r="I101" s="61"/>
      <c r="J101" s="61">
        <f>G101</f>
        <v>200000</v>
      </c>
      <c r="K101" s="61"/>
      <c r="L101" s="61"/>
      <c r="M101" s="61"/>
      <c r="N101" s="61">
        <v>110000</v>
      </c>
      <c r="O101" s="61"/>
      <c r="P101" s="61">
        <f>N101+O101</f>
        <v>110000</v>
      </c>
    </row>
    <row r="102" spans="1:16" ht="11.25">
      <c r="A102" s="53" t="s">
        <v>5</v>
      </c>
      <c r="B102" s="58"/>
      <c r="C102" s="58"/>
      <c r="D102" s="61"/>
      <c r="E102" s="61"/>
      <c r="F102" s="61"/>
      <c r="G102" s="61"/>
      <c r="H102" s="61"/>
      <c r="I102" s="61"/>
      <c r="J102" s="61"/>
      <c r="K102" s="61"/>
      <c r="L102" s="61"/>
      <c r="M102" s="61"/>
      <c r="N102" s="61"/>
      <c r="O102" s="61"/>
      <c r="P102" s="61"/>
    </row>
    <row r="103" spans="1:16" ht="25.5" customHeight="1">
      <c r="A103" s="54" t="s">
        <v>250</v>
      </c>
      <c r="B103" s="58"/>
      <c r="C103" s="58"/>
      <c r="D103" s="61">
        <v>1</v>
      </c>
      <c r="E103" s="61"/>
      <c r="F103" s="61">
        <f>D103</f>
        <v>1</v>
      </c>
      <c r="G103" s="61">
        <v>3</v>
      </c>
      <c r="H103" s="61"/>
      <c r="I103" s="61"/>
      <c r="J103" s="61">
        <f>G103</f>
        <v>3</v>
      </c>
      <c r="K103" s="61"/>
      <c r="L103" s="61"/>
      <c r="M103" s="61"/>
      <c r="N103" s="61">
        <v>2</v>
      </c>
      <c r="O103" s="61"/>
      <c r="P103" s="61">
        <f>N103+O103</f>
        <v>2</v>
      </c>
    </row>
    <row r="104" spans="1:16" ht="11.25">
      <c r="A104" s="53" t="s">
        <v>7</v>
      </c>
      <c r="B104" s="58"/>
      <c r="C104" s="58"/>
      <c r="D104" s="61"/>
      <c r="E104" s="61"/>
      <c r="F104" s="61"/>
      <c r="G104" s="61"/>
      <c r="H104" s="61"/>
      <c r="I104" s="61"/>
      <c r="J104" s="61"/>
      <c r="K104" s="61"/>
      <c r="L104" s="61"/>
      <c r="M104" s="61"/>
      <c r="N104" s="61"/>
      <c r="O104" s="61"/>
      <c r="P104" s="61"/>
    </row>
    <row r="105" spans="1:16" ht="23.25" customHeight="1">
      <c r="A105" s="54" t="s">
        <v>251</v>
      </c>
      <c r="B105" s="58"/>
      <c r="C105" s="58"/>
      <c r="D105" s="61">
        <f>D101/D103</f>
        <v>37000</v>
      </c>
      <c r="E105" s="61"/>
      <c r="F105" s="61">
        <f>D105</f>
        <v>37000</v>
      </c>
      <c r="G105" s="61">
        <f>G101/G103</f>
        <v>66666.66666666667</v>
      </c>
      <c r="H105" s="61"/>
      <c r="I105" s="61"/>
      <c r="J105" s="61">
        <f>G105</f>
        <v>66666.66666666667</v>
      </c>
      <c r="K105" s="61"/>
      <c r="L105" s="61"/>
      <c r="M105" s="61"/>
      <c r="N105" s="61">
        <f>N101/N103</f>
        <v>55000</v>
      </c>
      <c r="O105" s="61"/>
      <c r="P105" s="61">
        <f>N105+O105</f>
        <v>55000</v>
      </c>
    </row>
    <row r="106" spans="1:235" s="91" customFormat="1" ht="31.5" customHeight="1">
      <c r="A106" s="81" t="s">
        <v>350</v>
      </c>
      <c r="B106" s="87"/>
      <c r="C106" s="87"/>
      <c r="D106" s="88"/>
      <c r="E106" s="88">
        <f>E110*E112</f>
        <v>5000000</v>
      </c>
      <c r="F106" s="88">
        <f>E106</f>
        <v>5000000</v>
      </c>
      <c r="G106" s="88"/>
      <c r="H106" s="88">
        <f>H110*H112</f>
        <v>10000000</v>
      </c>
      <c r="I106" s="88"/>
      <c r="J106" s="88">
        <f>H106</f>
        <v>10000000</v>
      </c>
      <c r="K106" s="94"/>
      <c r="L106" s="94"/>
      <c r="M106" s="94"/>
      <c r="N106" s="88"/>
      <c r="O106" s="88">
        <f>O110*O112</f>
        <v>7200000</v>
      </c>
      <c r="P106" s="88">
        <f>O106</f>
        <v>7200000</v>
      </c>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row>
    <row r="107" spans="1:16" ht="12">
      <c r="A107" s="53" t="s">
        <v>4</v>
      </c>
      <c r="B107" s="58"/>
      <c r="C107" s="58"/>
      <c r="D107" s="61"/>
      <c r="E107" s="61"/>
      <c r="F107" s="61"/>
      <c r="G107" s="61"/>
      <c r="H107" s="61"/>
      <c r="I107" s="61"/>
      <c r="J107" s="63"/>
      <c r="K107" s="62"/>
      <c r="L107" s="62"/>
      <c r="M107" s="62"/>
      <c r="N107" s="61"/>
      <c r="O107" s="61"/>
      <c r="P107" s="61"/>
    </row>
    <row r="108" spans="1:16" ht="20.25" customHeight="1">
      <c r="A108" s="54" t="s">
        <v>99</v>
      </c>
      <c r="B108" s="58"/>
      <c r="C108" s="58"/>
      <c r="D108" s="61"/>
      <c r="E108" s="61">
        <v>5000000</v>
      </c>
      <c r="F108" s="63">
        <f>E108</f>
        <v>5000000</v>
      </c>
      <c r="G108" s="61"/>
      <c r="H108" s="61">
        <v>10000000</v>
      </c>
      <c r="I108" s="61"/>
      <c r="J108" s="63">
        <f>H108</f>
        <v>10000000</v>
      </c>
      <c r="K108" s="62"/>
      <c r="L108" s="62"/>
      <c r="M108" s="62"/>
      <c r="N108" s="61"/>
      <c r="O108" s="61">
        <v>7200000</v>
      </c>
      <c r="P108" s="63">
        <f>O108</f>
        <v>7200000</v>
      </c>
    </row>
    <row r="109" spans="1:16" ht="12">
      <c r="A109" s="53" t="s">
        <v>5</v>
      </c>
      <c r="B109" s="58"/>
      <c r="C109" s="58"/>
      <c r="D109" s="61"/>
      <c r="E109" s="61"/>
      <c r="F109" s="63"/>
      <c r="G109" s="61"/>
      <c r="H109" s="61"/>
      <c r="I109" s="61"/>
      <c r="J109" s="63"/>
      <c r="K109" s="62"/>
      <c r="L109" s="62"/>
      <c r="M109" s="62"/>
      <c r="N109" s="61"/>
      <c r="O109" s="61"/>
      <c r="P109" s="63"/>
    </row>
    <row r="110" spans="1:16" ht="21" customHeight="1">
      <c r="A110" s="54" t="s">
        <v>100</v>
      </c>
      <c r="B110" s="58"/>
      <c r="C110" s="58"/>
      <c r="D110" s="61"/>
      <c r="E110" s="61">
        <v>1</v>
      </c>
      <c r="F110" s="63">
        <f>E110</f>
        <v>1</v>
      </c>
      <c r="G110" s="61"/>
      <c r="H110" s="61">
        <v>2</v>
      </c>
      <c r="I110" s="61"/>
      <c r="J110" s="63">
        <v>2</v>
      </c>
      <c r="K110" s="62"/>
      <c r="L110" s="62"/>
      <c r="M110" s="62"/>
      <c r="N110" s="61"/>
      <c r="O110" s="61">
        <v>1</v>
      </c>
      <c r="P110" s="63">
        <f>O110</f>
        <v>1</v>
      </c>
    </row>
    <row r="111" spans="1:16" ht="12">
      <c r="A111" s="53" t="s">
        <v>7</v>
      </c>
      <c r="B111" s="58"/>
      <c r="C111" s="58"/>
      <c r="D111" s="61"/>
      <c r="E111" s="61"/>
      <c r="F111" s="63"/>
      <c r="G111" s="61"/>
      <c r="H111" s="61"/>
      <c r="I111" s="61"/>
      <c r="J111" s="63"/>
      <c r="K111" s="62"/>
      <c r="L111" s="62"/>
      <c r="M111" s="62"/>
      <c r="N111" s="61"/>
      <c r="O111" s="61"/>
      <c r="P111" s="63"/>
    </row>
    <row r="112" spans="1:16" ht="27" customHeight="1">
      <c r="A112" s="54" t="s">
        <v>101</v>
      </c>
      <c r="B112" s="58"/>
      <c r="C112" s="58"/>
      <c r="D112" s="61"/>
      <c r="E112" s="61">
        <f>E108/E110</f>
        <v>5000000</v>
      </c>
      <c r="F112" s="63">
        <f>E112</f>
        <v>5000000</v>
      </c>
      <c r="G112" s="61"/>
      <c r="H112" s="61">
        <f>H108/H110</f>
        <v>5000000</v>
      </c>
      <c r="I112" s="61"/>
      <c r="J112" s="63">
        <f>H112</f>
        <v>5000000</v>
      </c>
      <c r="K112" s="62"/>
      <c r="L112" s="62"/>
      <c r="M112" s="62"/>
      <c r="N112" s="61"/>
      <c r="O112" s="61">
        <f>O108/O110</f>
        <v>7200000</v>
      </c>
      <c r="P112" s="63">
        <f>P108/P110</f>
        <v>7200000</v>
      </c>
    </row>
    <row r="113" spans="1:235" s="91" customFormat="1" ht="48" customHeight="1">
      <c r="A113" s="81" t="s">
        <v>351</v>
      </c>
      <c r="B113" s="87"/>
      <c r="C113" s="87"/>
      <c r="D113" s="88">
        <f>(D121*D128)+(D122*D129)+(D123*D130)+(D124*D131)+(D125*D132)+(D133*D122*D134)</f>
        <v>2368300</v>
      </c>
      <c r="E113" s="88">
        <f aca="true" t="shared" si="11" ref="E113:O113">(E121*E128)+(E122*E129)+(E123*E130)+(E124*E131)+(E125*E132)+(E133*E122*E134)</f>
        <v>3200000</v>
      </c>
      <c r="F113" s="88">
        <f>D113+E113</f>
        <v>5568300</v>
      </c>
      <c r="G113" s="88">
        <f>(G121*G128)+(G122*G129)+(G123*G130)+(G124*G131)+(G125*G132)+(G133*G122*G134)</f>
        <v>2855639.7894428</v>
      </c>
      <c r="H113" s="88">
        <f t="shared" si="11"/>
        <v>1200000</v>
      </c>
      <c r="I113" s="88"/>
      <c r="J113" s="88">
        <f>G113+H113</f>
        <v>4055639.7894428</v>
      </c>
      <c r="K113" s="88">
        <f t="shared" si="11"/>
        <v>0</v>
      </c>
      <c r="L113" s="88">
        <f t="shared" si="11"/>
        <v>0</v>
      </c>
      <c r="M113" s="88">
        <f t="shared" si="11"/>
        <v>0</v>
      </c>
      <c r="N113" s="88">
        <f>(N121*N128)+(N122*N129)+(N123*N130)+(N124*N131)+(N125*N132)+(N133*N122*N134)+3000</f>
        <v>3387999.99998</v>
      </c>
      <c r="O113" s="88">
        <f t="shared" si="11"/>
        <v>2250000</v>
      </c>
      <c r="P113" s="88">
        <f>N113+O113</f>
        <v>5637999.99998</v>
      </c>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row>
    <row r="114" spans="1:235" s="49" customFormat="1" ht="12">
      <c r="A114" s="53" t="s">
        <v>4</v>
      </c>
      <c r="B114" s="60"/>
      <c r="C114" s="60"/>
      <c r="D114" s="61"/>
      <c r="E114" s="61"/>
      <c r="F114" s="61"/>
      <c r="G114" s="61"/>
      <c r="H114" s="61"/>
      <c r="I114" s="61"/>
      <c r="J114" s="61"/>
      <c r="K114" s="62"/>
      <c r="L114" s="62"/>
      <c r="M114" s="62"/>
      <c r="N114" s="61"/>
      <c r="O114" s="61"/>
      <c r="P114" s="61"/>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row>
    <row r="115" spans="1:235" s="49" customFormat="1" ht="12">
      <c r="A115" s="54" t="s">
        <v>102</v>
      </c>
      <c r="B115" s="58"/>
      <c r="C115" s="58"/>
      <c r="D115" s="61">
        <v>56</v>
      </c>
      <c r="E115" s="61"/>
      <c r="F115" s="61">
        <f>D115</f>
        <v>56</v>
      </c>
      <c r="G115" s="61">
        <v>42</v>
      </c>
      <c r="H115" s="61"/>
      <c r="I115" s="61"/>
      <c r="J115" s="61">
        <f>G115</f>
        <v>42</v>
      </c>
      <c r="K115" s="62"/>
      <c r="L115" s="62"/>
      <c r="M115" s="62"/>
      <c r="N115" s="61">
        <v>67</v>
      </c>
      <c r="O115" s="61"/>
      <c r="P115" s="61">
        <f>N115</f>
        <v>67</v>
      </c>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row>
    <row r="116" spans="1:235" s="49" customFormat="1" ht="12">
      <c r="A116" s="54" t="s">
        <v>8</v>
      </c>
      <c r="B116" s="58"/>
      <c r="C116" s="58"/>
      <c r="D116" s="61">
        <v>37000</v>
      </c>
      <c r="E116" s="61"/>
      <c r="F116" s="61">
        <f>D116</f>
        <v>37000</v>
      </c>
      <c r="G116" s="61">
        <v>37400</v>
      </c>
      <c r="H116" s="61"/>
      <c r="I116" s="61"/>
      <c r="J116" s="61">
        <f>G116</f>
        <v>37400</v>
      </c>
      <c r="K116" s="62"/>
      <c r="L116" s="62"/>
      <c r="M116" s="62"/>
      <c r="N116" s="61">
        <v>37400</v>
      </c>
      <c r="O116" s="61"/>
      <c r="P116" s="61">
        <f>N116</f>
        <v>37400</v>
      </c>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row>
    <row r="117" spans="1:235" s="49" customFormat="1" ht="33.75">
      <c r="A117" s="54" t="s">
        <v>108</v>
      </c>
      <c r="B117" s="58"/>
      <c r="C117" s="58"/>
      <c r="D117" s="61">
        <v>37400</v>
      </c>
      <c r="E117" s="61"/>
      <c r="F117" s="61">
        <v>37400</v>
      </c>
      <c r="G117" s="61">
        <v>37400</v>
      </c>
      <c r="H117" s="61"/>
      <c r="I117" s="61"/>
      <c r="J117" s="61">
        <v>37400</v>
      </c>
      <c r="K117" s="62"/>
      <c r="L117" s="62"/>
      <c r="M117" s="62"/>
      <c r="N117" s="61">
        <v>37400</v>
      </c>
      <c r="O117" s="61"/>
      <c r="P117" s="61">
        <v>37400</v>
      </c>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row>
    <row r="118" spans="1:235" s="51"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row>
    <row r="119" spans="1:241" s="48" customFormat="1" ht="12" customHeight="1">
      <c r="A119" s="53" t="s">
        <v>5</v>
      </c>
      <c r="B119" s="60"/>
      <c r="C119" s="60"/>
      <c r="D119" s="61"/>
      <c r="E119" s="61"/>
      <c r="F119" s="61"/>
      <c r="G119" s="61"/>
      <c r="H119" s="61"/>
      <c r="I119" s="61"/>
      <c r="J119" s="61"/>
      <c r="K119" s="62"/>
      <c r="L119" s="62"/>
      <c r="M119" s="62"/>
      <c r="N119" s="61"/>
      <c r="O119" s="61"/>
      <c r="P119" s="61"/>
      <c r="IB119" s="49"/>
      <c r="IC119" s="49"/>
      <c r="ID119" s="49"/>
      <c r="IE119" s="49"/>
      <c r="IF119" s="49"/>
      <c r="IG119" s="49"/>
    </row>
    <row r="120" spans="1:241" s="48" customFormat="1" ht="22.5">
      <c r="A120" s="54" t="s">
        <v>14</v>
      </c>
      <c r="B120" s="58"/>
      <c r="C120" s="58"/>
      <c r="D120" s="61"/>
      <c r="E120" s="61"/>
      <c r="F120" s="61">
        <f>D120</f>
        <v>0</v>
      </c>
      <c r="G120" s="61"/>
      <c r="H120" s="61"/>
      <c r="I120" s="61"/>
      <c r="J120" s="61">
        <f>G120</f>
        <v>0</v>
      </c>
      <c r="K120" s="62"/>
      <c r="L120" s="62"/>
      <c r="M120" s="62"/>
      <c r="N120" s="61"/>
      <c r="O120" s="61"/>
      <c r="P120" s="61">
        <f>N120</f>
        <v>0</v>
      </c>
      <c r="IB120" s="49"/>
      <c r="IC120" s="49"/>
      <c r="ID120" s="49"/>
      <c r="IE120" s="49"/>
      <c r="IF120" s="49"/>
      <c r="IG120" s="49"/>
    </row>
    <row r="121" spans="1:241" s="48" customFormat="1" ht="27.75" customHeight="1">
      <c r="A121" s="54" t="s">
        <v>103</v>
      </c>
      <c r="B121" s="58"/>
      <c r="C121" s="60"/>
      <c r="D121" s="61"/>
      <c r="E121" s="61">
        <v>8</v>
      </c>
      <c r="F121" s="61">
        <f>E121</f>
        <v>8</v>
      </c>
      <c r="G121" s="61"/>
      <c r="H121" s="61">
        <v>3</v>
      </c>
      <c r="I121" s="61"/>
      <c r="J121" s="61">
        <v>3</v>
      </c>
      <c r="K121" s="62"/>
      <c r="L121" s="62"/>
      <c r="M121" s="62"/>
      <c r="N121" s="61"/>
      <c r="O121" s="61">
        <v>5</v>
      </c>
      <c r="P121" s="61">
        <f>O121</f>
        <v>5</v>
      </c>
      <c r="IB121" s="49"/>
      <c r="IC121" s="49"/>
      <c r="ID121" s="49"/>
      <c r="IE121" s="49"/>
      <c r="IF121" s="49"/>
      <c r="IG121" s="49"/>
    </row>
    <row r="122" spans="1:241" s="48" customFormat="1" ht="27" customHeight="1">
      <c r="A122" s="54" t="s">
        <v>104</v>
      </c>
      <c r="B122" s="58"/>
      <c r="C122" s="60"/>
      <c r="D122" s="61">
        <v>56</v>
      </c>
      <c r="E122" s="61"/>
      <c r="F122" s="61">
        <f>D122</f>
        <v>56</v>
      </c>
      <c r="G122" s="61">
        <v>42</v>
      </c>
      <c r="H122" s="61"/>
      <c r="I122" s="61"/>
      <c r="J122" s="61">
        <f>G122</f>
        <v>42</v>
      </c>
      <c r="K122" s="62"/>
      <c r="L122" s="62"/>
      <c r="M122" s="62"/>
      <c r="N122" s="61">
        <v>67</v>
      </c>
      <c r="O122" s="61"/>
      <c r="P122" s="61">
        <f>N122</f>
        <v>67</v>
      </c>
      <c r="IB122" s="49"/>
      <c r="IC122" s="49"/>
      <c r="ID122" s="49"/>
      <c r="IE122" s="49"/>
      <c r="IF122" s="49"/>
      <c r="IG122" s="49"/>
    </row>
    <row r="123" spans="1:241" s="48" customFormat="1" ht="22.5">
      <c r="A123" s="54" t="s">
        <v>42</v>
      </c>
      <c r="B123" s="58"/>
      <c r="C123" s="60"/>
      <c r="D123" s="61">
        <v>300</v>
      </c>
      <c r="E123" s="61"/>
      <c r="F123" s="61">
        <f>D123</f>
        <v>300</v>
      </c>
      <c r="G123" s="61">
        <v>300</v>
      </c>
      <c r="H123" s="61"/>
      <c r="I123" s="61"/>
      <c r="J123" s="61">
        <f>G123</f>
        <v>300</v>
      </c>
      <c r="K123" s="62"/>
      <c r="L123" s="62"/>
      <c r="M123" s="62"/>
      <c r="N123" s="61">
        <v>300</v>
      </c>
      <c r="O123" s="61"/>
      <c r="P123" s="61">
        <v>300</v>
      </c>
      <c r="IB123" s="49"/>
      <c r="IC123" s="49"/>
      <c r="ID123" s="49"/>
      <c r="IE123" s="49"/>
      <c r="IF123" s="49"/>
      <c r="IG123" s="49"/>
    </row>
    <row r="124" spans="1:241" s="48" customFormat="1" ht="22.5">
      <c r="A124" s="54" t="s">
        <v>46</v>
      </c>
      <c r="B124" s="58"/>
      <c r="C124" s="60"/>
      <c r="D124" s="61">
        <v>300</v>
      </c>
      <c r="E124" s="61"/>
      <c r="F124" s="61">
        <f>D124</f>
        <v>300</v>
      </c>
      <c r="G124" s="61">
        <v>300</v>
      </c>
      <c r="H124" s="61"/>
      <c r="I124" s="61"/>
      <c r="J124" s="61">
        <v>300</v>
      </c>
      <c r="K124" s="62"/>
      <c r="L124" s="62"/>
      <c r="M124" s="62"/>
      <c r="N124" s="61">
        <v>300</v>
      </c>
      <c r="O124" s="61"/>
      <c r="P124" s="61">
        <f>N124</f>
        <v>300</v>
      </c>
      <c r="IB124" s="49"/>
      <c r="IC124" s="49"/>
      <c r="ID124" s="49"/>
      <c r="IE124" s="49"/>
      <c r="IF124" s="49"/>
      <c r="IG124" s="49"/>
    </row>
    <row r="125" spans="1:241" s="48" customFormat="1" ht="22.5">
      <c r="A125" s="54" t="s">
        <v>13</v>
      </c>
      <c r="B125" s="58"/>
      <c r="C125" s="60"/>
      <c r="D125" s="61">
        <v>37400</v>
      </c>
      <c r="E125" s="61"/>
      <c r="F125" s="61">
        <f aca="true" t="shared" si="12" ref="F125:F140">D125</f>
        <v>37400</v>
      </c>
      <c r="G125" s="61">
        <v>37400</v>
      </c>
      <c r="H125" s="61"/>
      <c r="I125" s="61"/>
      <c r="J125" s="61">
        <f>G125</f>
        <v>37400</v>
      </c>
      <c r="K125" s="62"/>
      <c r="L125" s="62"/>
      <c r="M125" s="62"/>
      <c r="N125" s="61">
        <v>37400</v>
      </c>
      <c r="O125" s="61"/>
      <c r="P125" s="61">
        <f>N125</f>
        <v>37400</v>
      </c>
      <c r="IB125" s="49"/>
      <c r="IC125" s="49"/>
      <c r="ID125" s="49"/>
      <c r="IE125" s="49"/>
      <c r="IF125" s="49"/>
      <c r="IG125" s="49"/>
    </row>
    <row r="126" spans="1:241" s="48" customFormat="1" ht="12">
      <c r="A126" s="53" t="s">
        <v>7</v>
      </c>
      <c r="B126" s="60"/>
      <c r="C126" s="60"/>
      <c r="D126" s="61"/>
      <c r="E126" s="61"/>
      <c r="F126" s="61">
        <f t="shared" si="12"/>
        <v>0</v>
      </c>
      <c r="G126" s="61"/>
      <c r="H126" s="61"/>
      <c r="I126" s="61"/>
      <c r="J126" s="61"/>
      <c r="K126" s="62"/>
      <c r="L126" s="62"/>
      <c r="M126" s="62"/>
      <c r="N126" s="61"/>
      <c r="O126" s="61"/>
      <c r="P126" s="61"/>
      <c r="IB126" s="49"/>
      <c r="IC126" s="49"/>
      <c r="ID126" s="49"/>
      <c r="IE126" s="49"/>
      <c r="IF126" s="49"/>
      <c r="IG126" s="49"/>
    </row>
    <row r="127" spans="1:241" s="48" customFormat="1" ht="22.5" customHeight="1">
      <c r="A127" s="54" t="s">
        <v>16</v>
      </c>
      <c r="B127" s="58"/>
      <c r="C127" s="58"/>
      <c r="D127" s="61"/>
      <c r="E127" s="61"/>
      <c r="F127" s="61">
        <f t="shared" si="12"/>
        <v>0</v>
      </c>
      <c r="G127" s="61"/>
      <c r="H127" s="61"/>
      <c r="I127" s="61"/>
      <c r="J127" s="61">
        <f>G127</f>
        <v>0</v>
      </c>
      <c r="K127" s="62"/>
      <c r="L127" s="62"/>
      <c r="M127" s="62"/>
      <c r="N127" s="61"/>
      <c r="O127" s="61"/>
      <c r="P127" s="61">
        <f>N127</f>
        <v>0</v>
      </c>
      <c r="IB127" s="49"/>
      <c r="IC127" s="49"/>
      <c r="ID127" s="49"/>
      <c r="IE127" s="49"/>
      <c r="IF127" s="49"/>
      <c r="IG127" s="49"/>
    </row>
    <row r="128" spans="1:241" s="48"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49"/>
      <c r="IC128" s="49"/>
      <c r="ID128" s="49"/>
      <c r="IE128" s="49"/>
      <c r="IF128" s="49"/>
      <c r="IG128" s="49"/>
    </row>
    <row r="129" spans="1:241" s="48" customFormat="1" ht="22.5">
      <c r="A129" s="54" t="s">
        <v>106</v>
      </c>
      <c r="B129" s="58"/>
      <c r="C129" s="58"/>
      <c r="D129" s="61">
        <v>10000</v>
      </c>
      <c r="E129" s="61"/>
      <c r="F129" s="61">
        <f t="shared" si="12"/>
        <v>10000</v>
      </c>
      <c r="G129" s="61">
        <v>23980.9523809</v>
      </c>
      <c r="H129" s="61"/>
      <c r="I129" s="61"/>
      <c r="J129" s="61">
        <f aca="true" t="shared" si="13" ref="J129:J134">G129</f>
        <v>23980.9523809</v>
      </c>
      <c r="K129" s="62"/>
      <c r="L129" s="62"/>
      <c r="M129" s="62"/>
      <c r="N129" s="61">
        <v>17021.75194</v>
      </c>
      <c r="O129" s="61"/>
      <c r="P129" s="61">
        <f aca="true" t="shared" si="14" ref="P129:P134">N129</f>
        <v>17021.75194</v>
      </c>
      <c r="IB129" s="49"/>
      <c r="IC129" s="49"/>
      <c r="ID129" s="49"/>
      <c r="IE129" s="49"/>
      <c r="IF129" s="49"/>
      <c r="IG129" s="49"/>
    </row>
    <row r="130" spans="1:241" s="48" customFormat="1" ht="27" customHeight="1">
      <c r="A130" s="54" t="s">
        <v>43</v>
      </c>
      <c r="B130" s="58"/>
      <c r="C130" s="58"/>
      <c r="D130" s="61">
        <v>300</v>
      </c>
      <c r="E130" s="61"/>
      <c r="F130" s="61">
        <f>D130</f>
        <v>300</v>
      </c>
      <c r="G130" s="61">
        <v>300</v>
      </c>
      <c r="H130" s="61"/>
      <c r="I130" s="61"/>
      <c r="J130" s="61">
        <f t="shared" si="13"/>
        <v>300</v>
      </c>
      <c r="K130" s="62"/>
      <c r="L130" s="62"/>
      <c r="M130" s="62"/>
      <c r="N130" s="61">
        <v>350</v>
      </c>
      <c r="O130" s="61"/>
      <c r="P130" s="61">
        <f t="shared" si="14"/>
        <v>350</v>
      </c>
      <c r="IB130" s="49"/>
      <c r="IC130" s="49"/>
      <c r="ID130" s="49"/>
      <c r="IE130" s="49"/>
      <c r="IF130" s="49"/>
      <c r="IG130" s="49"/>
    </row>
    <row r="131" spans="1:241" s="48" customFormat="1" ht="27" customHeight="1">
      <c r="A131" s="54" t="s">
        <v>19</v>
      </c>
      <c r="B131" s="58"/>
      <c r="C131" s="58"/>
      <c r="D131" s="61">
        <v>300</v>
      </c>
      <c r="E131" s="61"/>
      <c r="F131" s="61">
        <f t="shared" si="12"/>
        <v>300</v>
      </c>
      <c r="G131" s="61">
        <v>300</v>
      </c>
      <c r="H131" s="61"/>
      <c r="I131" s="61"/>
      <c r="J131" s="61">
        <f t="shared" si="13"/>
        <v>300</v>
      </c>
      <c r="K131" s="62"/>
      <c r="L131" s="62"/>
      <c r="M131" s="62"/>
      <c r="N131" s="61">
        <v>350</v>
      </c>
      <c r="O131" s="61"/>
      <c r="P131" s="61">
        <f t="shared" si="14"/>
        <v>350</v>
      </c>
      <c r="IB131" s="49"/>
      <c r="IC131" s="49"/>
      <c r="ID131" s="49"/>
      <c r="IE131" s="49"/>
      <c r="IF131" s="49"/>
      <c r="IG131" s="49"/>
    </row>
    <row r="132" spans="1:241" s="48" customFormat="1" ht="22.5">
      <c r="A132" s="54" t="s">
        <v>15</v>
      </c>
      <c r="B132" s="58"/>
      <c r="C132" s="58"/>
      <c r="D132" s="61">
        <v>40</v>
      </c>
      <c r="E132" s="61"/>
      <c r="F132" s="61">
        <f t="shared" si="12"/>
        <v>40</v>
      </c>
      <c r="G132" s="61">
        <v>40</v>
      </c>
      <c r="H132" s="61"/>
      <c r="I132" s="61"/>
      <c r="J132" s="61">
        <f t="shared" si="13"/>
        <v>40</v>
      </c>
      <c r="K132" s="62"/>
      <c r="L132" s="62"/>
      <c r="M132" s="62"/>
      <c r="N132" s="61">
        <v>50</v>
      </c>
      <c r="O132" s="61"/>
      <c r="P132" s="61">
        <f t="shared" si="14"/>
        <v>50</v>
      </c>
      <c r="S132" s="48">
        <f>1277*64*1.65</f>
        <v>134851.19999999998</v>
      </c>
      <c r="IB132" s="49"/>
      <c r="IC132" s="49"/>
      <c r="ID132" s="49"/>
      <c r="IE132" s="49"/>
      <c r="IF132" s="49"/>
      <c r="IG132" s="49"/>
    </row>
    <row r="133" spans="1:241" s="48" customFormat="1" ht="22.5">
      <c r="A133" s="54" t="s">
        <v>73</v>
      </c>
      <c r="B133" s="58"/>
      <c r="C133" s="58"/>
      <c r="D133" s="61">
        <v>1312.5</v>
      </c>
      <c r="E133" s="61"/>
      <c r="F133" s="61">
        <f>D133</f>
        <v>1312.5</v>
      </c>
      <c r="G133" s="61">
        <v>2488.30865</v>
      </c>
      <c r="H133" s="61"/>
      <c r="I133" s="61"/>
      <c r="J133" s="61">
        <f t="shared" si="13"/>
        <v>2488.30865</v>
      </c>
      <c r="K133" s="62"/>
      <c r="L133" s="62"/>
      <c r="M133" s="62"/>
      <c r="N133" s="61">
        <v>1342</v>
      </c>
      <c r="O133" s="61"/>
      <c r="P133" s="61">
        <f t="shared" si="14"/>
        <v>1342</v>
      </c>
      <c r="S133" s="48">
        <f>21572/4</f>
        <v>5393</v>
      </c>
      <c r="IB133" s="49"/>
      <c r="IC133" s="49"/>
      <c r="ID133" s="49"/>
      <c r="IE133" s="49"/>
      <c r="IF133" s="49"/>
      <c r="IG133" s="49"/>
    </row>
    <row r="134" spans="1:241" s="48"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49"/>
      <c r="IC134" s="49"/>
      <c r="ID134" s="49"/>
      <c r="IE134" s="49"/>
      <c r="IF134" s="49"/>
      <c r="IG134" s="49"/>
    </row>
    <row r="135" spans="1:241" s="48" customFormat="1" ht="12">
      <c r="A135" s="53" t="s">
        <v>6</v>
      </c>
      <c r="B135" s="60"/>
      <c r="C135" s="60"/>
      <c r="D135" s="61"/>
      <c r="E135" s="61"/>
      <c r="F135" s="61"/>
      <c r="G135" s="61"/>
      <c r="H135" s="61"/>
      <c r="I135" s="61"/>
      <c r="J135" s="61"/>
      <c r="K135" s="62"/>
      <c r="L135" s="62"/>
      <c r="M135" s="62"/>
      <c r="N135" s="61"/>
      <c r="O135" s="61"/>
      <c r="P135" s="61"/>
      <c r="IB135" s="49"/>
      <c r="IC135" s="49"/>
      <c r="ID135" s="49"/>
      <c r="IE135" s="49"/>
      <c r="IF135" s="49"/>
      <c r="IG135" s="49"/>
    </row>
    <row r="136" spans="1:241" s="48" customFormat="1" ht="22.5" customHeight="1">
      <c r="A136" s="54" t="s">
        <v>45</v>
      </c>
      <c r="B136" s="58"/>
      <c r="C136" s="58"/>
      <c r="D136" s="61"/>
      <c r="E136" s="61"/>
      <c r="F136" s="61">
        <f t="shared" si="12"/>
        <v>0</v>
      </c>
      <c r="G136" s="61"/>
      <c r="H136" s="61"/>
      <c r="I136" s="61"/>
      <c r="J136" s="61"/>
      <c r="K136" s="62"/>
      <c r="L136" s="62"/>
      <c r="M136" s="62"/>
      <c r="N136" s="61"/>
      <c r="O136" s="61"/>
      <c r="P136" s="61"/>
      <c r="IB136" s="49"/>
      <c r="IC136" s="49"/>
      <c r="ID136" s="49"/>
      <c r="IE136" s="49"/>
      <c r="IF136" s="49"/>
      <c r="IG136" s="49"/>
    </row>
    <row r="137" spans="1:241" s="48" customFormat="1" ht="30.75" customHeight="1">
      <c r="A137" s="54" t="s">
        <v>107</v>
      </c>
      <c r="B137" s="58"/>
      <c r="C137" s="58"/>
      <c r="D137" s="61">
        <v>100</v>
      </c>
      <c r="E137" s="61"/>
      <c r="F137" s="61">
        <f t="shared" si="12"/>
        <v>100</v>
      </c>
      <c r="G137" s="61">
        <v>100</v>
      </c>
      <c r="H137" s="61"/>
      <c r="I137" s="61"/>
      <c r="J137" s="61">
        <v>100</v>
      </c>
      <c r="K137" s="62"/>
      <c r="L137" s="62"/>
      <c r="M137" s="62"/>
      <c r="N137" s="61">
        <v>100</v>
      </c>
      <c r="O137" s="61"/>
      <c r="P137" s="61">
        <v>100</v>
      </c>
      <c r="IB137" s="49"/>
      <c r="IC137" s="49"/>
      <c r="ID137" s="49"/>
      <c r="IE137" s="49"/>
      <c r="IF137" s="49"/>
      <c r="IG137" s="49"/>
    </row>
    <row r="138" spans="1:241" s="48" customFormat="1" ht="22.5" customHeight="1">
      <c r="A138" s="54" t="s">
        <v>47</v>
      </c>
      <c r="B138" s="58"/>
      <c r="C138" s="58"/>
      <c r="D138" s="61"/>
      <c r="E138" s="61"/>
      <c r="F138" s="61">
        <f t="shared" si="12"/>
        <v>0</v>
      </c>
      <c r="G138" s="61"/>
      <c r="H138" s="61"/>
      <c r="I138" s="61"/>
      <c r="J138" s="61"/>
      <c r="K138" s="62"/>
      <c r="L138" s="62"/>
      <c r="M138" s="62"/>
      <c r="N138" s="61"/>
      <c r="O138" s="61"/>
      <c r="P138" s="61"/>
      <c r="IB138" s="49"/>
      <c r="IC138" s="49"/>
      <c r="ID138" s="49"/>
      <c r="IE138" s="49"/>
      <c r="IF138" s="49"/>
      <c r="IG138" s="49"/>
    </row>
    <row r="139" spans="1:241" s="48" customFormat="1" ht="23.25" customHeight="1">
      <c r="A139" s="54" t="s">
        <v>21</v>
      </c>
      <c r="B139" s="58"/>
      <c r="C139" s="58"/>
      <c r="D139" s="61">
        <v>100</v>
      </c>
      <c r="E139" s="61"/>
      <c r="F139" s="61">
        <f t="shared" si="12"/>
        <v>100</v>
      </c>
      <c r="G139" s="61">
        <v>100</v>
      </c>
      <c r="H139" s="61"/>
      <c r="I139" s="61"/>
      <c r="J139" s="61">
        <v>100</v>
      </c>
      <c r="K139" s="62"/>
      <c r="L139" s="62"/>
      <c r="M139" s="62"/>
      <c r="N139" s="61">
        <v>100</v>
      </c>
      <c r="O139" s="61"/>
      <c r="P139" s="61">
        <v>100</v>
      </c>
      <c r="IB139" s="49"/>
      <c r="IC139" s="49"/>
      <c r="ID139" s="49"/>
      <c r="IE139" s="49"/>
      <c r="IF139" s="49"/>
      <c r="IG139" s="49"/>
    </row>
    <row r="140" spans="1:241" s="48" customFormat="1" ht="30" customHeight="1">
      <c r="A140" s="54" t="s">
        <v>57</v>
      </c>
      <c r="B140" s="58"/>
      <c r="C140" s="58"/>
      <c r="D140" s="61">
        <v>100</v>
      </c>
      <c r="E140" s="61"/>
      <c r="F140" s="61">
        <f t="shared" si="12"/>
        <v>100</v>
      </c>
      <c r="G140" s="61">
        <f>G125/G117*100</f>
        <v>100</v>
      </c>
      <c r="H140" s="61"/>
      <c r="I140" s="61"/>
      <c r="J140" s="61">
        <f>J125/J117*100</f>
        <v>100</v>
      </c>
      <c r="K140" s="62"/>
      <c r="L140" s="62"/>
      <c r="M140" s="62"/>
      <c r="N140" s="61">
        <f>N125/N117*100</f>
        <v>100</v>
      </c>
      <c r="O140" s="61"/>
      <c r="P140" s="61">
        <f>P125/P117*100</f>
        <v>100</v>
      </c>
      <c r="IB140" s="49"/>
      <c r="IC140" s="49"/>
      <c r="ID140" s="49"/>
      <c r="IE140" s="49"/>
      <c r="IF140" s="49"/>
      <c r="IG140" s="49"/>
    </row>
    <row r="141" spans="1:241" s="90" customFormat="1" ht="24" customHeight="1">
      <c r="A141" s="81" t="s">
        <v>352</v>
      </c>
      <c r="B141" s="87"/>
      <c r="C141" s="87"/>
      <c r="D141" s="88">
        <f>(D152*D158)+(D153*D159)+(D155*D161)+(D154*D160)+(D156*D163)+100</f>
        <v>10575000</v>
      </c>
      <c r="E141" s="88">
        <f>(E152*E158)+(E153*E159)+(E155*E161)+(E154*E160)+(E156*E163)+4.4</f>
        <v>6200000.000000001</v>
      </c>
      <c r="F141" s="88">
        <f>D141+E141</f>
        <v>16775000</v>
      </c>
      <c r="G141" s="88">
        <f>(G152*G158)+(G153*G159)+(G155*G161)+(G154*G160)+(G156*G163)</f>
        <v>18319999.999072</v>
      </c>
      <c r="H141" s="88">
        <f>(H152*H158)+(H153*H159)+(H155*H161)+(H154*H160)+(H156*H163)+6.2-774.52+1700000+100000</f>
        <v>11800000</v>
      </c>
      <c r="I141" s="88"/>
      <c r="J141" s="88">
        <f>G141+H141</f>
        <v>30119999.999072</v>
      </c>
      <c r="K141" s="88">
        <f>(K152*K158)+(K153*K159)+(K155*K161)+(K154*K160)+(K156*K163)+100</f>
        <v>100</v>
      </c>
      <c r="L141" s="88">
        <f>(L152*L158)+(L153*L159)+(L155*L161)+(L154*L160)+(L156*L163)+100</f>
        <v>100</v>
      </c>
      <c r="M141" s="88">
        <f>(M152*M158)+(M153*M159)+(M155*M161)+(M154*M160)+(M156*M163)+100</f>
        <v>100</v>
      </c>
      <c r="N141" s="88">
        <f>(N152*N158)+(N153*N159)+(N155*N161)+(N154*N160)+(N156*N163)-358935.2</f>
        <v>33000000</v>
      </c>
      <c r="O141" s="88">
        <f>(O152*O158)+(O153*O159)+(O155*O161)+(O154*O160)+(O156*O163)</f>
        <v>11000000.0019</v>
      </c>
      <c r="P141" s="88">
        <f>N141+O141</f>
        <v>44000000.0019</v>
      </c>
      <c r="IB141" s="91"/>
      <c r="IC141" s="91"/>
      <c r="ID141" s="91"/>
      <c r="IE141" s="91"/>
      <c r="IF141" s="91"/>
      <c r="IG141" s="91"/>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3" t="s">
        <v>4</v>
      </c>
      <c r="B143" s="60"/>
      <c r="C143" s="60"/>
      <c r="D143" s="127"/>
      <c r="E143" s="127"/>
      <c r="F143" s="127"/>
      <c r="G143" s="127"/>
      <c r="H143" s="127"/>
      <c r="I143" s="127"/>
      <c r="J143" s="127"/>
      <c r="K143" s="62"/>
      <c r="L143" s="62"/>
      <c r="M143" s="62"/>
      <c r="N143" s="127"/>
      <c r="O143" s="127"/>
      <c r="P143" s="127"/>
      <c r="IB143"/>
      <c r="IC143"/>
      <c r="ID143"/>
      <c r="IE143"/>
      <c r="IF143"/>
      <c r="IG143"/>
    </row>
    <row r="144" spans="1:241" s="1" customFormat="1" ht="21" customHeight="1">
      <c r="A144" s="54" t="s">
        <v>109</v>
      </c>
      <c r="B144" s="58"/>
      <c r="C144" s="58"/>
      <c r="D144" s="61">
        <v>600.663</v>
      </c>
      <c r="E144" s="61"/>
      <c r="F144" s="61">
        <f>D144</f>
        <v>600.663</v>
      </c>
      <c r="G144" s="61">
        <f>D144</f>
        <v>600.663</v>
      </c>
      <c r="H144" s="61"/>
      <c r="I144" s="61"/>
      <c r="J144" s="61">
        <f>G144</f>
        <v>600.663</v>
      </c>
      <c r="K144" s="62"/>
      <c r="L144" s="62"/>
      <c r="M144" s="62"/>
      <c r="N144" s="61">
        <f>J144</f>
        <v>600.663</v>
      </c>
      <c r="O144" s="61"/>
      <c r="P144" s="61">
        <f>N144</f>
        <v>600.663</v>
      </c>
      <c r="IB144"/>
      <c r="IC144"/>
      <c r="ID144"/>
      <c r="IE144"/>
      <c r="IF144"/>
      <c r="IG144"/>
    </row>
    <row r="145" spans="1:241" s="1" customFormat="1" ht="27" customHeight="1">
      <c r="A145" s="54" t="s">
        <v>110</v>
      </c>
      <c r="B145" s="58"/>
      <c r="C145" s="58"/>
      <c r="D145" s="61"/>
      <c r="E145" s="61">
        <v>427.5</v>
      </c>
      <c r="F145" s="61">
        <f>E145</f>
        <v>427.5</v>
      </c>
      <c r="G145" s="61"/>
      <c r="H145" s="61">
        <v>427.5</v>
      </c>
      <c r="I145" s="61"/>
      <c r="J145" s="61">
        <f>H145</f>
        <v>427.5</v>
      </c>
      <c r="K145" s="62"/>
      <c r="L145" s="62"/>
      <c r="M145" s="62"/>
      <c r="N145" s="61"/>
      <c r="O145" s="61">
        <v>427.5</v>
      </c>
      <c r="P145" s="61">
        <f>O145</f>
        <v>427.5</v>
      </c>
      <c r="IB145"/>
      <c r="IC145"/>
      <c r="ID145"/>
      <c r="IE145"/>
      <c r="IF145"/>
      <c r="IG145"/>
    </row>
    <row r="146" spans="1:241" s="1" customFormat="1" ht="30.75" customHeight="1">
      <c r="A146" s="54" t="s">
        <v>111</v>
      </c>
      <c r="B146" s="58"/>
      <c r="C146" s="58"/>
      <c r="D146" s="61">
        <v>97.9</v>
      </c>
      <c r="E146" s="61"/>
      <c r="F146" s="61">
        <f>D146</f>
        <v>97.9</v>
      </c>
      <c r="G146" s="61">
        <v>97.9</v>
      </c>
      <c r="H146" s="61"/>
      <c r="I146" s="61"/>
      <c r="J146" s="61">
        <f>G146</f>
        <v>97.9</v>
      </c>
      <c r="K146" s="62"/>
      <c r="L146" s="62"/>
      <c r="M146" s="62"/>
      <c r="N146" s="61">
        <v>97.9</v>
      </c>
      <c r="O146" s="61"/>
      <c r="P146" s="61">
        <f>N146</f>
        <v>97.9</v>
      </c>
      <c r="IB146"/>
      <c r="IC146"/>
      <c r="ID146"/>
      <c r="IE146"/>
      <c r="IF146"/>
      <c r="IG146"/>
    </row>
    <row r="147" spans="1:241" s="1" customFormat="1" ht="25.5" customHeight="1">
      <c r="A147" s="54" t="s">
        <v>112</v>
      </c>
      <c r="B147" s="58"/>
      <c r="C147" s="58"/>
      <c r="D147" s="61">
        <v>15870</v>
      </c>
      <c r="E147" s="61"/>
      <c r="F147" s="61">
        <f>D147</f>
        <v>15870</v>
      </c>
      <c r="G147" s="61">
        <v>15920</v>
      </c>
      <c r="H147" s="61"/>
      <c r="I147" s="61"/>
      <c r="J147" s="61">
        <f aca="true" t="shared" si="15" ref="J147:J165">G147</f>
        <v>15920</v>
      </c>
      <c r="K147" s="62"/>
      <c r="L147" s="62"/>
      <c r="M147" s="62"/>
      <c r="N147" s="61">
        <v>15920</v>
      </c>
      <c r="O147" s="61"/>
      <c r="P147" s="61">
        <f aca="true" t="shared" si="16" ref="P147:P165">N147</f>
        <v>15920</v>
      </c>
      <c r="IB147"/>
      <c r="IC147"/>
      <c r="ID147"/>
      <c r="IE147"/>
      <c r="IF147"/>
      <c r="IG147"/>
    </row>
    <row r="148" spans="1:241" s="1" customFormat="1" ht="22.5">
      <c r="A148" s="54" t="s">
        <v>113</v>
      </c>
      <c r="B148" s="58"/>
      <c r="C148" s="58"/>
      <c r="D148" s="61">
        <v>8286</v>
      </c>
      <c r="E148" s="61"/>
      <c r="F148" s="61">
        <f>D148</f>
        <v>8286</v>
      </c>
      <c r="G148" s="61">
        <f>F148</f>
        <v>8286</v>
      </c>
      <c r="H148" s="61"/>
      <c r="I148" s="61"/>
      <c r="J148" s="61">
        <f t="shared" si="15"/>
        <v>8286</v>
      </c>
      <c r="K148" s="62"/>
      <c r="L148" s="62"/>
      <c r="M148" s="62"/>
      <c r="N148" s="61">
        <f>G148</f>
        <v>8286</v>
      </c>
      <c r="O148" s="61"/>
      <c r="P148" s="61">
        <f t="shared" si="16"/>
        <v>8286</v>
      </c>
      <c r="IB148"/>
      <c r="IC148"/>
      <c r="ID148"/>
      <c r="IE148"/>
      <c r="IF148"/>
      <c r="IG148"/>
    </row>
    <row r="149" spans="1:241" s="1" customFormat="1" ht="29.25" customHeight="1">
      <c r="A149" s="54" t="s">
        <v>114</v>
      </c>
      <c r="B149" s="58"/>
      <c r="C149" s="58"/>
      <c r="D149" s="61">
        <v>7800</v>
      </c>
      <c r="E149" s="61"/>
      <c r="F149" s="61">
        <f>D149</f>
        <v>7800</v>
      </c>
      <c r="G149" s="61">
        <f>F149</f>
        <v>7800</v>
      </c>
      <c r="H149" s="61"/>
      <c r="I149" s="61"/>
      <c r="J149" s="61">
        <f>G149</f>
        <v>7800</v>
      </c>
      <c r="K149" s="62"/>
      <c r="L149" s="62"/>
      <c r="M149" s="62"/>
      <c r="N149" s="61">
        <v>7800</v>
      </c>
      <c r="O149" s="61"/>
      <c r="P149" s="61">
        <f>N149</f>
        <v>7800</v>
      </c>
      <c r="IB149"/>
      <c r="IC149"/>
      <c r="ID149"/>
      <c r="IE149"/>
      <c r="IF149"/>
      <c r="IG149"/>
    </row>
    <row r="150" spans="1:241" s="1" customFormat="1" ht="12">
      <c r="A150" s="53" t="s">
        <v>5</v>
      </c>
      <c r="B150" s="60"/>
      <c r="C150" s="60"/>
      <c r="D150" s="127"/>
      <c r="E150" s="127"/>
      <c r="F150" s="61"/>
      <c r="G150" s="127"/>
      <c r="H150" s="127"/>
      <c r="I150" s="127"/>
      <c r="J150" s="61">
        <f t="shared" si="15"/>
        <v>0</v>
      </c>
      <c r="K150" s="62"/>
      <c r="L150" s="62"/>
      <c r="M150" s="62"/>
      <c r="N150" s="127"/>
      <c r="O150" s="127"/>
      <c r="P150" s="61">
        <f t="shared" si="16"/>
        <v>0</v>
      </c>
      <c r="IB150"/>
      <c r="IC150"/>
      <c r="ID150"/>
      <c r="IE150"/>
      <c r="IF150"/>
      <c r="IG150"/>
    </row>
    <row r="151" spans="1:241" s="1" customFormat="1" ht="22.5" customHeight="1">
      <c r="A151" s="54" t="s">
        <v>24</v>
      </c>
      <c r="B151" s="58"/>
      <c r="C151" s="58"/>
      <c r="D151" s="61"/>
      <c r="E151" s="61"/>
      <c r="F151" s="61"/>
      <c r="G151" s="61"/>
      <c r="H151" s="61"/>
      <c r="I151" s="61"/>
      <c r="J151" s="61">
        <f t="shared" si="15"/>
        <v>0</v>
      </c>
      <c r="K151" s="62"/>
      <c r="L151" s="62"/>
      <c r="M151" s="62"/>
      <c r="N151" s="61"/>
      <c r="O151" s="61"/>
      <c r="P151" s="61">
        <f t="shared" si="16"/>
        <v>0</v>
      </c>
      <c r="IB151"/>
      <c r="IC151"/>
      <c r="ID151"/>
      <c r="IE151"/>
      <c r="IF151"/>
      <c r="IG151"/>
    </row>
    <row r="152" spans="1:241" s="1" customFormat="1" ht="29.25" customHeight="1">
      <c r="A152" s="54" t="s">
        <v>115</v>
      </c>
      <c r="B152" s="58"/>
      <c r="C152" s="58"/>
      <c r="D152" s="61">
        <v>3</v>
      </c>
      <c r="E152" s="61"/>
      <c r="F152" s="61">
        <f>D152</f>
        <v>3</v>
      </c>
      <c r="G152" s="61">
        <v>4</v>
      </c>
      <c r="H152" s="61"/>
      <c r="I152" s="61"/>
      <c r="J152" s="61">
        <f>G152</f>
        <v>4</v>
      </c>
      <c r="K152" s="62"/>
      <c r="L152" s="62"/>
      <c r="M152" s="62"/>
      <c r="N152" s="61">
        <v>5</v>
      </c>
      <c r="O152" s="61"/>
      <c r="P152" s="61">
        <f>N152</f>
        <v>5</v>
      </c>
      <c r="IB152"/>
      <c r="IC152"/>
      <c r="ID152"/>
      <c r="IE152"/>
      <c r="IF152"/>
      <c r="IG152"/>
    </row>
    <row r="153" spans="1:241" s="1" customFormat="1" ht="30" customHeight="1">
      <c r="A153" s="54" t="s">
        <v>116</v>
      </c>
      <c r="B153" s="58"/>
      <c r="C153" s="58"/>
      <c r="D153" s="61"/>
      <c r="E153" s="61">
        <v>18.8</v>
      </c>
      <c r="F153" s="61">
        <f>E153</f>
        <v>18.8</v>
      </c>
      <c r="G153" s="61"/>
      <c r="H153" s="61">
        <v>27.84</v>
      </c>
      <c r="I153" s="61"/>
      <c r="J153" s="61">
        <f>H153</f>
        <v>27.84</v>
      </c>
      <c r="K153" s="62"/>
      <c r="L153" s="62"/>
      <c r="M153" s="62"/>
      <c r="N153" s="61"/>
      <c r="O153" s="61">
        <v>27.3</v>
      </c>
      <c r="P153" s="61">
        <f>O153</f>
        <v>27.3</v>
      </c>
      <c r="IB153"/>
      <c r="IC153"/>
      <c r="ID153"/>
      <c r="IE153"/>
      <c r="IF153"/>
      <c r="IG153"/>
    </row>
    <row r="154" spans="1:241" s="1" customFormat="1" ht="26.25" customHeight="1">
      <c r="A154" s="54" t="s">
        <v>157</v>
      </c>
      <c r="B154" s="58"/>
      <c r="C154" s="58"/>
      <c r="D154" s="61">
        <v>15870</v>
      </c>
      <c r="E154" s="61"/>
      <c r="F154" s="61">
        <f>D154</f>
        <v>15870</v>
      </c>
      <c r="G154" s="61">
        <f>G147</f>
        <v>15920</v>
      </c>
      <c r="H154" s="61"/>
      <c r="I154" s="61"/>
      <c r="J154" s="61">
        <f>G154</f>
        <v>15920</v>
      </c>
      <c r="K154" s="62"/>
      <c r="L154" s="62"/>
      <c r="M154" s="62"/>
      <c r="N154" s="61">
        <f>N147</f>
        <v>15920</v>
      </c>
      <c r="O154" s="61"/>
      <c r="P154" s="61">
        <f>N154</f>
        <v>15920</v>
      </c>
      <c r="IB154"/>
      <c r="IC154"/>
      <c r="ID154"/>
      <c r="IE154"/>
      <c r="IF154"/>
      <c r="IG154"/>
    </row>
    <row r="155" spans="1:241" s="1" customFormat="1" ht="24.75" customHeight="1">
      <c r="A155" s="54" t="s">
        <v>117</v>
      </c>
      <c r="B155" s="58"/>
      <c r="C155" s="58"/>
      <c r="D155" s="61">
        <v>800</v>
      </c>
      <c r="E155" s="61"/>
      <c r="F155" s="61">
        <f aca="true" t="shared" si="17" ref="F155:F165">D155</f>
        <v>800</v>
      </c>
      <c r="G155" s="61">
        <v>900</v>
      </c>
      <c r="H155" s="61"/>
      <c r="I155" s="61"/>
      <c r="J155" s="61">
        <f t="shared" si="15"/>
        <v>900</v>
      </c>
      <c r="K155" s="62"/>
      <c r="L155" s="62"/>
      <c r="M155" s="62"/>
      <c r="N155" s="61">
        <f>1000+400</f>
        <v>1400</v>
      </c>
      <c r="O155" s="61"/>
      <c r="P155" s="61">
        <f t="shared" si="16"/>
        <v>1400</v>
      </c>
      <c r="IB155"/>
      <c r="IC155"/>
      <c r="ID155"/>
      <c r="IE155"/>
      <c r="IF155"/>
      <c r="IG155"/>
    </row>
    <row r="156" spans="1:241" s="1" customFormat="1" ht="24.75" customHeight="1">
      <c r="A156" s="54" t="s">
        <v>118</v>
      </c>
      <c r="B156" s="58"/>
      <c r="C156" s="58"/>
      <c r="D156" s="61">
        <v>7800000</v>
      </c>
      <c r="E156" s="61"/>
      <c r="F156" s="61">
        <f>D156</f>
        <v>7800000</v>
      </c>
      <c r="G156" s="61">
        <v>8316720</v>
      </c>
      <c r="H156" s="61"/>
      <c r="I156" s="61"/>
      <c r="J156" s="61">
        <f>G156</f>
        <v>8316720</v>
      </c>
      <c r="K156" s="62"/>
      <c r="L156" s="62"/>
      <c r="M156" s="62"/>
      <c r="N156" s="61">
        <v>8726223</v>
      </c>
      <c r="O156" s="61"/>
      <c r="P156" s="61">
        <f>N156</f>
        <v>8726223</v>
      </c>
      <c r="IB156"/>
      <c r="IC156"/>
      <c r="ID156"/>
      <c r="IE156"/>
      <c r="IF156"/>
      <c r="IG156"/>
    </row>
    <row r="157" spans="1:241" s="1" customFormat="1" ht="12">
      <c r="A157" s="53" t="s">
        <v>7</v>
      </c>
      <c r="B157" s="60"/>
      <c r="C157" s="60"/>
      <c r="D157" s="127"/>
      <c r="E157" s="127"/>
      <c r="F157" s="61">
        <f t="shared" si="17"/>
        <v>0</v>
      </c>
      <c r="G157" s="127"/>
      <c r="H157" s="127"/>
      <c r="I157" s="127"/>
      <c r="J157" s="61">
        <f t="shared" si="15"/>
        <v>0</v>
      </c>
      <c r="K157" s="62"/>
      <c r="L157" s="62"/>
      <c r="M157" s="62"/>
      <c r="N157" s="127"/>
      <c r="O157" s="127"/>
      <c r="P157" s="61">
        <f t="shared" si="16"/>
        <v>0</v>
      </c>
      <c r="IB157"/>
      <c r="IC157"/>
      <c r="ID157"/>
      <c r="IE157"/>
      <c r="IF157"/>
      <c r="IG157"/>
    </row>
    <row r="158" spans="1:241" s="1" customFormat="1" ht="33.75">
      <c r="A158" s="54" t="s">
        <v>119</v>
      </c>
      <c r="B158" s="58"/>
      <c r="C158" s="58"/>
      <c r="D158" s="61">
        <v>74500</v>
      </c>
      <c r="E158" s="61"/>
      <c r="F158" s="61">
        <f>D158</f>
        <v>74500</v>
      </c>
      <c r="G158" s="61">
        <v>85000</v>
      </c>
      <c r="H158" s="61"/>
      <c r="I158" s="61"/>
      <c r="J158" s="61">
        <f>G158</f>
        <v>85000</v>
      </c>
      <c r="K158" s="62"/>
      <c r="L158" s="62"/>
      <c r="M158" s="62"/>
      <c r="N158" s="61">
        <v>100000</v>
      </c>
      <c r="O158" s="61"/>
      <c r="P158" s="61">
        <f>N158</f>
        <v>100000</v>
      </c>
      <c r="IB158"/>
      <c r="IC158"/>
      <c r="ID158"/>
      <c r="IE158"/>
      <c r="IF158"/>
      <c r="IG158"/>
    </row>
    <row r="159" spans="1:241" s="1" customFormat="1" ht="33.75">
      <c r="A159" s="54" t="s">
        <v>120</v>
      </c>
      <c r="B159" s="58"/>
      <c r="C159" s="58"/>
      <c r="D159" s="61"/>
      <c r="E159" s="61">
        <v>329787</v>
      </c>
      <c r="F159" s="61">
        <f>E159</f>
        <v>329787</v>
      </c>
      <c r="G159" s="61"/>
      <c r="H159" s="61">
        <v>359223</v>
      </c>
      <c r="I159" s="61"/>
      <c r="J159" s="61">
        <f>H159</f>
        <v>359223</v>
      </c>
      <c r="K159" s="62"/>
      <c r="L159" s="62"/>
      <c r="M159" s="62"/>
      <c r="N159" s="61"/>
      <c r="O159" s="61">
        <v>402930.403</v>
      </c>
      <c r="P159" s="61">
        <f>O159</f>
        <v>402930.403</v>
      </c>
      <c r="IB159"/>
      <c r="IC159"/>
      <c r="ID159"/>
      <c r="IE159"/>
      <c r="IF159"/>
      <c r="IG159"/>
    </row>
    <row r="160" spans="1:241" s="1" customFormat="1" ht="23.25" customHeight="1">
      <c r="A160" s="54" t="s">
        <v>121</v>
      </c>
      <c r="B160" s="58"/>
      <c r="C160" s="58"/>
      <c r="D160" s="61">
        <v>220</v>
      </c>
      <c r="E160" s="61"/>
      <c r="F160" s="61">
        <f>D160</f>
        <v>220</v>
      </c>
      <c r="G160" s="61">
        <v>250.6763316</v>
      </c>
      <c r="H160" s="61"/>
      <c r="I160" s="61"/>
      <c r="J160" s="61">
        <f>G160</f>
        <v>250.6763316</v>
      </c>
      <c r="K160" s="62"/>
      <c r="L160" s="62"/>
      <c r="M160" s="62"/>
      <c r="N160" s="61">
        <v>300</v>
      </c>
      <c r="O160" s="61"/>
      <c r="P160" s="61">
        <f>N160</f>
        <v>300</v>
      </c>
      <c r="IB160"/>
      <c r="IC160"/>
      <c r="ID160"/>
      <c r="IE160"/>
      <c r="IF160"/>
      <c r="IG160"/>
    </row>
    <row r="161" spans="1:241" s="1" customFormat="1" ht="22.5">
      <c r="A161" s="54" t="s">
        <v>122</v>
      </c>
      <c r="B161" s="58"/>
      <c r="C161" s="58"/>
      <c r="D161" s="61">
        <v>3700</v>
      </c>
      <c r="E161" s="61"/>
      <c r="F161" s="61">
        <f t="shared" si="17"/>
        <v>3700</v>
      </c>
      <c r="G161" s="61">
        <v>4085</v>
      </c>
      <c r="H161" s="61"/>
      <c r="I161" s="61"/>
      <c r="J161" s="61">
        <f t="shared" si="15"/>
        <v>4085</v>
      </c>
      <c r="K161" s="62"/>
      <c r="L161" s="62"/>
      <c r="M161" s="62"/>
      <c r="N161" s="61">
        <v>5100</v>
      </c>
      <c r="O161" s="61"/>
      <c r="P161" s="61">
        <f t="shared" si="16"/>
        <v>5100</v>
      </c>
      <c r="IB161"/>
      <c r="IC161"/>
      <c r="ID161"/>
      <c r="IE161"/>
      <c r="IF161"/>
      <c r="IG161"/>
    </row>
    <row r="162" spans="1:241" s="1" customFormat="1" ht="22.5">
      <c r="A162" s="54" t="s">
        <v>71</v>
      </c>
      <c r="B162" s="58"/>
      <c r="C162" s="58"/>
      <c r="D162" s="61">
        <f>D156/D154-0.49</f>
        <v>491.0033837429111</v>
      </c>
      <c r="E162" s="61"/>
      <c r="F162" s="61">
        <f>D162</f>
        <v>491.0033837429111</v>
      </c>
      <c r="G162" s="61">
        <f>G156/G154</f>
        <v>522.4070351758794</v>
      </c>
      <c r="H162" s="61"/>
      <c r="I162" s="61"/>
      <c r="J162" s="61">
        <f>G162</f>
        <v>522.4070351758794</v>
      </c>
      <c r="K162" s="62"/>
      <c r="L162" s="62"/>
      <c r="M162" s="62"/>
      <c r="N162" s="61">
        <f>N156/N154</f>
        <v>548.1295854271357</v>
      </c>
      <c r="O162" s="61"/>
      <c r="P162" s="61">
        <f>N162</f>
        <v>548.1295854271357</v>
      </c>
      <c r="IB162"/>
      <c r="IC162"/>
      <c r="ID162"/>
      <c r="IE162"/>
      <c r="IF162"/>
      <c r="IG162"/>
    </row>
    <row r="163" spans="1:241" s="1" customFormat="1" ht="33.75">
      <c r="A163" s="54" t="s">
        <v>123</v>
      </c>
      <c r="B163" s="58"/>
      <c r="C163" s="58"/>
      <c r="D163" s="61">
        <v>0.5</v>
      </c>
      <c r="E163" s="61"/>
      <c r="F163" s="61">
        <f>D163</f>
        <v>0.5</v>
      </c>
      <c r="G163" s="61">
        <v>1.24</v>
      </c>
      <c r="H163" s="61"/>
      <c r="I163" s="61"/>
      <c r="J163" s="61">
        <f>G163</f>
        <v>1.24</v>
      </c>
      <c r="K163" s="62"/>
      <c r="L163" s="62"/>
      <c r="M163" s="62"/>
      <c r="N163" s="61">
        <v>2.4</v>
      </c>
      <c r="O163" s="61"/>
      <c r="P163" s="61">
        <f>N163</f>
        <v>2.4</v>
      </c>
      <c r="IB163"/>
      <c r="IC163"/>
      <c r="ID163"/>
      <c r="IE163"/>
      <c r="IF163"/>
      <c r="IG163"/>
    </row>
    <row r="164" spans="1:241" s="1" customFormat="1" ht="12">
      <c r="A164" s="53" t="s">
        <v>6</v>
      </c>
      <c r="B164" s="60"/>
      <c r="C164" s="60"/>
      <c r="D164" s="127"/>
      <c r="E164" s="127"/>
      <c r="F164" s="61">
        <f t="shared" si="17"/>
        <v>0</v>
      </c>
      <c r="G164" s="127"/>
      <c r="H164" s="127"/>
      <c r="I164" s="127"/>
      <c r="J164" s="61">
        <f t="shared" si="15"/>
        <v>0</v>
      </c>
      <c r="K164" s="62"/>
      <c r="L164" s="62"/>
      <c r="M164" s="62"/>
      <c r="N164" s="127"/>
      <c r="O164" s="127"/>
      <c r="P164" s="61">
        <f t="shared" si="16"/>
        <v>0</v>
      </c>
      <c r="IB164"/>
      <c r="IC164"/>
      <c r="ID164"/>
      <c r="IE164"/>
      <c r="IF164"/>
      <c r="IG164"/>
    </row>
    <row r="165" spans="1:241" s="1" customFormat="1" ht="33.75" customHeight="1">
      <c r="A165" s="54" t="s">
        <v>25</v>
      </c>
      <c r="B165" s="58"/>
      <c r="C165" s="58"/>
      <c r="D165" s="61"/>
      <c r="E165" s="61"/>
      <c r="F165" s="61">
        <f t="shared" si="17"/>
        <v>0</v>
      </c>
      <c r="G165" s="61"/>
      <c r="H165" s="61"/>
      <c r="I165" s="61"/>
      <c r="J165" s="61">
        <f t="shared" si="15"/>
        <v>0</v>
      </c>
      <c r="K165" s="62"/>
      <c r="L165" s="62"/>
      <c r="M165" s="62"/>
      <c r="N165" s="61"/>
      <c r="O165" s="61"/>
      <c r="P165" s="61">
        <f t="shared" si="16"/>
        <v>0</v>
      </c>
      <c r="IB165"/>
      <c r="IC165"/>
      <c r="ID165"/>
      <c r="IE165"/>
      <c r="IF165"/>
      <c r="IG165"/>
    </row>
    <row r="166" spans="1:241" s="1" customFormat="1" ht="33.75">
      <c r="A166" s="54" t="s">
        <v>125</v>
      </c>
      <c r="B166" s="58"/>
      <c r="C166" s="58"/>
      <c r="D166" s="61"/>
      <c r="E166" s="61">
        <f>E153/E145*100</f>
        <v>4.39766081871345</v>
      </c>
      <c r="F166" s="61">
        <f>E166</f>
        <v>4.39766081871345</v>
      </c>
      <c r="G166" s="61"/>
      <c r="H166" s="61">
        <f>H153/H145*100</f>
        <v>6.512280701754386</v>
      </c>
      <c r="I166" s="61"/>
      <c r="J166" s="61">
        <f>H166</f>
        <v>6.512280701754386</v>
      </c>
      <c r="K166" s="62"/>
      <c r="L166" s="62"/>
      <c r="M166" s="62"/>
      <c r="N166" s="61"/>
      <c r="O166" s="61">
        <f>O153/O145*100</f>
        <v>6.385964912280702</v>
      </c>
      <c r="P166" s="61">
        <f>O166</f>
        <v>6.385964912280702</v>
      </c>
      <c r="IB166"/>
      <c r="IC166"/>
      <c r="ID166"/>
      <c r="IE166"/>
      <c r="IF166"/>
      <c r="IG166"/>
    </row>
    <row r="167" spans="1:241" s="1" customFormat="1" ht="36" customHeight="1">
      <c r="A167" s="54" t="s">
        <v>124</v>
      </c>
      <c r="B167" s="58"/>
      <c r="C167" s="58"/>
      <c r="D167" s="61">
        <f>D152/D146*100</f>
        <v>3.0643513789581203</v>
      </c>
      <c r="E167" s="61"/>
      <c r="F167" s="61">
        <f>D167</f>
        <v>3.0643513789581203</v>
      </c>
      <c r="G167" s="61">
        <f>G152/G146*100</f>
        <v>4.085801838610827</v>
      </c>
      <c r="H167" s="61"/>
      <c r="I167" s="61"/>
      <c r="J167" s="61">
        <f>G167</f>
        <v>4.085801838610827</v>
      </c>
      <c r="K167" s="62"/>
      <c r="L167" s="62"/>
      <c r="M167" s="62"/>
      <c r="N167" s="61">
        <f>N152/N146*100</f>
        <v>5.107252298263534</v>
      </c>
      <c r="O167" s="61"/>
      <c r="P167" s="61">
        <f>N167</f>
        <v>5.107252298263534</v>
      </c>
      <c r="IB167"/>
      <c r="IC167"/>
      <c r="ID167"/>
      <c r="IE167"/>
      <c r="IF167"/>
      <c r="IG167"/>
    </row>
    <row r="168" spans="1:241" s="1" customFormat="1" ht="24" customHeight="1">
      <c r="A168" s="54" t="s">
        <v>126</v>
      </c>
      <c r="B168" s="58"/>
      <c r="C168" s="58"/>
      <c r="D168" s="61">
        <f>D155/D148*100</f>
        <v>9.654839488293506</v>
      </c>
      <c r="E168" s="61"/>
      <c r="F168" s="61">
        <f>D168</f>
        <v>9.654839488293506</v>
      </c>
      <c r="G168" s="61">
        <f>G155/G148*100</f>
        <v>10.861694424330196</v>
      </c>
      <c r="H168" s="61"/>
      <c r="I168" s="61"/>
      <c r="J168" s="61">
        <f>G168</f>
        <v>10.861694424330196</v>
      </c>
      <c r="K168" s="62"/>
      <c r="L168" s="62"/>
      <c r="M168" s="62"/>
      <c r="N168" s="61">
        <f>N155/N148*100</f>
        <v>16.895969104513636</v>
      </c>
      <c r="O168" s="61"/>
      <c r="P168" s="61">
        <f>N168</f>
        <v>16.895969104513636</v>
      </c>
      <c r="IB168"/>
      <c r="IC168"/>
      <c r="ID168"/>
      <c r="IE168"/>
      <c r="IF168"/>
      <c r="IG168"/>
    </row>
    <row r="169" spans="1:241" s="90" customFormat="1" ht="38.25" customHeight="1">
      <c r="A169" s="81" t="s">
        <v>353</v>
      </c>
      <c r="B169" s="87"/>
      <c r="C169" s="87"/>
      <c r="D169" s="88">
        <f>(D181*D192)+(D182*D193)+(D183*D194)+(D185*D196)+(D186*D197)+(D198*D187)+(D189*D200)+1079.17+(D188*D199)+(D190*D201)+396.52</f>
        <v>7377800</v>
      </c>
      <c r="E169" s="88">
        <f>E184*E195+200</f>
        <v>102500</v>
      </c>
      <c r="F169" s="88">
        <f>D169+E169</f>
        <v>7480300</v>
      </c>
      <c r="G169" s="88">
        <f>(G181*G192)+(G182*G193)+(G183*G194)+(G185*G196)+(G186*G197)+(G198*G187)+(G189*G200)+(G190*G201)</f>
        <v>9363200.00388926</v>
      </c>
      <c r="H169" s="88">
        <f>H184*H195+H182*H193</f>
        <v>82500</v>
      </c>
      <c r="I169" s="88"/>
      <c r="J169" s="88">
        <f>G169+H169</f>
        <v>9445700.00388926</v>
      </c>
      <c r="K169" s="88">
        <f>(K181*K192)+(K182*K193)+(K183*K194)+(K185*K196)+(K186*K197)+(K198*K187)+(K189*K200)-1036.73</f>
        <v>-1036.73</v>
      </c>
      <c r="L169" s="88">
        <f>(L181*L192)+(L182*L193)+(L183*L194)+(L185*L196)+(L186*L197)+(L198*L187)+(L189*L200)-1036.73</f>
        <v>-1036.73</v>
      </c>
      <c r="M169" s="88">
        <f>(M181*M192)+(M182*M193)+(M183*M194)+(M185*M196)+(M186*M197)+(M198*M187)+(M189*M200)-1036.73</f>
        <v>-1036.73</v>
      </c>
      <c r="N169" s="88">
        <f>(N181*N192)+(N182*N193)+(N183*N194)+(N185*N196)+(N186*N197)+(N198*N187)+(N189*N200)+(N190*N201)+12.8</f>
        <v>12686899.999990236</v>
      </c>
      <c r="O169" s="88">
        <f>O184*O195</f>
        <v>99000</v>
      </c>
      <c r="P169" s="88">
        <f>N169+O169</f>
        <v>12785899.999990236</v>
      </c>
      <c r="IB169" s="91"/>
      <c r="IC169" s="91"/>
      <c r="ID169" s="91"/>
      <c r="IE169" s="91"/>
      <c r="IF169" s="91"/>
      <c r="IG169" s="91"/>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3" t="s">
        <v>4</v>
      </c>
      <c r="B171" s="60"/>
      <c r="C171" s="60"/>
      <c r="D171" s="127"/>
      <c r="E171" s="127"/>
      <c r="F171" s="127"/>
      <c r="G171" s="127"/>
      <c r="H171" s="127"/>
      <c r="I171" s="127"/>
      <c r="J171" s="127"/>
      <c r="K171" s="62"/>
      <c r="L171" s="62"/>
      <c r="M171" s="62"/>
      <c r="N171" s="127"/>
      <c r="O171" s="127"/>
      <c r="P171" s="127"/>
      <c r="IB171"/>
      <c r="IC171"/>
      <c r="ID171"/>
      <c r="IE171"/>
      <c r="IF171"/>
      <c r="IG171"/>
    </row>
    <row r="172" spans="1:241" s="1" customFormat="1" ht="34.5" customHeight="1">
      <c r="A172" s="54" t="s">
        <v>127</v>
      </c>
      <c r="B172" s="58"/>
      <c r="C172" s="58"/>
      <c r="D172" s="61">
        <v>76.23</v>
      </c>
      <c r="E172" s="61"/>
      <c r="F172" s="61">
        <f aca="true" t="shared" si="18" ref="F172:F179">D172</f>
        <v>76.23</v>
      </c>
      <c r="G172" s="61">
        <f>F172</f>
        <v>76.23</v>
      </c>
      <c r="H172" s="61"/>
      <c r="I172" s="61"/>
      <c r="J172" s="61">
        <f>G172</f>
        <v>76.23</v>
      </c>
      <c r="K172" s="62"/>
      <c r="L172" s="62"/>
      <c r="M172" s="62"/>
      <c r="N172" s="61">
        <f>G172</f>
        <v>76.23</v>
      </c>
      <c r="O172" s="61"/>
      <c r="P172" s="61">
        <f>N172</f>
        <v>76.23</v>
      </c>
      <c r="IB172"/>
      <c r="IC172"/>
      <c r="ID172"/>
      <c r="IE172"/>
      <c r="IF172"/>
      <c r="IG172"/>
    </row>
    <row r="173" spans="1:241" s="1" customFormat="1" ht="22.5">
      <c r="A173" s="54" t="s">
        <v>128</v>
      </c>
      <c r="B173" s="58"/>
      <c r="C173" s="58"/>
      <c r="D173" s="61">
        <v>4850</v>
      </c>
      <c r="E173" s="61"/>
      <c r="F173" s="61">
        <f t="shared" si="18"/>
        <v>4850</v>
      </c>
      <c r="G173" s="61">
        <f>F173</f>
        <v>4850</v>
      </c>
      <c r="H173" s="61"/>
      <c r="I173" s="61"/>
      <c r="J173" s="61">
        <f>G173</f>
        <v>4850</v>
      </c>
      <c r="K173" s="62"/>
      <c r="L173" s="62"/>
      <c r="M173" s="62"/>
      <c r="N173" s="61">
        <v>4850</v>
      </c>
      <c r="O173" s="61"/>
      <c r="P173" s="61">
        <f>N173</f>
        <v>4850</v>
      </c>
      <c r="IB173"/>
      <c r="IC173"/>
      <c r="ID173"/>
      <c r="IE173"/>
      <c r="IF173"/>
      <c r="IG173"/>
    </row>
    <row r="174" spans="1:241" s="1" customFormat="1" ht="22.5">
      <c r="A174" s="54" t="s">
        <v>129</v>
      </c>
      <c r="B174" s="58"/>
      <c r="C174" s="58"/>
      <c r="D174" s="61">
        <v>2005</v>
      </c>
      <c r="E174" s="61"/>
      <c r="F174" s="61">
        <f t="shared" si="18"/>
        <v>2005</v>
      </c>
      <c r="G174" s="61">
        <f>F174</f>
        <v>2005</v>
      </c>
      <c r="H174" s="61"/>
      <c r="I174" s="61"/>
      <c r="J174" s="61">
        <f>G174</f>
        <v>2005</v>
      </c>
      <c r="K174" s="62"/>
      <c r="L174" s="62"/>
      <c r="M174" s="62"/>
      <c r="N174" s="61">
        <v>2005</v>
      </c>
      <c r="O174" s="61"/>
      <c r="P174" s="61">
        <f>N174</f>
        <v>2005</v>
      </c>
      <c r="IB174"/>
      <c r="IC174"/>
      <c r="ID174"/>
      <c r="IE174"/>
      <c r="IF174"/>
      <c r="IG174"/>
    </row>
    <row r="175" spans="1:241" s="1" customFormat="1" ht="24.75" customHeight="1">
      <c r="A175" s="54" t="s">
        <v>212</v>
      </c>
      <c r="B175" s="58"/>
      <c r="C175" s="58"/>
      <c r="D175" s="61"/>
      <c r="E175" s="61">
        <v>5396</v>
      </c>
      <c r="F175" s="61">
        <f>E175</f>
        <v>5396</v>
      </c>
      <c r="G175" s="61"/>
      <c r="H175" s="61">
        <f>E175</f>
        <v>5396</v>
      </c>
      <c r="I175" s="61"/>
      <c r="J175" s="61">
        <f>H175</f>
        <v>5396</v>
      </c>
      <c r="K175" s="62"/>
      <c r="L175" s="62"/>
      <c r="M175" s="62"/>
      <c r="N175" s="61"/>
      <c r="O175" s="61">
        <f>H175</f>
        <v>5396</v>
      </c>
      <c r="P175" s="61">
        <f>O175</f>
        <v>5396</v>
      </c>
      <c r="IB175"/>
      <c r="IC175"/>
      <c r="ID175"/>
      <c r="IE175"/>
      <c r="IF175"/>
      <c r="IG175"/>
    </row>
    <row r="176" spans="1:241" s="1" customFormat="1" ht="25.5" customHeight="1">
      <c r="A176" s="54" t="s">
        <v>146</v>
      </c>
      <c r="B176" s="58"/>
      <c r="C176" s="58"/>
      <c r="D176" s="61">
        <v>230</v>
      </c>
      <c r="E176" s="61"/>
      <c r="F176" s="61">
        <f t="shared" si="18"/>
        <v>230</v>
      </c>
      <c r="G176" s="61">
        <v>250</v>
      </c>
      <c r="H176" s="61"/>
      <c r="I176" s="61"/>
      <c r="J176" s="61">
        <f>G176</f>
        <v>250</v>
      </c>
      <c r="K176" s="62"/>
      <c r="L176" s="62"/>
      <c r="M176" s="62"/>
      <c r="N176" s="61">
        <v>270</v>
      </c>
      <c r="O176" s="61"/>
      <c r="P176" s="61">
        <f>N176</f>
        <v>270</v>
      </c>
      <c r="IB176"/>
      <c r="IC176"/>
      <c r="ID176"/>
      <c r="IE176"/>
      <c r="IF176"/>
      <c r="IG176"/>
    </row>
    <row r="177" spans="1:241" s="1" customFormat="1" ht="29.25" customHeight="1">
      <c r="A177" s="54" t="s">
        <v>130</v>
      </c>
      <c r="B177" s="58"/>
      <c r="C177" s="58"/>
      <c r="D177" s="61">
        <v>76.26</v>
      </c>
      <c r="E177" s="61"/>
      <c r="F177" s="61">
        <f t="shared" si="18"/>
        <v>76.26</v>
      </c>
      <c r="G177" s="61">
        <f>F177</f>
        <v>76.26</v>
      </c>
      <c r="H177" s="61"/>
      <c r="I177" s="61"/>
      <c r="J177" s="61">
        <f>G177</f>
        <v>76.26</v>
      </c>
      <c r="K177" s="62"/>
      <c r="L177" s="62"/>
      <c r="M177" s="62"/>
      <c r="N177" s="61">
        <f>J177</f>
        <v>76.26</v>
      </c>
      <c r="O177" s="61"/>
      <c r="P177" s="61">
        <f>N177</f>
        <v>76.26</v>
      </c>
      <c r="IB177"/>
      <c r="IC177"/>
      <c r="ID177"/>
      <c r="IE177"/>
      <c r="IF177"/>
      <c r="IG177"/>
    </row>
    <row r="178" spans="1:241" s="1" customFormat="1" ht="31.5" customHeight="1">
      <c r="A178" s="54" t="s">
        <v>78</v>
      </c>
      <c r="B178" s="58"/>
      <c r="C178" s="58"/>
      <c r="D178" s="61">
        <v>280000</v>
      </c>
      <c r="E178" s="61"/>
      <c r="F178" s="61">
        <f t="shared" si="18"/>
        <v>280000</v>
      </c>
      <c r="G178" s="61"/>
      <c r="H178" s="61"/>
      <c r="I178" s="61"/>
      <c r="J178" s="61"/>
      <c r="K178" s="62"/>
      <c r="L178" s="62"/>
      <c r="M178" s="62"/>
      <c r="N178" s="61"/>
      <c r="O178" s="61"/>
      <c r="P178" s="61"/>
      <c r="IB178"/>
      <c r="IC178"/>
      <c r="ID178"/>
      <c r="IE178"/>
      <c r="IF178"/>
      <c r="IG178"/>
    </row>
    <row r="179" spans="1:241" s="111" customFormat="1" ht="29.25" customHeight="1">
      <c r="A179" s="108" t="s">
        <v>228</v>
      </c>
      <c r="B179" s="109"/>
      <c r="C179" s="109"/>
      <c r="D179" s="113">
        <v>11.549</v>
      </c>
      <c r="E179" s="113"/>
      <c r="F179" s="113">
        <f t="shared" si="18"/>
        <v>11.549</v>
      </c>
      <c r="G179" s="113">
        <v>11.549</v>
      </c>
      <c r="H179" s="113"/>
      <c r="I179" s="113">
        <f>G179</f>
        <v>11.549</v>
      </c>
      <c r="J179" s="113"/>
      <c r="K179" s="110"/>
      <c r="L179" s="110"/>
      <c r="M179" s="110"/>
      <c r="N179" s="113">
        <v>11.55</v>
      </c>
      <c r="O179" s="113"/>
      <c r="P179" s="113">
        <f>N179</f>
        <v>11.55</v>
      </c>
      <c r="IB179" s="112"/>
      <c r="IC179" s="112"/>
      <c r="ID179" s="112"/>
      <c r="IE179" s="112"/>
      <c r="IF179" s="112"/>
      <c r="IG179" s="112"/>
    </row>
    <row r="180" spans="1:241" s="1" customFormat="1" ht="12">
      <c r="A180" s="53" t="s">
        <v>5</v>
      </c>
      <c r="B180" s="60"/>
      <c r="C180" s="60"/>
      <c r="D180" s="127"/>
      <c r="E180" s="127"/>
      <c r="F180" s="127"/>
      <c r="G180" s="127"/>
      <c r="H180" s="127"/>
      <c r="I180" s="127"/>
      <c r="J180" s="61"/>
      <c r="K180" s="62"/>
      <c r="L180" s="62"/>
      <c r="M180" s="62"/>
      <c r="N180" s="127"/>
      <c r="O180" s="127"/>
      <c r="P180" s="61"/>
      <c r="IB180"/>
      <c r="IC180"/>
      <c r="ID180"/>
      <c r="IE180"/>
      <c r="IF180"/>
      <c r="IG180"/>
    </row>
    <row r="181" spans="1:241" s="1" customFormat="1" ht="28.5" customHeight="1">
      <c r="A181" s="54" t="s">
        <v>131</v>
      </c>
      <c r="B181" s="58"/>
      <c r="C181" s="58"/>
      <c r="D181" s="61">
        <v>76.23</v>
      </c>
      <c r="E181" s="61"/>
      <c r="F181" s="61">
        <f>D181</f>
        <v>76.23</v>
      </c>
      <c r="G181" s="61">
        <f>F181</f>
        <v>76.23</v>
      </c>
      <c r="H181" s="61"/>
      <c r="I181" s="61"/>
      <c r="J181" s="61">
        <f aca="true" t="shared" si="19" ref="J181:J187">G181</f>
        <v>76.23</v>
      </c>
      <c r="K181" s="62"/>
      <c r="L181" s="62"/>
      <c r="M181" s="62"/>
      <c r="N181" s="61">
        <f>J181</f>
        <v>76.23</v>
      </c>
      <c r="O181" s="61"/>
      <c r="P181" s="61">
        <f aca="true" t="shared" si="20" ref="P181:P187">N181</f>
        <v>76.23</v>
      </c>
      <c r="IB181"/>
      <c r="IC181"/>
      <c r="ID181"/>
      <c r="IE181"/>
      <c r="IF181"/>
      <c r="IG181"/>
    </row>
    <row r="182" spans="1:241" s="111" customFormat="1" ht="22.5">
      <c r="A182" s="108" t="s">
        <v>132</v>
      </c>
      <c r="B182" s="109"/>
      <c r="C182" s="109"/>
      <c r="D182" s="113">
        <f>520+17</f>
        <v>537</v>
      </c>
      <c r="E182" s="113"/>
      <c r="F182" s="113">
        <f aca="true" t="shared" si="21" ref="F182:F190">D182</f>
        <v>537</v>
      </c>
      <c r="G182" s="113">
        <f>565+18+58+100+1</f>
        <v>742</v>
      </c>
      <c r="H182" s="113"/>
      <c r="I182" s="113"/>
      <c r="J182" s="113">
        <f t="shared" si="19"/>
        <v>742</v>
      </c>
      <c r="K182" s="110"/>
      <c r="L182" s="110"/>
      <c r="M182" s="110"/>
      <c r="N182" s="113">
        <v>751</v>
      </c>
      <c r="O182" s="113"/>
      <c r="P182" s="113">
        <f t="shared" si="20"/>
        <v>751</v>
      </c>
      <c r="IB182" s="112"/>
      <c r="IC182" s="112"/>
      <c r="ID182" s="112"/>
      <c r="IE182" s="112"/>
      <c r="IF182" s="112"/>
      <c r="IG182" s="112"/>
    </row>
    <row r="183" spans="1:241" s="111" customFormat="1" ht="26.25" customHeight="1">
      <c r="A183" s="108" t="s">
        <v>133</v>
      </c>
      <c r="B183" s="109"/>
      <c r="C183" s="109"/>
      <c r="D183" s="113">
        <v>366</v>
      </c>
      <c r="E183" s="113"/>
      <c r="F183" s="113">
        <f t="shared" si="21"/>
        <v>366</v>
      </c>
      <c r="G183" s="113">
        <v>505</v>
      </c>
      <c r="H183" s="113"/>
      <c r="I183" s="113"/>
      <c r="J183" s="113">
        <f t="shared" si="19"/>
        <v>505</v>
      </c>
      <c r="K183" s="110"/>
      <c r="L183" s="110"/>
      <c r="M183" s="110"/>
      <c r="N183" s="113">
        <v>825</v>
      </c>
      <c r="O183" s="113"/>
      <c r="P183" s="113">
        <f t="shared" si="20"/>
        <v>825</v>
      </c>
      <c r="IB183" s="112"/>
      <c r="IC183" s="112"/>
      <c r="ID183" s="112"/>
      <c r="IE183" s="112"/>
      <c r="IF183" s="112"/>
      <c r="IG183" s="112"/>
    </row>
    <row r="184" spans="1:241" s="1" customFormat="1" ht="26.25" customHeight="1">
      <c r="A184" s="54" t="s">
        <v>213</v>
      </c>
      <c r="B184" s="58"/>
      <c r="C184" s="58"/>
      <c r="D184" s="61"/>
      <c r="E184" s="61">
        <f>150+36</f>
        <v>186</v>
      </c>
      <c r="F184" s="61">
        <f>E184</f>
        <v>186</v>
      </c>
      <c r="G184" s="61"/>
      <c r="H184" s="61">
        <v>150</v>
      </c>
      <c r="I184" s="61"/>
      <c r="J184" s="61">
        <f>H184</f>
        <v>150</v>
      </c>
      <c r="K184" s="62"/>
      <c r="L184" s="62"/>
      <c r="M184" s="62"/>
      <c r="N184" s="61"/>
      <c r="O184" s="61">
        <v>180</v>
      </c>
      <c r="P184" s="61">
        <f>O184</f>
        <v>180</v>
      </c>
      <c r="IB184"/>
      <c r="IC184"/>
      <c r="ID184"/>
      <c r="IE184"/>
      <c r="IF184"/>
      <c r="IG184"/>
    </row>
    <row r="185" spans="1:241" s="1" customFormat="1" ht="22.5">
      <c r="A185" s="54" t="s">
        <v>145</v>
      </c>
      <c r="B185" s="58"/>
      <c r="C185" s="58"/>
      <c r="D185" s="61">
        <v>222</v>
      </c>
      <c r="E185" s="61"/>
      <c r="F185" s="61">
        <f t="shared" si="21"/>
        <v>222</v>
      </c>
      <c r="G185" s="61">
        <v>243</v>
      </c>
      <c r="H185" s="61"/>
      <c r="I185" s="61"/>
      <c r="J185" s="61">
        <f t="shared" si="19"/>
        <v>243</v>
      </c>
      <c r="K185" s="62"/>
      <c r="L185" s="62"/>
      <c r="M185" s="62"/>
      <c r="N185" s="61">
        <v>268</v>
      </c>
      <c r="O185" s="61"/>
      <c r="P185" s="61">
        <f t="shared" si="20"/>
        <v>268</v>
      </c>
      <c r="IB185"/>
      <c r="IC185"/>
      <c r="ID185"/>
      <c r="IE185"/>
      <c r="IF185"/>
      <c r="IG185"/>
    </row>
    <row r="186" spans="1:241" s="1" customFormat="1" ht="22.5">
      <c r="A186" s="54" t="s">
        <v>134</v>
      </c>
      <c r="B186" s="58"/>
      <c r="C186" s="58"/>
      <c r="D186" s="61">
        <v>76.26</v>
      </c>
      <c r="E186" s="61"/>
      <c r="F186" s="61">
        <f t="shared" si="21"/>
        <v>76.26</v>
      </c>
      <c r="G186" s="61">
        <v>76.26</v>
      </c>
      <c r="H186" s="61"/>
      <c r="I186" s="61"/>
      <c r="J186" s="61">
        <f t="shared" si="19"/>
        <v>76.26</v>
      </c>
      <c r="K186" s="62"/>
      <c r="L186" s="62"/>
      <c r="M186" s="62"/>
      <c r="N186" s="61">
        <f>J186</f>
        <v>76.26</v>
      </c>
      <c r="O186" s="61"/>
      <c r="P186" s="61">
        <f t="shared" si="20"/>
        <v>76.26</v>
      </c>
      <c r="IB186"/>
      <c r="IC186"/>
      <c r="ID186"/>
      <c r="IE186"/>
      <c r="IF186"/>
      <c r="IG186"/>
    </row>
    <row r="187" spans="1:241" s="1" customFormat="1" ht="24" customHeight="1">
      <c r="A187" s="54" t="s">
        <v>135</v>
      </c>
      <c r="B187" s="58"/>
      <c r="C187" s="58"/>
      <c r="D187" s="61">
        <v>49006</v>
      </c>
      <c r="E187" s="61"/>
      <c r="F187" s="61">
        <f t="shared" si="21"/>
        <v>49006</v>
      </c>
      <c r="G187" s="61">
        <f>F187</f>
        <v>49006</v>
      </c>
      <c r="H187" s="61"/>
      <c r="I187" s="61"/>
      <c r="J187" s="61">
        <f t="shared" si="19"/>
        <v>49006</v>
      </c>
      <c r="K187" s="62"/>
      <c r="L187" s="62"/>
      <c r="M187" s="62"/>
      <c r="N187" s="61">
        <f>J187</f>
        <v>49006</v>
      </c>
      <c r="O187" s="61"/>
      <c r="P187" s="61">
        <f t="shared" si="20"/>
        <v>49006</v>
      </c>
      <c r="IB187"/>
      <c r="IC187"/>
      <c r="ID187"/>
      <c r="IE187"/>
      <c r="IF187"/>
      <c r="IG187"/>
    </row>
    <row r="188" spans="1:241" s="1" customFormat="1" ht="24" customHeight="1">
      <c r="A188" s="54" t="s">
        <v>215</v>
      </c>
      <c r="B188" s="58"/>
      <c r="C188" s="58"/>
      <c r="D188" s="61">
        <v>25</v>
      </c>
      <c r="E188" s="61"/>
      <c r="F188" s="61">
        <f t="shared" si="21"/>
        <v>25</v>
      </c>
      <c r="G188" s="61"/>
      <c r="H188" s="61"/>
      <c r="I188" s="61"/>
      <c r="J188" s="61"/>
      <c r="K188" s="62"/>
      <c r="L188" s="62"/>
      <c r="M188" s="62"/>
      <c r="N188" s="61"/>
      <c r="O188" s="61"/>
      <c r="P188" s="61"/>
      <c r="IB188"/>
      <c r="IC188"/>
      <c r="ID188"/>
      <c r="IE188"/>
      <c r="IF188"/>
      <c r="IG188"/>
    </row>
    <row r="189" spans="1:241" s="1" customFormat="1" ht="28.5" customHeight="1">
      <c r="A189" s="54" t="s">
        <v>77</v>
      </c>
      <c r="B189" s="58"/>
      <c r="C189" s="58"/>
      <c r="D189" s="61">
        <v>4</v>
      </c>
      <c r="E189" s="61"/>
      <c r="F189" s="61">
        <f t="shared" si="21"/>
        <v>4</v>
      </c>
      <c r="G189" s="61"/>
      <c r="H189" s="61"/>
      <c r="I189" s="61"/>
      <c r="J189" s="61"/>
      <c r="K189" s="62"/>
      <c r="L189" s="62"/>
      <c r="M189" s="62"/>
      <c r="N189" s="61"/>
      <c r="O189" s="61"/>
      <c r="P189" s="61"/>
      <c r="IB189"/>
      <c r="IC189"/>
      <c r="ID189"/>
      <c r="IE189"/>
      <c r="IF189"/>
      <c r="IG189"/>
    </row>
    <row r="190" spans="1:241" s="111" customFormat="1" ht="28.5" customHeight="1">
      <c r="A190" s="108" t="s">
        <v>229</v>
      </c>
      <c r="B190" s="109"/>
      <c r="C190" s="109"/>
      <c r="D190" s="113">
        <v>11.549</v>
      </c>
      <c r="E190" s="113"/>
      <c r="F190" s="113">
        <f t="shared" si="21"/>
        <v>11.549</v>
      </c>
      <c r="G190" s="113">
        <v>11.549</v>
      </c>
      <c r="H190" s="113"/>
      <c r="I190" s="113"/>
      <c r="J190" s="113">
        <v>11.55</v>
      </c>
      <c r="K190" s="110"/>
      <c r="L190" s="110"/>
      <c r="M190" s="110"/>
      <c r="N190" s="113">
        <v>11.55</v>
      </c>
      <c r="O190" s="113"/>
      <c r="P190" s="113">
        <v>11.55</v>
      </c>
      <c r="IB190" s="112"/>
      <c r="IC190" s="112"/>
      <c r="ID190" s="112"/>
      <c r="IE190" s="112"/>
      <c r="IF190" s="112"/>
      <c r="IG190" s="112"/>
    </row>
    <row r="191" spans="1:241" s="1" customFormat="1" ht="12">
      <c r="A191" s="53" t="s">
        <v>7</v>
      </c>
      <c r="B191" s="60"/>
      <c r="C191" s="60"/>
      <c r="D191" s="127"/>
      <c r="E191" s="127"/>
      <c r="F191" s="61"/>
      <c r="G191" s="127"/>
      <c r="H191" s="127"/>
      <c r="I191" s="127"/>
      <c r="J191" s="61"/>
      <c r="K191" s="62"/>
      <c r="L191" s="62"/>
      <c r="M191" s="62"/>
      <c r="N191" s="127"/>
      <c r="O191" s="127"/>
      <c r="P191" s="61"/>
      <c r="IB191"/>
      <c r="IC191"/>
      <c r="ID191"/>
      <c r="IE191"/>
      <c r="IF191"/>
      <c r="IG191"/>
    </row>
    <row r="192" spans="1:241" s="1" customFormat="1" ht="33.75">
      <c r="A192" s="54" t="s">
        <v>136</v>
      </c>
      <c r="B192" s="60"/>
      <c r="C192" s="60"/>
      <c r="D192" s="61">
        <v>34763</v>
      </c>
      <c r="E192" s="127"/>
      <c r="F192" s="61">
        <f>D192</f>
        <v>34763</v>
      </c>
      <c r="G192" s="61">
        <v>41725</v>
      </c>
      <c r="H192" s="127"/>
      <c r="I192" s="127"/>
      <c r="J192" s="61">
        <f aca="true" t="shared" si="22" ref="J192:J198">G192</f>
        <v>41725</v>
      </c>
      <c r="K192" s="62"/>
      <c r="L192" s="62"/>
      <c r="M192" s="62"/>
      <c r="N192" s="61">
        <v>52693</v>
      </c>
      <c r="O192" s="127"/>
      <c r="P192" s="61">
        <f aca="true" t="shared" si="23" ref="P192:P201">N192</f>
        <v>52693</v>
      </c>
      <c r="IB192"/>
      <c r="IC192"/>
      <c r="ID192"/>
      <c r="IE192"/>
      <c r="IF192"/>
      <c r="IG192"/>
    </row>
    <row r="193" spans="1:241" s="1" customFormat="1" ht="22.5">
      <c r="A193" s="54" t="s">
        <v>137</v>
      </c>
      <c r="B193" s="58"/>
      <c r="C193" s="58"/>
      <c r="D193" s="61">
        <v>1500</v>
      </c>
      <c r="E193" s="61"/>
      <c r="F193" s="61">
        <f>D193</f>
        <v>1500</v>
      </c>
      <c r="G193" s="61">
        <v>2500.45458853</v>
      </c>
      <c r="H193" s="61"/>
      <c r="I193" s="61"/>
      <c r="J193" s="61">
        <f t="shared" si="22"/>
        <v>2500.45458853</v>
      </c>
      <c r="K193" s="62"/>
      <c r="L193" s="62"/>
      <c r="M193" s="62"/>
      <c r="N193" s="61">
        <v>2926.53262316</v>
      </c>
      <c r="O193" s="61"/>
      <c r="P193" s="61">
        <f t="shared" si="23"/>
        <v>2926.53262316</v>
      </c>
      <c r="IB193"/>
      <c r="IC193"/>
      <c r="ID193"/>
      <c r="IE193"/>
      <c r="IF193"/>
      <c r="IG193"/>
    </row>
    <row r="194" spans="1:241" s="1" customFormat="1" ht="22.5">
      <c r="A194" s="54" t="s">
        <v>138</v>
      </c>
      <c r="B194" s="58"/>
      <c r="C194" s="58"/>
      <c r="D194" s="61">
        <v>320</v>
      </c>
      <c r="E194" s="61"/>
      <c r="F194" s="61">
        <f aca="true" t="shared" si="24" ref="F194:F201">D194</f>
        <v>320</v>
      </c>
      <c r="G194" s="61">
        <v>420</v>
      </c>
      <c r="H194" s="61"/>
      <c r="I194" s="61"/>
      <c r="J194" s="61">
        <f t="shared" si="22"/>
        <v>420</v>
      </c>
      <c r="K194" s="62"/>
      <c r="L194" s="62"/>
      <c r="M194" s="62"/>
      <c r="N194" s="61">
        <v>550</v>
      </c>
      <c r="O194" s="61"/>
      <c r="P194" s="61">
        <f t="shared" si="23"/>
        <v>550</v>
      </c>
      <c r="IB194"/>
      <c r="IC194"/>
      <c r="ID194"/>
      <c r="IE194"/>
      <c r="IF194"/>
      <c r="IG194"/>
    </row>
    <row r="195" spans="1:241" s="1" customFormat="1" ht="27" customHeight="1">
      <c r="A195" s="54" t="s">
        <v>214</v>
      </c>
      <c r="B195" s="58"/>
      <c r="C195" s="58"/>
      <c r="D195" s="61"/>
      <c r="E195" s="61">
        <v>550</v>
      </c>
      <c r="F195" s="61">
        <f>E195</f>
        <v>550</v>
      </c>
      <c r="G195" s="61"/>
      <c r="H195" s="61">
        <v>550</v>
      </c>
      <c r="I195" s="61"/>
      <c r="J195" s="61">
        <f>H195</f>
        <v>550</v>
      </c>
      <c r="K195" s="62"/>
      <c r="L195" s="62"/>
      <c r="M195" s="62"/>
      <c r="N195" s="61"/>
      <c r="O195" s="61">
        <v>550</v>
      </c>
      <c r="P195" s="61">
        <f>O195</f>
        <v>550</v>
      </c>
      <c r="IB195"/>
      <c r="IC195"/>
      <c r="ID195"/>
      <c r="IE195"/>
      <c r="IF195"/>
      <c r="IG195"/>
    </row>
    <row r="196" spans="1:241" s="1" customFormat="1" ht="22.5">
      <c r="A196" s="54" t="s">
        <v>139</v>
      </c>
      <c r="B196" s="58"/>
      <c r="C196" s="58"/>
      <c r="D196" s="61">
        <v>5100</v>
      </c>
      <c r="E196" s="61"/>
      <c r="F196" s="61">
        <f t="shared" si="24"/>
        <v>5100</v>
      </c>
      <c r="G196" s="61">
        <v>5600</v>
      </c>
      <c r="H196" s="61"/>
      <c r="I196" s="61"/>
      <c r="J196" s="61">
        <f t="shared" si="22"/>
        <v>5600</v>
      </c>
      <c r="K196" s="62"/>
      <c r="L196" s="62"/>
      <c r="M196" s="62"/>
      <c r="N196" s="61">
        <v>6950</v>
      </c>
      <c r="O196" s="61"/>
      <c r="P196" s="61">
        <f t="shared" si="23"/>
        <v>6950</v>
      </c>
      <c r="IB196"/>
      <c r="IC196"/>
      <c r="ID196"/>
      <c r="IE196"/>
      <c r="IF196"/>
      <c r="IG196"/>
    </row>
    <row r="197" spans="1:241" s="1" customFormat="1" ht="22.5">
      <c r="A197" s="54" t="s">
        <v>140</v>
      </c>
      <c r="B197" s="58"/>
      <c r="C197" s="58"/>
      <c r="D197" s="61">
        <v>26850</v>
      </c>
      <c r="E197" s="61"/>
      <c r="F197" s="61">
        <f t="shared" si="24"/>
        <v>26850</v>
      </c>
      <c r="G197" s="61">
        <v>32317</v>
      </c>
      <c r="H197" s="61"/>
      <c r="I197" s="61"/>
      <c r="J197" s="61">
        <f t="shared" si="22"/>
        <v>32317</v>
      </c>
      <c r="K197" s="62"/>
      <c r="L197" s="62"/>
      <c r="M197" s="62"/>
      <c r="N197" s="113">
        <v>46499</v>
      </c>
      <c r="O197" s="61"/>
      <c r="P197" s="61">
        <f t="shared" si="23"/>
        <v>46499</v>
      </c>
      <c r="IB197"/>
      <c r="IC197"/>
      <c r="ID197"/>
      <c r="IE197"/>
      <c r="IF197"/>
      <c r="IG197"/>
    </row>
    <row r="198" spans="1:241" s="1" customFormat="1" ht="22.5">
      <c r="A198" s="54" t="s">
        <v>141</v>
      </c>
      <c r="B198" s="58"/>
      <c r="C198" s="58"/>
      <c r="D198" s="61">
        <v>4.39</v>
      </c>
      <c r="E198" s="61"/>
      <c r="F198" s="61">
        <f t="shared" si="24"/>
        <v>4.39</v>
      </c>
      <c r="G198" s="61">
        <v>5.26</v>
      </c>
      <c r="H198" s="61"/>
      <c r="I198" s="61"/>
      <c r="J198" s="61">
        <f t="shared" si="22"/>
        <v>5.26</v>
      </c>
      <c r="K198" s="62"/>
      <c r="L198" s="62"/>
      <c r="M198" s="62"/>
      <c r="N198" s="61">
        <v>10.9039723707</v>
      </c>
      <c r="O198" s="61"/>
      <c r="P198" s="61">
        <f t="shared" si="23"/>
        <v>10.9039723707</v>
      </c>
      <c r="IB198"/>
      <c r="IC198"/>
      <c r="ID198"/>
      <c r="IE198"/>
      <c r="IF198"/>
      <c r="IG198"/>
    </row>
    <row r="199" spans="1:241" s="1" customFormat="1" ht="27" customHeight="1">
      <c r="A199" s="54" t="s">
        <v>216</v>
      </c>
      <c r="B199" s="58"/>
      <c r="C199" s="58"/>
      <c r="D199" s="61">
        <v>3988</v>
      </c>
      <c r="E199" s="61"/>
      <c r="F199" s="61">
        <f t="shared" si="24"/>
        <v>3988</v>
      </c>
      <c r="G199" s="61"/>
      <c r="H199" s="61"/>
      <c r="I199" s="61"/>
      <c r="J199" s="61"/>
      <c r="K199" s="62"/>
      <c r="L199" s="62"/>
      <c r="M199" s="62"/>
      <c r="N199" s="61"/>
      <c r="O199" s="61"/>
      <c r="P199" s="61"/>
      <c r="IB199"/>
      <c r="IC199"/>
      <c r="ID199"/>
      <c r="IE199"/>
      <c r="IF199"/>
      <c r="IG199"/>
    </row>
    <row r="200" spans="1:241" s="1" customFormat="1" ht="33.75" customHeight="1">
      <c r="A200" s="54" t="s">
        <v>79</v>
      </c>
      <c r="B200" s="58"/>
      <c r="C200" s="58"/>
      <c r="D200" s="61">
        <v>70000</v>
      </c>
      <c r="E200" s="61"/>
      <c r="F200" s="61">
        <f t="shared" si="24"/>
        <v>70000</v>
      </c>
      <c r="G200" s="61"/>
      <c r="H200" s="61"/>
      <c r="I200" s="61"/>
      <c r="J200" s="61"/>
      <c r="K200" s="62"/>
      <c r="L200" s="62"/>
      <c r="M200" s="62"/>
      <c r="N200" s="61"/>
      <c r="O200" s="61"/>
      <c r="P200" s="61"/>
      <c r="IB200"/>
      <c r="IC200"/>
      <c r="ID200"/>
      <c r="IE200"/>
      <c r="IF200"/>
      <c r="IG200"/>
    </row>
    <row r="201" spans="1:241" s="111" customFormat="1" ht="33.75" customHeight="1">
      <c r="A201" s="108" t="s">
        <v>230</v>
      </c>
      <c r="B201" s="109"/>
      <c r="C201" s="109"/>
      <c r="D201" s="113">
        <v>2520</v>
      </c>
      <c r="E201" s="113"/>
      <c r="F201" s="113">
        <f t="shared" si="24"/>
        <v>2520</v>
      </c>
      <c r="G201" s="113">
        <v>2770.8</v>
      </c>
      <c r="H201" s="113"/>
      <c r="I201" s="113">
        <f>G201</f>
        <v>2770.8</v>
      </c>
      <c r="J201" s="113"/>
      <c r="K201" s="110"/>
      <c r="L201" s="110"/>
      <c r="M201" s="110"/>
      <c r="N201" s="113">
        <v>6541.125541</v>
      </c>
      <c r="O201" s="113"/>
      <c r="P201" s="61">
        <f t="shared" si="23"/>
        <v>6541.125541</v>
      </c>
      <c r="IB201" s="112"/>
      <c r="IC201" s="112"/>
      <c r="ID201" s="112"/>
      <c r="IE201" s="112"/>
      <c r="IF201" s="112"/>
      <c r="IG201" s="112"/>
    </row>
    <row r="202" spans="1:241" s="1" customFormat="1" ht="12">
      <c r="A202" s="53" t="s">
        <v>6</v>
      </c>
      <c r="B202" s="60"/>
      <c r="C202" s="60"/>
      <c r="D202" s="127"/>
      <c r="E202" s="127"/>
      <c r="F202" s="61"/>
      <c r="G202" s="127"/>
      <c r="H202" s="127"/>
      <c r="I202" s="127"/>
      <c r="J202" s="61"/>
      <c r="K202" s="62"/>
      <c r="L202" s="62"/>
      <c r="M202" s="62"/>
      <c r="N202" s="127"/>
      <c r="O202" s="127"/>
      <c r="P202" s="61"/>
      <c r="IB202"/>
      <c r="IC202"/>
      <c r="ID202"/>
      <c r="IE202"/>
      <c r="IF202"/>
      <c r="IG202"/>
    </row>
    <row r="203" spans="1:241" s="1" customFormat="1" ht="23.25" customHeight="1">
      <c r="A203" s="54" t="s">
        <v>142</v>
      </c>
      <c r="B203" s="58"/>
      <c r="C203" s="58"/>
      <c r="D203" s="61">
        <f>D181/D172*100</f>
        <v>100</v>
      </c>
      <c r="E203" s="61"/>
      <c r="F203" s="61">
        <f aca="true" t="shared" si="25" ref="F203:G205">F181/F172*100</f>
        <v>100</v>
      </c>
      <c r="G203" s="61">
        <f t="shared" si="25"/>
        <v>100</v>
      </c>
      <c r="H203" s="61"/>
      <c r="I203" s="61"/>
      <c r="J203" s="61">
        <f aca="true" t="shared" si="26" ref="J203:N205">J181/J172*100</f>
        <v>100</v>
      </c>
      <c r="K203" s="61" t="e">
        <f t="shared" si="26"/>
        <v>#DIV/0!</v>
      </c>
      <c r="L203" s="61" t="e">
        <f t="shared" si="26"/>
        <v>#DIV/0!</v>
      </c>
      <c r="M203" s="61" t="e">
        <f t="shared" si="26"/>
        <v>#DIV/0!</v>
      </c>
      <c r="N203" s="61">
        <f t="shared" si="26"/>
        <v>100</v>
      </c>
      <c r="O203" s="61"/>
      <c r="P203" s="61">
        <f>P181/P172*100</f>
        <v>100</v>
      </c>
      <c r="IB203"/>
      <c r="IC203"/>
      <c r="ID203"/>
      <c r="IE203"/>
      <c r="IF203"/>
      <c r="IG203"/>
    </row>
    <row r="204" spans="1:241" s="1" customFormat="1" ht="41.25" customHeight="1">
      <c r="A204" s="54" t="s">
        <v>143</v>
      </c>
      <c r="B204" s="58"/>
      <c r="C204" s="58"/>
      <c r="D204" s="61">
        <f>D182/D173*100</f>
        <v>11.072164948453608</v>
      </c>
      <c r="E204" s="61"/>
      <c r="F204" s="61">
        <f t="shared" si="25"/>
        <v>11.072164948453608</v>
      </c>
      <c r="G204" s="61">
        <f t="shared" si="25"/>
        <v>15.298969072164947</v>
      </c>
      <c r="H204" s="61"/>
      <c r="I204" s="61"/>
      <c r="J204" s="61">
        <f t="shared" si="26"/>
        <v>15.298969072164947</v>
      </c>
      <c r="K204" s="61" t="e">
        <f t="shared" si="26"/>
        <v>#DIV/0!</v>
      </c>
      <c r="L204" s="61" t="e">
        <f t="shared" si="26"/>
        <v>#DIV/0!</v>
      </c>
      <c r="M204" s="61" t="e">
        <f t="shared" si="26"/>
        <v>#DIV/0!</v>
      </c>
      <c r="N204" s="61">
        <f t="shared" si="26"/>
        <v>15.484536082474227</v>
      </c>
      <c r="O204" s="61"/>
      <c r="P204" s="61">
        <f>P182/P173*100</f>
        <v>15.484536082474227</v>
      </c>
      <c r="IB204"/>
      <c r="IC204"/>
      <c r="ID204"/>
      <c r="IE204"/>
      <c r="IF204"/>
      <c r="IG204"/>
    </row>
    <row r="205" spans="1:241" s="1" customFormat="1" ht="35.25" customHeight="1">
      <c r="A205" s="54" t="s">
        <v>144</v>
      </c>
      <c r="B205" s="58"/>
      <c r="C205" s="58"/>
      <c r="D205" s="61">
        <f>D183/D174*100</f>
        <v>18.25436408977556</v>
      </c>
      <c r="E205" s="61"/>
      <c r="F205" s="61">
        <f t="shared" si="25"/>
        <v>18.25436408977556</v>
      </c>
      <c r="G205" s="61">
        <f t="shared" si="25"/>
        <v>25.187032418952622</v>
      </c>
      <c r="H205" s="61"/>
      <c r="I205" s="61"/>
      <c r="J205" s="61">
        <f t="shared" si="26"/>
        <v>25.187032418952622</v>
      </c>
      <c r="K205" s="61" t="e">
        <f t="shared" si="26"/>
        <v>#DIV/0!</v>
      </c>
      <c r="L205" s="61" t="e">
        <f t="shared" si="26"/>
        <v>#DIV/0!</v>
      </c>
      <c r="M205" s="61" t="e">
        <f t="shared" si="26"/>
        <v>#DIV/0!</v>
      </c>
      <c r="N205" s="61">
        <f t="shared" si="26"/>
        <v>41.14713216957606</v>
      </c>
      <c r="O205" s="61"/>
      <c r="P205" s="61">
        <f>P183/P174*100</f>
        <v>41.14713216957606</v>
      </c>
      <c r="IB205"/>
      <c r="IC205"/>
      <c r="ID205"/>
      <c r="IE205"/>
      <c r="IF205"/>
      <c r="IG205"/>
    </row>
    <row r="206" spans="1:241" s="90" customFormat="1" ht="45">
      <c r="A206" s="81" t="s">
        <v>359</v>
      </c>
      <c r="B206" s="87"/>
      <c r="C206" s="87"/>
      <c r="D206" s="88">
        <f>(D209*D230)+(D218*D232)+(D219*D233)+(D220*D240)+11.5</f>
        <v>6400000</v>
      </c>
      <c r="E206" s="88"/>
      <c r="F206" s="88">
        <f>(F209*F230)+(F218*F232)+(F219*F233)+(F220*F240)+11.5</f>
        <v>6400000</v>
      </c>
      <c r="G206" s="88">
        <f>(G209*G230)+(G218*G232)+(G219*G233)+(G220*G240)+G227*G241+G224*G239+G222*G234</f>
        <v>10062499.99975</v>
      </c>
      <c r="H206" s="88">
        <f>H221*H235</f>
        <v>120000</v>
      </c>
      <c r="I206" s="88"/>
      <c r="J206" s="88">
        <f>G206+H206</f>
        <v>10182499.99975</v>
      </c>
      <c r="K206" s="88">
        <f>(K209*K230)+(K218*K232)+(K219*K233)+(K220*K240)+11.5</f>
        <v>11.5</v>
      </c>
      <c r="L206" s="88">
        <f>(L209*L230)+(L218*L232)+(L219*L233)+(L220*L240)+11.5</f>
        <v>11.5</v>
      </c>
      <c r="M206" s="88">
        <f>(M209*M230)+(M218*M232)+(M219*M233)+(M220*M240)+11.5</f>
        <v>11.5</v>
      </c>
      <c r="N206" s="88">
        <f>(N209*N230)+(N218*N232)+(N219*N233)+(N220*N240)+(N223*N237)+(N222*N234)+(N224*N239)+N227*N241</f>
        <v>12767399.996035548</v>
      </c>
      <c r="O206" s="88">
        <f>O221*O235+O228*O242</f>
        <v>7384000</v>
      </c>
      <c r="P206" s="88">
        <f>N206+O206</f>
        <v>20151399.996035546</v>
      </c>
      <c r="IB206" s="91"/>
      <c r="IC206" s="91"/>
      <c r="ID206" s="91"/>
      <c r="IE206" s="91"/>
      <c r="IF206" s="91"/>
      <c r="IG206" s="91"/>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3" t="s">
        <v>4</v>
      </c>
      <c r="B208" s="60"/>
      <c r="C208" s="60"/>
      <c r="D208" s="127"/>
      <c r="E208" s="127"/>
      <c r="F208" s="127"/>
      <c r="G208" s="127"/>
      <c r="H208" s="127"/>
      <c r="I208" s="127"/>
      <c r="J208" s="61"/>
      <c r="K208" s="62"/>
      <c r="L208" s="62"/>
      <c r="M208" s="62"/>
      <c r="N208" s="127"/>
      <c r="O208" s="127"/>
      <c r="P208" s="61"/>
      <c r="IB208"/>
      <c r="IC208"/>
      <c r="ID208"/>
      <c r="IE208"/>
      <c r="IF208"/>
      <c r="IG208"/>
    </row>
    <row r="209" spans="1:241" s="1" customFormat="1" ht="22.5">
      <c r="A209" s="54" t="s">
        <v>148</v>
      </c>
      <c r="B209" s="58"/>
      <c r="C209" s="58"/>
      <c r="D209" s="61">
        <v>93.1</v>
      </c>
      <c r="E209" s="61"/>
      <c r="F209" s="61">
        <f>D209</f>
        <v>93.1</v>
      </c>
      <c r="G209" s="61">
        <f>F209</f>
        <v>93.1</v>
      </c>
      <c r="H209" s="61"/>
      <c r="I209" s="61"/>
      <c r="J209" s="61">
        <f>G209</f>
        <v>93.1</v>
      </c>
      <c r="K209" s="62"/>
      <c r="L209" s="62"/>
      <c r="M209" s="62"/>
      <c r="N209" s="61">
        <f>J209</f>
        <v>93.1</v>
      </c>
      <c r="O209" s="61"/>
      <c r="P209" s="61">
        <f>N209</f>
        <v>93.1</v>
      </c>
      <c r="IB209"/>
      <c r="IC209"/>
      <c r="ID209"/>
      <c r="IE209"/>
      <c r="IF209"/>
      <c r="IG209"/>
    </row>
    <row r="210" spans="1:241" s="1" customFormat="1" ht="12">
      <c r="A210" s="54" t="s">
        <v>28</v>
      </c>
      <c r="B210" s="58"/>
      <c r="C210" s="58"/>
      <c r="D210" s="61">
        <v>1</v>
      </c>
      <c r="E210" s="61"/>
      <c r="F210" s="61">
        <v>1</v>
      </c>
      <c r="G210" s="61">
        <v>1</v>
      </c>
      <c r="H210" s="61"/>
      <c r="I210" s="61"/>
      <c r="J210" s="61">
        <f>G210</f>
        <v>1</v>
      </c>
      <c r="K210" s="62"/>
      <c r="L210" s="62"/>
      <c r="M210" s="62"/>
      <c r="N210" s="61">
        <v>1</v>
      </c>
      <c r="O210" s="61"/>
      <c r="P210" s="61">
        <f>N210</f>
        <v>1</v>
      </c>
      <c r="IB210"/>
      <c r="IC210"/>
      <c r="ID210"/>
      <c r="IE210"/>
      <c r="IF210"/>
      <c r="IG210"/>
    </row>
    <row r="211" spans="1:241" s="1" customFormat="1" ht="13.5" customHeight="1">
      <c r="A211" s="54" t="s">
        <v>147</v>
      </c>
      <c r="B211" s="58"/>
      <c r="C211" s="58"/>
      <c r="D211" s="61">
        <v>1</v>
      </c>
      <c r="E211" s="61"/>
      <c r="F211" s="61">
        <v>1</v>
      </c>
      <c r="G211" s="61">
        <v>1</v>
      </c>
      <c r="H211" s="61"/>
      <c r="I211" s="61"/>
      <c r="J211" s="61">
        <f>G211</f>
        <v>1</v>
      </c>
      <c r="K211" s="62"/>
      <c r="L211" s="62"/>
      <c r="M211" s="62"/>
      <c r="N211" s="61">
        <v>2</v>
      </c>
      <c r="O211" s="61"/>
      <c r="P211" s="61">
        <f>N211</f>
        <v>2</v>
      </c>
      <c r="IB211"/>
      <c r="IC211"/>
      <c r="ID211"/>
      <c r="IE211"/>
      <c r="IF211"/>
      <c r="IG211"/>
    </row>
    <row r="212" spans="1:241" s="1" customFormat="1" ht="24.75" customHeight="1">
      <c r="A212" s="54" t="s">
        <v>80</v>
      </c>
      <c r="B212" s="58"/>
      <c r="C212" s="58"/>
      <c r="D212" s="61">
        <v>50000</v>
      </c>
      <c r="E212" s="61"/>
      <c r="F212" s="61">
        <f>D212</f>
        <v>50000</v>
      </c>
      <c r="G212" s="61">
        <f>50000-50000</f>
        <v>0</v>
      </c>
      <c r="H212" s="61"/>
      <c r="I212" s="61"/>
      <c r="J212" s="61"/>
      <c r="K212" s="62"/>
      <c r="L212" s="62"/>
      <c r="M212" s="62"/>
      <c r="N212" s="61"/>
      <c r="O212" s="61"/>
      <c r="P212" s="61"/>
      <c r="IB212"/>
      <c r="IC212"/>
      <c r="ID212"/>
      <c r="IE212"/>
      <c r="IF212"/>
      <c r="IG212"/>
    </row>
    <row r="213" spans="1:241" s="1" customFormat="1" ht="22.5" hidden="1">
      <c r="A213" s="54" t="s">
        <v>282</v>
      </c>
      <c r="B213" s="58"/>
      <c r="C213" s="58"/>
      <c r="D213" s="61"/>
      <c r="E213" s="61"/>
      <c r="F213" s="61"/>
      <c r="G213" s="61"/>
      <c r="H213" s="61">
        <v>1</v>
      </c>
      <c r="I213" s="61"/>
      <c r="J213" s="61">
        <v>1</v>
      </c>
      <c r="K213" s="62"/>
      <c r="L213" s="62"/>
      <c r="M213" s="62"/>
      <c r="N213" s="61"/>
      <c r="O213" s="61"/>
      <c r="P213" s="61"/>
      <c r="IB213"/>
      <c r="IC213"/>
      <c r="ID213"/>
      <c r="IE213"/>
      <c r="IF213"/>
      <c r="IG213"/>
    </row>
    <row r="214" spans="1:241" s="1" customFormat="1" ht="14.25" customHeight="1">
      <c r="A214" s="54" t="s">
        <v>29</v>
      </c>
      <c r="B214" s="58"/>
      <c r="C214" s="58"/>
      <c r="D214" s="61">
        <v>1300</v>
      </c>
      <c r="E214" s="61"/>
      <c r="F214" s="61">
        <v>1300</v>
      </c>
      <c r="G214" s="61">
        <v>916</v>
      </c>
      <c r="H214" s="61"/>
      <c r="I214" s="61"/>
      <c r="J214" s="61">
        <f aca="true" t="shared" si="27" ref="J214:J219">G214</f>
        <v>916</v>
      </c>
      <c r="K214" s="62"/>
      <c r="L214" s="62"/>
      <c r="M214" s="62"/>
      <c r="N214" s="61">
        <v>916</v>
      </c>
      <c r="O214" s="61"/>
      <c r="P214" s="61">
        <f aca="true" t="shared" si="28" ref="P214:P219">N214</f>
        <v>916</v>
      </c>
      <c r="IB214"/>
      <c r="IC214"/>
      <c r="ID214"/>
      <c r="IE214"/>
      <c r="IF214"/>
      <c r="IG214"/>
    </row>
    <row r="215" spans="1:241" s="1" customFormat="1" ht="22.5">
      <c r="A215" s="54" t="s">
        <v>30</v>
      </c>
      <c r="B215" s="58"/>
      <c r="C215" s="58"/>
      <c r="D215" s="61">
        <v>40</v>
      </c>
      <c r="E215" s="61"/>
      <c r="F215" s="61">
        <v>40</v>
      </c>
      <c r="G215" s="61">
        <v>40</v>
      </c>
      <c r="H215" s="61"/>
      <c r="I215" s="61"/>
      <c r="J215" s="61">
        <f t="shared" si="27"/>
        <v>40</v>
      </c>
      <c r="K215" s="62"/>
      <c r="L215" s="62"/>
      <c r="M215" s="62"/>
      <c r="N215" s="61">
        <v>40</v>
      </c>
      <c r="O215" s="61"/>
      <c r="P215" s="61">
        <f t="shared" si="28"/>
        <v>40</v>
      </c>
      <c r="IB215"/>
      <c r="IC215"/>
      <c r="ID215"/>
      <c r="IE215"/>
      <c r="IF215"/>
      <c r="IG215"/>
    </row>
    <row r="216" spans="1:241" s="1" customFormat="1" ht="12">
      <c r="A216" s="53" t="s">
        <v>5</v>
      </c>
      <c r="B216" s="60"/>
      <c r="C216" s="60"/>
      <c r="D216" s="127"/>
      <c r="E216" s="127"/>
      <c r="F216" s="127"/>
      <c r="G216" s="127"/>
      <c r="H216" s="127"/>
      <c r="I216" s="127"/>
      <c r="J216" s="61">
        <f t="shared" si="27"/>
        <v>0</v>
      </c>
      <c r="K216" s="62"/>
      <c r="L216" s="62"/>
      <c r="M216" s="62"/>
      <c r="N216" s="127"/>
      <c r="O216" s="127"/>
      <c r="P216" s="61">
        <f t="shared" si="28"/>
        <v>0</v>
      </c>
      <c r="IB216"/>
      <c r="IC216"/>
      <c r="ID216"/>
      <c r="IE216"/>
      <c r="IF216"/>
      <c r="IG216"/>
    </row>
    <row r="217" spans="1:241" s="1" customFormat="1" ht="22.5">
      <c r="A217" s="54" t="s">
        <v>149</v>
      </c>
      <c r="B217" s="58"/>
      <c r="C217" s="58"/>
      <c r="D217" s="61">
        <f>D209</f>
        <v>93.1</v>
      </c>
      <c r="E217" s="61"/>
      <c r="F217" s="61">
        <f>D217</f>
        <v>93.1</v>
      </c>
      <c r="G217" s="61">
        <f>G209</f>
        <v>93.1</v>
      </c>
      <c r="H217" s="61"/>
      <c r="I217" s="61"/>
      <c r="J217" s="61">
        <f t="shared" si="27"/>
        <v>93.1</v>
      </c>
      <c r="K217" s="62"/>
      <c r="L217" s="62"/>
      <c r="M217" s="62"/>
      <c r="N217" s="61">
        <f>N209</f>
        <v>93.1</v>
      </c>
      <c r="O217" s="61"/>
      <c r="P217" s="61">
        <f t="shared" si="28"/>
        <v>93.1</v>
      </c>
      <c r="IB217"/>
      <c r="IC217"/>
      <c r="ID217"/>
      <c r="IE217"/>
      <c r="IF217"/>
      <c r="IG217"/>
    </row>
    <row r="218" spans="1:241" s="1" customFormat="1" ht="22.5">
      <c r="A218" s="54" t="s">
        <v>321</v>
      </c>
      <c r="B218" s="58"/>
      <c r="C218" s="58"/>
      <c r="D218" s="61">
        <v>600</v>
      </c>
      <c r="E218" s="61"/>
      <c r="F218" s="61">
        <f>D218</f>
        <v>600</v>
      </c>
      <c r="G218" s="61">
        <v>700</v>
      </c>
      <c r="H218" s="61"/>
      <c r="I218" s="61"/>
      <c r="J218" s="61">
        <f t="shared" si="27"/>
        <v>700</v>
      </c>
      <c r="K218" s="62"/>
      <c r="L218" s="62"/>
      <c r="M218" s="62"/>
      <c r="N218" s="61">
        <v>800</v>
      </c>
      <c r="O218" s="61"/>
      <c r="P218" s="61">
        <f t="shared" si="28"/>
        <v>800</v>
      </c>
      <c r="IB218"/>
      <c r="IC218"/>
      <c r="ID218"/>
      <c r="IE218"/>
      <c r="IF218"/>
      <c r="IG218"/>
    </row>
    <row r="219" spans="1:241" s="1" customFormat="1" ht="21.75" customHeight="1">
      <c r="A219" s="54" t="s">
        <v>150</v>
      </c>
      <c r="B219" s="58"/>
      <c r="C219" s="58"/>
      <c r="D219" s="61">
        <v>1</v>
      </c>
      <c r="E219" s="61"/>
      <c r="F219" s="61">
        <v>1</v>
      </c>
      <c r="G219" s="61">
        <v>1</v>
      </c>
      <c r="H219" s="61"/>
      <c r="I219" s="61"/>
      <c r="J219" s="61">
        <f t="shared" si="27"/>
        <v>1</v>
      </c>
      <c r="K219" s="62"/>
      <c r="L219" s="62"/>
      <c r="M219" s="62"/>
      <c r="N219" s="61">
        <v>2</v>
      </c>
      <c r="O219" s="61"/>
      <c r="P219" s="61">
        <f t="shared" si="28"/>
        <v>2</v>
      </c>
      <c r="IB219"/>
      <c r="IC219"/>
      <c r="ID219"/>
      <c r="IE219"/>
      <c r="IF219"/>
      <c r="IG219"/>
    </row>
    <row r="220" spans="1:241" s="1" customFormat="1" ht="30.75" customHeight="1">
      <c r="A220" s="54" t="s">
        <v>77</v>
      </c>
      <c r="B220" s="58"/>
      <c r="C220" s="58"/>
      <c r="D220" s="61">
        <v>1</v>
      </c>
      <c r="E220" s="61"/>
      <c r="F220" s="61">
        <v>1</v>
      </c>
      <c r="G220" s="61"/>
      <c r="H220" s="61"/>
      <c r="I220" s="61"/>
      <c r="J220" s="61"/>
      <c r="K220" s="62"/>
      <c r="L220" s="62"/>
      <c r="M220" s="62"/>
      <c r="N220" s="61">
        <v>1</v>
      </c>
      <c r="O220" s="61"/>
      <c r="P220" s="61">
        <v>1</v>
      </c>
      <c r="IB220"/>
      <c r="IC220"/>
      <c r="ID220"/>
      <c r="IE220"/>
      <c r="IF220"/>
      <c r="IG220"/>
    </row>
    <row r="221" spans="1:241" s="1" customFormat="1" ht="30.75" customHeight="1">
      <c r="A221" s="54" t="s">
        <v>282</v>
      </c>
      <c r="B221" s="58"/>
      <c r="C221" s="58"/>
      <c r="D221" s="61"/>
      <c r="E221" s="61"/>
      <c r="F221" s="61"/>
      <c r="G221" s="61"/>
      <c r="H221" s="61">
        <v>1</v>
      </c>
      <c r="I221" s="61"/>
      <c r="J221" s="61">
        <v>1</v>
      </c>
      <c r="K221" s="62"/>
      <c r="L221" s="62"/>
      <c r="M221" s="62"/>
      <c r="N221" s="61"/>
      <c r="O221" s="61">
        <v>1</v>
      </c>
      <c r="P221" s="61">
        <f>O221</f>
        <v>1</v>
      </c>
      <c r="IB221"/>
      <c r="IC221"/>
      <c r="ID221"/>
      <c r="IE221"/>
      <c r="IF221"/>
      <c r="IG221"/>
    </row>
    <row r="222" spans="1:241" s="1" customFormat="1" ht="19.5" customHeight="1">
      <c r="A222" s="54" t="s">
        <v>31</v>
      </c>
      <c r="B222" s="58"/>
      <c r="C222" s="58"/>
      <c r="D222" s="61">
        <v>65</v>
      </c>
      <c r="E222" s="61"/>
      <c r="F222" s="61">
        <v>65</v>
      </c>
      <c r="G222" s="61">
        <v>55</v>
      </c>
      <c r="H222" s="61"/>
      <c r="I222" s="61"/>
      <c r="J222" s="61">
        <f>G222</f>
        <v>55</v>
      </c>
      <c r="K222" s="62"/>
      <c r="L222" s="62"/>
      <c r="M222" s="62"/>
      <c r="N222" s="61">
        <v>63</v>
      </c>
      <c r="O222" s="61"/>
      <c r="P222" s="61">
        <f>N222</f>
        <v>63</v>
      </c>
      <c r="IB222"/>
      <c r="IC222"/>
      <c r="ID222"/>
      <c r="IE222"/>
      <c r="IF222"/>
      <c r="IG222"/>
    </row>
    <row r="223" spans="1:241" s="1" customFormat="1" ht="22.5" customHeight="1">
      <c r="A223" s="54" t="s">
        <v>32</v>
      </c>
      <c r="B223" s="58"/>
      <c r="C223" s="58"/>
      <c r="D223" s="61">
        <v>34</v>
      </c>
      <c r="E223" s="61"/>
      <c r="F223" s="61">
        <v>34</v>
      </c>
      <c r="G223" s="61">
        <v>34</v>
      </c>
      <c r="H223" s="61"/>
      <c r="I223" s="61"/>
      <c r="J223" s="61">
        <f>G223</f>
        <v>34</v>
      </c>
      <c r="K223" s="62"/>
      <c r="L223" s="62"/>
      <c r="M223" s="62"/>
      <c r="N223" s="61">
        <v>64</v>
      </c>
      <c r="O223" s="61"/>
      <c r="P223" s="61">
        <f>N223</f>
        <v>64</v>
      </c>
      <c r="IB223"/>
      <c r="IC223"/>
      <c r="ID223"/>
      <c r="IE223"/>
      <c r="IF223"/>
      <c r="IG223"/>
    </row>
    <row r="224" spans="1:241" s="1" customFormat="1" ht="22.5" customHeight="1">
      <c r="A224" s="54" t="s">
        <v>33</v>
      </c>
      <c r="B224" s="58"/>
      <c r="C224" s="58"/>
      <c r="D224" s="61">
        <v>30</v>
      </c>
      <c r="E224" s="61"/>
      <c r="F224" s="61">
        <v>30</v>
      </c>
      <c r="G224" s="61">
        <v>37</v>
      </c>
      <c r="H224" s="61"/>
      <c r="I224" s="61"/>
      <c r="J224" s="61">
        <f>G224</f>
        <v>37</v>
      </c>
      <c r="K224" s="62"/>
      <c r="L224" s="62"/>
      <c r="M224" s="62"/>
      <c r="N224" s="61">
        <v>40</v>
      </c>
      <c r="O224" s="61"/>
      <c r="P224" s="61">
        <f>N224</f>
        <v>40</v>
      </c>
      <c r="IB224"/>
      <c r="IC224"/>
      <c r="ID224"/>
      <c r="IE224"/>
      <c r="IF224"/>
      <c r="IG224"/>
    </row>
    <row r="225" spans="1:241" s="1" customFormat="1" ht="12" customHeight="1">
      <c r="A225" s="54" t="s">
        <v>26</v>
      </c>
      <c r="B225" s="58"/>
      <c r="C225" s="58"/>
      <c r="D225" s="61">
        <v>347</v>
      </c>
      <c r="E225" s="61"/>
      <c r="F225" s="61">
        <v>347</v>
      </c>
      <c r="G225" s="61">
        <v>125</v>
      </c>
      <c r="H225" s="61"/>
      <c r="I225" s="61"/>
      <c r="J225" s="61">
        <f>G225</f>
        <v>125</v>
      </c>
      <c r="K225" s="62"/>
      <c r="L225" s="62"/>
      <c r="M225" s="62"/>
      <c r="N225" s="61">
        <v>125</v>
      </c>
      <c r="O225" s="61"/>
      <c r="P225" s="61">
        <f>N225</f>
        <v>125</v>
      </c>
      <c r="IB225"/>
      <c r="IC225"/>
      <c r="ID225"/>
      <c r="IE225"/>
      <c r="IF225"/>
      <c r="IG225"/>
    </row>
    <row r="226" spans="1:241" s="1" customFormat="1" ht="22.5" customHeight="1">
      <c r="A226" s="54" t="s">
        <v>34</v>
      </c>
      <c r="B226" s="58"/>
      <c r="C226" s="58"/>
      <c r="D226" s="61"/>
      <c r="E226" s="61"/>
      <c r="F226" s="61"/>
      <c r="G226" s="61">
        <v>984.5</v>
      </c>
      <c r="H226" s="61"/>
      <c r="I226" s="61"/>
      <c r="J226" s="61">
        <v>984.5</v>
      </c>
      <c r="K226" s="62"/>
      <c r="L226" s="62"/>
      <c r="M226" s="62"/>
      <c r="N226" s="61">
        <v>984.5</v>
      </c>
      <c r="O226" s="61"/>
      <c r="P226" s="61">
        <v>984.5</v>
      </c>
      <c r="IB226"/>
      <c r="IC226"/>
      <c r="ID226"/>
      <c r="IE226"/>
      <c r="IF226"/>
      <c r="IG226"/>
    </row>
    <row r="227" spans="1:241" s="1" customFormat="1" ht="22.5" customHeight="1">
      <c r="A227" s="54" t="s">
        <v>358</v>
      </c>
      <c r="B227" s="58"/>
      <c r="C227" s="58"/>
      <c r="D227" s="61"/>
      <c r="E227" s="61"/>
      <c r="F227" s="61"/>
      <c r="G227" s="61">
        <v>8500</v>
      </c>
      <c r="H227" s="61"/>
      <c r="I227" s="61"/>
      <c r="J227" s="61"/>
      <c r="K227" s="62"/>
      <c r="L227" s="62"/>
      <c r="M227" s="62"/>
      <c r="N227" s="61">
        <v>9715</v>
      </c>
      <c r="O227" s="61"/>
      <c r="P227" s="61"/>
      <c r="IB227"/>
      <c r="IC227"/>
      <c r="ID227"/>
      <c r="IE227"/>
      <c r="IF227"/>
      <c r="IG227"/>
    </row>
    <row r="228" spans="1:241" s="1" customFormat="1" ht="22.5" customHeight="1">
      <c r="A228" s="54" t="s">
        <v>354</v>
      </c>
      <c r="B228" s="58"/>
      <c r="C228" s="58"/>
      <c r="D228" s="61"/>
      <c r="E228" s="61"/>
      <c r="F228" s="61"/>
      <c r="G228" s="61"/>
      <c r="H228" s="61"/>
      <c r="I228" s="61"/>
      <c r="J228" s="61"/>
      <c r="K228" s="62"/>
      <c r="L228" s="62"/>
      <c r="M228" s="62"/>
      <c r="N228" s="61"/>
      <c r="O228" s="61">
        <v>14420</v>
      </c>
      <c r="P228" s="61">
        <f>O228</f>
        <v>14420</v>
      </c>
      <c r="IB228"/>
      <c r="IC228"/>
      <c r="ID228"/>
      <c r="IE228"/>
      <c r="IF228"/>
      <c r="IG228"/>
    </row>
    <row r="229" spans="1:241" s="1" customFormat="1" ht="12">
      <c r="A229" s="53" t="s">
        <v>7</v>
      </c>
      <c r="B229" s="60"/>
      <c r="C229" s="60"/>
      <c r="D229" s="127"/>
      <c r="E229" s="127"/>
      <c r="F229" s="127"/>
      <c r="G229" s="127"/>
      <c r="H229" s="127"/>
      <c r="I229" s="127"/>
      <c r="J229" s="61"/>
      <c r="K229" s="62"/>
      <c r="L229" s="62"/>
      <c r="M229" s="62"/>
      <c r="N229" s="127"/>
      <c r="O229" s="127"/>
      <c r="P229" s="61"/>
      <c r="IB229"/>
      <c r="IC229"/>
      <c r="ID229"/>
      <c r="IE229"/>
      <c r="IF229"/>
      <c r="IG229"/>
    </row>
    <row r="230" spans="1:241" s="1" customFormat="1" ht="22.5">
      <c r="A230" s="54" t="s">
        <v>151</v>
      </c>
      <c r="B230" s="58"/>
      <c r="C230" s="58"/>
      <c r="D230" s="61">
        <v>48335</v>
      </c>
      <c r="E230" s="61"/>
      <c r="F230" s="61">
        <f>D230</f>
        <v>48335</v>
      </c>
      <c r="G230" s="61">
        <v>59076</v>
      </c>
      <c r="H230" s="61"/>
      <c r="I230" s="61"/>
      <c r="J230" s="61">
        <f>G230</f>
        <v>59076</v>
      </c>
      <c r="K230" s="62"/>
      <c r="L230" s="62"/>
      <c r="M230" s="62"/>
      <c r="N230" s="61">
        <v>70651.22767</v>
      </c>
      <c r="O230" s="61"/>
      <c r="P230" s="61">
        <f>N230</f>
        <v>70651.22767</v>
      </c>
      <c r="IB230"/>
      <c r="IC230"/>
      <c r="ID230"/>
      <c r="IE230"/>
      <c r="IF230"/>
      <c r="IG230"/>
    </row>
    <row r="231" spans="1:241" s="1" customFormat="1" ht="22.5" customHeight="1">
      <c r="A231" s="54" t="s">
        <v>56</v>
      </c>
      <c r="B231" s="58"/>
      <c r="C231" s="58"/>
      <c r="D231" s="61">
        <v>6000</v>
      </c>
      <c r="E231" s="61"/>
      <c r="F231" s="61">
        <f>D231</f>
        <v>6000</v>
      </c>
      <c r="G231" s="61">
        <v>10000</v>
      </c>
      <c r="H231" s="61"/>
      <c r="I231" s="61"/>
      <c r="J231" s="61">
        <f>G231</f>
        <v>10000</v>
      </c>
      <c r="K231" s="62"/>
      <c r="L231" s="62"/>
      <c r="M231" s="62"/>
      <c r="N231" s="61">
        <v>10000</v>
      </c>
      <c r="O231" s="61"/>
      <c r="P231" s="61">
        <f>N231</f>
        <v>10000</v>
      </c>
      <c r="IB231"/>
      <c r="IC231"/>
      <c r="ID231"/>
      <c r="IE231"/>
      <c r="IF231"/>
      <c r="IG231"/>
    </row>
    <row r="232" spans="1:241" s="1" customFormat="1" ht="24.75" customHeight="1">
      <c r="A232" s="54" t="s">
        <v>152</v>
      </c>
      <c r="B232" s="58"/>
      <c r="C232" s="58"/>
      <c r="D232" s="61">
        <v>2850</v>
      </c>
      <c r="E232" s="61"/>
      <c r="F232" s="61">
        <f>D232</f>
        <v>2850</v>
      </c>
      <c r="G232" s="61">
        <v>2943</v>
      </c>
      <c r="H232" s="61"/>
      <c r="I232" s="61"/>
      <c r="J232" s="61">
        <f>G232</f>
        <v>2943</v>
      </c>
      <c r="K232" s="62"/>
      <c r="L232" s="62"/>
      <c r="M232" s="62"/>
      <c r="N232" s="61">
        <v>3800</v>
      </c>
      <c r="O232" s="61"/>
      <c r="P232" s="61">
        <f>N232</f>
        <v>3800</v>
      </c>
      <c r="IB232"/>
      <c r="IC232"/>
      <c r="ID232"/>
      <c r="IE232"/>
      <c r="IF232"/>
      <c r="IG232"/>
    </row>
    <row r="233" spans="1:241" s="1" customFormat="1" ht="22.5">
      <c r="A233" s="54" t="s">
        <v>153</v>
      </c>
      <c r="B233" s="58"/>
      <c r="C233" s="58"/>
      <c r="D233" s="61">
        <v>140000</v>
      </c>
      <c r="E233" s="61"/>
      <c r="F233" s="61">
        <f>D233</f>
        <v>140000</v>
      </c>
      <c r="G233" s="61">
        <v>170000</v>
      </c>
      <c r="H233" s="61"/>
      <c r="I233" s="61"/>
      <c r="J233" s="61">
        <f>G233</f>
        <v>170000</v>
      </c>
      <c r="K233" s="62"/>
      <c r="L233" s="62"/>
      <c r="M233" s="62"/>
      <c r="N233" s="61">
        <v>100000</v>
      </c>
      <c r="O233" s="61"/>
      <c r="P233" s="61">
        <f>N233</f>
        <v>100000</v>
      </c>
      <c r="IB233"/>
      <c r="IC233"/>
      <c r="ID233"/>
      <c r="IE233"/>
      <c r="IF233"/>
      <c r="IG233"/>
    </row>
    <row r="234" spans="1:241" s="1" customFormat="1" ht="14.25" customHeight="1">
      <c r="A234" s="54" t="s">
        <v>356</v>
      </c>
      <c r="B234" s="58"/>
      <c r="C234" s="58"/>
      <c r="D234" s="61"/>
      <c r="E234" s="61"/>
      <c r="F234" s="61"/>
      <c r="G234" s="61">
        <v>1900</v>
      </c>
      <c r="H234" s="61"/>
      <c r="I234" s="61"/>
      <c r="J234" s="61">
        <f>G234</f>
        <v>1900</v>
      </c>
      <c r="K234" s="62"/>
      <c r="L234" s="62"/>
      <c r="M234" s="62"/>
      <c r="N234" s="61">
        <v>2200</v>
      </c>
      <c r="O234" s="61"/>
      <c r="P234" s="61">
        <f>N234</f>
        <v>2200</v>
      </c>
      <c r="IB234"/>
      <c r="IC234"/>
      <c r="ID234"/>
      <c r="IE234"/>
      <c r="IF234"/>
      <c r="IG234"/>
    </row>
    <row r="235" spans="1:241" s="1" customFormat="1" ht="22.5">
      <c r="A235" s="54" t="s">
        <v>283</v>
      </c>
      <c r="B235" s="58"/>
      <c r="C235" s="58"/>
      <c r="D235" s="61"/>
      <c r="E235" s="61"/>
      <c r="F235" s="61"/>
      <c r="G235" s="61"/>
      <c r="H235" s="61">
        <v>120000</v>
      </c>
      <c r="I235" s="61"/>
      <c r="J235" s="61"/>
      <c r="K235" s="62"/>
      <c r="L235" s="62"/>
      <c r="M235" s="62"/>
      <c r="N235" s="61"/>
      <c r="O235" s="61">
        <v>174000</v>
      </c>
      <c r="P235" s="61">
        <f>O235</f>
        <v>174000</v>
      </c>
      <c r="IB235"/>
      <c r="IC235"/>
      <c r="ID235"/>
      <c r="IE235"/>
      <c r="IF235"/>
      <c r="IG235"/>
    </row>
    <row r="236" spans="1:241" s="1" customFormat="1" ht="15" customHeight="1">
      <c r="A236" s="54" t="s">
        <v>27</v>
      </c>
      <c r="B236" s="58"/>
      <c r="C236" s="58"/>
      <c r="D236" s="61">
        <v>580</v>
      </c>
      <c r="E236" s="61"/>
      <c r="F236" s="61">
        <v>580</v>
      </c>
      <c r="G236" s="61">
        <v>663.1</v>
      </c>
      <c r="H236" s="61"/>
      <c r="I236" s="61"/>
      <c r="J236" s="61">
        <f>G236</f>
        <v>663.1</v>
      </c>
      <c r="K236" s="62"/>
      <c r="L236" s="62"/>
      <c r="M236" s="62"/>
      <c r="N236" s="61">
        <v>663.1</v>
      </c>
      <c r="O236" s="61"/>
      <c r="P236" s="61">
        <f>N236</f>
        <v>663.1</v>
      </c>
      <c r="IB236"/>
      <c r="IC236"/>
      <c r="ID236"/>
      <c r="IE236"/>
      <c r="IF236"/>
      <c r="IG236"/>
    </row>
    <row r="237" spans="1:241" s="1" customFormat="1" ht="22.5" customHeight="1">
      <c r="A237" s="54" t="s">
        <v>35</v>
      </c>
      <c r="B237" s="58"/>
      <c r="C237" s="58"/>
      <c r="D237" s="61">
        <v>778</v>
      </c>
      <c r="E237" s="61"/>
      <c r="F237" s="61">
        <v>778</v>
      </c>
      <c r="G237" s="61">
        <v>691.86</v>
      </c>
      <c r="H237" s="61"/>
      <c r="I237" s="61"/>
      <c r="J237" s="61">
        <f>G237</f>
        <v>691.86</v>
      </c>
      <c r="K237" s="62"/>
      <c r="L237" s="62"/>
      <c r="M237" s="62"/>
      <c r="N237" s="61">
        <v>705</v>
      </c>
      <c r="O237" s="61"/>
      <c r="P237" s="61">
        <f>N237</f>
        <v>705</v>
      </c>
      <c r="IB237"/>
      <c r="IC237"/>
      <c r="ID237"/>
      <c r="IE237"/>
      <c r="IF237"/>
      <c r="IG237"/>
    </row>
    <row r="238" spans="1:241" s="1" customFormat="1" ht="22.5" customHeight="1">
      <c r="A238" s="54" t="s">
        <v>36</v>
      </c>
      <c r="B238" s="58"/>
      <c r="C238" s="58"/>
      <c r="D238" s="61">
        <v>23.66</v>
      </c>
      <c r="E238" s="61"/>
      <c r="F238" s="61">
        <v>23.66</v>
      </c>
      <c r="G238" s="61">
        <v>22.01</v>
      </c>
      <c r="H238" s="61"/>
      <c r="I238" s="61"/>
      <c r="J238" s="61">
        <f>G238</f>
        <v>22.01</v>
      </c>
      <c r="K238" s="62"/>
      <c r="L238" s="62"/>
      <c r="M238" s="62"/>
      <c r="N238" s="61">
        <v>22.01</v>
      </c>
      <c r="O238" s="61"/>
      <c r="P238" s="61">
        <f>N238</f>
        <v>22.01</v>
      </c>
      <c r="IB238"/>
      <c r="IC238"/>
      <c r="ID238"/>
      <c r="IE238"/>
      <c r="IF238"/>
      <c r="IG238"/>
    </row>
    <row r="239" spans="1:241" s="1" customFormat="1" ht="22.5" customHeight="1">
      <c r="A239" s="54" t="s">
        <v>37</v>
      </c>
      <c r="B239" s="58"/>
      <c r="C239" s="58"/>
      <c r="D239" s="61">
        <v>329</v>
      </c>
      <c r="E239" s="61"/>
      <c r="F239" s="61">
        <v>329</v>
      </c>
      <c r="G239" s="61">
        <v>160.11</v>
      </c>
      <c r="H239" s="61"/>
      <c r="I239" s="61"/>
      <c r="J239" s="61">
        <f>G239</f>
        <v>160.11</v>
      </c>
      <c r="K239" s="62"/>
      <c r="L239" s="62"/>
      <c r="M239" s="62"/>
      <c r="N239" s="61">
        <v>160.11</v>
      </c>
      <c r="O239" s="61"/>
      <c r="P239" s="61">
        <f>N239</f>
        <v>160.11</v>
      </c>
      <c r="IB239"/>
      <c r="IC239"/>
      <c r="ID239"/>
      <c r="IE239"/>
      <c r="IF239"/>
      <c r="IG239"/>
    </row>
    <row r="240" spans="1:241" s="1" customFormat="1" ht="38.25" customHeight="1">
      <c r="A240" s="54" t="s">
        <v>81</v>
      </c>
      <c r="B240" s="58"/>
      <c r="C240" s="58"/>
      <c r="D240" s="61">
        <v>50000</v>
      </c>
      <c r="E240" s="61"/>
      <c r="F240" s="61">
        <f>D240</f>
        <v>50000</v>
      </c>
      <c r="G240" s="61"/>
      <c r="H240" s="61"/>
      <c r="I240" s="61"/>
      <c r="J240" s="61"/>
      <c r="K240" s="62"/>
      <c r="L240" s="62"/>
      <c r="M240" s="62"/>
      <c r="N240" s="61">
        <f>N212</f>
        <v>0</v>
      </c>
      <c r="O240" s="61"/>
      <c r="P240" s="61">
        <f>N240</f>
        <v>0</v>
      </c>
      <c r="IB240"/>
      <c r="IC240"/>
      <c r="ID240"/>
      <c r="IE240"/>
      <c r="IF240"/>
      <c r="IG240"/>
    </row>
    <row r="241" spans="1:241" s="1" customFormat="1" ht="24.75" customHeight="1">
      <c r="A241" s="54" t="s">
        <v>357</v>
      </c>
      <c r="B241" s="58"/>
      <c r="C241" s="58"/>
      <c r="D241" s="61"/>
      <c r="E241" s="61"/>
      <c r="F241" s="61"/>
      <c r="G241" s="61">
        <v>261.4118035</v>
      </c>
      <c r="H241" s="61"/>
      <c r="I241" s="61"/>
      <c r="J241" s="61"/>
      <c r="K241" s="62"/>
      <c r="L241" s="62"/>
      <c r="M241" s="62"/>
      <c r="N241" s="61">
        <v>284.06034997</v>
      </c>
      <c r="O241" s="61"/>
      <c r="P241" s="61"/>
      <c r="IB241"/>
      <c r="IC241"/>
      <c r="ID241"/>
      <c r="IE241"/>
      <c r="IF241"/>
      <c r="IG241"/>
    </row>
    <row r="242" spans="1:241" s="1" customFormat="1" ht="27.75" customHeight="1">
      <c r="A242" s="54" t="s">
        <v>355</v>
      </c>
      <c r="B242" s="58"/>
      <c r="C242" s="58"/>
      <c r="D242" s="61"/>
      <c r="E242" s="61"/>
      <c r="F242" s="61"/>
      <c r="G242" s="61"/>
      <c r="H242" s="61"/>
      <c r="I242" s="61"/>
      <c r="J242" s="61"/>
      <c r="K242" s="62"/>
      <c r="L242" s="62"/>
      <c r="M242" s="62"/>
      <c r="N242" s="61"/>
      <c r="O242" s="61">
        <v>500</v>
      </c>
      <c r="P242" s="61">
        <f>O242</f>
        <v>500</v>
      </c>
      <c r="IB242"/>
      <c r="IC242"/>
      <c r="ID242"/>
      <c r="IE242"/>
      <c r="IF242"/>
      <c r="IG242"/>
    </row>
    <row r="243" spans="1:241" s="1" customFormat="1" ht="12" customHeight="1">
      <c r="A243" s="53" t="s">
        <v>6</v>
      </c>
      <c r="B243" s="58"/>
      <c r="C243" s="58"/>
      <c r="D243" s="61"/>
      <c r="E243" s="61"/>
      <c r="F243" s="61"/>
      <c r="G243" s="61"/>
      <c r="H243" s="61"/>
      <c r="I243" s="61"/>
      <c r="J243" s="61"/>
      <c r="K243" s="62"/>
      <c r="L243" s="62"/>
      <c r="M243" s="62"/>
      <c r="N243" s="61"/>
      <c r="O243" s="61"/>
      <c r="P243" s="61"/>
      <c r="IB243"/>
      <c r="IC243"/>
      <c r="ID243"/>
      <c r="IE243"/>
      <c r="IF243"/>
      <c r="IG243"/>
    </row>
    <row r="244" spans="1:241" s="1" customFormat="1" ht="33.75">
      <c r="A244" s="54" t="s">
        <v>155</v>
      </c>
      <c r="B244" s="58"/>
      <c r="C244" s="58"/>
      <c r="D244" s="61">
        <f>D217/D209*100</f>
        <v>100</v>
      </c>
      <c r="E244" s="61"/>
      <c r="F244" s="61">
        <f>F217/F209*100</f>
        <v>100</v>
      </c>
      <c r="G244" s="61">
        <f>G217/G209*100</f>
        <v>100</v>
      </c>
      <c r="H244" s="61"/>
      <c r="I244" s="61"/>
      <c r="J244" s="61">
        <f>J217/J209*100</f>
        <v>100</v>
      </c>
      <c r="K244" s="61" t="e">
        <f>K217/K209*100</f>
        <v>#DIV/0!</v>
      </c>
      <c r="L244" s="61" t="e">
        <f>L217/L209*100</f>
        <v>#DIV/0!</v>
      </c>
      <c r="M244" s="61" t="e">
        <f>M217/M209*100</f>
        <v>#DIV/0!</v>
      </c>
      <c r="N244" s="61">
        <f>N217/N209*100</f>
        <v>100</v>
      </c>
      <c r="O244" s="61"/>
      <c r="P244" s="61">
        <f>P217/P209*100</f>
        <v>100</v>
      </c>
      <c r="IB244"/>
      <c r="IC244"/>
      <c r="ID244"/>
      <c r="IE244"/>
      <c r="IF244"/>
      <c r="IG244"/>
    </row>
    <row r="245" spans="1:241" s="1" customFormat="1" ht="29.25" customHeight="1">
      <c r="A245" s="54" t="s">
        <v>154</v>
      </c>
      <c r="B245" s="58"/>
      <c r="C245" s="58"/>
      <c r="D245" s="61"/>
      <c r="E245" s="61"/>
      <c r="F245" s="61"/>
      <c r="G245" s="61">
        <f>G232/D232*100</f>
        <v>103.26315789473684</v>
      </c>
      <c r="H245" s="61"/>
      <c r="I245" s="61"/>
      <c r="J245" s="61">
        <f>J232/F232*100</f>
        <v>103.26315789473684</v>
      </c>
      <c r="K245" s="62"/>
      <c r="L245" s="62"/>
      <c r="M245" s="62"/>
      <c r="N245" s="61">
        <f>N232/G232*100</f>
        <v>129.1199456337071</v>
      </c>
      <c r="O245" s="61"/>
      <c r="P245" s="61">
        <f>P232/J232*100</f>
        <v>129.1199456337071</v>
      </c>
      <c r="IB245"/>
      <c r="IC245"/>
      <c r="ID245"/>
      <c r="IE245"/>
      <c r="IF245"/>
      <c r="IG245"/>
    </row>
    <row r="246" spans="1:241" s="1" customFormat="1" ht="38.25" customHeight="1">
      <c r="A246" s="54" t="s">
        <v>156</v>
      </c>
      <c r="B246" s="58"/>
      <c r="C246" s="58"/>
      <c r="D246" s="61"/>
      <c r="E246" s="61"/>
      <c r="F246" s="61"/>
      <c r="G246" s="61">
        <f>G233/D233*100</f>
        <v>121.42857142857142</v>
      </c>
      <c r="H246" s="61"/>
      <c r="I246" s="61"/>
      <c r="J246" s="61">
        <f>J233/F233*100</f>
        <v>121.42857142857142</v>
      </c>
      <c r="K246" s="62"/>
      <c r="L246" s="62"/>
      <c r="M246" s="62"/>
      <c r="N246" s="61">
        <f>N233/G233*100</f>
        <v>58.82352941176471</v>
      </c>
      <c r="O246" s="61"/>
      <c r="P246" s="61">
        <f>P233/J233*100</f>
        <v>58.82352941176471</v>
      </c>
      <c r="IB246"/>
      <c r="IC246"/>
      <c r="ID246"/>
      <c r="IE246"/>
      <c r="IF246"/>
      <c r="IG246"/>
    </row>
    <row r="247" spans="1:241" s="90" customFormat="1" ht="22.5">
      <c r="A247" s="81" t="s">
        <v>360</v>
      </c>
      <c r="B247" s="87"/>
      <c r="C247" s="87"/>
      <c r="D247" s="88">
        <f>(D249*D254)+(D250*D255)+(D251*D256)-110.1</f>
        <v>1035000</v>
      </c>
      <c r="E247" s="88"/>
      <c r="F247" s="88">
        <f>(F249*F254)+(F250*F255)+(F251*F256)-110.1</f>
        <v>1035000</v>
      </c>
      <c r="G247" s="88">
        <f>(G249*G254)+(G250*G255)+(G251*G256)+G252*G257</f>
        <v>1505079.9953947999</v>
      </c>
      <c r="H247" s="88"/>
      <c r="I247" s="88"/>
      <c r="J247" s="88">
        <f>G247</f>
        <v>1505079.9953947999</v>
      </c>
      <c r="K247" s="88">
        <f>(K249*K254)+(K250*K255)+(K251*K256)-110.1</f>
        <v>-110.1</v>
      </c>
      <c r="L247" s="88">
        <f>(L249*L254)+(L250*L255)+(L251*L256)-110.1</f>
        <v>-110.1</v>
      </c>
      <c r="M247" s="88">
        <f>(M249*M254)+(M250*M255)+(M251*M256)-110.1</f>
        <v>-110.1</v>
      </c>
      <c r="N247" s="88">
        <f>(N249*N254)+(N250*N255)+(N252*N257)</f>
        <v>1769999.9999953748</v>
      </c>
      <c r="O247" s="88"/>
      <c r="P247" s="88">
        <f>N247</f>
        <v>1769999.9999953748</v>
      </c>
      <c r="IB247" s="91"/>
      <c r="IC247" s="91"/>
      <c r="ID247" s="91"/>
      <c r="IE247" s="91"/>
      <c r="IF247" s="91"/>
      <c r="IG247" s="91"/>
    </row>
    <row r="248" spans="1:241" s="1" customFormat="1" ht="11.25">
      <c r="A248" s="53" t="s">
        <v>5</v>
      </c>
      <c r="B248" s="60"/>
      <c r="C248" s="60"/>
      <c r="D248" s="127"/>
      <c r="E248" s="127"/>
      <c r="F248" s="127"/>
      <c r="G248" s="127"/>
      <c r="H248" s="127"/>
      <c r="I248" s="127"/>
      <c r="J248" s="127"/>
      <c r="K248" s="127"/>
      <c r="L248" s="127"/>
      <c r="M248" s="127"/>
      <c r="N248" s="127"/>
      <c r="O248" s="127"/>
      <c r="P248" s="127"/>
      <c r="IB248"/>
      <c r="IC248"/>
      <c r="ID248"/>
      <c r="IE248"/>
      <c r="IF248"/>
      <c r="IG248"/>
    </row>
    <row r="249" spans="1:241" s="1" customFormat="1" ht="22.5" customHeight="1">
      <c r="A249" s="54" t="s">
        <v>135</v>
      </c>
      <c r="B249" s="58"/>
      <c r="C249" s="58"/>
      <c r="D249" s="61">
        <v>167170</v>
      </c>
      <c r="E249" s="61"/>
      <c r="F249" s="61">
        <f>D249</f>
        <v>167170</v>
      </c>
      <c r="G249" s="61">
        <f>F249</f>
        <v>167170</v>
      </c>
      <c r="H249" s="61"/>
      <c r="I249" s="61"/>
      <c r="J249" s="61">
        <f>G249</f>
        <v>167170</v>
      </c>
      <c r="K249" s="62"/>
      <c r="L249" s="62"/>
      <c r="M249" s="62"/>
      <c r="N249" s="61">
        <f>G249</f>
        <v>167170</v>
      </c>
      <c r="O249" s="61"/>
      <c r="P249" s="61">
        <f>N249</f>
        <v>167170</v>
      </c>
      <c r="IB249"/>
      <c r="IC249"/>
      <c r="ID249"/>
      <c r="IE249"/>
      <c r="IF249"/>
      <c r="IG249"/>
    </row>
    <row r="250" spans="1:241" s="1" customFormat="1" ht="22.5" hidden="1">
      <c r="A250" s="54" t="s">
        <v>158</v>
      </c>
      <c r="B250" s="58"/>
      <c r="C250" s="58"/>
      <c r="D250" s="61">
        <v>160</v>
      </c>
      <c r="E250" s="61"/>
      <c r="F250" s="61">
        <f>D250</f>
        <v>160</v>
      </c>
      <c r="G250" s="61"/>
      <c r="H250" s="61"/>
      <c r="I250" s="61"/>
      <c r="J250" s="61"/>
      <c r="K250" s="62"/>
      <c r="L250" s="62"/>
      <c r="M250" s="62"/>
      <c r="N250" s="61"/>
      <c r="O250" s="61"/>
      <c r="P250" s="61"/>
      <c r="IB250"/>
      <c r="IC250"/>
      <c r="ID250"/>
      <c r="IE250"/>
      <c r="IF250"/>
      <c r="IG250"/>
    </row>
    <row r="251" spans="1:241" s="1" customFormat="1" ht="33" customHeight="1">
      <c r="A251" s="54" t="s">
        <v>333</v>
      </c>
      <c r="B251" s="58"/>
      <c r="C251" s="58"/>
      <c r="D251" s="61">
        <v>4600</v>
      </c>
      <c r="E251" s="61"/>
      <c r="F251" s="61">
        <f>D251</f>
        <v>4600</v>
      </c>
      <c r="G251" s="61">
        <v>4994</v>
      </c>
      <c r="H251" s="61"/>
      <c r="I251" s="61"/>
      <c r="J251" s="61">
        <f>G251</f>
        <v>4994</v>
      </c>
      <c r="K251" s="62"/>
      <c r="L251" s="62"/>
      <c r="M251" s="62"/>
      <c r="N251" s="61"/>
      <c r="O251" s="61"/>
      <c r="P251" s="61">
        <f>N251</f>
        <v>0</v>
      </c>
      <c r="IB251"/>
      <c r="IC251"/>
      <c r="ID251"/>
      <c r="IE251"/>
      <c r="IF251"/>
      <c r="IG251"/>
    </row>
    <row r="252" spans="1:241" s="1" customFormat="1" ht="45">
      <c r="A252" s="54" t="s">
        <v>325</v>
      </c>
      <c r="B252" s="58"/>
      <c r="C252" s="58"/>
      <c r="D252" s="61"/>
      <c r="E252" s="61"/>
      <c r="F252" s="61"/>
      <c r="G252" s="61">
        <v>2510</v>
      </c>
      <c r="H252" s="61"/>
      <c r="I252" s="61"/>
      <c r="J252" s="61">
        <f>G252</f>
        <v>2510</v>
      </c>
      <c r="K252" s="62"/>
      <c r="L252" s="62"/>
      <c r="M252" s="62"/>
      <c r="N252" s="61">
        <v>5431</v>
      </c>
      <c r="O252" s="61"/>
      <c r="P252" s="61"/>
      <c r="IB252"/>
      <c r="IC252"/>
      <c r="ID252"/>
      <c r="IE252"/>
      <c r="IF252"/>
      <c r="IG252"/>
    </row>
    <row r="253" spans="1:241" s="1" customFormat="1" ht="12">
      <c r="A253" s="53" t="s">
        <v>7</v>
      </c>
      <c r="B253" s="60"/>
      <c r="C253" s="60"/>
      <c r="D253" s="127"/>
      <c r="E253" s="127"/>
      <c r="F253" s="61"/>
      <c r="G253" s="127"/>
      <c r="H253" s="127"/>
      <c r="I253" s="127"/>
      <c r="J253" s="61"/>
      <c r="K253" s="62"/>
      <c r="L253" s="62"/>
      <c r="M253" s="62"/>
      <c r="N253" s="127"/>
      <c r="O253" s="127"/>
      <c r="P253" s="61"/>
      <c r="IB253"/>
      <c r="IC253"/>
      <c r="ID253"/>
      <c r="IE253"/>
      <c r="IF253"/>
      <c r="IG253"/>
    </row>
    <row r="254" spans="1:241" s="1" customFormat="1" ht="23.25" customHeight="1">
      <c r="A254" s="54" t="s">
        <v>141</v>
      </c>
      <c r="B254" s="58"/>
      <c r="C254" s="58"/>
      <c r="D254" s="61">
        <v>3.53</v>
      </c>
      <c r="E254" s="61"/>
      <c r="F254" s="61">
        <f>D254</f>
        <v>3.53</v>
      </c>
      <c r="G254" s="61">
        <v>4.22</v>
      </c>
      <c r="H254" s="61"/>
      <c r="I254" s="61"/>
      <c r="J254" s="61">
        <f>G254</f>
        <v>4.22</v>
      </c>
      <c r="K254" s="62"/>
      <c r="L254" s="62"/>
      <c r="M254" s="62"/>
      <c r="N254" s="61">
        <v>5.86229586648</v>
      </c>
      <c r="O254" s="61"/>
      <c r="P254" s="61">
        <f>N254</f>
        <v>5.86229586648</v>
      </c>
      <c r="IB254"/>
      <c r="IC254"/>
      <c r="ID254"/>
      <c r="IE254"/>
      <c r="IF254"/>
      <c r="IG254"/>
    </row>
    <row r="255" spans="1:241" s="1" customFormat="1" ht="12" hidden="1">
      <c r="A255" s="54" t="s">
        <v>159</v>
      </c>
      <c r="B255" s="58"/>
      <c r="C255" s="58"/>
      <c r="D255" s="61">
        <v>625</v>
      </c>
      <c r="E255" s="61"/>
      <c r="F255" s="61">
        <f>D255</f>
        <v>625</v>
      </c>
      <c r="G255" s="61"/>
      <c r="H255" s="61"/>
      <c r="I255" s="61"/>
      <c r="J255" s="61"/>
      <c r="K255" s="62"/>
      <c r="L255" s="62"/>
      <c r="M255" s="62"/>
      <c r="N255" s="61"/>
      <c r="O255" s="61"/>
      <c r="P255" s="61"/>
      <c r="IB255"/>
      <c r="IC255"/>
      <c r="ID255"/>
      <c r="IE255"/>
      <c r="IF255"/>
      <c r="IG255"/>
    </row>
    <row r="256" spans="1:241" s="1" customFormat="1" ht="36" customHeight="1">
      <c r="A256" s="54" t="s">
        <v>334</v>
      </c>
      <c r="B256" s="58"/>
      <c r="C256" s="58"/>
      <c r="D256" s="61">
        <v>75</v>
      </c>
      <c r="E256" s="61"/>
      <c r="F256" s="61">
        <f>D256</f>
        <v>75</v>
      </c>
      <c r="G256" s="61">
        <v>87.0129342</v>
      </c>
      <c r="H256" s="61"/>
      <c r="I256" s="61"/>
      <c r="J256" s="61">
        <f>G256</f>
        <v>87.0129342</v>
      </c>
      <c r="K256" s="62"/>
      <c r="L256" s="62"/>
      <c r="M256" s="62"/>
      <c r="N256" s="61"/>
      <c r="O256" s="61"/>
      <c r="P256" s="61">
        <f>N256</f>
        <v>0</v>
      </c>
      <c r="IB256"/>
      <c r="IC256"/>
      <c r="ID256"/>
      <c r="IE256"/>
      <c r="IF256"/>
      <c r="IG256"/>
    </row>
    <row r="257" spans="1:241" s="1" customFormat="1" ht="45">
      <c r="A257" s="54" t="s">
        <v>326</v>
      </c>
      <c r="B257" s="58"/>
      <c r="C257" s="58"/>
      <c r="D257" s="61"/>
      <c r="E257" s="61"/>
      <c r="F257" s="61"/>
      <c r="G257" s="61">
        <v>145.4502</v>
      </c>
      <c r="H257" s="61"/>
      <c r="I257" s="61"/>
      <c r="J257" s="61">
        <f>G257</f>
        <v>145.4502</v>
      </c>
      <c r="K257" s="62"/>
      <c r="L257" s="62"/>
      <c r="M257" s="62"/>
      <c r="N257" s="61">
        <v>145.461241023</v>
      </c>
      <c r="O257" s="61"/>
      <c r="P257" s="61"/>
      <c r="IB257"/>
      <c r="IC257"/>
      <c r="ID257"/>
      <c r="IE257"/>
      <c r="IF257"/>
      <c r="IG257"/>
    </row>
    <row r="258" spans="1:241" s="1" customFormat="1" ht="12">
      <c r="A258" s="53" t="s">
        <v>6</v>
      </c>
      <c r="B258" s="58"/>
      <c r="C258" s="58"/>
      <c r="D258" s="61"/>
      <c r="E258" s="61"/>
      <c r="F258" s="61"/>
      <c r="G258" s="61"/>
      <c r="H258" s="61"/>
      <c r="I258" s="61"/>
      <c r="J258" s="61"/>
      <c r="K258" s="62"/>
      <c r="L258" s="62"/>
      <c r="M258" s="62"/>
      <c r="N258" s="61"/>
      <c r="O258" s="61"/>
      <c r="P258" s="61"/>
      <c r="IB258"/>
      <c r="IC258"/>
      <c r="ID258"/>
      <c r="IE258"/>
      <c r="IF258"/>
      <c r="IG258"/>
    </row>
    <row r="259" spans="1:241" s="1" customFormat="1" ht="36" customHeight="1">
      <c r="A259" s="54" t="s">
        <v>160</v>
      </c>
      <c r="B259" s="58"/>
      <c r="C259" s="58"/>
      <c r="D259" s="61"/>
      <c r="E259" s="61"/>
      <c r="F259" s="61"/>
      <c r="G259" s="61">
        <f>G254/D254*100</f>
        <v>119.54674220963173</v>
      </c>
      <c r="H259" s="61"/>
      <c r="I259" s="61"/>
      <c r="J259" s="61">
        <f>G259</f>
        <v>119.54674220963173</v>
      </c>
      <c r="K259" s="62"/>
      <c r="L259" s="62"/>
      <c r="M259" s="62"/>
      <c r="N259" s="61">
        <f>N254/G254*100</f>
        <v>138.91696366066353</v>
      </c>
      <c r="O259" s="61"/>
      <c r="P259" s="61">
        <f>N259</f>
        <v>138.91696366066353</v>
      </c>
      <c r="IB259"/>
      <c r="IC259"/>
      <c r="ID259"/>
      <c r="IE259"/>
      <c r="IF259"/>
      <c r="IG259"/>
    </row>
    <row r="260" spans="1:241" s="1" customFormat="1" ht="51" customHeight="1">
      <c r="A260" s="54" t="s">
        <v>161</v>
      </c>
      <c r="B260" s="58"/>
      <c r="C260" s="58"/>
      <c r="D260" s="61"/>
      <c r="E260" s="61"/>
      <c r="F260" s="61"/>
      <c r="G260" s="61">
        <f>G256/D256*100</f>
        <v>116.0172456</v>
      </c>
      <c r="H260" s="61"/>
      <c r="I260" s="61"/>
      <c r="J260" s="61">
        <f>G260</f>
        <v>116.0172456</v>
      </c>
      <c r="K260" s="62"/>
      <c r="L260" s="62"/>
      <c r="M260" s="62"/>
      <c r="N260" s="61">
        <f>N256/G256*100</f>
        <v>0</v>
      </c>
      <c r="O260" s="61"/>
      <c r="P260" s="61">
        <f>N260</f>
        <v>0</v>
      </c>
      <c r="IB260"/>
      <c r="IC260"/>
      <c r="ID260"/>
      <c r="IE260"/>
      <c r="IF260"/>
      <c r="IG260"/>
    </row>
    <row r="261" spans="1:241" s="1" customFormat="1" ht="58.5" customHeight="1">
      <c r="A261" s="54" t="s">
        <v>327</v>
      </c>
      <c r="B261" s="58"/>
      <c r="C261" s="58"/>
      <c r="D261" s="61"/>
      <c r="E261" s="61"/>
      <c r="F261" s="61"/>
      <c r="G261" s="61"/>
      <c r="H261" s="61"/>
      <c r="I261" s="61"/>
      <c r="J261" s="61"/>
      <c r="K261" s="62"/>
      <c r="L261" s="62"/>
      <c r="M261" s="62"/>
      <c r="N261" s="61"/>
      <c r="O261" s="61"/>
      <c r="P261" s="61"/>
      <c r="IB261"/>
      <c r="IC261"/>
      <c r="ID261"/>
      <c r="IE261"/>
      <c r="IF261"/>
      <c r="IG261"/>
    </row>
    <row r="262" spans="1:241" s="90" customFormat="1" ht="22.5">
      <c r="A262" s="81" t="s">
        <v>361</v>
      </c>
      <c r="B262" s="87"/>
      <c r="C262" s="87"/>
      <c r="D262" s="88">
        <f>(D266*D273)+(D267*D274)+(D268*D277)-2</f>
        <v>2306500</v>
      </c>
      <c r="E262" s="88"/>
      <c r="F262" s="88">
        <f>D262</f>
        <v>2306500</v>
      </c>
      <c r="G262" s="88">
        <f>(G266*G273)+(G267*G274)+G268*G277+G269*G278-0.02+10000</f>
        <v>3781600</v>
      </c>
      <c r="H262" s="88"/>
      <c r="I262" s="88"/>
      <c r="J262" s="88">
        <f>G262</f>
        <v>3781600</v>
      </c>
      <c r="K262" s="88">
        <f>(K266*K273)+(K267*K274)</f>
        <v>0</v>
      </c>
      <c r="L262" s="88">
        <f>(L266*L273)+(L267*L274)</f>
        <v>0</v>
      </c>
      <c r="M262" s="88">
        <f>(M266*M273)+(M267*M274)</f>
        <v>0</v>
      </c>
      <c r="N262" s="88">
        <f>(N266*N273)+(N267*N274)+N268*N277+N269*N278-4.98-35</f>
        <v>5619000</v>
      </c>
      <c r="O262" s="88"/>
      <c r="P262" s="88">
        <f>N262+O262</f>
        <v>5619000</v>
      </c>
      <c r="IB262" s="91"/>
      <c r="IC262" s="91"/>
      <c r="ID262" s="91"/>
      <c r="IE262" s="91"/>
      <c r="IF262" s="91"/>
      <c r="IG262" s="91"/>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5364602.98</v>
      </c>
      <c r="O263" s="13">
        <f>O265*O272+O266*O273+O267*O274</f>
        <v>0</v>
      </c>
      <c r="P263" s="13">
        <f>P265*P272+P266*P273+P267*P274</f>
        <v>5364602.98</v>
      </c>
      <c r="IB263"/>
      <c r="IC263"/>
      <c r="ID263"/>
      <c r="IE263"/>
      <c r="IF263"/>
      <c r="IG263"/>
    </row>
    <row r="264" spans="1:241" s="1" customFormat="1" ht="12" customHeight="1">
      <c r="A264" s="53" t="s">
        <v>5</v>
      </c>
      <c r="B264" s="60"/>
      <c r="C264" s="60"/>
      <c r="D264" s="127"/>
      <c r="E264" s="127"/>
      <c r="F264" s="61"/>
      <c r="G264" s="127"/>
      <c r="H264" s="127"/>
      <c r="I264" s="127"/>
      <c r="J264" s="61"/>
      <c r="K264" s="62"/>
      <c r="L264" s="62"/>
      <c r="M264" s="62"/>
      <c r="N264" s="127"/>
      <c r="O264" s="127"/>
      <c r="P264" s="61"/>
      <c r="IB264"/>
      <c r="IC264"/>
      <c r="ID264"/>
      <c r="IE264"/>
      <c r="IF264"/>
      <c r="IG264"/>
    </row>
    <row r="265" spans="1:241" s="1" customFormat="1" ht="13.5" customHeight="1" hidden="1">
      <c r="A265" s="54" t="s">
        <v>38</v>
      </c>
      <c r="B265" s="58"/>
      <c r="C265" s="58"/>
      <c r="D265" s="61">
        <v>1220</v>
      </c>
      <c r="E265" s="61"/>
      <c r="F265" s="61">
        <f aca="true" t="shared" si="30" ref="F265:F274">D265</f>
        <v>1220</v>
      </c>
      <c r="G265" s="61">
        <v>1220</v>
      </c>
      <c r="H265" s="61"/>
      <c r="I265" s="61"/>
      <c r="J265" s="61">
        <f aca="true" t="shared" si="31" ref="J265:J276">G265</f>
        <v>1220</v>
      </c>
      <c r="K265" s="62"/>
      <c r="L265" s="62"/>
      <c r="M265" s="62"/>
      <c r="N265" s="61">
        <v>1220</v>
      </c>
      <c r="O265" s="61"/>
      <c r="P265" s="61">
        <f aca="true" t="shared" si="32" ref="P265:P278">N265</f>
        <v>1220</v>
      </c>
      <c r="IB265"/>
      <c r="IC265"/>
      <c r="ID265"/>
      <c r="IE265"/>
      <c r="IF265"/>
      <c r="IG265"/>
    </row>
    <row r="266" spans="1:241" s="1" customFormat="1" ht="22.5">
      <c r="A266" s="54" t="s">
        <v>162</v>
      </c>
      <c r="B266" s="58"/>
      <c r="C266" s="58"/>
      <c r="D266" s="61">
        <v>4</v>
      </c>
      <c r="E266" s="61"/>
      <c r="F266" s="61">
        <f t="shared" si="30"/>
        <v>4</v>
      </c>
      <c r="G266" s="113">
        <f>6</f>
        <v>6</v>
      </c>
      <c r="H266" s="61"/>
      <c r="I266" s="61"/>
      <c r="J266" s="61">
        <f t="shared" si="31"/>
        <v>6</v>
      </c>
      <c r="K266" s="62"/>
      <c r="L266" s="62"/>
      <c r="M266" s="62"/>
      <c r="N266" s="61">
        <v>6</v>
      </c>
      <c r="O266" s="61"/>
      <c r="P266" s="61">
        <f t="shared" si="32"/>
        <v>6</v>
      </c>
      <c r="IB266"/>
      <c r="IC266"/>
      <c r="ID266"/>
      <c r="IE266"/>
      <c r="IF266"/>
      <c r="IG266"/>
    </row>
    <row r="267" spans="1:241" s="1" customFormat="1" ht="22.5" customHeight="1">
      <c r="A267" s="54" t="s">
        <v>163</v>
      </c>
      <c r="B267" s="58"/>
      <c r="C267" s="58"/>
      <c r="D267" s="61">
        <v>6</v>
      </c>
      <c r="E267" s="61"/>
      <c r="F267" s="61">
        <f t="shared" si="30"/>
        <v>6</v>
      </c>
      <c r="G267" s="113">
        <f>D267</f>
        <v>6</v>
      </c>
      <c r="H267" s="61"/>
      <c r="I267" s="61"/>
      <c r="J267" s="61">
        <f t="shared" si="31"/>
        <v>6</v>
      </c>
      <c r="K267" s="62"/>
      <c r="L267" s="62"/>
      <c r="M267" s="62"/>
      <c r="N267" s="61">
        <v>6</v>
      </c>
      <c r="O267" s="61"/>
      <c r="P267" s="61">
        <f t="shared" si="32"/>
        <v>6</v>
      </c>
      <c r="IB267"/>
      <c r="IC267"/>
      <c r="ID267"/>
      <c r="IE267"/>
      <c r="IF267"/>
      <c r="IG267"/>
    </row>
    <row r="268" spans="1:241" s="1" customFormat="1" ht="22.5" customHeight="1">
      <c r="A268" s="21" t="s">
        <v>256</v>
      </c>
      <c r="B268" s="7"/>
      <c r="C268" s="7"/>
      <c r="D268" s="14">
        <v>100</v>
      </c>
      <c r="E268" s="14"/>
      <c r="F268" s="14">
        <f t="shared" si="30"/>
        <v>100</v>
      </c>
      <c r="G268" s="113">
        <v>200</v>
      </c>
      <c r="H268" s="61"/>
      <c r="I268" s="61"/>
      <c r="J268" s="61">
        <v>200</v>
      </c>
      <c r="K268" s="62"/>
      <c r="L268" s="62"/>
      <c r="M268" s="62"/>
      <c r="N268" s="61">
        <v>125</v>
      </c>
      <c r="O268" s="61"/>
      <c r="P268" s="61">
        <f t="shared" si="32"/>
        <v>125</v>
      </c>
      <c r="IB268"/>
      <c r="IC268"/>
      <c r="ID268"/>
      <c r="IE268"/>
      <c r="IF268"/>
      <c r="IG268"/>
    </row>
    <row r="269" spans="1:241" s="1" customFormat="1" ht="24.75" customHeight="1">
      <c r="A269" s="21" t="s">
        <v>284</v>
      </c>
      <c r="B269" s="7"/>
      <c r="C269" s="7"/>
      <c r="D269" s="14"/>
      <c r="E269" s="14"/>
      <c r="F269" s="14"/>
      <c r="G269" s="113">
        <v>500</v>
      </c>
      <c r="H269" s="61"/>
      <c r="I269" s="61"/>
      <c r="J269" s="61">
        <v>500</v>
      </c>
      <c r="K269" s="62"/>
      <c r="L269" s="62"/>
      <c r="M269" s="62"/>
      <c r="N269" s="61">
        <v>400</v>
      </c>
      <c r="O269" s="61"/>
      <c r="P269" s="61">
        <f t="shared" si="32"/>
        <v>400</v>
      </c>
      <c r="IB269"/>
      <c r="IC269"/>
      <c r="ID269"/>
      <c r="IE269"/>
      <c r="IF269"/>
      <c r="IG269"/>
    </row>
    <row r="270" spans="1:241" s="1" customFormat="1" ht="22.5" customHeight="1" hidden="1">
      <c r="A270" s="21" t="s">
        <v>284</v>
      </c>
      <c r="B270" s="7"/>
      <c r="C270" s="7"/>
      <c r="D270" s="14"/>
      <c r="E270" s="14"/>
      <c r="F270" s="14"/>
      <c r="G270" s="113">
        <v>500</v>
      </c>
      <c r="H270" s="61"/>
      <c r="I270" s="61"/>
      <c r="J270" s="61">
        <v>500</v>
      </c>
      <c r="K270" s="62"/>
      <c r="L270" s="62"/>
      <c r="M270" s="62"/>
      <c r="N270" s="61"/>
      <c r="O270" s="61"/>
      <c r="P270" s="61"/>
      <c r="IB270"/>
      <c r="IC270"/>
      <c r="ID270"/>
      <c r="IE270"/>
      <c r="IF270"/>
      <c r="IG270"/>
    </row>
    <row r="271" spans="1:241" s="1" customFormat="1" ht="12" customHeight="1">
      <c r="A271" s="53" t="s">
        <v>7</v>
      </c>
      <c r="B271" s="60"/>
      <c r="C271" s="60"/>
      <c r="D271" s="127"/>
      <c r="E271" s="127"/>
      <c r="F271" s="61"/>
      <c r="G271" s="166"/>
      <c r="H271" s="127"/>
      <c r="I271" s="127"/>
      <c r="J271" s="61"/>
      <c r="K271" s="62"/>
      <c r="L271" s="62"/>
      <c r="M271" s="62"/>
      <c r="N271" s="127"/>
      <c r="O271" s="127"/>
      <c r="P271" s="61"/>
      <c r="IB271"/>
      <c r="IC271"/>
      <c r="ID271"/>
      <c r="IE271"/>
      <c r="IF271"/>
      <c r="IG271"/>
    </row>
    <row r="272" spans="1:241" s="1" customFormat="1" ht="22.5" customHeight="1" hidden="1">
      <c r="A272" s="54" t="s">
        <v>55</v>
      </c>
      <c r="B272" s="58"/>
      <c r="C272" s="58"/>
      <c r="D272" s="61">
        <v>26.5</v>
      </c>
      <c r="E272" s="61"/>
      <c r="F272" s="61">
        <f t="shared" si="30"/>
        <v>26.5</v>
      </c>
      <c r="G272" s="113">
        <v>29.15</v>
      </c>
      <c r="H272" s="61"/>
      <c r="I272" s="61"/>
      <c r="J272" s="61">
        <f t="shared" si="31"/>
        <v>29.15</v>
      </c>
      <c r="K272" s="62"/>
      <c r="L272" s="62"/>
      <c r="M272" s="62"/>
      <c r="N272" s="61">
        <v>29.15</v>
      </c>
      <c r="O272" s="61"/>
      <c r="P272" s="61">
        <f t="shared" si="32"/>
        <v>29.15</v>
      </c>
      <c r="IB272"/>
      <c r="IC272"/>
      <c r="ID272"/>
      <c r="IE272"/>
      <c r="IF272"/>
      <c r="IG272"/>
    </row>
    <row r="273" spans="1:241" s="1" customFormat="1" ht="22.5" customHeight="1">
      <c r="A273" s="54" t="s">
        <v>164</v>
      </c>
      <c r="B273" s="58"/>
      <c r="C273" s="58"/>
      <c r="D273" s="61">
        <v>256250</v>
      </c>
      <c r="E273" s="61"/>
      <c r="F273" s="61">
        <f>D273</f>
        <v>256250</v>
      </c>
      <c r="G273" s="113">
        <v>339600</v>
      </c>
      <c r="H273" s="61"/>
      <c r="I273" s="61"/>
      <c r="J273" s="61">
        <f t="shared" si="31"/>
        <v>339600</v>
      </c>
      <c r="K273" s="62"/>
      <c r="L273" s="62"/>
      <c r="M273" s="62"/>
      <c r="N273" s="61">
        <v>562340</v>
      </c>
      <c r="O273" s="61"/>
      <c r="P273" s="61">
        <f t="shared" si="32"/>
        <v>562340</v>
      </c>
      <c r="IB273"/>
      <c r="IC273"/>
      <c r="ID273"/>
      <c r="IE273"/>
      <c r="IF273"/>
      <c r="IG273"/>
    </row>
    <row r="274" spans="1:241" s="1" customFormat="1" ht="22.5" customHeight="1">
      <c r="A274" s="54" t="s">
        <v>165</v>
      </c>
      <c r="B274" s="58"/>
      <c r="C274" s="58"/>
      <c r="D274" s="61">
        <v>196917</v>
      </c>
      <c r="E274" s="61"/>
      <c r="F274" s="61">
        <f t="shared" si="30"/>
        <v>196917</v>
      </c>
      <c r="G274" s="113">
        <v>230666.67</v>
      </c>
      <c r="H274" s="61"/>
      <c r="I274" s="61"/>
      <c r="J274" s="61">
        <f t="shared" si="31"/>
        <v>230666.67</v>
      </c>
      <c r="K274" s="62"/>
      <c r="L274" s="62"/>
      <c r="M274" s="62"/>
      <c r="N274" s="61">
        <v>325833.33</v>
      </c>
      <c r="O274" s="61"/>
      <c r="P274" s="61">
        <f t="shared" si="32"/>
        <v>325833.33</v>
      </c>
      <c r="IB274"/>
      <c r="IC274"/>
      <c r="ID274"/>
      <c r="IE274"/>
      <c r="IF274"/>
      <c r="IG274"/>
    </row>
    <row r="275" spans="1:241" s="1" customFormat="1" ht="12" customHeight="1" hidden="1">
      <c r="A275" s="53" t="s">
        <v>6</v>
      </c>
      <c r="B275" s="60"/>
      <c r="C275" s="60"/>
      <c r="D275" s="127"/>
      <c r="E275" s="127"/>
      <c r="F275" s="127"/>
      <c r="G275" s="166"/>
      <c r="H275" s="127"/>
      <c r="I275" s="127"/>
      <c r="J275" s="61">
        <f t="shared" si="31"/>
        <v>0</v>
      </c>
      <c r="K275" s="62"/>
      <c r="L275" s="62"/>
      <c r="M275" s="62"/>
      <c r="N275" s="127"/>
      <c r="O275" s="127"/>
      <c r="P275" s="61">
        <f t="shared" si="32"/>
        <v>0</v>
      </c>
      <c r="IB275"/>
      <c r="IC275"/>
      <c r="ID275"/>
      <c r="IE275"/>
      <c r="IF275"/>
      <c r="IG275"/>
    </row>
    <row r="276" spans="1:241" s="1" customFormat="1" ht="33.75" customHeight="1" hidden="1">
      <c r="A276" s="54" t="s">
        <v>39</v>
      </c>
      <c r="B276" s="58"/>
      <c r="C276" s="58"/>
      <c r="D276" s="61"/>
      <c r="E276" s="61"/>
      <c r="F276" s="61"/>
      <c r="G276" s="113"/>
      <c r="H276" s="61"/>
      <c r="I276" s="61"/>
      <c r="J276" s="61">
        <f t="shared" si="31"/>
        <v>0</v>
      </c>
      <c r="K276" s="62"/>
      <c r="L276" s="62"/>
      <c r="M276" s="62"/>
      <c r="N276" s="61"/>
      <c r="O276" s="61"/>
      <c r="P276" s="61">
        <f t="shared" si="32"/>
        <v>0</v>
      </c>
      <c r="IB276"/>
      <c r="IC276"/>
      <c r="ID276"/>
      <c r="IE276"/>
      <c r="IF276"/>
      <c r="IG276"/>
    </row>
    <row r="277" spans="1:241" s="1" customFormat="1" ht="32.25" customHeight="1">
      <c r="A277" s="21" t="s">
        <v>322</v>
      </c>
      <c r="B277" s="7"/>
      <c r="C277" s="7"/>
      <c r="D277" s="14">
        <v>1000</v>
      </c>
      <c r="E277" s="14"/>
      <c r="F277" s="14">
        <f>D277</f>
        <v>1000</v>
      </c>
      <c r="G277" s="113">
        <v>1000</v>
      </c>
      <c r="H277" s="61"/>
      <c r="I277" s="61"/>
      <c r="J277" s="61">
        <f>G277</f>
        <v>1000</v>
      </c>
      <c r="K277" s="62"/>
      <c r="L277" s="62"/>
      <c r="M277" s="62"/>
      <c r="N277" s="61">
        <v>1200</v>
      </c>
      <c r="O277" s="61"/>
      <c r="P277" s="61">
        <f t="shared" si="32"/>
        <v>1200</v>
      </c>
      <c r="IB277"/>
      <c r="IC277"/>
      <c r="ID277"/>
      <c r="IE277"/>
      <c r="IF277"/>
      <c r="IG277"/>
    </row>
    <row r="278" spans="1:241" s="1" customFormat="1" ht="33.75">
      <c r="A278" s="21" t="s">
        <v>285</v>
      </c>
      <c r="B278" s="7"/>
      <c r="C278" s="7"/>
      <c r="D278" s="14">
        <v>1000</v>
      </c>
      <c r="E278" s="14"/>
      <c r="F278" s="14">
        <f>D278</f>
        <v>1000</v>
      </c>
      <c r="G278" s="113">
        <v>300</v>
      </c>
      <c r="H278" s="61"/>
      <c r="I278" s="61"/>
      <c r="J278" s="61">
        <f>G278</f>
        <v>300</v>
      </c>
      <c r="K278" s="62"/>
      <c r="L278" s="62"/>
      <c r="M278" s="62"/>
      <c r="N278" s="61">
        <v>350</v>
      </c>
      <c r="O278" s="61"/>
      <c r="P278" s="61">
        <f t="shared" si="32"/>
        <v>350</v>
      </c>
      <c r="IB278"/>
      <c r="IC278"/>
      <c r="ID278"/>
      <c r="IE278"/>
      <c r="IF278"/>
      <c r="IG278"/>
    </row>
    <row r="279" spans="1:241" s="1" customFormat="1" ht="12">
      <c r="A279" s="53" t="s">
        <v>6</v>
      </c>
      <c r="B279" s="58"/>
      <c r="C279" s="58"/>
      <c r="D279" s="61"/>
      <c r="E279" s="61"/>
      <c r="F279" s="61"/>
      <c r="G279" s="61"/>
      <c r="H279" s="61"/>
      <c r="I279" s="61"/>
      <c r="J279" s="61"/>
      <c r="K279" s="62"/>
      <c r="L279" s="62"/>
      <c r="M279" s="62"/>
      <c r="N279" s="61"/>
      <c r="O279" s="61"/>
      <c r="P279" s="61"/>
      <c r="IB279"/>
      <c r="IC279"/>
      <c r="ID279"/>
      <c r="IE279"/>
      <c r="IF279"/>
      <c r="IG279"/>
    </row>
    <row r="280" spans="1:241" s="1" customFormat="1" ht="33.75">
      <c r="A280" s="54" t="s">
        <v>166</v>
      </c>
      <c r="B280" s="58"/>
      <c r="C280" s="58"/>
      <c r="D280" s="61"/>
      <c r="E280" s="61"/>
      <c r="F280" s="61"/>
      <c r="G280" s="61">
        <f>G273/F273*100</f>
        <v>132.5268292682927</v>
      </c>
      <c r="H280" s="61"/>
      <c r="I280" s="61"/>
      <c r="J280" s="61">
        <f>G280</f>
        <v>132.5268292682927</v>
      </c>
      <c r="K280" s="62"/>
      <c r="L280" s="62"/>
      <c r="M280" s="62"/>
      <c r="N280" s="61">
        <f>N273/J273*100</f>
        <v>165.5889281507656</v>
      </c>
      <c r="O280" s="61"/>
      <c r="P280" s="61">
        <f>N280</f>
        <v>165.5889281507656</v>
      </c>
      <c r="IB280"/>
      <c r="IC280"/>
      <c r="ID280"/>
      <c r="IE280"/>
      <c r="IF280"/>
      <c r="IG280"/>
    </row>
    <row r="281" spans="1:241" s="1" customFormat="1" ht="33.75">
      <c r="A281" s="54" t="s">
        <v>167</v>
      </c>
      <c r="B281" s="58"/>
      <c r="C281" s="58"/>
      <c r="D281" s="61"/>
      <c r="E281" s="61"/>
      <c r="F281" s="61"/>
      <c r="G281" s="61">
        <f>G274/D274*100</f>
        <v>117.13903319672755</v>
      </c>
      <c r="H281" s="61"/>
      <c r="I281" s="61"/>
      <c r="J281" s="61">
        <f>G281</f>
        <v>117.13903319672755</v>
      </c>
      <c r="K281" s="62"/>
      <c r="L281" s="62"/>
      <c r="M281" s="62"/>
      <c r="N281" s="61">
        <f>N274/G274*100</f>
        <v>141.25722194715</v>
      </c>
      <c r="O281" s="61"/>
      <c r="P281" s="61">
        <f>N281</f>
        <v>141.25722194715</v>
      </c>
      <c r="IB281"/>
      <c r="IC281"/>
      <c r="ID281"/>
      <c r="IE281"/>
      <c r="IF281"/>
      <c r="IG281"/>
    </row>
    <row r="282" spans="1:241" s="90" customFormat="1" ht="24" customHeight="1">
      <c r="A282" s="81" t="s">
        <v>362</v>
      </c>
      <c r="B282" s="87"/>
      <c r="C282" s="87"/>
      <c r="D282" s="88">
        <f>(D284*D287)+45</f>
        <v>400000</v>
      </c>
      <c r="E282" s="88"/>
      <c r="F282" s="88">
        <f>D282</f>
        <v>400000</v>
      </c>
      <c r="G282" s="88">
        <f>G284*G287+G285*G288</f>
        <v>479999.999999326</v>
      </c>
      <c r="H282" s="88"/>
      <c r="I282" s="88"/>
      <c r="J282" s="88">
        <f>G282</f>
        <v>479999.999999326</v>
      </c>
      <c r="K282" s="88">
        <f>(K284*K287)</f>
        <v>0</v>
      </c>
      <c r="L282" s="88">
        <f>(L284*L287)</f>
        <v>0</v>
      </c>
      <c r="M282" s="88">
        <f>(M284*M287)</f>
        <v>0</v>
      </c>
      <c r="N282" s="88">
        <f>(N284*N287)</f>
        <v>579999.9999983759</v>
      </c>
      <c r="O282" s="88">
        <f>(O284*O287)</f>
        <v>0</v>
      </c>
      <c r="P282" s="88">
        <f>N282</f>
        <v>579999.9999983759</v>
      </c>
      <c r="IB282" s="91"/>
      <c r="IC282" s="91"/>
      <c r="ID282" s="91"/>
      <c r="IE282" s="91"/>
      <c r="IF282" s="91"/>
      <c r="IG282" s="91"/>
    </row>
    <row r="283" spans="1:241" s="1" customFormat="1" ht="12">
      <c r="A283" s="53" t="s">
        <v>5</v>
      </c>
      <c r="B283" s="58"/>
      <c r="C283" s="58"/>
      <c r="D283" s="61"/>
      <c r="E283" s="61"/>
      <c r="F283" s="61"/>
      <c r="G283" s="61"/>
      <c r="H283" s="61"/>
      <c r="I283" s="61"/>
      <c r="J283" s="61"/>
      <c r="K283" s="62"/>
      <c r="L283" s="62"/>
      <c r="M283" s="62"/>
      <c r="N283" s="61"/>
      <c r="O283" s="61"/>
      <c r="P283" s="61"/>
      <c r="IB283"/>
      <c r="IC283"/>
      <c r="ID283"/>
      <c r="IE283"/>
      <c r="IF283"/>
      <c r="IG283"/>
    </row>
    <row r="284" spans="1:241" s="1" customFormat="1" ht="22.5">
      <c r="A284" s="54" t="s">
        <v>300</v>
      </c>
      <c r="B284" s="58"/>
      <c r="C284" s="58"/>
      <c r="D284" s="61">
        <v>2050</v>
      </c>
      <c r="E284" s="61"/>
      <c r="F284" s="61">
        <f>D284</f>
        <v>2050</v>
      </c>
      <c r="G284" s="61">
        <v>1427</v>
      </c>
      <c r="H284" s="61"/>
      <c r="I284" s="61"/>
      <c r="J284" s="61">
        <f>G284</f>
        <v>1427</v>
      </c>
      <c r="K284" s="62"/>
      <c r="L284" s="62"/>
      <c r="M284" s="62"/>
      <c r="N284" s="61">
        <v>2248</v>
      </c>
      <c r="O284" s="61"/>
      <c r="P284" s="61">
        <f>N284</f>
        <v>2248</v>
      </c>
      <c r="IB284"/>
      <c r="IC284"/>
      <c r="ID284"/>
      <c r="IE284"/>
      <c r="IF284"/>
      <c r="IG284"/>
    </row>
    <row r="285" spans="1:241" s="1" customFormat="1" ht="33.75">
      <c r="A285" s="54" t="s">
        <v>304</v>
      </c>
      <c r="B285" s="58"/>
      <c r="C285" s="58"/>
      <c r="D285" s="61"/>
      <c r="E285" s="61"/>
      <c r="F285" s="61"/>
      <c r="G285" s="61">
        <v>1</v>
      </c>
      <c r="H285" s="61"/>
      <c r="I285" s="61"/>
      <c r="J285" s="61">
        <v>1</v>
      </c>
      <c r="K285" s="62"/>
      <c r="L285" s="62"/>
      <c r="M285" s="62"/>
      <c r="N285" s="61"/>
      <c r="O285" s="61"/>
      <c r="P285" s="61"/>
      <c r="IB285"/>
      <c r="IC285"/>
      <c r="ID285"/>
      <c r="IE285"/>
      <c r="IF285"/>
      <c r="IG285"/>
    </row>
    <row r="286" spans="1:241" s="1" customFormat="1" ht="12">
      <c r="A286" s="53" t="s">
        <v>7</v>
      </c>
      <c r="B286" s="58"/>
      <c r="C286" s="58"/>
      <c r="D286" s="61"/>
      <c r="E286" s="61"/>
      <c r="F286" s="61"/>
      <c r="G286" s="61"/>
      <c r="H286" s="61"/>
      <c r="I286" s="61"/>
      <c r="J286" s="61"/>
      <c r="K286" s="62"/>
      <c r="L286" s="62"/>
      <c r="M286" s="62"/>
      <c r="N286" s="61"/>
      <c r="O286" s="61"/>
      <c r="P286" s="61"/>
      <c r="IB286"/>
      <c r="IC286"/>
      <c r="ID286"/>
      <c r="IE286"/>
      <c r="IF286"/>
      <c r="IG286"/>
    </row>
    <row r="287" spans="1:241" s="1" customFormat="1" ht="22.5">
      <c r="A287" s="54" t="s">
        <v>301</v>
      </c>
      <c r="B287" s="58"/>
      <c r="C287" s="58"/>
      <c r="D287" s="61">
        <v>195.1</v>
      </c>
      <c r="E287" s="61"/>
      <c r="F287" s="61">
        <f>D287</f>
        <v>195.1</v>
      </c>
      <c r="G287" s="61">
        <v>224.246671338</v>
      </c>
      <c r="H287" s="61"/>
      <c r="I287" s="61"/>
      <c r="J287" s="61">
        <f>G287</f>
        <v>224.246671338</v>
      </c>
      <c r="K287" s="62"/>
      <c r="L287" s="62"/>
      <c r="M287" s="62"/>
      <c r="N287" s="61">
        <v>258.007117437</v>
      </c>
      <c r="O287" s="61"/>
      <c r="P287" s="61">
        <f>N287</f>
        <v>258.007117437</v>
      </c>
      <c r="IB287"/>
      <c r="IC287"/>
      <c r="ID287"/>
      <c r="IE287"/>
      <c r="IF287"/>
      <c r="IG287"/>
    </row>
    <row r="288" spans="1:241" s="1" customFormat="1" ht="33.75">
      <c r="A288" s="54" t="s">
        <v>305</v>
      </c>
      <c r="B288" s="58"/>
      <c r="C288" s="58"/>
      <c r="D288" s="61"/>
      <c r="E288" s="61"/>
      <c r="F288" s="61"/>
      <c r="G288" s="61">
        <v>160000</v>
      </c>
      <c r="H288" s="61"/>
      <c r="I288" s="61"/>
      <c r="J288" s="61">
        <f>G288</f>
        <v>160000</v>
      </c>
      <c r="K288" s="62"/>
      <c r="L288" s="62"/>
      <c r="M288" s="62"/>
      <c r="N288" s="61"/>
      <c r="O288" s="61"/>
      <c r="P288" s="61"/>
      <c r="IB288"/>
      <c r="IC288"/>
      <c r="ID288"/>
      <c r="IE288"/>
      <c r="IF288"/>
      <c r="IG288"/>
    </row>
    <row r="289" spans="1:241" s="1" customFormat="1" ht="12">
      <c r="A289" s="53" t="s">
        <v>6</v>
      </c>
      <c r="B289" s="58"/>
      <c r="C289" s="58"/>
      <c r="D289" s="61"/>
      <c r="E289" s="61"/>
      <c r="F289" s="61"/>
      <c r="G289" s="61"/>
      <c r="H289" s="61"/>
      <c r="I289" s="61"/>
      <c r="J289" s="61"/>
      <c r="K289" s="62"/>
      <c r="L289" s="62"/>
      <c r="M289" s="62"/>
      <c r="N289" s="61"/>
      <c r="O289" s="61"/>
      <c r="P289" s="61"/>
      <c r="IB289"/>
      <c r="IC289"/>
      <c r="ID289"/>
      <c r="IE289"/>
      <c r="IF289"/>
      <c r="IG289"/>
    </row>
    <row r="290" spans="1:241" s="1" customFormat="1" ht="24.75" customHeight="1">
      <c r="A290" s="54" t="s">
        <v>302</v>
      </c>
      <c r="B290" s="58"/>
      <c r="C290" s="58"/>
      <c r="D290" s="61"/>
      <c r="E290" s="61"/>
      <c r="F290" s="61"/>
      <c r="G290" s="61">
        <f>G284/D284*100</f>
        <v>69.60975609756098</v>
      </c>
      <c r="H290" s="61"/>
      <c r="I290" s="61"/>
      <c r="J290" s="61">
        <f>G290</f>
        <v>69.60975609756098</v>
      </c>
      <c r="K290" s="62"/>
      <c r="L290" s="62"/>
      <c r="M290" s="62"/>
      <c r="N290" s="61">
        <f>N284/G284*100</f>
        <v>157.5332866152768</v>
      </c>
      <c r="O290" s="61"/>
      <c r="P290" s="61">
        <f>N290</f>
        <v>157.5332866152768</v>
      </c>
      <c r="IB290"/>
      <c r="IC290"/>
      <c r="ID290"/>
      <c r="IE290"/>
      <c r="IF290"/>
      <c r="IG290"/>
    </row>
    <row r="291" spans="1:241" s="1" customFormat="1" ht="33.75">
      <c r="A291" s="54" t="s">
        <v>303</v>
      </c>
      <c r="B291" s="58"/>
      <c r="C291" s="58"/>
      <c r="D291" s="61"/>
      <c r="E291" s="61"/>
      <c r="F291" s="61"/>
      <c r="G291" s="61">
        <f>G287/D287*100</f>
        <v>114.93934973757047</v>
      </c>
      <c r="H291" s="61"/>
      <c r="I291" s="61"/>
      <c r="J291" s="61">
        <f>G291</f>
        <v>114.93934973757047</v>
      </c>
      <c r="K291" s="62"/>
      <c r="L291" s="62"/>
      <c r="M291" s="62"/>
      <c r="N291" s="61">
        <f>N287/G287*100</f>
        <v>115.05504893230452</v>
      </c>
      <c r="O291" s="61"/>
      <c r="P291" s="61">
        <f>N291</f>
        <v>115.05504893230452</v>
      </c>
      <c r="IB291"/>
      <c r="IC291"/>
      <c r="ID291"/>
      <c r="IE291"/>
      <c r="IF291"/>
      <c r="IG291"/>
    </row>
    <row r="292" spans="1:241" s="100" customFormat="1" ht="27" customHeight="1">
      <c r="A292" s="81" t="s">
        <v>363</v>
      </c>
      <c r="B292" s="87"/>
      <c r="C292" s="87"/>
      <c r="D292" s="88"/>
      <c r="E292" s="88">
        <f>E294*E298</f>
        <v>4065000</v>
      </c>
      <c r="F292" s="88">
        <f>F294*F298</f>
        <v>4065000</v>
      </c>
      <c r="G292" s="88"/>
      <c r="H292" s="88">
        <v>4482000</v>
      </c>
      <c r="I292" s="88"/>
      <c r="J292" s="88">
        <v>4482000</v>
      </c>
      <c r="K292" s="88">
        <f>K294*K298-4</f>
        <v>-4</v>
      </c>
      <c r="L292" s="88">
        <f>L294*L298-4</f>
        <v>-4</v>
      </c>
      <c r="M292" s="88">
        <f>M294*M298-4</f>
        <v>-4</v>
      </c>
      <c r="N292" s="88"/>
      <c r="O292" s="88">
        <f>O294*O298+O295*O299+O296*O300-40.02</f>
        <v>19761160.000000004</v>
      </c>
      <c r="P292" s="88">
        <f>N292+O292</f>
        <v>19761160.000000004</v>
      </c>
      <c r="IB292" s="101"/>
      <c r="IC292" s="101"/>
      <c r="ID292" s="101"/>
      <c r="IE292" s="101"/>
      <c r="IF292" s="101"/>
      <c r="IG292" s="101"/>
    </row>
    <row r="293" spans="1:241" s="48" customFormat="1" ht="12">
      <c r="A293" s="53" t="s">
        <v>5</v>
      </c>
      <c r="B293" s="60"/>
      <c r="C293" s="60"/>
      <c r="D293" s="127"/>
      <c r="E293" s="127"/>
      <c r="F293" s="61"/>
      <c r="G293" s="127"/>
      <c r="H293" s="127"/>
      <c r="I293" s="127"/>
      <c r="J293" s="61"/>
      <c r="K293" s="62"/>
      <c r="L293" s="62"/>
      <c r="M293" s="62"/>
      <c r="N293" s="127"/>
      <c r="O293" s="127"/>
      <c r="P293" s="61"/>
      <c r="IB293" s="49"/>
      <c r="IC293" s="49"/>
      <c r="ID293" s="49"/>
      <c r="IE293" s="49"/>
      <c r="IF293" s="49"/>
      <c r="IG293" s="49"/>
    </row>
    <row r="294" spans="1:241" s="48" customFormat="1" ht="25.5" customHeight="1">
      <c r="A294" s="54" t="s">
        <v>168</v>
      </c>
      <c r="B294" s="58"/>
      <c r="C294" s="58"/>
      <c r="D294" s="61"/>
      <c r="E294" s="14">
        <v>24</v>
      </c>
      <c r="F294" s="61">
        <f>E294</f>
        <v>24</v>
      </c>
      <c r="G294" s="61"/>
      <c r="H294" s="61">
        <v>29</v>
      </c>
      <c r="I294" s="61"/>
      <c r="J294" s="61">
        <v>29</v>
      </c>
      <c r="K294" s="62"/>
      <c r="L294" s="62"/>
      <c r="M294" s="62"/>
      <c r="N294" s="61"/>
      <c r="O294" s="61">
        <v>11</v>
      </c>
      <c r="P294" s="61">
        <f>O294</f>
        <v>11</v>
      </c>
      <c r="IB294" s="49"/>
      <c r="IC294" s="49"/>
      <c r="ID294" s="49"/>
      <c r="IE294" s="49"/>
      <c r="IF294" s="49"/>
      <c r="IG294" s="49"/>
    </row>
    <row r="295" spans="1:241" s="48" customFormat="1" ht="25.5" customHeight="1">
      <c r="A295" s="54" t="s">
        <v>286</v>
      </c>
      <c r="B295" s="58"/>
      <c r="C295" s="58"/>
      <c r="D295" s="61"/>
      <c r="E295" s="14"/>
      <c r="F295" s="61"/>
      <c r="G295" s="61"/>
      <c r="H295" s="61"/>
      <c r="I295" s="61"/>
      <c r="J295" s="61"/>
      <c r="K295" s="62"/>
      <c r="L295" s="62"/>
      <c r="M295" s="62"/>
      <c r="N295" s="61"/>
      <c r="O295" s="61">
        <v>2</v>
      </c>
      <c r="P295" s="61">
        <f>O295</f>
        <v>2</v>
      </c>
      <c r="IB295" s="49"/>
      <c r="IC295" s="49"/>
      <c r="ID295" s="49"/>
      <c r="IE295" s="49"/>
      <c r="IF295" s="49"/>
      <c r="IG295" s="49"/>
    </row>
    <row r="296" spans="1:241" s="48" customFormat="1" ht="25.5" customHeight="1">
      <c r="A296" s="54" t="s">
        <v>393</v>
      </c>
      <c r="B296" s="58"/>
      <c r="C296" s="58"/>
      <c r="D296" s="61"/>
      <c r="E296" s="14"/>
      <c r="F296" s="61"/>
      <c r="G296" s="61"/>
      <c r="H296" s="61"/>
      <c r="I296" s="61"/>
      <c r="J296" s="61"/>
      <c r="K296" s="62"/>
      <c r="L296" s="62"/>
      <c r="M296" s="62"/>
      <c r="N296" s="61"/>
      <c r="O296" s="61">
        <v>4</v>
      </c>
      <c r="P296" s="61">
        <f>O296</f>
        <v>4</v>
      </c>
      <c r="IB296" s="49"/>
      <c r="IC296" s="49"/>
      <c r="ID296" s="49"/>
      <c r="IE296" s="49"/>
      <c r="IF296" s="49"/>
      <c r="IG296" s="49"/>
    </row>
    <row r="297" spans="1:241" s="48" customFormat="1" ht="12">
      <c r="A297" s="53" t="s">
        <v>7</v>
      </c>
      <c r="B297" s="60"/>
      <c r="C297" s="60"/>
      <c r="D297" s="127"/>
      <c r="E297" s="127"/>
      <c r="F297" s="61"/>
      <c r="G297" s="127"/>
      <c r="H297" s="127"/>
      <c r="I297" s="127"/>
      <c r="J297" s="61"/>
      <c r="K297" s="62"/>
      <c r="L297" s="62"/>
      <c r="M297" s="62"/>
      <c r="N297" s="127"/>
      <c r="O297" s="127"/>
      <c r="P297" s="61"/>
      <c r="IB297" s="49"/>
      <c r="IC297" s="49"/>
      <c r="ID297" s="49"/>
      <c r="IE297" s="49"/>
      <c r="IF297" s="49"/>
      <c r="IG297" s="49"/>
    </row>
    <row r="298" spans="1:241" s="48" customFormat="1" ht="26.25" customHeight="1">
      <c r="A298" s="54" t="s">
        <v>169</v>
      </c>
      <c r="B298" s="58"/>
      <c r="C298" s="58"/>
      <c r="D298" s="61"/>
      <c r="E298" s="61">
        <v>169375</v>
      </c>
      <c r="F298" s="61">
        <f>E298</f>
        <v>169375</v>
      </c>
      <c r="G298" s="61"/>
      <c r="H298" s="61">
        <v>154553</v>
      </c>
      <c r="I298" s="61"/>
      <c r="J298" s="61">
        <v>154553</v>
      </c>
      <c r="K298" s="62"/>
      <c r="L298" s="62"/>
      <c r="M298" s="62"/>
      <c r="N298" s="61"/>
      <c r="O298" s="61">
        <v>1388181.82</v>
      </c>
      <c r="P298" s="61">
        <f>O298</f>
        <v>1388181.82</v>
      </c>
      <c r="IB298" s="49"/>
      <c r="IC298" s="49"/>
      <c r="ID298" s="49"/>
      <c r="IE298" s="49"/>
      <c r="IF298" s="49"/>
      <c r="IG298" s="49"/>
    </row>
    <row r="299" spans="1:241" s="48" customFormat="1" ht="26.25" customHeight="1">
      <c r="A299" s="54" t="s">
        <v>287</v>
      </c>
      <c r="B299" s="58"/>
      <c r="C299" s="58"/>
      <c r="D299" s="61"/>
      <c r="E299" s="61"/>
      <c r="F299" s="61"/>
      <c r="G299" s="61"/>
      <c r="H299" s="113"/>
      <c r="I299" s="61"/>
      <c r="J299" s="61"/>
      <c r="K299" s="62"/>
      <c r="L299" s="62"/>
      <c r="M299" s="62"/>
      <c r="N299" s="61"/>
      <c r="O299" s="61">
        <v>1545600</v>
      </c>
      <c r="P299" s="61">
        <f>O299</f>
        <v>1545600</v>
      </c>
      <c r="IB299" s="49"/>
      <c r="IC299" s="49"/>
      <c r="ID299" s="49"/>
      <c r="IE299" s="49"/>
      <c r="IF299" s="49"/>
      <c r="IG299" s="49"/>
    </row>
    <row r="300" spans="1:241" s="48" customFormat="1" ht="26.25" customHeight="1">
      <c r="A300" s="54" t="s">
        <v>394</v>
      </c>
      <c r="B300" s="58"/>
      <c r="C300" s="58"/>
      <c r="D300" s="61"/>
      <c r="E300" s="61"/>
      <c r="F300" s="61"/>
      <c r="G300" s="61"/>
      <c r="H300" s="113"/>
      <c r="I300" s="61"/>
      <c r="J300" s="61"/>
      <c r="K300" s="62"/>
      <c r="L300" s="62"/>
      <c r="M300" s="62"/>
      <c r="N300" s="61"/>
      <c r="O300" s="61">
        <v>350000</v>
      </c>
      <c r="P300" s="61">
        <f>O300</f>
        <v>350000</v>
      </c>
      <c r="IB300" s="49"/>
      <c r="IC300" s="49"/>
      <c r="ID300" s="49"/>
      <c r="IE300" s="49"/>
      <c r="IF300" s="49"/>
      <c r="IG300" s="49"/>
    </row>
    <row r="301" spans="1:241" s="48" customFormat="1" ht="12">
      <c r="A301" s="53" t="s">
        <v>6</v>
      </c>
      <c r="B301" s="58"/>
      <c r="C301" s="58"/>
      <c r="D301" s="61"/>
      <c r="E301" s="61"/>
      <c r="F301" s="61"/>
      <c r="G301" s="61"/>
      <c r="H301" s="61"/>
      <c r="I301" s="61"/>
      <c r="J301" s="61"/>
      <c r="K301" s="62"/>
      <c r="L301" s="62"/>
      <c r="M301" s="62"/>
      <c r="N301" s="61"/>
      <c r="O301" s="61"/>
      <c r="P301" s="61"/>
      <c r="IB301" s="49"/>
      <c r="IC301" s="49"/>
      <c r="ID301" s="49"/>
      <c r="IE301" s="49"/>
      <c r="IF301" s="49"/>
      <c r="IG301" s="49"/>
    </row>
    <row r="302" spans="1:241" s="48" customFormat="1" ht="35.25" customHeight="1">
      <c r="A302" s="54" t="s">
        <v>170</v>
      </c>
      <c r="B302" s="58"/>
      <c r="C302" s="58"/>
      <c r="D302" s="61"/>
      <c r="E302" s="61"/>
      <c r="F302" s="61"/>
      <c r="G302" s="61"/>
      <c r="H302" s="61">
        <f>H298/E298*100</f>
        <v>91.2490036900369</v>
      </c>
      <c r="I302" s="61"/>
      <c r="J302" s="61">
        <v>58.5</v>
      </c>
      <c r="K302" s="62"/>
      <c r="L302" s="62"/>
      <c r="M302" s="62"/>
      <c r="N302" s="61"/>
      <c r="O302" s="61">
        <f>O298/H298*100</f>
        <v>898.1914424178115</v>
      </c>
      <c r="P302" s="61">
        <f>O302</f>
        <v>898.1914424178115</v>
      </c>
      <c r="IB302" s="49"/>
      <c r="IC302" s="49"/>
      <c r="ID302" s="49"/>
      <c r="IE302" s="49"/>
      <c r="IF302" s="49"/>
      <c r="IG302" s="49"/>
    </row>
    <row r="303" spans="1:235" s="84" customFormat="1" ht="15" customHeight="1">
      <c r="A303" s="107" t="s">
        <v>464</v>
      </c>
      <c r="B303" s="107"/>
      <c r="C303" s="107"/>
      <c r="D303" s="118"/>
      <c r="E303" s="118">
        <f>E305+E362</f>
        <v>27028000</v>
      </c>
      <c r="F303" s="118">
        <f>F305+F362</f>
        <v>27028000</v>
      </c>
      <c r="G303" s="118">
        <f>G305</f>
        <v>584999.9999982599</v>
      </c>
      <c r="H303" s="118">
        <f>H305+H362</f>
        <v>98971999.99997011</v>
      </c>
      <c r="I303" s="118"/>
      <c r="J303" s="118">
        <f>G303+H303</f>
        <v>99556999.99996836</v>
      </c>
      <c r="K303" s="118">
        <f>K305+K362</f>
        <v>79609.3631410829</v>
      </c>
      <c r="L303" s="118">
        <f>L305+L362</f>
        <v>2</v>
      </c>
      <c r="M303" s="118">
        <f>M305+M362</f>
        <v>2</v>
      </c>
      <c r="N303" s="118">
        <f>N305</f>
        <v>0</v>
      </c>
      <c r="O303" s="118">
        <f>O305+O362+O352</f>
        <v>93899999.99997799</v>
      </c>
      <c r="P303" s="118">
        <f>N303+O303</f>
        <v>93899999.99997799</v>
      </c>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c r="BU303" s="120"/>
      <c r="BV303" s="120"/>
      <c r="BW303" s="120"/>
      <c r="BX303" s="120"/>
      <c r="BY303" s="120"/>
      <c r="BZ303" s="120"/>
      <c r="CA303" s="120"/>
      <c r="CB303" s="120"/>
      <c r="CC303" s="120"/>
      <c r="CD303" s="120"/>
      <c r="CE303" s="120"/>
      <c r="CF303" s="120"/>
      <c r="CG303" s="120"/>
      <c r="CH303" s="120"/>
      <c r="CI303" s="120"/>
      <c r="CJ303" s="120"/>
      <c r="CK303" s="120"/>
      <c r="CL303" s="120"/>
      <c r="CM303" s="120"/>
      <c r="CN303" s="120"/>
      <c r="CO303" s="120"/>
      <c r="CP303" s="120"/>
      <c r="CQ303" s="120"/>
      <c r="CR303" s="120"/>
      <c r="CS303" s="120"/>
      <c r="CT303" s="120"/>
      <c r="CU303" s="120"/>
      <c r="CV303" s="120"/>
      <c r="CW303" s="120"/>
      <c r="CX303" s="120"/>
      <c r="CY303" s="120"/>
      <c r="CZ303" s="120"/>
      <c r="DA303" s="120"/>
      <c r="DB303" s="120"/>
      <c r="DC303" s="120"/>
      <c r="DD303" s="120"/>
      <c r="DE303" s="120"/>
      <c r="DF303" s="120"/>
      <c r="DG303" s="120"/>
      <c r="DH303" s="120"/>
      <c r="DI303" s="120"/>
      <c r="DJ303" s="120"/>
      <c r="DK303" s="120"/>
      <c r="DL303" s="120"/>
      <c r="DM303" s="120"/>
      <c r="DN303" s="120"/>
      <c r="DO303" s="120"/>
      <c r="DP303" s="120"/>
      <c r="DQ303" s="120"/>
      <c r="DR303" s="120"/>
      <c r="DS303" s="120"/>
      <c r="DT303" s="120"/>
      <c r="DU303" s="120"/>
      <c r="DV303" s="120"/>
      <c r="DW303" s="120"/>
      <c r="DX303" s="120"/>
      <c r="DY303" s="120"/>
      <c r="DZ303" s="120"/>
      <c r="EA303" s="120"/>
      <c r="EB303" s="120"/>
      <c r="EC303" s="120"/>
      <c r="ED303" s="120"/>
      <c r="EE303" s="120"/>
      <c r="EF303" s="120"/>
      <c r="EG303" s="120"/>
      <c r="EH303" s="120"/>
      <c r="EI303" s="120"/>
      <c r="EJ303" s="120"/>
      <c r="EK303" s="120"/>
      <c r="EL303" s="120"/>
      <c r="EM303" s="120"/>
      <c r="EN303" s="120"/>
      <c r="EO303" s="120"/>
      <c r="EP303" s="120"/>
      <c r="EQ303" s="120"/>
      <c r="ER303" s="120"/>
      <c r="ES303" s="120"/>
      <c r="ET303" s="120"/>
      <c r="EU303" s="120"/>
      <c r="EV303" s="120"/>
      <c r="EW303" s="120"/>
      <c r="EX303" s="120"/>
      <c r="EY303" s="120"/>
      <c r="EZ303" s="120"/>
      <c r="FA303" s="120"/>
      <c r="FB303" s="120"/>
      <c r="FC303" s="120"/>
      <c r="FD303" s="120"/>
      <c r="FE303" s="120"/>
      <c r="FF303" s="120"/>
      <c r="FG303" s="120"/>
      <c r="FH303" s="120"/>
      <c r="FI303" s="120"/>
      <c r="FJ303" s="120"/>
      <c r="FK303" s="120"/>
      <c r="FL303" s="120"/>
      <c r="FM303" s="120"/>
      <c r="FN303" s="120"/>
      <c r="FO303" s="120"/>
      <c r="FP303" s="120"/>
      <c r="FQ303" s="120"/>
      <c r="FR303" s="120"/>
      <c r="FS303" s="120"/>
      <c r="FT303" s="120"/>
      <c r="FU303" s="120"/>
      <c r="FV303" s="120"/>
      <c r="FW303" s="120"/>
      <c r="FX303" s="120"/>
      <c r="FY303" s="120"/>
      <c r="FZ303" s="120"/>
      <c r="GA303" s="120"/>
      <c r="GB303" s="120"/>
      <c r="GC303" s="120"/>
      <c r="GD303" s="120"/>
      <c r="GE303" s="120"/>
      <c r="GF303" s="120"/>
      <c r="GG303" s="120"/>
      <c r="GH303" s="120"/>
      <c r="GI303" s="120"/>
      <c r="GJ303" s="120"/>
      <c r="GK303" s="120"/>
      <c r="GL303" s="120"/>
      <c r="GM303" s="120"/>
      <c r="GN303" s="120"/>
      <c r="GO303" s="120"/>
      <c r="GP303" s="120"/>
      <c r="GQ303" s="120"/>
      <c r="GR303" s="120"/>
      <c r="GS303" s="120"/>
      <c r="GT303" s="120"/>
      <c r="GU303" s="120"/>
      <c r="GV303" s="120"/>
      <c r="GW303" s="120"/>
      <c r="GX303" s="120"/>
      <c r="GY303" s="120"/>
      <c r="GZ303" s="120"/>
      <c r="HA303" s="120"/>
      <c r="HB303" s="120"/>
      <c r="HC303" s="120"/>
      <c r="HD303" s="120"/>
      <c r="HE303" s="120"/>
      <c r="HF303" s="120"/>
      <c r="HG303" s="120"/>
      <c r="HH303" s="120"/>
      <c r="HI303" s="120"/>
      <c r="HJ303" s="120"/>
      <c r="HK303" s="120"/>
      <c r="HL303" s="120"/>
      <c r="HM303" s="120"/>
      <c r="HN303" s="120"/>
      <c r="HO303" s="120"/>
      <c r="HP303" s="120"/>
      <c r="HQ303" s="120"/>
      <c r="HR303" s="120"/>
      <c r="HS303" s="120"/>
      <c r="HT303" s="120"/>
      <c r="HU303" s="120"/>
      <c r="HV303" s="120"/>
      <c r="HW303" s="120"/>
      <c r="HX303" s="120"/>
      <c r="HY303" s="120"/>
      <c r="HZ303" s="120"/>
      <c r="IA303" s="120"/>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4" customFormat="1" ht="22.5" customHeight="1">
      <c r="A305" s="81" t="s">
        <v>191</v>
      </c>
      <c r="B305" s="76"/>
      <c r="C305" s="76"/>
      <c r="D305" s="77"/>
      <c r="E305" s="88">
        <f>E306+E322+E315+E343</f>
        <v>26028000</v>
      </c>
      <c r="F305" s="88">
        <f>F306+F322+F315+F343</f>
        <v>26028000</v>
      </c>
      <c r="G305" s="88">
        <f>G306+G322+G315</f>
        <v>584999.9999982599</v>
      </c>
      <c r="H305" s="88">
        <f aca="true" t="shared" si="33" ref="H305:N305">H306+H322+H315+H343+H353</f>
        <v>91971999.99997011</v>
      </c>
      <c r="I305" s="88">
        <f t="shared" si="33"/>
        <v>0</v>
      </c>
      <c r="J305" s="88">
        <f t="shared" si="33"/>
        <v>92556999.99996836</v>
      </c>
      <c r="K305" s="88">
        <f t="shared" si="33"/>
        <v>79609.3631410829</v>
      </c>
      <c r="L305" s="88">
        <f t="shared" si="33"/>
        <v>2</v>
      </c>
      <c r="M305" s="88">
        <f t="shared" si="33"/>
        <v>2</v>
      </c>
      <c r="N305" s="88">
        <f t="shared" si="33"/>
        <v>0</v>
      </c>
      <c r="O305" s="88">
        <f>O306+O322+O315+O343</f>
        <v>74499999.99997799</v>
      </c>
      <c r="P305" s="88">
        <f>P306+P322+P315+P343</f>
        <v>74499999.99997799</v>
      </c>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c r="DG305" s="120"/>
      <c r="DH305" s="120"/>
      <c r="DI305" s="120"/>
      <c r="DJ305" s="120"/>
      <c r="DK305" s="120"/>
      <c r="DL305" s="120"/>
      <c r="DM305" s="120"/>
      <c r="DN305" s="120"/>
      <c r="DO305" s="120"/>
      <c r="DP305" s="120"/>
      <c r="DQ305" s="120"/>
      <c r="DR305" s="120"/>
      <c r="DS305" s="120"/>
      <c r="DT305" s="120"/>
      <c r="DU305" s="120"/>
      <c r="DV305" s="120"/>
      <c r="DW305" s="120"/>
      <c r="DX305" s="120"/>
      <c r="DY305" s="120"/>
      <c r="DZ305" s="120"/>
      <c r="EA305" s="120"/>
      <c r="EB305" s="120"/>
      <c r="EC305" s="120"/>
      <c r="ED305" s="120"/>
      <c r="EE305" s="120"/>
      <c r="EF305" s="120"/>
      <c r="EG305" s="120"/>
      <c r="EH305" s="120"/>
      <c r="EI305" s="120"/>
      <c r="EJ305" s="120"/>
      <c r="EK305" s="120"/>
      <c r="EL305" s="120"/>
      <c r="EM305" s="120"/>
      <c r="EN305" s="120"/>
      <c r="EO305" s="120"/>
      <c r="EP305" s="120"/>
      <c r="EQ305" s="120"/>
      <c r="ER305" s="120"/>
      <c r="ES305" s="120"/>
      <c r="ET305" s="120"/>
      <c r="EU305" s="120"/>
      <c r="EV305" s="120"/>
      <c r="EW305" s="120"/>
      <c r="EX305" s="120"/>
      <c r="EY305" s="120"/>
      <c r="EZ305" s="120"/>
      <c r="FA305" s="120"/>
      <c r="FB305" s="120"/>
      <c r="FC305" s="120"/>
      <c r="FD305" s="120"/>
      <c r="FE305" s="120"/>
      <c r="FF305" s="120"/>
      <c r="FG305" s="120"/>
      <c r="FH305" s="120"/>
      <c r="FI305" s="120"/>
      <c r="FJ305" s="120"/>
      <c r="FK305" s="120"/>
      <c r="FL305" s="120"/>
      <c r="FM305" s="120"/>
      <c r="FN305" s="120"/>
      <c r="FO305" s="120"/>
      <c r="FP305" s="120"/>
      <c r="FQ305" s="120"/>
      <c r="FR305" s="120"/>
      <c r="FS305" s="120"/>
      <c r="FT305" s="120"/>
      <c r="FU305" s="120"/>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0"/>
      <c r="GQ305" s="120"/>
      <c r="GR305" s="120"/>
      <c r="GS305" s="120"/>
      <c r="GT305" s="120"/>
      <c r="GU305" s="120"/>
      <c r="GV305" s="120"/>
      <c r="GW305" s="120"/>
      <c r="GX305" s="120"/>
      <c r="GY305" s="120"/>
      <c r="GZ305" s="120"/>
      <c r="HA305" s="120"/>
      <c r="HB305" s="120"/>
      <c r="HC305" s="120"/>
      <c r="HD305" s="120"/>
      <c r="HE305" s="120"/>
      <c r="HF305" s="120"/>
      <c r="HG305" s="120"/>
      <c r="HH305" s="120"/>
      <c r="HI305" s="120"/>
      <c r="HJ305" s="120"/>
      <c r="HK305" s="120"/>
      <c r="HL305" s="120"/>
      <c r="HM305" s="120"/>
      <c r="HN305" s="120"/>
      <c r="HO305" s="120"/>
      <c r="HP305" s="120"/>
      <c r="HQ305" s="120"/>
      <c r="HR305" s="120"/>
      <c r="HS305" s="120"/>
      <c r="HT305" s="120"/>
      <c r="HU305" s="120"/>
      <c r="HV305" s="120"/>
      <c r="HW305" s="120"/>
      <c r="HX305" s="120"/>
      <c r="HY305" s="120"/>
      <c r="HZ305" s="120"/>
      <c r="IA305" s="120"/>
    </row>
    <row r="306" spans="1:235" s="91" customFormat="1" ht="22.5">
      <c r="A306" s="81" t="s">
        <v>364</v>
      </c>
      <c r="B306" s="87"/>
      <c r="C306" s="87"/>
      <c r="D306" s="88"/>
      <c r="E306" s="88">
        <f>E310*E312-20</f>
        <v>2500000</v>
      </c>
      <c r="F306" s="88">
        <f>E306</f>
        <v>2500000</v>
      </c>
      <c r="G306" s="88"/>
      <c r="H306" s="88">
        <f>H310*H312</f>
        <v>19901999.999997</v>
      </c>
      <c r="I306" s="88"/>
      <c r="J306" s="88">
        <f>H306</f>
        <v>19901999.999997</v>
      </c>
      <c r="K306" s="88">
        <f>K310*K312</f>
        <v>79607.3631410829</v>
      </c>
      <c r="L306" s="88">
        <f>L310*L312</f>
        <v>0</v>
      </c>
      <c r="M306" s="88">
        <f>M310*M312</f>
        <v>0</v>
      </c>
      <c r="N306" s="88"/>
      <c r="O306" s="88">
        <f>O310*O312</f>
        <v>28289999.999988</v>
      </c>
      <c r="P306" s="88">
        <f>N306+O306</f>
        <v>28289999.999988</v>
      </c>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row>
    <row r="307" spans="1:16" ht="11.25">
      <c r="A307" s="20" t="s">
        <v>4</v>
      </c>
      <c r="B307" s="5"/>
      <c r="C307" s="5"/>
      <c r="D307" s="17"/>
      <c r="E307" s="13"/>
      <c r="F307" s="13"/>
      <c r="G307" s="17"/>
      <c r="H307" s="13"/>
      <c r="I307" s="13"/>
      <c r="J307" s="13"/>
      <c r="K307" s="17"/>
      <c r="L307" s="10"/>
      <c r="M307" s="10"/>
      <c r="N307" s="17"/>
      <c r="O307" s="13"/>
      <c r="P307" s="13"/>
    </row>
    <row r="308" spans="1:16" ht="22.5">
      <c r="A308" s="54" t="s">
        <v>172</v>
      </c>
      <c r="B308" s="58"/>
      <c r="C308" s="58"/>
      <c r="D308" s="61"/>
      <c r="E308" s="61">
        <v>1172</v>
      </c>
      <c r="F308" s="61">
        <f>E308</f>
        <v>1172</v>
      </c>
      <c r="G308" s="61"/>
      <c r="H308" s="61">
        <f>F308</f>
        <v>1172</v>
      </c>
      <c r="I308" s="61"/>
      <c r="J308" s="61">
        <f>H308</f>
        <v>1172</v>
      </c>
      <c r="K308" s="61"/>
      <c r="L308" s="63"/>
      <c r="M308" s="63"/>
      <c r="N308" s="61"/>
      <c r="O308" s="61">
        <f>H308</f>
        <v>1172</v>
      </c>
      <c r="P308" s="61">
        <f>O308</f>
        <v>1172</v>
      </c>
    </row>
    <row r="309" spans="1:16" ht="11.25">
      <c r="A309" s="53" t="s">
        <v>5</v>
      </c>
      <c r="B309" s="60"/>
      <c r="C309" s="60"/>
      <c r="D309" s="61"/>
      <c r="E309" s="127"/>
      <c r="F309" s="127"/>
      <c r="G309" s="61"/>
      <c r="H309" s="127"/>
      <c r="I309" s="127"/>
      <c r="J309" s="127"/>
      <c r="K309" s="61" t="e">
        <f>H309/E309*100</f>
        <v>#DIV/0!</v>
      </c>
      <c r="L309" s="127"/>
      <c r="M309" s="127"/>
      <c r="N309" s="61"/>
      <c r="O309" s="127"/>
      <c r="P309" s="127"/>
    </row>
    <row r="310" spans="1:16" ht="22.5">
      <c r="A310" s="54" t="s">
        <v>173</v>
      </c>
      <c r="B310" s="58"/>
      <c r="C310" s="58"/>
      <c r="D310" s="61"/>
      <c r="E310" s="61">
        <v>19</v>
      </c>
      <c r="F310" s="61">
        <f>E310</f>
        <v>19</v>
      </c>
      <c r="G310" s="61"/>
      <c r="H310" s="61">
        <f>132+3</f>
        <v>135</v>
      </c>
      <c r="I310" s="61"/>
      <c r="J310" s="61">
        <f>H310</f>
        <v>135</v>
      </c>
      <c r="K310" s="61">
        <f>H310/E310*100</f>
        <v>710.5263157894738</v>
      </c>
      <c r="L310" s="61"/>
      <c r="M310" s="61"/>
      <c r="N310" s="61"/>
      <c r="O310" s="61">
        <v>180</v>
      </c>
      <c r="P310" s="61">
        <f>O310</f>
        <v>180</v>
      </c>
    </row>
    <row r="311" spans="1:16" ht="11.25">
      <c r="A311" s="53" t="s">
        <v>7</v>
      </c>
      <c r="B311" s="60"/>
      <c r="C311" s="60"/>
      <c r="D311" s="61"/>
      <c r="E311" s="127"/>
      <c r="F311" s="127"/>
      <c r="G311" s="61"/>
      <c r="H311" s="127"/>
      <c r="I311" s="127"/>
      <c r="J311" s="127"/>
      <c r="K311" s="61" t="e">
        <f>H311/E311*100</f>
        <v>#DIV/0!</v>
      </c>
      <c r="L311" s="127"/>
      <c r="M311" s="127"/>
      <c r="N311" s="61"/>
      <c r="O311" s="127"/>
      <c r="P311" s="127"/>
    </row>
    <row r="312" spans="1:16" ht="24" customHeight="1">
      <c r="A312" s="54" t="s">
        <v>174</v>
      </c>
      <c r="B312" s="58"/>
      <c r="C312" s="58"/>
      <c r="D312" s="61"/>
      <c r="E312" s="61">
        <v>131580</v>
      </c>
      <c r="F312" s="61">
        <f>E312</f>
        <v>131580</v>
      </c>
      <c r="G312" s="61"/>
      <c r="H312" s="61">
        <f>147422.2222222</f>
        <v>147422.2222222</v>
      </c>
      <c r="I312" s="61"/>
      <c r="J312" s="61">
        <f>H312</f>
        <v>147422.2222222</v>
      </c>
      <c r="K312" s="61">
        <f>H312/E312*100</f>
        <v>112.03999256893147</v>
      </c>
      <c r="L312" s="61"/>
      <c r="M312" s="61"/>
      <c r="N312" s="61"/>
      <c r="O312" s="61">
        <v>157166.6666666</v>
      </c>
      <c r="P312" s="61">
        <f>O312</f>
        <v>157166.6666666</v>
      </c>
    </row>
    <row r="313" spans="1:16" ht="11.25">
      <c r="A313" s="53" t="s">
        <v>6</v>
      </c>
      <c r="B313" s="60"/>
      <c r="C313" s="60"/>
      <c r="D313" s="61"/>
      <c r="E313" s="61"/>
      <c r="F313" s="61"/>
      <c r="G313" s="61"/>
      <c r="H313" s="61"/>
      <c r="I313" s="61"/>
      <c r="J313" s="61"/>
      <c r="K313" s="61"/>
      <c r="L313" s="61"/>
      <c r="M313" s="61"/>
      <c r="N313" s="61"/>
      <c r="O313" s="61"/>
      <c r="P313" s="61"/>
    </row>
    <row r="314" spans="1:16" ht="50.25" customHeight="1">
      <c r="A314" s="54" t="s">
        <v>175</v>
      </c>
      <c r="B314" s="58"/>
      <c r="C314" s="58"/>
      <c r="D314" s="61"/>
      <c r="E314" s="61"/>
      <c r="F314" s="61"/>
      <c r="G314" s="61"/>
      <c r="H314" s="61">
        <f>H310/H308*100</f>
        <v>11.518771331058021</v>
      </c>
      <c r="I314" s="61"/>
      <c r="J314" s="61">
        <f>J310/J308*100</f>
        <v>11.518771331058021</v>
      </c>
      <c r="K314" s="61" t="e">
        <f>K310/K308*100</f>
        <v>#DIV/0!</v>
      </c>
      <c r="L314" s="61" t="e">
        <f>L310/L308*100</f>
        <v>#DIV/0!</v>
      </c>
      <c r="M314" s="61" t="e">
        <f>M310/M308*100</f>
        <v>#DIV/0!</v>
      </c>
      <c r="N314" s="61"/>
      <c r="O314" s="61">
        <f>O310/O308*100</f>
        <v>15.358361774744028</v>
      </c>
      <c r="P314" s="61">
        <f>P310/P308*100</f>
        <v>15.358361774744028</v>
      </c>
    </row>
    <row r="315" spans="1:235" s="91" customFormat="1" ht="29.25" customHeight="1">
      <c r="A315" s="81" t="s">
        <v>365</v>
      </c>
      <c r="B315" s="87"/>
      <c r="C315" s="87"/>
      <c r="D315" s="88"/>
      <c r="E315" s="88">
        <f>5000000</f>
        <v>5000000</v>
      </c>
      <c r="F315" s="88">
        <f>E315</f>
        <v>5000000</v>
      </c>
      <c r="G315" s="88"/>
      <c r="H315" s="88">
        <f>H319*H321</f>
        <v>32499999.999971997</v>
      </c>
      <c r="I315" s="88"/>
      <c r="J315" s="88">
        <f>H315</f>
        <v>32499999.999971997</v>
      </c>
      <c r="K315" s="88"/>
      <c r="L315" s="88"/>
      <c r="M315" s="88"/>
      <c r="N315" s="88"/>
      <c r="O315" s="88">
        <f>O319*O321</f>
        <v>46209999.999989994</v>
      </c>
      <c r="P315" s="88">
        <f>N315+O315</f>
        <v>46209999.999989994</v>
      </c>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row>
    <row r="316" spans="1:235" s="69" customFormat="1" ht="11.25">
      <c r="A316" s="20" t="s">
        <v>4</v>
      </c>
      <c r="B316" s="7"/>
      <c r="C316" s="7"/>
      <c r="D316" s="14"/>
      <c r="E316" s="14"/>
      <c r="F316" s="14"/>
      <c r="G316" s="14"/>
      <c r="H316" s="14"/>
      <c r="I316" s="14"/>
      <c r="J316" s="14"/>
      <c r="K316" s="14"/>
      <c r="L316" s="14"/>
      <c r="M316" s="14"/>
      <c r="N316" s="14"/>
      <c r="O316" s="14"/>
      <c r="P316" s="14"/>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row>
    <row r="317" spans="1:235" s="69" customFormat="1" ht="25.5" customHeight="1">
      <c r="A317" s="21" t="s">
        <v>254</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row>
    <row r="318" spans="1:235" s="69" customFormat="1" ht="11.25">
      <c r="A318" s="20" t="s">
        <v>5</v>
      </c>
      <c r="B318" s="7"/>
      <c r="C318" s="7"/>
      <c r="D318" s="14"/>
      <c r="E318" s="14"/>
      <c r="F318" s="14"/>
      <c r="G318" s="14"/>
      <c r="H318" s="14"/>
      <c r="I318" s="14"/>
      <c r="J318" s="14"/>
      <c r="K318" s="14"/>
      <c r="L318" s="14"/>
      <c r="M318" s="14"/>
      <c r="N318" s="14"/>
      <c r="O318" s="14"/>
      <c r="P318" s="14"/>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row>
    <row r="319" spans="1:235" s="69" customFormat="1" ht="28.5" customHeight="1">
      <c r="A319" s="21" t="s">
        <v>255</v>
      </c>
      <c r="B319" s="7"/>
      <c r="C319" s="7"/>
      <c r="D319" s="14"/>
      <c r="E319" s="14">
        <v>35</v>
      </c>
      <c r="F319" s="14">
        <v>35</v>
      </c>
      <c r="G319" s="14"/>
      <c r="H319" s="14">
        <v>228</v>
      </c>
      <c r="I319" s="14"/>
      <c r="J319" s="14">
        <v>140</v>
      </c>
      <c r="K319" s="14"/>
      <c r="L319" s="14"/>
      <c r="M319" s="14"/>
      <c r="N319" s="14"/>
      <c r="O319" s="14">
        <v>300</v>
      </c>
      <c r="P319" s="14">
        <v>41</v>
      </c>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c r="FA319" s="68"/>
      <c r="FB319" s="68"/>
      <c r="FC319" s="68"/>
      <c r="FD319" s="68"/>
      <c r="FE319" s="68"/>
      <c r="FF319" s="68"/>
      <c r="FG319" s="68"/>
      <c r="FH319" s="68"/>
      <c r="FI319" s="68"/>
      <c r="FJ319" s="68"/>
      <c r="FK319" s="68"/>
      <c r="FL319" s="68"/>
      <c r="FM319" s="68"/>
      <c r="FN319" s="68"/>
      <c r="FO319" s="68"/>
      <c r="FP319" s="68"/>
      <c r="FQ319" s="68"/>
      <c r="FR319" s="68"/>
      <c r="FS319" s="68"/>
      <c r="FT319" s="68"/>
      <c r="FU319" s="68"/>
      <c r="FV319" s="68"/>
      <c r="FW319" s="68"/>
      <c r="FX319" s="68"/>
      <c r="FY319" s="68"/>
      <c r="FZ319" s="68"/>
      <c r="GA319" s="68"/>
      <c r="GB319" s="68"/>
      <c r="GC319" s="68"/>
      <c r="GD319" s="68"/>
      <c r="GE319" s="68"/>
      <c r="GF319" s="68"/>
      <c r="GG319" s="68"/>
      <c r="GH319" s="68"/>
      <c r="GI319" s="68"/>
      <c r="GJ319" s="68"/>
      <c r="GK319" s="68"/>
      <c r="GL319" s="68"/>
      <c r="GM319" s="68"/>
      <c r="GN319" s="68"/>
      <c r="GO319" s="68"/>
      <c r="GP319" s="68"/>
      <c r="GQ319" s="68"/>
      <c r="GR319" s="68"/>
      <c r="GS319" s="68"/>
      <c r="GT319" s="68"/>
      <c r="GU319" s="68"/>
      <c r="GV319" s="68"/>
      <c r="GW319" s="68"/>
      <c r="GX319" s="68"/>
      <c r="GY319" s="68"/>
      <c r="GZ319" s="68"/>
      <c r="HA319" s="68"/>
      <c r="HB319" s="68"/>
      <c r="HC319" s="68"/>
      <c r="HD319" s="68"/>
      <c r="HE319" s="68"/>
      <c r="HF319" s="68"/>
      <c r="HG319" s="68"/>
      <c r="HH319" s="68"/>
      <c r="HI319" s="68"/>
      <c r="HJ319" s="68"/>
      <c r="HK319" s="68"/>
      <c r="HL319" s="68"/>
      <c r="HM319" s="68"/>
      <c r="HN319" s="68"/>
      <c r="HO319" s="68"/>
      <c r="HP319" s="68"/>
      <c r="HQ319" s="68"/>
      <c r="HR319" s="68"/>
      <c r="HS319" s="68"/>
      <c r="HT319" s="68"/>
      <c r="HU319" s="68"/>
      <c r="HV319" s="68"/>
      <c r="HW319" s="68"/>
      <c r="HX319" s="68"/>
      <c r="HY319" s="68"/>
      <c r="HZ319" s="68"/>
      <c r="IA319" s="68"/>
    </row>
    <row r="320" spans="1:235" s="69" customFormat="1" ht="11.25">
      <c r="A320" s="20" t="s">
        <v>7</v>
      </c>
      <c r="B320" s="7"/>
      <c r="C320" s="7"/>
      <c r="D320" s="14"/>
      <c r="E320" s="14"/>
      <c r="F320" s="14"/>
      <c r="G320" s="14"/>
      <c r="H320" s="14"/>
      <c r="I320" s="14"/>
      <c r="J320" s="14"/>
      <c r="K320" s="14"/>
      <c r="L320" s="14"/>
      <c r="M320" s="14"/>
      <c r="N320" s="14"/>
      <c r="O320" s="14"/>
      <c r="P320" s="14"/>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row>
    <row r="321" spans="1:235" s="69"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c r="FA321" s="68"/>
      <c r="FB321" s="68"/>
      <c r="FC321" s="68"/>
      <c r="FD321" s="68"/>
      <c r="FE321" s="68"/>
      <c r="FF321" s="68"/>
      <c r="FG321" s="68"/>
      <c r="FH321" s="68"/>
      <c r="FI321" s="68"/>
      <c r="FJ321" s="68"/>
      <c r="FK321" s="68"/>
      <c r="FL321" s="68"/>
      <c r="FM321" s="68"/>
      <c r="FN321" s="68"/>
      <c r="FO321" s="68"/>
      <c r="FP321" s="68"/>
      <c r="FQ321" s="68"/>
      <c r="FR321" s="68"/>
      <c r="FS321" s="68"/>
      <c r="FT321" s="68"/>
      <c r="FU321" s="68"/>
      <c r="FV321" s="68"/>
      <c r="FW321" s="68"/>
      <c r="FX321" s="68"/>
      <c r="FY321" s="68"/>
      <c r="FZ321" s="68"/>
      <c r="GA321" s="68"/>
      <c r="GB321" s="68"/>
      <c r="GC321" s="68"/>
      <c r="GD321" s="68"/>
      <c r="GE321" s="68"/>
      <c r="GF321" s="68"/>
      <c r="GG321" s="68"/>
      <c r="GH321" s="68"/>
      <c r="GI321" s="68"/>
      <c r="GJ321" s="68"/>
      <c r="GK321" s="68"/>
      <c r="GL321" s="68"/>
      <c r="GM321" s="68"/>
      <c r="GN321" s="68"/>
      <c r="GO321" s="68"/>
      <c r="GP321" s="68"/>
      <c r="GQ321" s="68"/>
      <c r="GR321" s="68"/>
      <c r="GS321" s="68"/>
      <c r="GT321" s="68"/>
      <c r="GU321" s="68"/>
      <c r="GV321" s="68"/>
      <c r="GW321" s="68"/>
      <c r="GX321" s="68"/>
      <c r="GY321" s="68"/>
      <c r="GZ321" s="68"/>
      <c r="HA321" s="68"/>
      <c r="HB321" s="68"/>
      <c r="HC321" s="68"/>
      <c r="HD321" s="68"/>
      <c r="HE321" s="68"/>
      <c r="HF321" s="68"/>
      <c r="HG321" s="68"/>
      <c r="HH321" s="68"/>
      <c r="HI321" s="68"/>
      <c r="HJ321" s="68"/>
      <c r="HK321" s="68"/>
      <c r="HL321" s="68"/>
      <c r="HM321" s="68"/>
      <c r="HN321" s="68"/>
      <c r="HO321" s="68"/>
      <c r="HP321" s="68"/>
      <c r="HQ321" s="68"/>
      <c r="HR321" s="68"/>
      <c r="HS321" s="68"/>
      <c r="HT321" s="68"/>
      <c r="HU321" s="68"/>
      <c r="HV321" s="68"/>
      <c r="HW321" s="68"/>
      <c r="HX321" s="68"/>
      <c r="HY321" s="68"/>
      <c r="HZ321" s="68"/>
      <c r="IA321" s="68"/>
    </row>
    <row r="322" spans="1:235" s="91" customFormat="1" ht="36.75" customHeight="1">
      <c r="A322" s="81" t="s">
        <v>367</v>
      </c>
      <c r="B322" s="87"/>
      <c r="C322" s="87"/>
      <c r="D322" s="88"/>
      <c r="E322" s="88">
        <f>(E329*E334)+(E330*E335)+(E331*E336)+(E332*E337)-1630000</f>
        <v>17148000</v>
      </c>
      <c r="F322" s="88">
        <f>(F329*F334)+(F330*F335)+(F331*F336)+(F332*F337)-1630000</f>
        <v>17148000</v>
      </c>
      <c r="G322" s="88">
        <f>G332*G337</f>
        <v>584999.9999982599</v>
      </c>
      <c r="H322" s="88">
        <f>(H329*H334)+(H330*H335)+(H331*H336)</f>
        <v>39320000.0000018</v>
      </c>
      <c r="I322" s="88"/>
      <c r="J322" s="88">
        <f>H322+G322</f>
        <v>39905000.00000006</v>
      </c>
      <c r="K322" s="88">
        <f>(K329*K334)+(K330*K335)+(K331*K336)+(K332*K337)</f>
        <v>0</v>
      </c>
      <c r="L322" s="88">
        <f>(L329*L334)+(L330*L335)+(L331*L336)+(L332*L337)</f>
        <v>0</v>
      </c>
      <c r="M322" s="88">
        <f>(M329*M334)+(M330*M335)+(M331*M336)+(M332*M337)</f>
        <v>0</v>
      </c>
      <c r="N322" s="88">
        <f>N332*N337</f>
        <v>0</v>
      </c>
      <c r="O322" s="88">
        <f>(O329*O334)+(O330*O335)+(O331*O336)+(O332*O337)</f>
        <v>0</v>
      </c>
      <c r="P322" s="88">
        <f>N322+O322</f>
        <v>0</v>
      </c>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row>
    <row r="323" spans="1:16" ht="11.25">
      <c r="A323" s="53" t="s">
        <v>4</v>
      </c>
      <c r="B323" s="59"/>
      <c r="C323" s="59"/>
      <c r="D323" s="61"/>
      <c r="E323" s="63"/>
      <c r="F323" s="63"/>
      <c r="G323" s="61"/>
      <c r="H323" s="63"/>
      <c r="I323" s="63"/>
      <c r="J323" s="63"/>
      <c r="K323" s="63"/>
      <c r="L323" s="63"/>
      <c r="M323" s="63"/>
      <c r="N323" s="61"/>
      <c r="O323" s="63"/>
      <c r="P323" s="63"/>
    </row>
    <row r="324" spans="1:16" ht="16.5" customHeight="1">
      <c r="A324" s="54" t="s">
        <v>176</v>
      </c>
      <c r="B324" s="59"/>
      <c r="C324" s="59"/>
      <c r="D324" s="61"/>
      <c r="E324" s="61">
        <v>12</v>
      </c>
      <c r="F324" s="61">
        <f>E324</f>
        <v>12</v>
      </c>
      <c r="G324" s="61"/>
      <c r="H324" s="63"/>
      <c r="I324" s="63"/>
      <c r="J324" s="63"/>
      <c r="K324" s="63"/>
      <c r="L324" s="63"/>
      <c r="M324" s="63"/>
      <c r="N324" s="61"/>
      <c r="O324" s="63"/>
      <c r="P324" s="63"/>
    </row>
    <row r="325" spans="1:16" ht="22.5">
      <c r="A325" s="54" t="s">
        <v>177</v>
      </c>
      <c r="B325" s="59"/>
      <c r="C325" s="59"/>
      <c r="D325" s="61"/>
      <c r="E325" s="61">
        <v>700</v>
      </c>
      <c r="F325" s="61">
        <f>E325</f>
        <v>700</v>
      </c>
      <c r="G325" s="61"/>
      <c r="H325" s="61">
        <v>500</v>
      </c>
      <c r="I325" s="61"/>
      <c r="J325" s="61">
        <f>H325</f>
        <v>500</v>
      </c>
      <c r="K325" s="63"/>
      <c r="L325" s="63"/>
      <c r="M325" s="63"/>
      <c r="N325" s="61"/>
      <c r="O325" s="61"/>
      <c r="P325" s="61"/>
    </row>
    <row r="326" spans="1:16" ht="22.5">
      <c r="A326" s="54" t="s">
        <v>178</v>
      </c>
      <c r="B326" s="59"/>
      <c r="C326" s="59"/>
      <c r="D326" s="61"/>
      <c r="E326" s="61">
        <v>454</v>
      </c>
      <c r="F326" s="61">
        <v>454</v>
      </c>
      <c r="G326" s="61"/>
      <c r="H326" s="61">
        <v>500</v>
      </c>
      <c r="I326" s="63"/>
      <c r="J326" s="61">
        <f>H326</f>
        <v>500</v>
      </c>
      <c r="K326" s="63"/>
      <c r="L326" s="63"/>
      <c r="M326" s="63"/>
      <c r="N326" s="61"/>
      <c r="O326" s="61"/>
      <c r="P326" s="61"/>
    </row>
    <row r="327" spans="1:16" ht="28.5" customHeight="1">
      <c r="A327" s="54" t="s">
        <v>179</v>
      </c>
      <c r="B327" s="59"/>
      <c r="C327" s="59"/>
      <c r="D327" s="61"/>
      <c r="E327" s="61">
        <v>700</v>
      </c>
      <c r="F327" s="61">
        <f>E327</f>
        <v>700</v>
      </c>
      <c r="G327" s="61">
        <v>500</v>
      </c>
      <c r="H327" s="61"/>
      <c r="I327" s="61"/>
      <c r="J327" s="61">
        <f>G327</f>
        <v>500</v>
      </c>
      <c r="K327" s="61"/>
      <c r="L327" s="61"/>
      <c r="M327" s="61"/>
      <c r="N327" s="61"/>
      <c r="O327" s="61"/>
      <c r="P327" s="61"/>
    </row>
    <row r="328" spans="1:16" ht="11.25">
      <c r="A328" s="53" t="s">
        <v>5</v>
      </c>
      <c r="B328" s="60"/>
      <c r="C328" s="60"/>
      <c r="D328" s="61"/>
      <c r="E328" s="61"/>
      <c r="F328" s="61"/>
      <c r="G328" s="61"/>
      <c r="H328" s="127"/>
      <c r="I328" s="127"/>
      <c r="J328" s="127"/>
      <c r="K328" s="61" t="e">
        <f>H328/E328*100</f>
        <v>#DIV/0!</v>
      </c>
      <c r="L328" s="127"/>
      <c r="M328" s="127"/>
      <c r="N328" s="61"/>
      <c r="O328" s="127"/>
      <c r="P328" s="127"/>
    </row>
    <row r="329" spans="1:16" ht="16.5" customHeight="1">
      <c r="A329" s="54" t="s">
        <v>366</v>
      </c>
      <c r="B329" s="60"/>
      <c r="C329" s="60"/>
      <c r="D329" s="61"/>
      <c r="E329" s="61">
        <v>12</v>
      </c>
      <c r="F329" s="61">
        <f>E329</f>
        <v>12</v>
      </c>
      <c r="G329" s="61"/>
      <c r="H329" s="61">
        <v>20</v>
      </c>
      <c r="I329" s="61"/>
      <c r="J329" s="61">
        <v>20</v>
      </c>
      <c r="K329" s="61"/>
      <c r="L329" s="127"/>
      <c r="M329" s="127"/>
      <c r="N329" s="61"/>
      <c r="O329" s="127"/>
      <c r="P329" s="127"/>
    </row>
    <row r="330" spans="1:16" ht="22.5">
      <c r="A330" s="54" t="s">
        <v>186</v>
      </c>
      <c r="B330" s="60"/>
      <c r="C330" s="60"/>
      <c r="D330" s="61"/>
      <c r="E330" s="61">
        <v>200</v>
      </c>
      <c r="F330" s="61">
        <v>200</v>
      </c>
      <c r="G330" s="61"/>
      <c r="H330" s="61">
        <v>400</v>
      </c>
      <c r="I330" s="61"/>
      <c r="J330" s="61">
        <f>H330</f>
        <v>400</v>
      </c>
      <c r="K330" s="61"/>
      <c r="L330" s="61"/>
      <c r="M330" s="61"/>
      <c r="N330" s="61"/>
      <c r="O330" s="113"/>
      <c r="P330" s="61"/>
    </row>
    <row r="331" spans="1:16" ht="22.5">
      <c r="A331" s="54" t="s">
        <v>180</v>
      </c>
      <c r="B331" s="60"/>
      <c r="C331" s="60"/>
      <c r="D331" s="61"/>
      <c r="E331" s="61">
        <v>454</v>
      </c>
      <c r="F331" s="61">
        <f>E331</f>
        <v>454</v>
      </c>
      <c r="G331" s="61"/>
      <c r="H331" s="61">
        <v>460</v>
      </c>
      <c r="I331" s="61"/>
      <c r="J331" s="61">
        <v>460</v>
      </c>
      <c r="K331" s="61"/>
      <c r="L331" s="127"/>
      <c r="M331" s="127"/>
      <c r="N331" s="61"/>
      <c r="O331" s="113"/>
      <c r="P331" s="61"/>
    </row>
    <row r="332" spans="1:16" ht="33.75">
      <c r="A332" s="54" t="s">
        <v>181</v>
      </c>
      <c r="B332" s="60"/>
      <c r="C332" s="60"/>
      <c r="D332" s="61"/>
      <c r="E332" s="61">
        <v>200</v>
      </c>
      <c r="F332" s="61">
        <f>E332</f>
        <v>200</v>
      </c>
      <c r="G332" s="61">
        <v>374</v>
      </c>
      <c r="H332" s="61"/>
      <c r="I332" s="61"/>
      <c r="J332" s="61">
        <f>G332</f>
        <v>374</v>
      </c>
      <c r="K332" s="61"/>
      <c r="L332" s="61"/>
      <c r="M332" s="61"/>
      <c r="N332" s="113"/>
      <c r="O332" s="61"/>
      <c r="P332" s="61"/>
    </row>
    <row r="333" spans="1:16" ht="11.25">
      <c r="A333" s="53" t="s">
        <v>7</v>
      </c>
      <c r="B333" s="60"/>
      <c r="C333" s="60"/>
      <c r="D333" s="61"/>
      <c r="E333" s="127"/>
      <c r="F333" s="127"/>
      <c r="G333" s="61"/>
      <c r="H333" s="127"/>
      <c r="I333" s="127"/>
      <c r="J333" s="127"/>
      <c r="K333" s="61" t="e">
        <f>H333/E333*100</f>
        <v>#DIV/0!</v>
      </c>
      <c r="L333" s="127"/>
      <c r="M333" s="127"/>
      <c r="N333" s="113"/>
      <c r="O333" s="127"/>
      <c r="P333" s="127"/>
    </row>
    <row r="334" spans="1:16" ht="22.5">
      <c r="A334" s="54" t="s">
        <v>182</v>
      </c>
      <c r="B334" s="58"/>
      <c r="C334" s="58"/>
      <c r="D334" s="61"/>
      <c r="E334" s="61">
        <v>400000</v>
      </c>
      <c r="F334" s="61">
        <f>E334</f>
        <v>400000</v>
      </c>
      <c r="G334" s="61"/>
      <c r="H334" s="61">
        <v>250000</v>
      </c>
      <c r="I334" s="61"/>
      <c r="J334" s="61">
        <f>H334</f>
        <v>250000</v>
      </c>
      <c r="K334" s="61"/>
      <c r="L334" s="61"/>
      <c r="M334" s="61"/>
      <c r="N334" s="113"/>
      <c r="O334" s="61"/>
      <c r="P334" s="61"/>
    </row>
    <row r="335" spans="1:16" ht="22.5">
      <c r="A335" s="54" t="s">
        <v>183</v>
      </c>
      <c r="B335" s="58"/>
      <c r="C335" s="58"/>
      <c r="D335" s="61"/>
      <c r="E335" s="61">
        <v>52500</v>
      </c>
      <c r="F335" s="61">
        <f>E335</f>
        <v>52500</v>
      </c>
      <c r="G335" s="61"/>
      <c r="H335" s="61">
        <v>75000</v>
      </c>
      <c r="I335" s="61"/>
      <c r="J335" s="61">
        <f>H335</f>
        <v>75000</v>
      </c>
      <c r="K335" s="61"/>
      <c r="L335" s="61"/>
      <c r="M335" s="61"/>
      <c r="N335" s="113"/>
      <c r="O335" s="61"/>
      <c r="P335" s="61"/>
    </row>
    <row r="336" spans="1:16" ht="22.5">
      <c r="A336" s="54" t="s">
        <v>184</v>
      </c>
      <c r="B336" s="58"/>
      <c r="C336" s="58"/>
      <c r="D336" s="61"/>
      <c r="E336" s="61">
        <v>7000</v>
      </c>
      <c r="F336" s="61">
        <f>E336</f>
        <v>7000</v>
      </c>
      <c r="G336" s="61"/>
      <c r="H336" s="61">
        <v>9391.30434783</v>
      </c>
      <c r="I336" s="61"/>
      <c r="J336" s="61">
        <f>H336</f>
        <v>9391.30434783</v>
      </c>
      <c r="K336" s="61"/>
      <c r="L336" s="61"/>
      <c r="M336" s="61"/>
      <c r="N336" s="113"/>
      <c r="O336" s="61"/>
      <c r="P336" s="61"/>
    </row>
    <row r="337" spans="1:16" ht="33.75">
      <c r="A337" s="54" t="s">
        <v>185</v>
      </c>
      <c r="B337" s="58"/>
      <c r="C337" s="58"/>
      <c r="D337" s="61"/>
      <c r="E337" s="61">
        <v>1500</v>
      </c>
      <c r="F337" s="61">
        <f>E337</f>
        <v>1500</v>
      </c>
      <c r="G337" s="61">
        <v>1564.17112299</v>
      </c>
      <c r="H337" s="61"/>
      <c r="I337" s="61"/>
      <c r="J337" s="61">
        <f>G337</f>
        <v>1564.17112299</v>
      </c>
      <c r="K337" s="61"/>
      <c r="L337" s="61"/>
      <c r="M337" s="61"/>
      <c r="N337" s="113"/>
      <c r="O337" s="61"/>
      <c r="P337" s="61"/>
    </row>
    <row r="338" spans="1:16" ht="11.25">
      <c r="A338" s="53" t="s">
        <v>6</v>
      </c>
      <c r="B338" s="58"/>
      <c r="C338" s="58"/>
      <c r="D338" s="61"/>
      <c r="E338" s="61"/>
      <c r="F338" s="61"/>
      <c r="G338" s="61"/>
      <c r="H338" s="61"/>
      <c r="I338" s="61"/>
      <c r="J338" s="61"/>
      <c r="K338" s="61"/>
      <c r="L338" s="61"/>
      <c r="M338" s="61"/>
      <c r="N338" s="113"/>
      <c r="O338" s="61"/>
      <c r="P338" s="61"/>
    </row>
    <row r="339" spans="1:16" ht="33.75">
      <c r="A339" s="54" t="s">
        <v>187</v>
      </c>
      <c r="B339" s="58"/>
      <c r="C339" s="58"/>
      <c r="D339" s="61"/>
      <c r="E339" s="61">
        <f>E329/E324*100</f>
        <v>100</v>
      </c>
      <c r="F339" s="61">
        <f>E339</f>
        <v>100</v>
      </c>
      <c r="G339" s="61"/>
      <c r="H339" s="61"/>
      <c r="I339" s="61"/>
      <c r="J339" s="61"/>
      <c r="K339" s="61"/>
      <c r="L339" s="61"/>
      <c r="M339" s="61"/>
      <c r="N339" s="113"/>
      <c r="O339" s="61"/>
      <c r="P339" s="61"/>
    </row>
    <row r="340" spans="1:16" ht="45">
      <c r="A340" s="54" t="s">
        <v>188</v>
      </c>
      <c r="B340" s="58"/>
      <c r="C340" s="58"/>
      <c r="D340" s="61"/>
      <c r="E340" s="61">
        <f>E330/E325*100</f>
        <v>28.57142857142857</v>
      </c>
      <c r="F340" s="61">
        <f aca="true" t="shared" si="34" ref="F340:M340">F330/F325*100</f>
        <v>28.57142857142857</v>
      </c>
      <c r="G340" s="61"/>
      <c r="H340" s="61">
        <f t="shared" si="34"/>
        <v>80</v>
      </c>
      <c r="I340" s="61"/>
      <c r="J340" s="61">
        <f t="shared" si="34"/>
        <v>80</v>
      </c>
      <c r="K340" s="61" t="e">
        <f t="shared" si="34"/>
        <v>#DIV/0!</v>
      </c>
      <c r="L340" s="61" t="e">
        <f t="shared" si="34"/>
        <v>#DIV/0!</v>
      </c>
      <c r="M340" s="61" t="e">
        <f t="shared" si="34"/>
        <v>#DIV/0!</v>
      </c>
      <c r="N340" s="61"/>
      <c r="O340" s="61"/>
      <c r="P340" s="61"/>
    </row>
    <row r="341" spans="1:16" ht="45">
      <c r="A341" s="54" t="s">
        <v>189</v>
      </c>
      <c r="B341" s="58"/>
      <c r="C341" s="58"/>
      <c r="D341" s="61"/>
      <c r="E341" s="61">
        <f>E331/E326*100</f>
        <v>100</v>
      </c>
      <c r="F341" s="61">
        <f>E341</f>
        <v>100</v>
      </c>
      <c r="G341" s="61"/>
      <c r="H341" s="61"/>
      <c r="I341" s="61"/>
      <c r="J341" s="61"/>
      <c r="K341" s="61"/>
      <c r="L341" s="61"/>
      <c r="M341" s="61"/>
      <c r="N341" s="61"/>
      <c r="O341" s="61"/>
      <c r="P341" s="61"/>
    </row>
    <row r="342" spans="1:16" ht="56.25">
      <c r="A342" s="54" t="s">
        <v>190</v>
      </c>
      <c r="B342" s="58"/>
      <c r="C342" s="58"/>
      <c r="D342" s="61"/>
      <c r="E342" s="61">
        <f>E332/E325*100</f>
        <v>28.57142857142857</v>
      </c>
      <c r="F342" s="61">
        <f aca="true" t="shared" si="35" ref="F342:M342">F332/F325*100</f>
        <v>28.57142857142857</v>
      </c>
      <c r="G342" s="61">
        <f>G332/G327*100</f>
        <v>74.8</v>
      </c>
      <c r="H342" s="61"/>
      <c r="I342" s="61"/>
      <c r="J342" s="61">
        <f t="shared" si="35"/>
        <v>74.8</v>
      </c>
      <c r="K342" s="61" t="e">
        <f t="shared" si="35"/>
        <v>#DIV/0!</v>
      </c>
      <c r="L342" s="61" t="e">
        <f t="shared" si="35"/>
        <v>#DIV/0!</v>
      </c>
      <c r="M342" s="61" t="e">
        <f t="shared" si="35"/>
        <v>#DIV/0!</v>
      </c>
      <c r="N342" s="61"/>
      <c r="O342" s="61"/>
      <c r="P342" s="61"/>
    </row>
    <row r="343" spans="1:235" s="91" customFormat="1" ht="33.75">
      <c r="A343" s="81" t="s">
        <v>368</v>
      </c>
      <c r="B343" s="87"/>
      <c r="C343" s="87"/>
      <c r="D343" s="88"/>
      <c r="E343" s="88">
        <f>1630000-250000</f>
        <v>1380000</v>
      </c>
      <c r="F343" s="88">
        <f>E343</f>
        <v>1380000</v>
      </c>
      <c r="G343" s="88"/>
      <c r="H343" s="88">
        <f>H347*H349</f>
        <v>249999.9999993</v>
      </c>
      <c r="I343" s="88"/>
      <c r="J343" s="88">
        <f>H343</f>
        <v>249999.9999993</v>
      </c>
      <c r="K343" s="88">
        <f>K347*K349+1</f>
        <v>1</v>
      </c>
      <c r="L343" s="88">
        <f>L347*L349+1</f>
        <v>1</v>
      </c>
      <c r="M343" s="88">
        <f>M347*M349+1</f>
        <v>1</v>
      </c>
      <c r="N343" s="88"/>
      <c r="O343" s="88"/>
      <c r="P343" s="88"/>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row>
    <row r="344" spans="1:16" ht="9.75" customHeight="1">
      <c r="A344" s="53" t="s">
        <v>4</v>
      </c>
      <c r="B344" s="58"/>
      <c r="C344" s="58"/>
      <c r="D344" s="61"/>
      <c r="E344" s="61"/>
      <c r="F344" s="61"/>
      <c r="G344" s="61"/>
      <c r="H344" s="61"/>
      <c r="I344" s="61"/>
      <c r="J344" s="61"/>
      <c r="K344" s="61"/>
      <c r="L344" s="61"/>
      <c r="M344" s="61"/>
      <c r="N344" s="61"/>
      <c r="O344" s="61"/>
      <c r="P344" s="61"/>
    </row>
    <row r="345" spans="1:16" ht="33.75">
      <c r="A345" s="54" t="s">
        <v>267</v>
      </c>
      <c r="B345" s="58"/>
      <c r="C345" s="58"/>
      <c r="D345" s="61"/>
      <c r="E345" s="61">
        <v>48</v>
      </c>
      <c r="F345" s="61">
        <f>E345</f>
        <v>48</v>
      </c>
      <c r="G345" s="61"/>
      <c r="H345" s="61">
        <v>9</v>
      </c>
      <c r="I345" s="61"/>
      <c r="J345" s="61">
        <f>H345</f>
        <v>9</v>
      </c>
      <c r="K345" s="61"/>
      <c r="L345" s="61"/>
      <c r="M345" s="61"/>
      <c r="N345" s="61"/>
      <c r="O345" s="61"/>
      <c r="P345" s="61"/>
    </row>
    <row r="346" spans="1:16" ht="11.25">
      <c r="A346" s="53" t="s">
        <v>5</v>
      </c>
      <c r="B346" s="58"/>
      <c r="C346" s="58"/>
      <c r="D346" s="61"/>
      <c r="E346" s="61"/>
      <c r="F346" s="61"/>
      <c r="G346" s="61"/>
      <c r="H346" s="61"/>
      <c r="I346" s="61"/>
      <c r="J346" s="61"/>
      <c r="K346" s="61"/>
      <c r="L346" s="61"/>
      <c r="M346" s="61"/>
      <c r="N346" s="61"/>
      <c r="O346" s="61"/>
      <c r="P346" s="61"/>
    </row>
    <row r="347" spans="1:16" ht="27" customHeight="1">
      <c r="A347" s="54" t="s">
        <v>270</v>
      </c>
      <c r="B347" s="58"/>
      <c r="C347" s="58"/>
      <c r="D347" s="61"/>
      <c r="E347" s="61">
        <v>48</v>
      </c>
      <c r="F347" s="61">
        <v>48</v>
      </c>
      <c r="G347" s="61"/>
      <c r="H347" s="61">
        <v>9</v>
      </c>
      <c r="I347" s="61"/>
      <c r="J347" s="61">
        <v>48</v>
      </c>
      <c r="K347" s="61"/>
      <c r="L347" s="61"/>
      <c r="M347" s="61"/>
      <c r="N347" s="61"/>
      <c r="O347" s="61"/>
      <c r="P347" s="61"/>
    </row>
    <row r="348" spans="1:16" ht="11.25">
      <c r="A348" s="53" t="s">
        <v>7</v>
      </c>
      <c r="B348" s="58"/>
      <c r="C348" s="58"/>
      <c r="D348" s="61"/>
      <c r="E348" s="61"/>
      <c r="F348" s="61"/>
      <c r="G348" s="61"/>
      <c r="H348" s="61"/>
      <c r="I348" s="61"/>
      <c r="J348" s="61"/>
      <c r="K348" s="61"/>
      <c r="L348" s="61"/>
      <c r="M348" s="61"/>
      <c r="N348" s="61"/>
      <c r="O348" s="61"/>
      <c r="P348" s="61"/>
    </row>
    <row r="349" spans="1:16" ht="22.5">
      <c r="A349" s="54" t="s">
        <v>268</v>
      </c>
      <c r="B349" s="58"/>
      <c r="C349" s="58"/>
      <c r="D349" s="61"/>
      <c r="E349" s="61">
        <v>28103.5</v>
      </c>
      <c r="F349" s="61">
        <f>E349</f>
        <v>28103.5</v>
      </c>
      <c r="G349" s="61"/>
      <c r="H349" s="61">
        <v>27777.7777777</v>
      </c>
      <c r="I349" s="61"/>
      <c r="J349" s="61">
        <f>H349</f>
        <v>27777.7777777</v>
      </c>
      <c r="K349" s="61"/>
      <c r="L349" s="61"/>
      <c r="M349" s="61"/>
      <c r="N349" s="61"/>
      <c r="O349" s="61"/>
      <c r="P349" s="61"/>
    </row>
    <row r="350" spans="1:16" ht="11.25">
      <c r="A350" s="53" t="s">
        <v>6</v>
      </c>
      <c r="B350" s="59"/>
      <c r="C350" s="59"/>
      <c r="D350" s="61"/>
      <c r="E350" s="63"/>
      <c r="F350" s="63"/>
      <c r="G350" s="61"/>
      <c r="H350" s="63"/>
      <c r="I350" s="63"/>
      <c r="J350" s="63"/>
      <c r="K350" s="63"/>
      <c r="L350" s="63"/>
      <c r="M350" s="63"/>
      <c r="N350" s="61"/>
      <c r="O350" s="63"/>
      <c r="P350" s="63"/>
    </row>
    <row r="351" spans="1:16" ht="48.75" customHeight="1">
      <c r="A351" s="54" t="s">
        <v>269</v>
      </c>
      <c r="B351" s="60"/>
      <c r="C351" s="60"/>
      <c r="D351" s="127"/>
      <c r="E351" s="61">
        <f>E347/E345*100</f>
        <v>100</v>
      </c>
      <c r="F351" s="61">
        <f>E351</f>
        <v>100</v>
      </c>
      <c r="G351" s="61"/>
      <c r="H351" s="61">
        <f>H347/H345*100</f>
        <v>100</v>
      </c>
      <c r="I351" s="61"/>
      <c r="J351" s="61">
        <f>H351</f>
        <v>100</v>
      </c>
      <c r="K351" s="61" t="e">
        <f>(#REF!*#REF!)+(#REF!*#REF!)+(#REF!*#REF!)</f>
        <v>#REF!</v>
      </c>
      <c r="L351" s="61" t="e">
        <f>(#REF!*#REF!)+(#REF!*#REF!)+(#REF!*#REF!)</f>
        <v>#REF!</v>
      </c>
      <c r="M351" s="61" t="e">
        <f>(#REF!*#REF!)+(#REF!*#REF!)+(#REF!*#REF!)</f>
        <v>#REF!</v>
      </c>
      <c r="N351" s="61"/>
      <c r="O351" s="61"/>
      <c r="P351" s="61"/>
    </row>
    <row r="352" spans="1:16" ht="36" customHeight="1">
      <c r="A352" s="81" t="s">
        <v>462</v>
      </c>
      <c r="B352" s="60"/>
      <c r="C352" s="60"/>
      <c r="D352" s="149"/>
      <c r="E352" s="77"/>
      <c r="F352" s="77"/>
      <c r="G352" s="77"/>
      <c r="H352" s="77"/>
      <c r="I352" s="77"/>
      <c r="J352" s="77"/>
      <c r="K352" s="77"/>
      <c r="L352" s="77"/>
      <c r="M352" s="77"/>
      <c r="N352" s="77"/>
      <c r="O352" s="149">
        <f>O353</f>
        <v>2500000</v>
      </c>
      <c r="P352" s="149">
        <f>P353</f>
        <v>2500000</v>
      </c>
    </row>
    <row r="353" spans="1:235" s="91" customFormat="1" ht="20.25" customHeight="1">
      <c r="A353" s="81" t="s">
        <v>458</v>
      </c>
      <c r="B353" s="87"/>
      <c r="C353" s="87"/>
      <c r="D353" s="88"/>
      <c r="E353" s="88"/>
      <c r="F353" s="88"/>
      <c r="G353" s="88"/>
      <c r="H353" s="88">
        <f>H357*H359</f>
        <v>0</v>
      </c>
      <c r="I353" s="88"/>
      <c r="J353" s="88">
        <f>H353</f>
        <v>0</v>
      </c>
      <c r="K353" s="88">
        <f>K357*K359+1</f>
        <v>1</v>
      </c>
      <c r="L353" s="88">
        <f>L357*L359+1</f>
        <v>1</v>
      </c>
      <c r="M353" s="88">
        <f>M357*M359+1</f>
        <v>1</v>
      </c>
      <c r="N353" s="88"/>
      <c r="O353" s="88">
        <f>O357*O359</f>
        <v>2500000</v>
      </c>
      <c r="P353" s="88">
        <f>N353+O353</f>
        <v>2500000</v>
      </c>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c r="BW353" s="90"/>
      <c r="BX353" s="90"/>
      <c r="BY353" s="90"/>
      <c r="BZ353" s="90"/>
      <c r="CA353" s="90"/>
      <c r="CB353" s="90"/>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row>
    <row r="354" spans="1:16" ht="9.75" customHeight="1">
      <c r="A354" s="53" t="s">
        <v>4</v>
      </c>
      <c r="B354" s="58"/>
      <c r="C354" s="58"/>
      <c r="D354" s="61"/>
      <c r="E354" s="61"/>
      <c r="F354" s="61"/>
      <c r="G354" s="61"/>
      <c r="H354" s="61"/>
      <c r="I354" s="61"/>
      <c r="J354" s="61"/>
      <c r="K354" s="61"/>
      <c r="L354" s="61"/>
      <c r="M354" s="61"/>
      <c r="N354" s="61"/>
      <c r="O354" s="61"/>
      <c r="P354" s="61"/>
    </row>
    <row r="355" spans="1:16" ht="22.5">
      <c r="A355" s="108" t="s">
        <v>463</v>
      </c>
      <c r="B355" s="58"/>
      <c r="C355" s="58"/>
      <c r="D355" s="61"/>
      <c r="E355" s="61"/>
      <c r="F355" s="61"/>
      <c r="G355" s="61"/>
      <c r="H355" s="61"/>
      <c r="I355" s="61"/>
      <c r="J355" s="61"/>
      <c r="K355" s="61"/>
      <c r="L355" s="61"/>
      <c r="M355" s="61"/>
      <c r="N355" s="61"/>
      <c r="O355" s="61">
        <v>1</v>
      </c>
      <c r="P355" s="61">
        <f>N355+O355</f>
        <v>1</v>
      </c>
    </row>
    <row r="356" spans="1:16" ht="11.25">
      <c r="A356" s="179" t="s">
        <v>5</v>
      </c>
      <c r="B356" s="58"/>
      <c r="C356" s="58"/>
      <c r="D356" s="61"/>
      <c r="E356" s="61"/>
      <c r="F356" s="61"/>
      <c r="G356" s="61"/>
      <c r="H356" s="61"/>
      <c r="I356" s="61"/>
      <c r="J356" s="61"/>
      <c r="K356" s="61"/>
      <c r="L356" s="61"/>
      <c r="M356" s="61"/>
      <c r="N356" s="61"/>
      <c r="O356" s="61"/>
      <c r="P356" s="61"/>
    </row>
    <row r="357" spans="1:16" ht="22.5">
      <c r="A357" s="108" t="s">
        <v>459</v>
      </c>
      <c r="B357" s="58"/>
      <c r="C357" s="58"/>
      <c r="D357" s="61"/>
      <c r="E357" s="61"/>
      <c r="F357" s="61"/>
      <c r="G357" s="61"/>
      <c r="H357" s="61"/>
      <c r="I357" s="61"/>
      <c r="J357" s="61"/>
      <c r="K357" s="61"/>
      <c r="L357" s="61"/>
      <c r="M357" s="61"/>
      <c r="N357" s="61"/>
      <c r="O357" s="61">
        <v>1</v>
      </c>
      <c r="P357" s="61">
        <f>N357+O357</f>
        <v>1</v>
      </c>
    </row>
    <row r="358" spans="1:16" ht="11.25">
      <c r="A358" s="179" t="s">
        <v>7</v>
      </c>
      <c r="B358" s="58"/>
      <c r="C358" s="58"/>
      <c r="D358" s="61"/>
      <c r="E358" s="61"/>
      <c r="F358" s="61"/>
      <c r="G358" s="61"/>
      <c r="H358" s="61"/>
      <c r="I358" s="61"/>
      <c r="J358" s="61"/>
      <c r="K358" s="61"/>
      <c r="L358" s="61"/>
      <c r="M358" s="61"/>
      <c r="N358" s="61"/>
      <c r="O358" s="61"/>
      <c r="P358" s="61"/>
    </row>
    <row r="359" spans="1:16" ht="22.5">
      <c r="A359" s="108" t="s">
        <v>460</v>
      </c>
      <c r="B359" s="58"/>
      <c r="C359" s="58"/>
      <c r="D359" s="61"/>
      <c r="E359" s="61"/>
      <c r="F359" s="61"/>
      <c r="G359" s="61"/>
      <c r="H359" s="61"/>
      <c r="I359" s="61"/>
      <c r="J359" s="61"/>
      <c r="K359" s="61"/>
      <c r="L359" s="61"/>
      <c r="M359" s="61"/>
      <c r="N359" s="61"/>
      <c r="O359" s="61">
        <v>2500000</v>
      </c>
      <c r="P359" s="61">
        <f>N359+O359</f>
        <v>2500000</v>
      </c>
    </row>
    <row r="360" spans="1:16" ht="11.25">
      <c r="A360" s="179" t="s">
        <v>6</v>
      </c>
      <c r="B360" s="59"/>
      <c r="C360" s="59"/>
      <c r="D360" s="61"/>
      <c r="E360" s="63"/>
      <c r="F360" s="63"/>
      <c r="G360" s="61"/>
      <c r="H360" s="63"/>
      <c r="I360" s="63"/>
      <c r="J360" s="63"/>
      <c r="K360" s="63"/>
      <c r="L360" s="63"/>
      <c r="M360" s="63"/>
      <c r="N360" s="61"/>
      <c r="O360" s="63"/>
      <c r="P360" s="61"/>
    </row>
    <row r="361" spans="1:16" ht="39.75" customHeight="1">
      <c r="A361" s="108" t="s">
        <v>461</v>
      </c>
      <c r="B361" s="60"/>
      <c r="C361" s="60"/>
      <c r="D361" s="127"/>
      <c r="E361" s="61"/>
      <c r="F361" s="61"/>
      <c r="G361" s="61"/>
      <c r="H361" s="61"/>
      <c r="I361" s="61"/>
      <c r="J361" s="61"/>
      <c r="K361" s="61" t="e">
        <f>(#REF!*#REF!)+(#REF!*#REF!)+(#REF!*#REF!)</f>
        <v>#REF!</v>
      </c>
      <c r="L361" s="61" t="e">
        <f>(#REF!*#REF!)+(#REF!*#REF!)+(#REF!*#REF!)</f>
        <v>#REF!</v>
      </c>
      <c r="M361" s="61" t="e">
        <f>(#REF!*#REF!)+(#REF!*#REF!)+(#REF!*#REF!)</f>
        <v>#REF!</v>
      </c>
      <c r="N361" s="61"/>
      <c r="O361" s="61">
        <f>O357/O355*100</f>
        <v>100</v>
      </c>
      <c r="P361" s="61">
        <f>N361+O361</f>
        <v>100</v>
      </c>
    </row>
    <row r="362" spans="1:235" s="91" customFormat="1" ht="33.75">
      <c r="A362" s="81" t="s">
        <v>465</v>
      </c>
      <c r="B362" s="87"/>
      <c r="C362" s="87"/>
      <c r="D362" s="88"/>
      <c r="E362" s="88">
        <f>E363</f>
        <v>1000000</v>
      </c>
      <c r="F362" s="88">
        <f>E362</f>
        <v>1000000</v>
      </c>
      <c r="G362" s="88"/>
      <c r="H362" s="88">
        <f>H363+H385</f>
        <v>7000000</v>
      </c>
      <c r="I362" s="88"/>
      <c r="J362" s="88">
        <f>H362</f>
        <v>7000000</v>
      </c>
      <c r="K362" s="88"/>
      <c r="L362" s="88"/>
      <c r="M362" s="88"/>
      <c r="N362" s="88"/>
      <c r="O362" s="88">
        <f>O363+O385</f>
        <v>16900000</v>
      </c>
      <c r="P362" s="88">
        <f>O362</f>
        <v>16900000</v>
      </c>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c r="BP362" s="90"/>
      <c r="BQ362" s="90"/>
      <c r="BR362" s="90"/>
      <c r="BS362" s="90"/>
      <c r="BT362" s="90"/>
      <c r="BU362" s="90"/>
      <c r="BV362" s="90"/>
      <c r="BW362" s="90"/>
      <c r="BX362" s="90"/>
      <c r="BY362" s="90"/>
      <c r="BZ362" s="90"/>
      <c r="CA362" s="90"/>
      <c r="CB362" s="90"/>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row>
    <row r="363" spans="1:235" s="91" customFormat="1" ht="41.25" customHeight="1">
      <c r="A363" s="81" t="s">
        <v>396</v>
      </c>
      <c r="B363" s="87"/>
      <c r="C363" s="87"/>
      <c r="D363" s="88"/>
      <c r="E363" s="88">
        <f>E367*E369+1</f>
        <v>1000000</v>
      </c>
      <c r="F363" s="88">
        <f aca="true" t="shared" si="36" ref="F363:M363">F367*F369+1</f>
        <v>1000000</v>
      </c>
      <c r="G363" s="88"/>
      <c r="H363" s="88">
        <f>H367*H369</f>
        <v>6900000</v>
      </c>
      <c r="I363" s="88"/>
      <c r="J363" s="88">
        <f>H363</f>
        <v>6900000</v>
      </c>
      <c r="K363" s="88">
        <f t="shared" si="36"/>
        <v>1</v>
      </c>
      <c r="L363" s="88">
        <f t="shared" si="36"/>
        <v>1</v>
      </c>
      <c r="M363" s="88">
        <f t="shared" si="36"/>
        <v>1</v>
      </c>
      <c r="N363" s="88"/>
      <c r="O363" s="88">
        <f>O365</f>
        <v>15400000.000000002</v>
      </c>
      <c r="P363" s="88">
        <f>O363</f>
        <v>15400000.000000002</v>
      </c>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row>
    <row r="364" spans="1:16" ht="11.25">
      <c r="A364" s="53" t="s">
        <v>4</v>
      </c>
      <c r="B364" s="58"/>
      <c r="C364" s="58"/>
      <c r="D364" s="61"/>
      <c r="E364" s="61"/>
      <c r="F364" s="61"/>
      <c r="G364" s="61"/>
      <c r="H364" s="61"/>
      <c r="I364" s="61"/>
      <c r="J364" s="61"/>
      <c r="K364" s="61"/>
      <c r="L364" s="61"/>
      <c r="M364" s="61"/>
      <c r="N364" s="61"/>
      <c r="O364" s="61"/>
      <c r="P364" s="61"/>
    </row>
    <row r="365" spans="1:16" ht="22.5">
      <c r="A365" s="54" t="s">
        <v>386</v>
      </c>
      <c r="B365" s="58"/>
      <c r="C365" s="58"/>
      <c r="D365" s="61"/>
      <c r="E365" s="61">
        <v>10</v>
      </c>
      <c r="F365" s="61">
        <f>E365</f>
        <v>10</v>
      </c>
      <c r="G365" s="61"/>
      <c r="H365" s="61">
        <f>H367*H369</f>
        <v>6900000</v>
      </c>
      <c r="I365" s="61"/>
      <c r="J365" s="61">
        <f>H365</f>
        <v>6900000</v>
      </c>
      <c r="K365" s="61"/>
      <c r="L365" s="61"/>
      <c r="M365" s="61"/>
      <c r="N365" s="61"/>
      <c r="O365" s="61">
        <f>O367*O369+0.22</f>
        <v>15400000.000000002</v>
      </c>
      <c r="P365" s="61">
        <f>O365</f>
        <v>15400000.000000002</v>
      </c>
    </row>
    <row r="366" spans="1:16" ht="11.25">
      <c r="A366" s="53" t="s">
        <v>5</v>
      </c>
      <c r="B366" s="58"/>
      <c r="C366" s="58"/>
      <c r="D366" s="61"/>
      <c r="E366" s="61"/>
      <c r="F366" s="61"/>
      <c r="G366" s="61"/>
      <c r="H366" s="61"/>
      <c r="I366" s="61"/>
      <c r="J366" s="61"/>
      <c r="K366" s="61"/>
      <c r="L366" s="61"/>
      <c r="M366" s="61"/>
      <c r="N366" s="61"/>
      <c r="O366" s="61"/>
      <c r="P366" s="61"/>
    </row>
    <row r="367" spans="1:16" ht="22.5">
      <c r="A367" s="54" t="s">
        <v>385</v>
      </c>
      <c r="B367" s="58"/>
      <c r="C367" s="58"/>
      <c r="D367" s="61"/>
      <c r="E367" s="61">
        <v>3</v>
      </c>
      <c r="F367" s="61">
        <f>E367</f>
        <v>3</v>
      </c>
      <c r="G367" s="61"/>
      <c r="H367" s="61">
        <v>23</v>
      </c>
      <c r="I367" s="61"/>
      <c r="J367" s="61">
        <f>H367</f>
        <v>23</v>
      </c>
      <c r="K367" s="61"/>
      <c r="L367" s="61"/>
      <c r="M367" s="61"/>
      <c r="N367" s="61"/>
      <c r="O367" s="61">
        <v>51</v>
      </c>
      <c r="P367" s="61">
        <f>O367</f>
        <v>51</v>
      </c>
    </row>
    <row r="368" spans="1:16" ht="11.25">
      <c r="A368" s="53" t="s">
        <v>7</v>
      </c>
      <c r="B368" s="58"/>
      <c r="C368" s="58"/>
      <c r="D368" s="61"/>
      <c r="E368" s="61"/>
      <c r="F368" s="61"/>
      <c r="G368" s="61"/>
      <c r="H368" s="61"/>
      <c r="I368" s="61"/>
      <c r="J368" s="61"/>
      <c r="K368" s="61"/>
      <c r="L368" s="61"/>
      <c r="M368" s="61"/>
      <c r="N368" s="61"/>
      <c r="O368" s="61"/>
      <c r="P368" s="61"/>
    </row>
    <row r="369" spans="1:16" ht="22.5">
      <c r="A369" s="54" t="s">
        <v>174</v>
      </c>
      <c r="B369" s="58"/>
      <c r="C369" s="58"/>
      <c r="D369" s="61"/>
      <c r="E369" s="61">
        <v>333333</v>
      </c>
      <c r="F369" s="61">
        <f>E369</f>
        <v>333333</v>
      </c>
      <c r="G369" s="61"/>
      <c r="H369" s="61">
        <v>300000</v>
      </c>
      <c r="I369" s="61"/>
      <c r="J369" s="61">
        <f>H369</f>
        <v>300000</v>
      </c>
      <c r="K369" s="61"/>
      <c r="L369" s="61"/>
      <c r="M369" s="61"/>
      <c r="N369" s="61"/>
      <c r="O369" s="61">
        <v>301960.78</v>
      </c>
      <c r="P369" s="61">
        <f>O369</f>
        <v>301960.78</v>
      </c>
    </row>
    <row r="370" spans="1:16" ht="1.5" customHeight="1" hidden="1">
      <c r="A370" s="19" t="s">
        <v>265</v>
      </c>
      <c r="B370" s="26"/>
      <c r="C370" s="26"/>
      <c r="D370" s="25"/>
      <c r="E370" s="25">
        <f>E371</f>
        <v>1000000</v>
      </c>
      <c r="F370" s="25">
        <f>E370</f>
        <v>1000000</v>
      </c>
      <c r="G370" s="25"/>
      <c r="H370" s="25">
        <f>H371</f>
        <v>1320000</v>
      </c>
      <c r="I370" s="25"/>
      <c r="J370" s="25">
        <f>H370</f>
        <v>1320000</v>
      </c>
      <c r="K370" s="55"/>
      <c r="L370" s="55"/>
      <c r="M370" s="55"/>
      <c r="N370" s="25"/>
      <c r="O370" s="25">
        <f>O371</f>
        <v>1580000</v>
      </c>
      <c r="P370" s="25">
        <f>O370</f>
        <v>1580000</v>
      </c>
    </row>
    <row r="371" spans="1:16" ht="4.5" customHeight="1" hidden="1">
      <c r="A371" s="19" t="s">
        <v>266</v>
      </c>
      <c r="B371" s="26"/>
      <c r="C371" s="26"/>
      <c r="D371" s="25"/>
      <c r="E371" s="25">
        <f>E375*E377+1</f>
        <v>1000000</v>
      </c>
      <c r="F371" s="25">
        <f>F375*F377+1</f>
        <v>1000000</v>
      </c>
      <c r="G371" s="25"/>
      <c r="H371" s="25">
        <f>H375*H377</f>
        <v>1320000</v>
      </c>
      <c r="I371" s="25"/>
      <c r="J371" s="25">
        <f>H371</f>
        <v>1320000</v>
      </c>
      <c r="K371" s="25">
        <f>K375*K377+1</f>
        <v>1</v>
      </c>
      <c r="L371" s="25">
        <f>L375*L377+1</f>
        <v>1</v>
      </c>
      <c r="M371" s="25">
        <f>M375*M377+1</f>
        <v>1</v>
      </c>
      <c r="N371" s="25"/>
      <c r="O371" s="25">
        <f>O375*O377</f>
        <v>1580000</v>
      </c>
      <c r="P371" s="25">
        <f>O371</f>
        <v>1580000</v>
      </c>
    </row>
    <row r="372" spans="1:16" ht="16.5" customHeight="1" hidden="1">
      <c r="A372" s="53" t="s">
        <v>4</v>
      </c>
      <c r="B372" s="58"/>
      <c r="C372" s="58"/>
      <c r="D372" s="61"/>
      <c r="E372" s="61"/>
      <c r="F372" s="61"/>
      <c r="G372" s="61"/>
      <c r="H372" s="61"/>
      <c r="I372" s="61"/>
      <c r="J372" s="61"/>
      <c r="K372" s="61"/>
      <c r="L372" s="61"/>
      <c r="M372" s="61"/>
      <c r="N372" s="61"/>
      <c r="O372" s="61"/>
      <c r="P372" s="61"/>
    </row>
    <row r="373" spans="1:16" ht="24.75" customHeight="1" hidden="1">
      <c r="A373" s="54" t="s">
        <v>172</v>
      </c>
      <c r="B373" s="58"/>
      <c r="C373" s="58"/>
      <c r="D373" s="61"/>
      <c r="E373" s="61">
        <v>10</v>
      </c>
      <c r="F373" s="61">
        <f>E373</f>
        <v>10</v>
      </c>
      <c r="G373" s="61"/>
      <c r="H373" s="61">
        <v>10</v>
      </c>
      <c r="I373" s="61"/>
      <c r="J373" s="61">
        <f>H373</f>
        <v>10</v>
      </c>
      <c r="K373" s="61"/>
      <c r="L373" s="61"/>
      <c r="M373" s="61"/>
      <c r="N373" s="61"/>
      <c r="O373" s="61">
        <v>10</v>
      </c>
      <c r="P373" s="61">
        <f>O373</f>
        <v>10</v>
      </c>
    </row>
    <row r="374" spans="1:16" ht="15" customHeight="1" hidden="1">
      <c r="A374" s="53" t="s">
        <v>5</v>
      </c>
      <c r="B374" s="58"/>
      <c r="C374" s="58"/>
      <c r="D374" s="61"/>
      <c r="E374" s="61"/>
      <c r="F374" s="61"/>
      <c r="G374" s="61"/>
      <c r="H374" s="61"/>
      <c r="I374" s="61"/>
      <c r="J374" s="61"/>
      <c r="K374" s="61"/>
      <c r="L374" s="61"/>
      <c r="M374" s="61"/>
      <c r="N374" s="61"/>
      <c r="O374" s="61"/>
      <c r="P374" s="61"/>
    </row>
    <row r="375" spans="1:16" ht="12.75" customHeight="1" hidden="1">
      <c r="A375" s="54" t="s">
        <v>173</v>
      </c>
      <c r="B375" s="58"/>
      <c r="C375" s="58"/>
      <c r="D375" s="61"/>
      <c r="E375" s="61">
        <v>3</v>
      </c>
      <c r="F375" s="61">
        <f>E375</f>
        <v>3</v>
      </c>
      <c r="G375" s="61"/>
      <c r="H375" s="61">
        <v>3</v>
      </c>
      <c r="I375" s="61"/>
      <c r="J375" s="61">
        <f>H375</f>
        <v>3</v>
      </c>
      <c r="K375" s="61"/>
      <c r="L375" s="61"/>
      <c r="M375" s="61"/>
      <c r="N375" s="61"/>
      <c r="O375" s="61">
        <v>4</v>
      </c>
      <c r="P375" s="61">
        <f>O375</f>
        <v>4</v>
      </c>
    </row>
    <row r="376" spans="1:16" ht="16.5" customHeight="1" hidden="1">
      <c r="A376" s="53" t="s">
        <v>7</v>
      </c>
      <c r="B376" s="58"/>
      <c r="C376" s="58"/>
      <c r="D376" s="61"/>
      <c r="E376" s="61"/>
      <c r="F376" s="61"/>
      <c r="G376" s="61"/>
      <c r="H376" s="61"/>
      <c r="I376" s="61"/>
      <c r="J376" s="61"/>
      <c r="K376" s="61"/>
      <c r="L376" s="61"/>
      <c r="M376" s="61"/>
      <c r="N376" s="61"/>
      <c r="O376" s="61"/>
      <c r="P376" s="61"/>
    </row>
    <row r="377" spans="1:16" ht="30" customHeight="1" hidden="1">
      <c r="A377" s="54" t="s">
        <v>174</v>
      </c>
      <c r="B377" s="58"/>
      <c r="C377" s="58"/>
      <c r="D377" s="61"/>
      <c r="E377" s="61">
        <v>333333</v>
      </c>
      <c r="F377" s="61">
        <f>E377</f>
        <v>333333</v>
      </c>
      <c r="G377" s="61"/>
      <c r="H377" s="61">
        <v>440000</v>
      </c>
      <c r="I377" s="61"/>
      <c r="J377" s="61">
        <f>H377</f>
        <v>440000</v>
      </c>
      <c r="K377" s="61"/>
      <c r="L377" s="61"/>
      <c r="M377" s="61"/>
      <c r="N377" s="61"/>
      <c r="O377" s="61">
        <v>395000</v>
      </c>
      <c r="P377" s="61">
        <f>O377</f>
        <v>395000</v>
      </c>
    </row>
    <row r="378" spans="1:16" ht="15" customHeight="1" hidden="1">
      <c r="A378" s="53" t="s">
        <v>6</v>
      </c>
      <c r="B378" s="59"/>
      <c r="C378" s="59"/>
      <c r="D378" s="61"/>
      <c r="E378" s="63"/>
      <c r="F378" s="63"/>
      <c r="G378" s="61"/>
      <c r="H378" s="63"/>
      <c r="I378" s="63"/>
      <c r="J378" s="63"/>
      <c r="K378" s="63"/>
      <c r="L378" s="63"/>
      <c r="M378" s="63"/>
      <c r="N378" s="61"/>
      <c r="O378" s="63"/>
      <c r="P378" s="63"/>
    </row>
    <row r="379" spans="1:16" ht="53.25" customHeight="1" hidden="1">
      <c r="A379" s="54" t="s">
        <v>192</v>
      </c>
      <c r="B379" s="60"/>
      <c r="C379" s="60"/>
      <c r="D379" s="127"/>
      <c r="E379" s="61">
        <f>E375/E373*100</f>
        <v>30</v>
      </c>
      <c r="F379" s="61">
        <f>E379</f>
        <v>30</v>
      </c>
      <c r="G379" s="61"/>
      <c r="H379" s="61">
        <f>H375/H373*100</f>
        <v>30</v>
      </c>
      <c r="I379" s="61"/>
      <c r="J379" s="61">
        <f>H379</f>
        <v>30</v>
      </c>
      <c r="K379" s="61" t="e">
        <f>(#REF!*#REF!)+(#REF!*#REF!)+(#REF!*#REF!)</f>
        <v>#REF!</v>
      </c>
      <c r="L379" s="61" t="e">
        <f>(#REF!*#REF!)+(#REF!*#REF!)+(#REF!*#REF!)</f>
        <v>#REF!</v>
      </c>
      <c r="M379" s="61" t="e">
        <f>(#REF!*#REF!)+(#REF!*#REF!)+(#REF!*#REF!)</f>
        <v>#REF!</v>
      </c>
      <c r="N379" s="61"/>
      <c r="O379" s="61">
        <f>O375/O373*100</f>
        <v>40</v>
      </c>
      <c r="P379" s="61">
        <f>O379</f>
        <v>40</v>
      </c>
    </row>
    <row r="380" spans="1:16" ht="21.75" customHeight="1" hidden="1">
      <c r="A380" s="54"/>
      <c r="B380" s="60"/>
      <c r="C380" s="60"/>
      <c r="D380" s="127"/>
      <c r="E380" s="61"/>
      <c r="F380" s="61"/>
      <c r="G380" s="61"/>
      <c r="H380" s="61"/>
      <c r="I380" s="61"/>
      <c r="J380" s="61"/>
      <c r="K380" s="61"/>
      <c r="L380" s="61"/>
      <c r="M380" s="61"/>
      <c r="N380" s="61"/>
      <c r="O380" s="61"/>
      <c r="P380" s="61"/>
    </row>
    <row r="381" spans="1:16" ht="54" customHeight="1" hidden="1">
      <c r="A381" s="54"/>
      <c r="B381" s="60"/>
      <c r="C381" s="60"/>
      <c r="D381" s="127"/>
      <c r="E381" s="61"/>
      <c r="F381" s="61"/>
      <c r="G381" s="61"/>
      <c r="H381" s="61"/>
      <c r="I381" s="61"/>
      <c r="J381" s="61"/>
      <c r="K381" s="61"/>
      <c r="L381" s="61"/>
      <c r="M381" s="61"/>
      <c r="N381" s="61"/>
      <c r="O381" s="61"/>
      <c r="P381" s="61"/>
    </row>
    <row r="382" spans="1:16" ht="54" customHeight="1" hidden="1">
      <c r="A382" s="54"/>
      <c r="B382" s="60"/>
      <c r="C382" s="60"/>
      <c r="D382" s="127"/>
      <c r="E382" s="61"/>
      <c r="F382" s="61"/>
      <c r="G382" s="61"/>
      <c r="H382" s="61"/>
      <c r="I382" s="61"/>
      <c r="J382" s="61"/>
      <c r="K382" s="61"/>
      <c r="L382" s="61"/>
      <c r="M382" s="61"/>
      <c r="N382" s="61"/>
      <c r="O382" s="61"/>
      <c r="P382" s="61"/>
    </row>
    <row r="383" spans="1:16" ht="54" customHeight="1" hidden="1">
      <c r="A383" s="54"/>
      <c r="B383" s="60"/>
      <c r="C383" s="60"/>
      <c r="D383" s="127"/>
      <c r="E383" s="61"/>
      <c r="F383" s="61"/>
      <c r="G383" s="61"/>
      <c r="H383" s="61"/>
      <c r="I383" s="61"/>
      <c r="J383" s="61"/>
      <c r="K383" s="61"/>
      <c r="L383" s="61"/>
      <c r="M383" s="61"/>
      <c r="N383" s="61"/>
      <c r="O383" s="61"/>
      <c r="P383" s="61"/>
    </row>
    <row r="384" spans="1:16" ht="54" customHeight="1" hidden="1">
      <c r="A384" s="54"/>
      <c r="B384" s="60"/>
      <c r="C384" s="60"/>
      <c r="D384" s="127"/>
      <c r="E384" s="61"/>
      <c r="F384" s="61"/>
      <c r="G384" s="61"/>
      <c r="H384" s="61"/>
      <c r="I384" s="61"/>
      <c r="J384" s="61"/>
      <c r="K384" s="61"/>
      <c r="L384" s="61"/>
      <c r="M384" s="61"/>
      <c r="N384" s="61"/>
      <c r="O384" s="61"/>
      <c r="P384" s="61"/>
    </row>
    <row r="385" spans="1:16" ht="40.5" customHeight="1">
      <c r="A385" s="81" t="s">
        <v>397</v>
      </c>
      <c r="B385" s="167"/>
      <c r="C385" s="167"/>
      <c r="D385" s="149"/>
      <c r="E385" s="77"/>
      <c r="F385" s="77"/>
      <c r="G385" s="77"/>
      <c r="H385" s="149">
        <f>H387</f>
        <v>100000</v>
      </c>
      <c r="I385" s="149">
        <f aca="true" t="shared" si="37" ref="I385:P385">I387</f>
        <v>0</v>
      </c>
      <c r="J385" s="149">
        <f t="shared" si="37"/>
        <v>100000</v>
      </c>
      <c r="K385" s="149">
        <f t="shared" si="37"/>
        <v>0</v>
      </c>
      <c r="L385" s="149">
        <f t="shared" si="37"/>
        <v>0</v>
      </c>
      <c r="M385" s="149">
        <f t="shared" si="37"/>
        <v>0</v>
      </c>
      <c r="N385" s="149">
        <f t="shared" si="37"/>
        <v>0</v>
      </c>
      <c r="O385" s="149">
        <f t="shared" si="37"/>
        <v>1500000</v>
      </c>
      <c r="P385" s="149">
        <f t="shared" si="37"/>
        <v>1500000</v>
      </c>
    </row>
    <row r="386" spans="1:16" ht="24.75" customHeight="1">
      <c r="A386" s="53" t="s">
        <v>4</v>
      </c>
      <c r="B386" s="60"/>
      <c r="C386" s="60"/>
      <c r="D386" s="127"/>
      <c r="E386" s="61"/>
      <c r="F386" s="61"/>
      <c r="G386" s="61"/>
      <c r="H386" s="61"/>
      <c r="I386" s="61"/>
      <c r="J386" s="61"/>
      <c r="K386" s="61"/>
      <c r="L386" s="61"/>
      <c r="M386" s="61"/>
      <c r="N386" s="61"/>
      <c r="O386" s="61"/>
      <c r="P386" s="61"/>
    </row>
    <row r="387" spans="1:16" ht="25.5" customHeight="1">
      <c r="A387" s="54" t="s">
        <v>387</v>
      </c>
      <c r="B387" s="60"/>
      <c r="C387" s="60"/>
      <c r="D387" s="127"/>
      <c r="E387" s="61"/>
      <c r="F387" s="61"/>
      <c r="G387" s="61"/>
      <c r="H387" s="61">
        <f>H389*H391</f>
        <v>100000</v>
      </c>
      <c r="I387" s="61"/>
      <c r="J387" s="61">
        <f>H387</f>
        <v>100000</v>
      </c>
      <c r="K387" s="61"/>
      <c r="L387" s="61"/>
      <c r="M387" s="61"/>
      <c r="N387" s="61"/>
      <c r="O387" s="61">
        <v>1500000</v>
      </c>
      <c r="P387" s="61">
        <f>O387</f>
        <v>1500000</v>
      </c>
    </row>
    <row r="388" spans="1:16" ht="26.25" customHeight="1">
      <c r="A388" s="53" t="s">
        <v>5</v>
      </c>
      <c r="B388" s="60"/>
      <c r="C388" s="60"/>
      <c r="D388" s="127"/>
      <c r="E388" s="61"/>
      <c r="F388" s="61"/>
      <c r="G388" s="61"/>
      <c r="H388" s="61"/>
      <c r="I388" s="61"/>
      <c r="J388" s="61"/>
      <c r="K388" s="61"/>
      <c r="L388" s="61"/>
      <c r="M388" s="61"/>
      <c r="N388" s="61"/>
      <c r="O388" s="61"/>
      <c r="P388" s="61"/>
    </row>
    <row r="389" spans="1:16" ht="25.5" customHeight="1">
      <c r="A389" s="54" t="s">
        <v>173</v>
      </c>
      <c r="B389" s="60"/>
      <c r="C389" s="60"/>
      <c r="D389" s="127"/>
      <c r="E389" s="61"/>
      <c r="F389" s="61"/>
      <c r="G389" s="61"/>
      <c r="H389" s="61">
        <v>1</v>
      </c>
      <c r="I389" s="61"/>
      <c r="J389" s="61">
        <f>H389</f>
        <v>1</v>
      </c>
      <c r="K389" s="61"/>
      <c r="L389" s="61"/>
      <c r="M389" s="61"/>
      <c r="N389" s="61"/>
      <c r="O389" s="61">
        <v>16</v>
      </c>
      <c r="P389" s="61">
        <v>16</v>
      </c>
    </row>
    <row r="390" spans="1:16" ht="23.25" customHeight="1">
      <c r="A390" s="53" t="s">
        <v>7</v>
      </c>
      <c r="B390" s="60"/>
      <c r="C390" s="60"/>
      <c r="D390" s="127"/>
      <c r="E390" s="61"/>
      <c r="F390" s="61"/>
      <c r="G390" s="61"/>
      <c r="H390" s="61"/>
      <c r="I390" s="61"/>
      <c r="J390" s="61"/>
      <c r="K390" s="61"/>
      <c r="L390" s="61"/>
      <c r="M390" s="61"/>
      <c r="N390" s="61"/>
      <c r="O390" s="61"/>
      <c r="P390" s="61"/>
    </row>
    <row r="391" spans="1:16" ht="37.5" customHeight="1">
      <c r="A391" s="54" t="s">
        <v>388</v>
      </c>
      <c r="B391" s="60"/>
      <c r="C391" s="60"/>
      <c r="D391" s="127"/>
      <c r="E391" s="61"/>
      <c r="F391" s="61"/>
      <c r="G391" s="61"/>
      <c r="H391" s="61">
        <v>100000</v>
      </c>
      <c r="I391" s="61"/>
      <c r="J391" s="61">
        <f>H391</f>
        <v>100000</v>
      </c>
      <c r="K391" s="61"/>
      <c r="L391" s="61"/>
      <c r="M391" s="61"/>
      <c r="N391" s="61"/>
      <c r="O391" s="61">
        <f>300000*0.3</f>
        <v>90000</v>
      </c>
      <c r="P391" s="61">
        <f>300000*0.3</f>
        <v>90000</v>
      </c>
    </row>
    <row r="392" spans="1:235" s="84" customFormat="1" ht="16.5" customHeight="1">
      <c r="A392" s="107" t="s">
        <v>439</v>
      </c>
      <c r="B392" s="107"/>
      <c r="C392" s="107"/>
      <c r="D392" s="118">
        <f>D393+D394+D395</f>
        <v>1889680.002</v>
      </c>
      <c r="E392" s="118"/>
      <c r="F392" s="118">
        <f>F393+F394+F395</f>
        <v>1889680.002</v>
      </c>
      <c r="G392" s="118">
        <f aca="true" t="shared" si="38" ref="G392:N392">G393+G394+G395</f>
        <v>2339999.9981235997</v>
      </c>
      <c r="H392" s="118">
        <f t="shared" si="38"/>
        <v>0</v>
      </c>
      <c r="I392" s="118">
        <f t="shared" si="38"/>
        <v>0</v>
      </c>
      <c r="J392" s="118">
        <f t="shared" si="38"/>
        <v>2339999.9981235997</v>
      </c>
      <c r="K392" s="118" t="e">
        <f t="shared" si="38"/>
        <v>#REF!</v>
      </c>
      <c r="L392" s="118">
        <f t="shared" si="38"/>
        <v>0</v>
      </c>
      <c r="M392" s="118">
        <f t="shared" si="38"/>
        <v>0</v>
      </c>
      <c r="N392" s="118">
        <f t="shared" si="38"/>
        <v>2864213.1999863195</v>
      </c>
      <c r="O392" s="118">
        <f>O393+O394+O395</f>
        <v>0</v>
      </c>
      <c r="P392" s="118">
        <f>P393+P394+P395</f>
        <v>2864213.1999863195</v>
      </c>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c r="BR392" s="120"/>
      <c r="BS392" s="120"/>
      <c r="BT392" s="120"/>
      <c r="BU392" s="120"/>
      <c r="BV392" s="120"/>
      <c r="BW392" s="120"/>
      <c r="BX392" s="120"/>
      <c r="BY392" s="120"/>
      <c r="BZ392" s="120"/>
      <c r="CA392" s="120"/>
      <c r="CB392" s="120"/>
      <c r="CC392" s="120"/>
      <c r="CD392" s="120"/>
      <c r="CE392" s="120"/>
      <c r="CF392" s="120"/>
      <c r="CG392" s="120"/>
      <c r="CH392" s="120"/>
      <c r="CI392" s="120"/>
      <c r="CJ392" s="120"/>
      <c r="CK392" s="120"/>
      <c r="CL392" s="120"/>
      <c r="CM392" s="120"/>
      <c r="CN392" s="120"/>
      <c r="CO392" s="120"/>
      <c r="CP392" s="120"/>
      <c r="CQ392" s="120"/>
      <c r="CR392" s="120"/>
      <c r="CS392" s="120"/>
      <c r="CT392" s="120"/>
      <c r="CU392" s="120"/>
      <c r="CV392" s="120"/>
      <c r="CW392" s="120"/>
      <c r="CX392" s="120"/>
      <c r="CY392" s="120"/>
      <c r="CZ392" s="120"/>
      <c r="DA392" s="120"/>
      <c r="DB392" s="120"/>
      <c r="DC392" s="120"/>
      <c r="DD392" s="120"/>
      <c r="DE392" s="120"/>
      <c r="DF392" s="120"/>
      <c r="DG392" s="120"/>
      <c r="DH392" s="120"/>
      <c r="DI392" s="120"/>
      <c r="DJ392" s="120"/>
      <c r="DK392" s="120"/>
      <c r="DL392" s="120"/>
      <c r="DM392" s="120"/>
      <c r="DN392" s="120"/>
      <c r="DO392" s="120"/>
      <c r="DP392" s="120"/>
      <c r="DQ392" s="120"/>
      <c r="DR392" s="120"/>
      <c r="DS392" s="120"/>
      <c r="DT392" s="120"/>
      <c r="DU392" s="120"/>
      <c r="DV392" s="120"/>
      <c r="DW392" s="120"/>
      <c r="DX392" s="120"/>
      <c r="DY392" s="120"/>
      <c r="DZ392" s="120"/>
      <c r="EA392" s="120"/>
      <c r="EB392" s="120"/>
      <c r="EC392" s="120"/>
      <c r="ED392" s="120"/>
      <c r="EE392" s="120"/>
      <c r="EF392" s="120"/>
      <c r="EG392" s="120"/>
      <c r="EH392" s="120"/>
      <c r="EI392" s="120"/>
      <c r="EJ392" s="120"/>
      <c r="EK392" s="120"/>
      <c r="EL392" s="120"/>
      <c r="EM392" s="120"/>
      <c r="EN392" s="120"/>
      <c r="EO392" s="120"/>
      <c r="EP392" s="120"/>
      <c r="EQ392" s="120"/>
      <c r="ER392" s="120"/>
      <c r="ES392" s="120"/>
      <c r="ET392" s="120"/>
      <c r="EU392" s="120"/>
      <c r="EV392" s="120"/>
      <c r="EW392" s="120"/>
      <c r="EX392" s="120"/>
      <c r="EY392" s="120"/>
      <c r="EZ392" s="120"/>
      <c r="FA392" s="120"/>
      <c r="FB392" s="120"/>
      <c r="FC392" s="120"/>
      <c r="FD392" s="120"/>
      <c r="FE392" s="120"/>
      <c r="FF392" s="120"/>
      <c r="FG392" s="120"/>
      <c r="FH392" s="120"/>
      <c r="FI392" s="120"/>
      <c r="FJ392" s="120"/>
      <c r="FK392" s="120"/>
      <c r="FL392" s="120"/>
      <c r="FM392" s="120"/>
      <c r="FN392" s="120"/>
      <c r="FO392" s="120"/>
      <c r="FP392" s="120"/>
      <c r="FQ392" s="120"/>
      <c r="FR392" s="120"/>
      <c r="FS392" s="120"/>
      <c r="FT392" s="120"/>
      <c r="FU392" s="120"/>
      <c r="FV392" s="120"/>
      <c r="FW392" s="120"/>
      <c r="FX392" s="120"/>
      <c r="FY392" s="120"/>
      <c r="FZ392" s="120"/>
      <c r="GA392" s="120"/>
      <c r="GB392" s="120"/>
      <c r="GC392" s="120"/>
      <c r="GD392" s="120"/>
      <c r="GE392" s="120"/>
      <c r="GF392" s="120"/>
      <c r="GG392" s="120"/>
      <c r="GH392" s="120"/>
      <c r="GI392" s="120"/>
      <c r="GJ392" s="120"/>
      <c r="GK392" s="120"/>
      <c r="GL392" s="120"/>
      <c r="GM392" s="120"/>
      <c r="GN392" s="120"/>
      <c r="GO392" s="120"/>
      <c r="GP392" s="120"/>
      <c r="GQ392" s="120"/>
      <c r="GR392" s="120"/>
      <c r="GS392" s="120"/>
      <c r="GT392" s="120"/>
      <c r="GU392" s="120"/>
      <c r="GV392" s="120"/>
      <c r="GW392" s="120"/>
      <c r="GX392" s="120"/>
      <c r="GY392" s="120"/>
      <c r="GZ392" s="120"/>
      <c r="HA392" s="120"/>
      <c r="HB392" s="120"/>
      <c r="HC392" s="120"/>
      <c r="HD392" s="120"/>
      <c r="HE392" s="120"/>
      <c r="HF392" s="120"/>
      <c r="HG392" s="120"/>
      <c r="HH392" s="120"/>
      <c r="HI392" s="120"/>
      <c r="HJ392" s="120"/>
      <c r="HK392" s="120"/>
      <c r="HL392" s="120"/>
      <c r="HM392" s="120"/>
      <c r="HN392" s="120"/>
      <c r="HO392" s="120"/>
      <c r="HP392" s="120"/>
      <c r="HQ392" s="120"/>
      <c r="HR392" s="120"/>
      <c r="HS392" s="120"/>
      <c r="HT392" s="120"/>
      <c r="HU392" s="120"/>
      <c r="HV392" s="120"/>
      <c r="HW392" s="120"/>
      <c r="HX392" s="120"/>
      <c r="HY392" s="120"/>
      <c r="HZ392" s="120"/>
      <c r="IA392" s="120"/>
    </row>
    <row r="393" spans="1:235" s="84" customFormat="1" ht="13.5" customHeight="1">
      <c r="A393" s="107" t="s">
        <v>86</v>
      </c>
      <c r="B393" s="107"/>
      <c r="C393" s="107"/>
      <c r="D393" s="118">
        <f>D397+D404+D449+D463</f>
        <v>1536000.002</v>
      </c>
      <c r="E393" s="118"/>
      <c r="F393" s="118">
        <f>F397+F404+F449+F463</f>
        <v>1536000.002</v>
      </c>
      <c r="G393" s="118">
        <f>G397+G404+G454+G463+G449</f>
        <v>2119999.9981255997</v>
      </c>
      <c r="H393" s="118">
        <f aca="true" t="shared" si="39" ref="H393:M393">H397+H404</f>
        <v>0</v>
      </c>
      <c r="I393" s="118">
        <f>I397+I404</f>
        <v>0</v>
      </c>
      <c r="J393" s="118">
        <f>J397+J404+J454+J463+J449</f>
        <v>2119999.9981255997</v>
      </c>
      <c r="K393" s="118" t="e">
        <f t="shared" si="39"/>
        <v>#REF!</v>
      </c>
      <c r="L393" s="118">
        <f t="shared" si="39"/>
        <v>0</v>
      </c>
      <c r="M393" s="118">
        <f t="shared" si="39"/>
        <v>0</v>
      </c>
      <c r="N393" s="118">
        <f>N397+N404+N454+N463+N449</f>
        <v>2444999.9999869997</v>
      </c>
      <c r="O393" s="118">
        <f>O397+O404</f>
        <v>0</v>
      </c>
      <c r="P393" s="118">
        <f>N393+O393</f>
        <v>2444999.9999869997</v>
      </c>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c r="BR393" s="120"/>
      <c r="BS393" s="120"/>
      <c r="BT393" s="120"/>
      <c r="BU393" s="120"/>
      <c r="BV393" s="120"/>
      <c r="BW393" s="120"/>
      <c r="BX393" s="120"/>
      <c r="BY393" s="120"/>
      <c r="BZ393" s="120"/>
      <c r="CA393" s="120"/>
      <c r="CB393" s="120"/>
      <c r="CC393" s="120"/>
      <c r="CD393" s="120"/>
      <c r="CE393" s="120"/>
      <c r="CF393" s="120"/>
      <c r="CG393" s="120"/>
      <c r="CH393" s="120"/>
      <c r="CI393" s="120"/>
      <c r="CJ393" s="120"/>
      <c r="CK393" s="120"/>
      <c r="CL393" s="120"/>
      <c r="CM393" s="120"/>
      <c r="CN393" s="120"/>
      <c r="CO393" s="120"/>
      <c r="CP393" s="120"/>
      <c r="CQ393" s="120"/>
      <c r="CR393" s="120"/>
      <c r="CS393" s="120"/>
      <c r="CT393" s="120"/>
      <c r="CU393" s="120"/>
      <c r="CV393" s="120"/>
      <c r="CW393" s="120"/>
      <c r="CX393" s="120"/>
      <c r="CY393" s="120"/>
      <c r="CZ393" s="120"/>
      <c r="DA393" s="120"/>
      <c r="DB393" s="120"/>
      <c r="DC393" s="120"/>
      <c r="DD393" s="120"/>
      <c r="DE393" s="120"/>
      <c r="DF393" s="120"/>
      <c r="DG393" s="120"/>
      <c r="DH393" s="120"/>
      <c r="DI393" s="120"/>
      <c r="DJ393" s="120"/>
      <c r="DK393" s="120"/>
      <c r="DL393" s="120"/>
      <c r="DM393" s="120"/>
      <c r="DN393" s="120"/>
      <c r="DO393" s="120"/>
      <c r="DP393" s="120"/>
      <c r="DQ393" s="120"/>
      <c r="DR393" s="120"/>
      <c r="DS393" s="120"/>
      <c r="DT393" s="120"/>
      <c r="DU393" s="120"/>
      <c r="DV393" s="120"/>
      <c r="DW393" s="120"/>
      <c r="DX393" s="120"/>
      <c r="DY393" s="120"/>
      <c r="DZ393" s="120"/>
      <c r="EA393" s="120"/>
      <c r="EB393" s="120"/>
      <c r="EC393" s="120"/>
      <c r="ED393" s="120"/>
      <c r="EE393" s="120"/>
      <c r="EF393" s="120"/>
      <c r="EG393" s="120"/>
      <c r="EH393" s="120"/>
      <c r="EI393" s="120"/>
      <c r="EJ393" s="120"/>
      <c r="EK393" s="120"/>
      <c r="EL393" s="120"/>
      <c r="EM393" s="120"/>
      <c r="EN393" s="120"/>
      <c r="EO393" s="120"/>
      <c r="EP393" s="120"/>
      <c r="EQ393" s="120"/>
      <c r="ER393" s="120"/>
      <c r="ES393" s="120"/>
      <c r="ET393" s="120"/>
      <c r="EU393" s="120"/>
      <c r="EV393" s="120"/>
      <c r="EW393" s="120"/>
      <c r="EX393" s="120"/>
      <c r="EY393" s="120"/>
      <c r="EZ393" s="120"/>
      <c r="FA393" s="120"/>
      <c r="FB393" s="120"/>
      <c r="FC393" s="120"/>
      <c r="FD393" s="120"/>
      <c r="FE393" s="120"/>
      <c r="FF393" s="120"/>
      <c r="FG393" s="120"/>
      <c r="FH393" s="120"/>
      <c r="FI393" s="120"/>
      <c r="FJ393" s="120"/>
      <c r="FK393" s="120"/>
      <c r="FL393" s="120"/>
      <c r="FM393" s="120"/>
      <c r="FN393" s="120"/>
      <c r="FO393" s="120"/>
      <c r="FP393" s="120"/>
      <c r="FQ393" s="120"/>
      <c r="FR393" s="120"/>
      <c r="FS393" s="120"/>
      <c r="FT393" s="120"/>
      <c r="FU393" s="120"/>
      <c r="FV393" s="120"/>
      <c r="FW393" s="120"/>
      <c r="FX393" s="120"/>
      <c r="FY393" s="120"/>
      <c r="FZ393" s="120"/>
      <c r="GA393" s="120"/>
      <c r="GB393" s="120"/>
      <c r="GC393" s="120"/>
      <c r="GD393" s="120"/>
      <c r="GE393" s="120"/>
      <c r="GF393" s="120"/>
      <c r="GG393" s="120"/>
      <c r="GH393" s="120"/>
      <c r="GI393" s="120"/>
      <c r="GJ393" s="120"/>
      <c r="GK393" s="120"/>
      <c r="GL393" s="120"/>
      <c r="GM393" s="120"/>
      <c r="GN393" s="120"/>
      <c r="GO393" s="120"/>
      <c r="GP393" s="120"/>
      <c r="GQ393" s="120"/>
      <c r="GR393" s="120"/>
      <c r="GS393" s="120"/>
      <c r="GT393" s="120"/>
      <c r="GU393" s="120"/>
      <c r="GV393" s="120"/>
      <c r="GW393" s="120"/>
      <c r="GX393" s="120"/>
      <c r="GY393" s="120"/>
      <c r="GZ393" s="120"/>
      <c r="HA393" s="120"/>
      <c r="HB393" s="120"/>
      <c r="HC393" s="120"/>
      <c r="HD393" s="120"/>
      <c r="HE393" s="120"/>
      <c r="HF393" s="120"/>
      <c r="HG393" s="120"/>
      <c r="HH393" s="120"/>
      <c r="HI393" s="120"/>
      <c r="HJ393" s="120"/>
      <c r="HK393" s="120"/>
      <c r="HL393" s="120"/>
      <c r="HM393" s="120"/>
      <c r="HN393" s="120"/>
      <c r="HO393" s="120"/>
      <c r="HP393" s="120"/>
      <c r="HQ393" s="120"/>
      <c r="HR393" s="120"/>
      <c r="HS393" s="120"/>
      <c r="HT393" s="120"/>
      <c r="HU393" s="120"/>
      <c r="HV393" s="120"/>
      <c r="HW393" s="120"/>
      <c r="HX393" s="120"/>
      <c r="HY393" s="120"/>
      <c r="HZ393" s="120"/>
      <c r="IA393" s="120"/>
    </row>
    <row r="394" spans="1:235" s="84" customFormat="1" ht="12.75">
      <c r="A394" s="123" t="s">
        <v>339</v>
      </c>
      <c r="B394" s="107"/>
      <c r="C394" s="107"/>
      <c r="D394" s="118">
        <f>D413+D427</f>
        <v>353680</v>
      </c>
      <c r="E394" s="118">
        <f aca="true" t="shared" si="40" ref="E394:P394">E413+E427</f>
        <v>0</v>
      </c>
      <c r="F394" s="118">
        <f t="shared" si="40"/>
        <v>353680</v>
      </c>
      <c r="G394" s="118">
        <f t="shared" si="40"/>
        <v>0</v>
      </c>
      <c r="H394" s="118">
        <f t="shared" si="40"/>
        <v>0</v>
      </c>
      <c r="I394" s="118">
        <f t="shared" si="40"/>
        <v>0</v>
      </c>
      <c r="J394" s="118">
        <f t="shared" si="40"/>
        <v>0</v>
      </c>
      <c r="K394" s="118">
        <f t="shared" si="40"/>
        <v>0</v>
      </c>
      <c r="L394" s="118">
        <f t="shared" si="40"/>
        <v>0</v>
      </c>
      <c r="M394" s="118">
        <f t="shared" si="40"/>
        <v>0</v>
      </c>
      <c r="N394" s="118">
        <f t="shared" si="40"/>
        <v>0</v>
      </c>
      <c r="O394" s="118">
        <f>O413+O427</f>
        <v>0</v>
      </c>
      <c r="P394" s="118">
        <f t="shared" si="40"/>
        <v>0</v>
      </c>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c r="DG394" s="120"/>
      <c r="DH394" s="120"/>
      <c r="DI394" s="120"/>
      <c r="DJ394" s="120"/>
      <c r="DK394" s="120"/>
      <c r="DL394" s="120"/>
      <c r="DM394" s="120"/>
      <c r="DN394" s="120"/>
      <c r="DO394" s="120"/>
      <c r="DP394" s="120"/>
      <c r="DQ394" s="120"/>
      <c r="DR394" s="120"/>
      <c r="DS394" s="120"/>
      <c r="DT394" s="120"/>
      <c r="DU394" s="120"/>
      <c r="DV394" s="120"/>
      <c r="DW394" s="120"/>
      <c r="DX394" s="120"/>
      <c r="DY394" s="120"/>
      <c r="DZ394" s="120"/>
      <c r="EA394" s="120"/>
      <c r="EB394" s="120"/>
      <c r="EC394" s="120"/>
      <c r="ED394" s="120"/>
      <c r="EE394" s="120"/>
      <c r="EF394" s="120"/>
      <c r="EG394" s="120"/>
      <c r="EH394" s="120"/>
      <c r="EI394" s="120"/>
      <c r="EJ394" s="120"/>
      <c r="EK394" s="120"/>
      <c r="EL394" s="120"/>
      <c r="EM394" s="120"/>
      <c r="EN394" s="120"/>
      <c r="EO394" s="120"/>
      <c r="EP394" s="120"/>
      <c r="EQ394" s="120"/>
      <c r="ER394" s="120"/>
      <c r="ES394" s="120"/>
      <c r="ET394" s="120"/>
      <c r="EU394" s="120"/>
      <c r="EV394" s="120"/>
      <c r="EW394" s="120"/>
      <c r="EX394" s="120"/>
      <c r="EY394" s="120"/>
      <c r="EZ394" s="120"/>
      <c r="FA394" s="120"/>
      <c r="FB394" s="120"/>
      <c r="FC394" s="120"/>
      <c r="FD394" s="120"/>
      <c r="FE394" s="120"/>
      <c r="FF394" s="120"/>
      <c r="FG394" s="120"/>
      <c r="FH394" s="120"/>
      <c r="FI394" s="120"/>
      <c r="FJ394" s="120"/>
      <c r="FK394" s="120"/>
      <c r="FL394" s="120"/>
      <c r="FM394" s="120"/>
      <c r="FN394" s="120"/>
      <c r="FO394" s="120"/>
      <c r="FP394" s="120"/>
      <c r="FQ394" s="120"/>
      <c r="FR394" s="120"/>
      <c r="FS394" s="120"/>
      <c r="FT394" s="120"/>
      <c r="FU394" s="120"/>
      <c r="FV394" s="120"/>
      <c r="FW394" s="120"/>
      <c r="FX394" s="120"/>
      <c r="FY394" s="120"/>
      <c r="FZ394" s="120"/>
      <c r="GA394" s="120"/>
      <c r="GB394" s="120"/>
      <c r="GC394" s="120"/>
      <c r="GD394" s="120"/>
      <c r="GE394" s="120"/>
      <c r="GF394" s="120"/>
      <c r="GG394" s="120"/>
      <c r="GH394" s="120"/>
      <c r="GI394" s="120"/>
      <c r="GJ394" s="120"/>
      <c r="GK394" s="120"/>
      <c r="GL394" s="120"/>
      <c r="GM394" s="120"/>
      <c r="GN394" s="120"/>
      <c r="GO394" s="120"/>
      <c r="GP394" s="120"/>
      <c r="GQ394" s="120"/>
      <c r="GR394" s="120"/>
      <c r="GS394" s="120"/>
      <c r="GT394" s="120"/>
      <c r="GU394" s="120"/>
      <c r="GV394" s="120"/>
      <c r="GW394" s="120"/>
      <c r="GX394" s="120"/>
      <c r="GY394" s="120"/>
      <c r="GZ394" s="120"/>
      <c r="HA394" s="120"/>
      <c r="HB394" s="120"/>
      <c r="HC394" s="120"/>
      <c r="HD394" s="120"/>
      <c r="HE394" s="120"/>
      <c r="HF394" s="120"/>
      <c r="HG394" s="120"/>
      <c r="HH394" s="120"/>
      <c r="HI394" s="120"/>
      <c r="HJ394" s="120"/>
      <c r="HK394" s="120"/>
      <c r="HL394" s="120"/>
      <c r="HM394" s="120"/>
      <c r="HN394" s="120"/>
      <c r="HO394" s="120"/>
      <c r="HP394" s="120"/>
      <c r="HQ394" s="120"/>
      <c r="HR394" s="120"/>
      <c r="HS394" s="120"/>
      <c r="HT394" s="120"/>
      <c r="HU394" s="120"/>
      <c r="HV394" s="120"/>
      <c r="HW394" s="120"/>
      <c r="HX394" s="120"/>
      <c r="HY394" s="120"/>
      <c r="HZ394" s="120"/>
      <c r="IA394" s="120"/>
    </row>
    <row r="395" spans="1:235" s="84" customFormat="1" ht="12.75">
      <c r="A395" s="123" t="s">
        <v>340</v>
      </c>
      <c r="B395" s="107"/>
      <c r="C395" s="107"/>
      <c r="D395" s="118">
        <f>D420+D438</f>
        <v>0</v>
      </c>
      <c r="E395" s="118">
        <f aca="true" t="shared" si="41" ref="E395:P395">E420+E438</f>
        <v>0</v>
      </c>
      <c r="F395" s="118">
        <f t="shared" si="41"/>
        <v>0</v>
      </c>
      <c r="G395" s="118">
        <f>G420+G438</f>
        <v>219999.99999799998</v>
      </c>
      <c r="H395" s="118">
        <f t="shared" si="41"/>
        <v>0</v>
      </c>
      <c r="I395" s="118">
        <f t="shared" si="41"/>
        <v>0</v>
      </c>
      <c r="J395" s="118">
        <f t="shared" si="41"/>
        <v>219999.99999799998</v>
      </c>
      <c r="K395" s="118">
        <f t="shared" si="41"/>
        <v>0</v>
      </c>
      <c r="L395" s="118">
        <f t="shared" si="41"/>
        <v>0</v>
      </c>
      <c r="M395" s="118">
        <f t="shared" si="41"/>
        <v>0</v>
      </c>
      <c r="N395" s="118">
        <f t="shared" si="41"/>
        <v>419213.19999932</v>
      </c>
      <c r="O395" s="118">
        <f>O420+O438</f>
        <v>0</v>
      </c>
      <c r="P395" s="118">
        <f t="shared" si="41"/>
        <v>419213.19999932</v>
      </c>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c r="DG395" s="120"/>
      <c r="DH395" s="120"/>
      <c r="DI395" s="120"/>
      <c r="DJ395" s="120"/>
      <c r="DK395" s="120"/>
      <c r="DL395" s="120"/>
      <c r="DM395" s="120"/>
      <c r="DN395" s="120"/>
      <c r="DO395" s="120"/>
      <c r="DP395" s="120"/>
      <c r="DQ395" s="120"/>
      <c r="DR395" s="120"/>
      <c r="DS395" s="120"/>
      <c r="DT395" s="120"/>
      <c r="DU395" s="120"/>
      <c r="DV395" s="120"/>
      <c r="DW395" s="120"/>
      <c r="DX395" s="120"/>
      <c r="DY395" s="120"/>
      <c r="DZ395" s="120"/>
      <c r="EA395" s="120"/>
      <c r="EB395" s="120"/>
      <c r="EC395" s="120"/>
      <c r="ED395" s="120"/>
      <c r="EE395" s="120"/>
      <c r="EF395" s="120"/>
      <c r="EG395" s="120"/>
      <c r="EH395" s="120"/>
      <c r="EI395" s="120"/>
      <c r="EJ395" s="120"/>
      <c r="EK395" s="120"/>
      <c r="EL395" s="120"/>
      <c r="EM395" s="120"/>
      <c r="EN395" s="120"/>
      <c r="EO395" s="120"/>
      <c r="EP395" s="120"/>
      <c r="EQ395" s="120"/>
      <c r="ER395" s="120"/>
      <c r="ES395" s="120"/>
      <c r="ET395" s="120"/>
      <c r="EU395" s="120"/>
      <c r="EV395" s="120"/>
      <c r="EW395" s="120"/>
      <c r="EX395" s="120"/>
      <c r="EY395" s="120"/>
      <c r="EZ395" s="120"/>
      <c r="FA395" s="120"/>
      <c r="FB395" s="120"/>
      <c r="FC395" s="120"/>
      <c r="FD395" s="120"/>
      <c r="FE395" s="120"/>
      <c r="FF395" s="120"/>
      <c r="FG395" s="120"/>
      <c r="FH395" s="120"/>
      <c r="FI395" s="120"/>
      <c r="FJ395" s="120"/>
      <c r="FK395" s="120"/>
      <c r="FL395" s="120"/>
      <c r="FM395" s="120"/>
      <c r="FN395" s="120"/>
      <c r="FO395" s="120"/>
      <c r="FP395" s="120"/>
      <c r="FQ395" s="120"/>
      <c r="FR395" s="120"/>
      <c r="FS395" s="120"/>
      <c r="FT395" s="120"/>
      <c r="FU395" s="120"/>
      <c r="FV395" s="120"/>
      <c r="FW395" s="120"/>
      <c r="FX395" s="120"/>
      <c r="FY395" s="120"/>
      <c r="FZ395" s="120"/>
      <c r="GA395" s="120"/>
      <c r="GB395" s="120"/>
      <c r="GC395" s="120"/>
      <c r="GD395" s="120"/>
      <c r="GE395" s="120"/>
      <c r="GF395" s="120"/>
      <c r="GG395" s="120"/>
      <c r="GH395" s="120"/>
      <c r="GI395" s="120"/>
      <c r="GJ395" s="120"/>
      <c r="GK395" s="120"/>
      <c r="GL395" s="120"/>
      <c r="GM395" s="120"/>
      <c r="GN395" s="120"/>
      <c r="GO395" s="120"/>
      <c r="GP395" s="120"/>
      <c r="GQ395" s="120"/>
      <c r="GR395" s="120"/>
      <c r="GS395" s="120"/>
      <c r="GT395" s="120"/>
      <c r="GU395" s="120"/>
      <c r="GV395" s="120"/>
      <c r="GW395" s="120"/>
      <c r="GX395" s="120"/>
      <c r="GY395" s="120"/>
      <c r="GZ395" s="120"/>
      <c r="HA395" s="120"/>
      <c r="HB395" s="120"/>
      <c r="HC395" s="120"/>
      <c r="HD395" s="120"/>
      <c r="HE395" s="120"/>
      <c r="HF395" s="120"/>
      <c r="HG395" s="120"/>
      <c r="HH395" s="120"/>
      <c r="HI395" s="120"/>
      <c r="HJ395" s="120"/>
      <c r="HK395" s="120"/>
      <c r="HL395" s="120"/>
      <c r="HM395" s="120"/>
      <c r="HN395" s="120"/>
      <c r="HO395" s="120"/>
      <c r="HP395" s="120"/>
      <c r="HQ395" s="120"/>
      <c r="HR395" s="120"/>
      <c r="HS395" s="120"/>
      <c r="HT395" s="120"/>
      <c r="HU395" s="120"/>
      <c r="HV395" s="120"/>
      <c r="HW395" s="120"/>
      <c r="HX395" s="120"/>
      <c r="HY395" s="120"/>
      <c r="HZ395" s="120"/>
      <c r="IA395" s="120"/>
    </row>
    <row r="396" spans="1:16" ht="36" customHeight="1">
      <c r="A396" s="21" t="s">
        <v>193</v>
      </c>
      <c r="B396" s="7"/>
      <c r="C396" s="7"/>
      <c r="D396" s="13"/>
      <c r="E396" s="13"/>
      <c r="F396" s="13"/>
      <c r="G396" s="13"/>
      <c r="H396" s="13"/>
      <c r="I396" s="13"/>
      <c r="J396" s="13"/>
      <c r="K396" s="17"/>
      <c r="L396" s="10"/>
      <c r="M396" s="10"/>
      <c r="N396" s="13"/>
      <c r="O396" s="13"/>
      <c r="P396" s="13"/>
    </row>
    <row r="397" spans="1:235" s="91" customFormat="1" ht="22.5">
      <c r="A397" s="81" t="s">
        <v>369</v>
      </c>
      <c r="B397" s="87"/>
      <c r="C397" s="87"/>
      <c r="D397" s="88">
        <f>D399</f>
        <v>1385000</v>
      </c>
      <c r="E397" s="88"/>
      <c r="F397" s="88">
        <f>D397</f>
        <v>1385000</v>
      </c>
      <c r="G397" s="88">
        <f>G401*G403</f>
        <v>1659999.999996</v>
      </c>
      <c r="H397" s="88"/>
      <c r="I397" s="88"/>
      <c r="J397" s="88">
        <f>G397</f>
        <v>1659999.999996</v>
      </c>
      <c r="K397" s="88"/>
      <c r="L397" s="88"/>
      <c r="M397" s="88"/>
      <c r="N397" s="88">
        <f>N401*N403</f>
        <v>1989999.999999</v>
      </c>
      <c r="O397" s="88"/>
      <c r="P397" s="88">
        <f>N397</f>
        <v>1989999.999999</v>
      </c>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c r="BW397" s="90"/>
      <c r="BX397" s="90"/>
      <c r="BY397" s="90"/>
      <c r="BZ397" s="90"/>
      <c r="CA397" s="90"/>
      <c r="CB397" s="90"/>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row>
    <row r="398" spans="1:16" ht="11.25">
      <c r="A398" s="20" t="s">
        <v>58</v>
      </c>
      <c r="B398" s="5"/>
      <c r="C398" s="5"/>
      <c r="D398" s="128"/>
      <c r="E398" s="128"/>
      <c r="F398" s="128"/>
      <c r="G398" s="128"/>
      <c r="H398" s="128"/>
      <c r="I398" s="128"/>
      <c r="J398" s="128"/>
      <c r="K398" s="17"/>
      <c r="L398" s="126"/>
      <c r="M398" s="126"/>
      <c r="N398" s="128"/>
      <c r="O398" s="128"/>
      <c r="P398" s="128"/>
    </row>
    <row r="399" spans="1:16" ht="12" customHeight="1">
      <c r="A399" s="21" t="s">
        <v>63</v>
      </c>
      <c r="B399" s="7"/>
      <c r="C399" s="7"/>
      <c r="D399" s="14">
        <v>1385000</v>
      </c>
      <c r="E399" s="14"/>
      <c r="F399" s="14">
        <f>D399</f>
        <v>1385000</v>
      </c>
      <c r="G399" s="14">
        <f>G401*G403</f>
        <v>1659999.999996</v>
      </c>
      <c r="H399" s="14"/>
      <c r="I399" s="14"/>
      <c r="J399" s="14">
        <f>G399</f>
        <v>1659999.999996</v>
      </c>
      <c r="K399" s="17">
        <f>G399/D399*100</f>
        <v>119.85559566758121</v>
      </c>
      <c r="L399" s="17"/>
      <c r="M399" s="17"/>
      <c r="N399" s="14">
        <f>N401*N403</f>
        <v>1989999.999999</v>
      </c>
      <c r="O399" s="14"/>
      <c r="P399" s="14">
        <f>N399</f>
        <v>1989999.999999</v>
      </c>
    </row>
    <row r="400" spans="1:16" ht="11.25">
      <c r="A400" s="20" t="s">
        <v>5</v>
      </c>
      <c r="B400" s="5"/>
      <c r="C400" s="5"/>
      <c r="D400" s="128"/>
      <c r="E400" s="128"/>
      <c r="F400" s="14"/>
      <c r="G400" s="128"/>
      <c r="H400" s="128"/>
      <c r="I400" s="128"/>
      <c r="J400" s="14"/>
      <c r="K400" s="17"/>
      <c r="L400" s="126"/>
      <c r="M400" s="126"/>
      <c r="N400" s="128"/>
      <c r="O400" s="128"/>
      <c r="P400" s="14"/>
    </row>
    <row r="401" spans="1:16" ht="22.5">
      <c r="A401" s="21" t="s">
        <v>194</v>
      </c>
      <c r="B401" s="7"/>
      <c r="C401" s="7"/>
      <c r="D401" s="14">
        <v>9</v>
      </c>
      <c r="E401" s="14"/>
      <c r="F401" s="14">
        <f>D401</f>
        <v>9</v>
      </c>
      <c r="G401" s="14">
        <v>9</v>
      </c>
      <c r="H401" s="14"/>
      <c r="I401" s="14"/>
      <c r="J401" s="14">
        <f>G401</f>
        <v>9</v>
      </c>
      <c r="K401" s="17">
        <f>G401/D401*100</f>
        <v>100</v>
      </c>
      <c r="L401" s="17"/>
      <c r="M401" s="17"/>
      <c r="N401" s="14">
        <v>9</v>
      </c>
      <c r="O401" s="14"/>
      <c r="P401" s="14">
        <f>N401</f>
        <v>9</v>
      </c>
    </row>
    <row r="402" spans="1:16" ht="11.25">
      <c r="A402" s="20" t="s">
        <v>7</v>
      </c>
      <c r="B402" s="5"/>
      <c r="C402" s="5"/>
      <c r="D402" s="128"/>
      <c r="E402" s="128"/>
      <c r="F402" s="14"/>
      <c r="G402" s="128"/>
      <c r="H402" s="128"/>
      <c r="I402" s="128"/>
      <c r="J402" s="14"/>
      <c r="K402" s="17"/>
      <c r="L402" s="126"/>
      <c r="M402" s="126"/>
      <c r="N402" s="128"/>
      <c r="O402" s="128"/>
      <c r="P402" s="14"/>
    </row>
    <row r="403" spans="1:16" ht="22.5">
      <c r="A403" s="21" t="s">
        <v>195</v>
      </c>
      <c r="B403" s="7"/>
      <c r="C403" s="7"/>
      <c r="D403" s="14">
        <f>D399/D401+0.11</f>
        <v>153888.99888888886</v>
      </c>
      <c r="E403" s="14"/>
      <c r="F403" s="14">
        <f>D403</f>
        <v>153888.99888888886</v>
      </c>
      <c r="G403" s="14">
        <v>184444.444444</v>
      </c>
      <c r="H403" s="14"/>
      <c r="I403" s="14"/>
      <c r="J403" s="14">
        <f>G403</f>
        <v>184444.444444</v>
      </c>
      <c r="K403" s="17">
        <f>G403/D403*100</f>
        <v>119.85550999468961</v>
      </c>
      <c r="L403" s="17"/>
      <c r="M403" s="17"/>
      <c r="N403" s="14">
        <v>221111.111111</v>
      </c>
      <c r="O403" s="14"/>
      <c r="P403" s="14">
        <f>N403</f>
        <v>221111.111111</v>
      </c>
    </row>
    <row r="404" spans="1:235" s="91" customFormat="1" ht="24" customHeight="1">
      <c r="A404" s="81" t="s">
        <v>370</v>
      </c>
      <c r="B404" s="87"/>
      <c r="C404" s="87"/>
      <c r="D404" s="129">
        <f>D408*D410-216</f>
        <v>99784</v>
      </c>
      <c r="E404" s="129"/>
      <c r="F404" s="129">
        <f>F408*F410-216</f>
        <v>99784</v>
      </c>
      <c r="G404" s="129">
        <f aca="true" t="shared" si="42" ref="G404:P404">G408*G410</f>
        <v>182699.99813</v>
      </c>
      <c r="H404" s="129"/>
      <c r="I404" s="129"/>
      <c r="J404" s="129">
        <f t="shared" si="42"/>
        <v>182699.99813</v>
      </c>
      <c r="K404" s="129" t="e">
        <f t="shared" si="42"/>
        <v>#REF!</v>
      </c>
      <c r="L404" s="129">
        <f t="shared" si="42"/>
        <v>0</v>
      </c>
      <c r="M404" s="129">
        <f t="shared" si="42"/>
        <v>0</v>
      </c>
      <c r="N404" s="129">
        <f t="shared" si="42"/>
        <v>200000</v>
      </c>
      <c r="O404" s="129"/>
      <c r="P404" s="129">
        <f t="shared" si="42"/>
        <v>200000</v>
      </c>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c r="BF404" s="90"/>
      <c r="BG404" s="90"/>
      <c r="BH404" s="90"/>
      <c r="BI404" s="90"/>
      <c r="BJ404" s="90"/>
      <c r="BK404" s="90"/>
      <c r="BL404" s="90"/>
      <c r="BM404" s="90"/>
      <c r="BN404" s="90"/>
      <c r="BO404" s="90"/>
      <c r="BP404" s="90"/>
      <c r="BQ404" s="90"/>
      <c r="BR404" s="90"/>
      <c r="BS404" s="90"/>
      <c r="BT404" s="90"/>
      <c r="BU404" s="90"/>
      <c r="BV404" s="90"/>
      <c r="BW404" s="90"/>
      <c r="BX404" s="90"/>
      <c r="BY404" s="90"/>
      <c r="BZ404" s="90"/>
      <c r="CA404" s="90"/>
      <c r="CB404" s="90"/>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row>
    <row r="405" spans="1:16" ht="11.25">
      <c r="A405" s="20" t="s">
        <v>58</v>
      </c>
      <c r="B405" s="5"/>
      <c r="C405" s="5"/>
      <c r="D405" s="130"/>
      <c r="E405" s="130"/>
      <c r="F405" s="130"/>
      <c r="G405" s="128"/>
      <c r="H405" s="128"/>
      <c r="I405" s="128"/>
      <c r="J405" s="128"/>
      <c r="K405" s="17"/>
      <c r="L405" s="126"/>
      <c r="M405" s="126"/>
      <c r="N405" s="128"/>
      <c r="O405" s="128"/>
      <c r="P405" s="128"/>
    </row>
    <row r="406" spans="1:16" ht="23.25" customHeight="1">
      <c r="A406" s="21" t="s">
        <v>198</v>
      </c>
      <c r="B406" s="7"/>
      <c r="C406" s="7"/>
      <c r="D406" s="130">
        <v>1752</v>
      </c>
      <c r="E406" s="130"/>
      <c r="F406" s="130">
        <f>D406</f>
        <v>1752</v>
      </c>
      <c r="G406" s="130">
        <v>1752</v>
      </c>
      <c r="H406" s="130"/>
      <c r="I406" s="130"/>
      <c r="J406" s="130">
        <f>G406</f>
        <v>1752</v>
      </c>
      <c r="K406" s="17" t="e">
        <f>#REF!/G406*100</f>
        <v>#REF!</v>
      </c>
      <c r="L406" s="17"/>
      <c r="M406" s="17"/>
      <c r="N406" s="130">
        <v>1752</v>
      </c>
      <c r="O406" s="130"/>
      <c r="P406" s="130">
        <f>N406</f>
        <v>1752</v>
      </c>
    </row>
    <row r="407" spans="1:16" ht="11.25">
      <c r="A407" s="20" t="s">
        <v>5</v>
      </c>
      <c r="B407" s="5"/>
      <c r="C407" s="5"/>
      <c r="D407" s="130"/>
      <c r="E407" s="130"/>
      <c r="F407" s="130"/>
      <c r="G407" s="128"/>
      <c r="H407" s="128"/>
      <c r="I407" s="128"/>
      <c r="J407" s="14"/>
      <c r="K407" s="17"/>
      <c r="L407" s="126"/>
      <c r="M407" s="126"/>
      <c r="N407" s="128"/>
      <c r="O407" s="128"/>
      <c r="P407" s="14"/>
    </row>
    <row r="408" spans="1:16" ht="24" customHeight="1">
      <c r="A408" s="21" t="s">
        <v>196</v>
      </c>
      <c r="B408" s="7"/>
      <c r="C408" s="7"/>
      <c r="D408" s="130">
        <v>625</v>
      </c>
      <c r="E408" s="130"/>
      <c r="F408" s="130">
        <f>D408</f>
        <v>625</v>
      </c>
      <c r="G408" s="130">
        <v>751</v>
      </c>
      <c r="H408" s="130"/>
      <c r="I408" s="130"/>
      <c r="J408" s="130">
        <f>G408</f>
        <v>751</v>
      </c>
      <c r="K408" s="17" t="e">
        <f>#REF!/G408*100</f>
        <v>#REF!</v>
      </c>
      <c r="L408" s="17"/>
      <c r="M408" s="17"/>
      <c r="N408" s="130">
        <v>1250</v>
      </c>
      <c r="O408" s="130"/>
      <c r="P408" s="130">
        <f>N408</f>
        <v>1250</v>
      </c>
    </row>
    <row r="409" spans="1:16" ht="11.25">
      <c r="A409" s="20" t="s">
        <v>7</v>
      </c>
      <c r="B409" s="5"/>
      <c r="C409" s="5"/>
      <c r="D409" s="130"/>
      <c r="E409" s="130"/>
      <c r="F409" s="130"/>
      <c r="G409" s="130"/>
      <c r="H409" s="130"/>
      <c r="I409" s="130"/>
      <c r="J409" s="130"/>
      <c r="K409" s="17"/>
      <c r="L409" s="126"/>
      <c r="M409" s="126"/>
      <c r="N409" s="130"/>
      <c r="O409" s="130"/>
      <c r="P409" s="130"/>
    </row>
    <row r="410" spans="1:16" ht="24" customHeight="1">
      <c r="A410" s="21" t="s">
        <v>60</v>
      </c>
      <c r="B410" s="7"/>
      <c r="C410" s="7"/>
      <c r="D410" s="130">
        <v>160</v>
      </c>
      <c r="E410" s="130"/>
      <c r="F410" s="130">
        <f>D410</f>
        <v>160</v>
      </c>
      <c r="G410" s="130">
        <v>243.27563</v>
      </c>
      <c r="H410" s="130"/>
      <c r="I410" s="130"/>
      <c r="J410" s="130">
        <f>G410</f>
        <v>243.27563</v>
      </c>
      <c r="K410" s="17" t="e">
        <f>#REF!/G410*100</f>
        <v>#REF!</v>
      </c>
      <c r="L410" s="17"/>
      <c r="M410" s="17"/>
      <c r="N410" s="130">
        <v>160</v>
      </c>
      <c r="O410" s="130"/>
      <c r="P410" s="130">
        <f>N410</f>
        <v>160</v>
      </c>
    </row>
    <row r="411" spans="1:16" ht="11.25">
      <c r="A411" s="53" t="s">
        <v>6</v>
      </c>
      <c r="B411" s="52"/>
      <c r="C411" s="52"/>
      <c r="D411" s="130"/>
      <c r="E411" s="130"/>
      <c r="F411" s="130"/>
      <c r="G411" s="14"/>
      <c r="H411" s="14"/>
      <c r="I411" s="14"/>
      <c r="J411" s="14"/>
      <c r="K411" s="17"/>
      <c r="L411" s="17"/>
      <c r="M411" s="17"/>
      <c r="N411" s="14"/>
      <c r="O411" s="14"/>
      <c r="P411" s="14"/>
    </row>
    <row r="412" spans="1:16" ht="39" customHeight="1">
      <c r="A412" s="54" t="s">
        <v>197</v>
      </c>
      <c r="B412" s="52"/>
      <c r="C412" s="52"/>
      <c r="D412" s="130">
        <f>D408/D406*100</f>
        <v>35.67351598173516</v>
      </c>
      <c r="E412" s="130"/>
      <c r="F412" s="130">
        <f>D412</f>
        <v>35.67351598173516</v>
      </c>
      <c r="G412" s="130">
        <f>G408/G406*100</f>
        <v>42.86529680365297</v>
      </c>
      <c r="H412" s="130"/>
      <c r="I412" s="130"/>
      <c r="J412" s="130">
        <f>G412</f>
        <v>42.86529680365297</v>
      </c>
      <c r="K412" s="17"/>
      <c r="L412" s="17"/>
      <c r="M412" s="17"/>
      <c r="N412" s="130">
        <f>N408/N406*100</f>
        <v>71.34703196347031</v>
      </c>
      <c r="O412" s="130"/>
      <c r="P412" s="130">
        <f>N412</f>
        <v>71.34703196347031</v>
      </c>
    </row>
    <row r="413" spans="1:235" s="91" customFormat="1" ht="36.75" customHeight="1">
      <c r="A413" s="95" t="s">
        <v>371</v>
      </c>
      <c r="B413" s="95"/>
      <c r="C413" s="95"/>
      <c r="D413" s="131">
        <f>D417*D419</f>
        <v>60000</v>
      </c>
      <c r="E413" s="131"/>
      <c r="F413" s="131">
        <f>F417*F419</f>
        <v>60000</v>
      </c>
      <c r="G413" s="131">
        <f>G417*G419</f>
        <v>0</v>
      </c>
      <c r="H413" s="131"/>
      <c r="I413" s="131"/>
      <c r="J413" s="131">
        <f>G413+H413</f>
        <v>0</v>
      </c>
      <c r="K413" s="131"/>
      <c r="L413" s="131"/>
      <c r="M413" s="131"/>
      <c r="N413" s="131">
        <f>N417*N419</f>
        <v>0</v>
      </c>
      <c r="O413" s="131"/>
      <c r="P413" s="131">
        <f>N413</f>
        <v>0</v>
      </c>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c r="CB413" s="90"/>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row>
    <row r="414" spans="1:16" ht="11.25">
      <c r="A414" s="42" t="s">
        <v>4</v>
      </c>
      <c r="B414" s="31"/>
      <c r="C414" s="31"/>
      <c r="D414" s="132"/>
      <c r="E414" s="132"/>
      <c r="F414" s="132"/>
      <c r="G414" s="132"/>
      <c r="H414" s="132"/>
      <c r="I414" s="132"/>
      <c r="J414" s="132"/>
      <c r="K414" s="34"/>
      <c r="L414" s="132"/>
      <c r="M414" s="132"/>
      <c r="N414" s="132"/>
      <c r="O414" s="132"/>
      <c r="P414" s="132"/>
    </row>
    <row r="415" spans="1:16" ht="15" customHeight="1">
      <c r="A415" s="43" t="s">
        <v>65</v>
      </c>
      <c r="B415" s="33"/>
      <c r="C415" s="33"/>
      <c r="D415" s="35">
        <f>D413/D419</f>
        <v>4</v>
      </c>
      <c r="E415" s="35"/>
      <c r="F415" s="35">
        <f>D415</f>
        <v>4</v>
      </c>
      <c r="G415" s="35">
        <v>0</v>
      </c>
      <c r="H415" s="35"/>
      <c r="I415" s="35"/>
      <c r="J415" s="35">
        <f>G415+H415</f>
        <v>0</v>
      </c>
      <c r="K415" s="35">
        <f>G415/D415*100</f>
        <v>0</v>
      </c>
      <c r="L415" s="35"/>
      <c r="M415" s="35"/>
      <c r="N415" s="35">
        <v>0</v>
      </c>
      <c r="O415" s="35"/>
      <c r="P415" s="35">
        <f>N415</f>
        <v>0</v>
      </c>
    </row>
    <row r="416" spans="1:16" ht="11.25">
      <c r="A416" s="42" t="s">
        <v>5</v>
      </c>
      <c r="B416" s="31"/>
      <c r="C416" s="31"/>
      <c r="D416" s="133"/>
      <c r="E416" s="133"/>
      <c r="F416" s="35"/>
      <c r="G416" s="133"/>
      <c r="H416" s="133"/>
      <c r="I416" s="133"/>
      <c r="J416" s="35"/>
      <c r="K416" s="35"/>
      <c r="L416" s="133"/>
      <c r="M416" s="133"/>
      <c r="N416" s="133"/>
      <c r="O416" s="133"/>
      <c r="P416" s="35"/>
    </row>
    <row r="417" spans="1:16" ht="24" customHeight="1">
      <c r="A417" s="43" t="s">
        <v>66</v>
      </c>
      <c r="B417" s="33"/>
      <c r="C417" s="33"/>
      <c r="D417" s="35">
        <v>4</v>
      </c>
      <c r="E417" s="35"/>
      <c r="F417" s="35">
        <f>D417</f>
        <v>4</v>
      </c>
      <c r="G417" s="35">
        <v>0</v>
      </c>
      <c r="H417" s="35"/>
      <c r="I417" s="35"/>
      <c r="J417" s="35">
        <f>G417+H417</f>
        <v>0</v>
      </c>
      <c r="K417" s="35">
        <f>G417/D417*100</f>
        <v>0</v>
      </c>
      <c r="L417" s="35"/>
      <c r="M417" s="35"/>
      <c r="N417" s="35">
        <v>0</v>
      </c>
      <c r="O417" s="35"/>
      <c r="P417" s="35">
        <f>N417</f>
        <v>0</v>
      </c>
    </row>
    <row r="418" spans="1:16" ht="11.25">
      <c r="A418" s="42" t="s">
        <v>7</v>
      </c>
      <c r="B418" s="31"/>
      <c r="C418" s="31"/>
      <c r="D418" s="132"/>
      <c r="E418" s="132"/>
      <c r="F418" s="34"/>
      <c r="G418" s="132"/>
      <c r="H418" s="132"/>
      <c r="I418" s="132"/>
      <c r="J418" s="34"/>
      <c r="K418" s="34"/>
      <c r="L418" s="132"/>
      <c r="M418" s="132"/>
      <c r="N418" s="132"/>
      <c r="O418" s="132"/>
      <c r="P418" s="34"/>
    </row>
    <row r="419" spans="1:16" ht="24" customHeight="1">
      <c r="A419" s="43" t="s">
        <v>67</v>
      </c>
      <c r="B419" s="33"/>
      <c r="C419" s="33"/>
      <c r="D419" s="34">
        <v>15000</v>
      </c>
      <c r="E419" s="34"/>
      <c r="F419" s="34">
        <f>D419</f>
        <v>15000</v>
      </c>
      <c r="G419" s="34">
        <v>0</v>
      </c>
      <c r="H419" s="34"/>
      <c r="I419" s="34"/>
      <c r="J419" s="34">
        <f>G419</f>
        <v>0</v>
      </c>
      <c r="K419" s="34">
        <f>G419/D419*100</f>
        <v>0</v>
      </c>
      <c r="L419" s="34"/>
      <c r="M419" s="34"/>
      <c r="N419" s="34">
        <v>0</v>
      </c>
      <c r="O419" s="34"/>
      <c r="P419" s="34">
        <f>N419</f>
        <v>0</v>
      </c>
    </row>
    <row r="420" spans="1:235" s="91" customFormat="1" ht="36.75" customHeight="1">
      <c r="A420" s="95" t="s">
        <v>372</v>
      </c>
      <c r="B420" s="95"/>
      <c r="C420" s="95"/>
      <c r="D420" s="131">
        <f>D424*D426</f>
        <v>0</v>
      </c>
      <c r="E420" s="131"/>
      <c r="F420" s="131">
        <f>F424*F426</f>
        <v>0</v>
      </c>
      <c r="G420" s="131">
        <f>G424*G426</f>
        <v>119999.9999996</v>
      </c>
      <c r="H420" s="131"/>
      <c r="I420" s="131"/>
      <c r="J420" s="131">
        <f>G420+H420</f>
        <v>119999.9999996</v>
      </c>
      <c r="K420" s="131"/>
      <c r="L420" s="131"/>
      <c r="M420" s="131"/>
      <c r="N420" s="131">
        <f>N424*N426</f>
        <v>119999.9999996</v>
      </c>
      <c r="O420" s="131"/>
      <c r="P420" s="131">
        <f>N420</f>
        <v>119999.9999996</v>
      </c>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c r="CB420" s="90"/>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row>
    <row r="421" spans="1:16" ht="11.25">
      <c r="A421" s="42" t="s">
        <v>4</v>
      </c>
      <c r="B421" s="31"/>
      <c r="C421" s="31"/>
      <c r="D421" s="132"/>
      <c r="E421" s="132"/>
      <c r="F421" s="132"/>
      <c r="G421" s="132"/>
      <c r="H421" s="132"/>
      <c r="I421" s="132"/>
      <c r="J421" s="132"/>
      <c r="K421" s="34"/>
      <c r="L421" s="132"/>
      <c r="M421" s="132"/>
      <c r="N421" s="132"/>
      <c r="O421" s="132"/>
      <c r="P421" s="132"/>
    </row>
    <row r="422" spans="1:16" ht="15" customHeight="1">
      <c r="A422" s="43" t="s">
        <v>65</v>
      </c>
      <c r="B422" s="33"/>
      <c r="C422" s="33"/>
      <c r="D422" s="35">
        <v>0</v>
      </c>
      <c r="E422" s="35"/>
      <c r="F422" s="35">
        <f>D422</f>
        <v>0</v>
      </c>
      <c r="G422" s="35">
        <v>7</v>
      </c>
      <c r="H422" s="35"/>
      <c r="I422" s="35"/>
      <c r="J422" s="35">
        <f>G422+H422</f>
        <v>7</v>
      </c>
      <c r="K422" s="35" t="e">
        <f>G422/D422*100</f>
        <v>#DIV/0!</v>
      </c>
      <c r="L422" s="35"/>
      <c r="M422" s="35"/>
      <c r="N422" s="35">
        <v>7</v>
      </c>
      <c r="O422" s="35"/>
      <c r="P422" s="35">
        <f>N422</f>
        <v>7</v>
      </c>
    </row>
    <row r="423" spans="1:16" ht="11.25">
      <c r="A423" s="42" t="s">
        <v>5</v>
      </c>
      <c r="B423" s="31"/>
      <c r="C423" s="31"/>
      <c r="D423" s="133"/>
      <c r="E423" s="133"/>
      <c r="F423" s="35"/>
      <c r="G423" s="133"/>
      <c r="H423" s="133"/>
      <c r="I423" s="133"/>
      <c r="J423" s="35"/>
      <c r="K423" s="35"/>
      <c r="L423" s="133"/>
      <c r="M423" s="133"/>
      <c r="N423" s="133"/>
      <c r="O423" s="133"/>
      <c r="P423" s="35"/>
    </row>
    <row r="424" spans="1:16" ht="24" customHeight="1">
      <c r="A424" s="43" t="s">
        <v>66</v>
      </c>
      <c r="B424" s="33"/>
      <c r="C424" s="33"/>
      <c r="D424" s="35">
        <v>0</v>
      </c>
      <c r="E424" s="35"/>
      <c r="F424" s="35">
        <f>D424</f>
        <v>0</v>
      </c>
      <c r="G424" s="35">
        <v>7</v>
      </c>
      <c r="H424" s="35"/>
      <c r="I424" s="35"/>
      <c r="J424" s="35">
        <f>G424+H424</f>
        <v>7</v>
      </c>
      <c r="K424" s="35" t="e">
        <f>G424/D424*100</f>
        <v>#DIV/0!</v>
      </c>
      <c r="L424" s="35"/>
      <c r="M424" s="35"/>
      <c r="N424" s="35">
        <v>7</v>
      </c>
      <c r="O424" s="35"/>
      <c r="P424" s="35">
        <f>N424</f>
        <v>7</v>
      </c>
    </row>
    <row r="425" spans="1:16" ht="11.25">
      <c r="A425" s="42" t="s">
        <v>7</v>
      </c>
      <c r="B425" s="31"/>
      <c r="C425" s="31"/>
      <c r="D425" s="132"/>
      <c r="E425" s="132"/>
      <c r="F425" s="34"/>
      <c r="G425" s="132"/>
      <c r="H425" s="132"/>
      <c r="I425" s="132"/>
      <c r="J425" s="34"/>
      <c r="K425" s="34"/>
      <c r="L425" s="132"/>
      <c r="M425" s="132"/>
      <c r="N425" s="132"/>
      <c r="O425" s="132"/>
      <c r="P425" s="34"/>
    </row>
    <row r="426" spans="1:16" ht="24" customHeight="1">
      <c r="A426" s="43" t="s">
        <v>67</v>
      </c>
      <c r="B426" s="33"/>
      <c r="C426" s="33"/>
      <c r="D426" s="34">
        <v>0</v>
      </c>
      <c r="E426" s="34"/>
      <c r="F426" s="34">
        <f>D426</f>
        <v>0</v>
      </c>
      <c r="G426" s="34">
        <v>17142.8571428</v>
      </c>
      <c r="H426" s="34"/>
      <c r="I426" s="34"/>
      <c r="J426" s="34">
        <f>G426</f>
        <v>17142.8571428</v>
      </c>
      <c r="K426" s="34" t="e">
        <f>G426/D426*100</f>
        <v>#DIV/0!</v>
      </c>
      <c r="L426" s="34"/>
      <c r="M426" s="34"/>
      <c r="N426" s="34">
        <v>17142.8571428</v>
      </c>
      <c r="O426" s="34"/>
      <c r="P426" s="34">
        <f>N426</f>
        <v>17142.8571428</v>
      </c>
    </row>
    <row r="427" spans="1:235" s="91" customFormat="1" ht="33.75">
      <c r="A427" s="95" t="s">
        <v>373</v>
      </c>
      <c r="B427" s="95"/>
      <c r="C427" s="95"/>
      <c r="D427" s="99">
        <f>(D431*D436)+(D432*D437)+2.8</f>
        <v>293680</v>
      </c>
      <c r="E427" s="99"/>
      <c r="F427" s="99">
        <f>D427</f>
        <v>293680</v>
      </c>
      <c r="G427" s="99"/>
      <c r="H427" s="99"/>
      <c r="I427" s="99"/>
      <c r="J427" s="99"/>
      <c r="K427" s="99"/>
      <c r="L427" s="99"/>
      <c r="M427" s="99"/>
      <c r="N427" s="99"/>
      <c r="O427" s="99"/>
      <c r="P427" s="99"/>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row>
    <row r="428" spans="1:16" ht="11.25">
      <c r="A428" s="42" t="s">
        <v>5</v>
      </c>
      <c r="B428" s="31"/>
      <c r="C428" s="31"/>
      <c r="D428" s="132"/>
      <c r="E428" s="132"/>
      <c r="F428" s="34"/>
      <c r="G428" s="132"/>
      <c r="H428" s="132"/>
      <c r="I428" s="132"/>
      <c r="J428" s="34"/>
      <c r="K428" s="37"/>
      <c r="L428" s="134"/>
      <c r="M428" s="134"/>
      <c r="N428" s="132"/>
      <c r="O428" s="132"/>
      <c r="P428" s="34"/>
    </row>
    <row r="429" spans="1:16" ht="24" customHeight="1">
      <c r="A429" s="43" t="s">
        <v>199</v>
      </c>
      <c r="B429" s="33"/>
      <c r="C429" s="33"/>
      <c r="D429" s="35"/>
      <c r="E429" s="35"/>
      <c r="F429" s="35">
        <v>230</v>
      </c>
      <c r="G429" s="35"/>
      <c r="H429" s="35"/>
      <c r="I429" s="35"/>
      <c r="J429" s="35"/>
      <c r="K429" s="35"/>
      <c r="L429" s="35"/>
      <c r="M429" s="35"/>
      <c r="N429" s="35"/>
      <c r="O429" s="35"/>
      <c r="P429" s="35"/>
    </row>
    <row r="430" spans="1:16" ht="13.5" customHeight="1">
      <c r="A430" s="43" t="s">
        <v>68</v>
      </c>
      <c r="B430" s="33"/>
      <c r="C430" s="33"/>
      <c r="D430" s="35"/>
      <c r="E430" s="35"/>
      <c r="F430" s="35"/>
      <c r="G430" s="35"/>
      <c r="H430" s="35"/>
      <c r="I430" s="35"/>
      <c r="J430" s="35"/>
      <c r="K430" s="35"/>
      <c r="L430" s="35"/>
      <c r="M430" s="35"/>
      <c r="N430" s="35"/>
      <c r="O430" s="35"/>
      <c r="P430" s="35"/>
    </row>
    <row r="431" spans="1:16" ht="23.25" customHeight="1">
      <c r="A431" s="43" t="s">
        <v>200</v>
      </c>
      <c r="B431" s="33"/>
      <c r="C431" s="33"/>
      <c r="D431" s="35">
        <v>180</v>
      </c>
      <c r="E431" s="35"/>
      <c r="F431" s="35">
        <f>D431</f>
        <v>180</v>
      </c>
      <c r="G431" s="35"/>
      <c r="H431" s="35"/>
      <c r="I431" s="35"/>
      <c r="J431" s="35"/>
      <c r="K431" s="35"/>
      <c r="L431" s="35"/>
      <c r="M431" s="35"/>
      <c r="N431" s="35"/>
      <c r="O431" s="35"/>
      <c r="P431" s="35"/>
    </row>
    <row r="432" spans="1:16" ht="27" customHeight="1">
      <c r="A432" s="43" t="s">
        <v>201</v>
      </c>
      <c r="B432" s="33"/>
      <c r="C432" s="33"/>
      <c r="D432" s="35">
        <v>540</v>
      </c>
      <c r="E432" s="35"/>
      <c r="F432" s="35">
        <f>D432</f>
        <v>540</v>
      </c>
      <c r="G432" s="35"/>
      <c r="H432" s="35"/>
      <c r="I432" s="35"/>
      <c r="J432" s="35"/>
      <c r="K432" s="35"/>
      <c r="L432" s="35"/>
      <c r="M432" s="35"/>
      <c r="N432" s="35"/>
      <c r="O432" s="35"/>
      <c r="P432" s="35"/>
    </row>
    <row r="433" spans="1:16" ht="11.25">
      <c r="A433" s="42" t="s">
        <v>7</v>
      </c>
      <c r="B433" s="31"/>
      <c r="C433" s="31"/>
      <c r="D433" s="133"/>
      <c r="E433" s="133"/>
      <c r="F433" s="35"/>
      <c r="G433" s="133"/>
      <c r="H433" s="133"/>
      <c r="I433" s="133"/>
      <c r="J433" s="35"/>
      <c r="K433" s="36"/>
      <c r="L433" s="102"/>
      <c r="M433" s="102"/>
      <c r="N433" s="133"/>
      <c r="O433" s="133"/>
      <c r="P433" s="35"/>
    </row>
    <row r="434" spans="1:16" ht="35.25" customHeight="1">
      <c r="A434" s="43" t="s">
        <v>202</v>
      </c>
      <c r="B434" s="33"/>
      <c r="C434" s="33"/>
      <c r="D434" s="35"/>
      <c r="E434" s="35"/>
      <c r="F434" s="35">
        <f>D434</f>
        <v>0</v>
      </c>
      <c r="G434" s="35"/>
      <c r="H434" s="35"/>
      <c r="I434" s="35"/>
      <c r="J434" s="35"/>
      <c r="K434" s="36"/>
      <c r="L434" s="36"/>
      <c r="M434" s="36"/>
      <c r="N434" s="35"/>
      <c r="O434" s="35"/>
      <c r="P434" s="35"/>
    </row>
    <row r="435" spans="1:16" ht="11.25">
      <c r="A435" s="43" t="s">
        <v>68</v>
      </c>
      <c r="B435" s="33"/>
      <c r="C435" s="33"/>
      <c r="D435" s="34"/>
      <c r="E435" s="34"/>
      <c r="F435" s="34"/>
      <c r="G435" s="34"/>
      <c r="H435" s="34"/>
      <c r="I435" s="34"/>
      <c r="J435" s="34"/>
      <c r="K435" s="37"/>
      <c r="L435" s="37"/>
      <c r="M435" s="37"/>
      <c r="N435" s="34"/>
      <c r="O435" s="34"/>
      <c r="P435" s="34"/>
    </row>
    <row r="436" spans="1:16" ht="23.25" customHeight="1">
      <c r="A436" s="43" t="s">
        <v>200</v>
      </c>
      <c r="B436" s="33"/>
      <c r="C436" s="33"/>
      <c r="D436" s="35">
        <v>122.96</v>
      </c>
      <c r="E436" s="35"/>
      <c r="F436" s="35">
        <f>D436</f>
        <v>122.96</v>
      </c>
      <c r="G436" s="35"/>
      <c r="H436" s="35"/>
      <c r="I436" s="35"/>
      <c r="J436" s="35"/>
      <c r="K436" s="37"/>
      <c r="L436" s="37"/>
      <c r="M436" s="37"/>
      <c r="N436" s="35"/>
      <c r="O436" s="35"/>
      <c r="P436" s="35"/>
    </row>
    <row r="437" spans="1:16" ht="24" customHeight="1">
      <c r="A437" s="43" t="s">
        <v>201</v>
      </c>
      <c r="B437" s="33"/>
      <c r="C437" s="33"/>
      <c r="D437" s="35">
        <v>502.86</v>
      </c>
      <c r="E437" s="35"/>
      <c r="F437" s="35">
        <f>D437</f>
        <v>502.86</v>
      </c>
      <c r="G437" s="35"/>
      <c r="H437" s="35"/>
      <c r="I437" s="35"/>
      <c r="J437" s="35"/>
      <c r="K437" s="37"/>
      <c r="L437" s="37"/>
      <c r="M437" s="37"/>
      <c r="N437" s="35"/>
      <c r="O437" s="35"/>
      <c r="P437" s="35"/>
    </row>
    <row r="438" spans="1:235" s="91" customFormat="1" ht="33.75">
      <c r="A438" s="95" t="s">
        <v>374</v>
      </c>
      <c r="B438" s="95"/>
      <c r="C438" s="95"/>
      <c r="D438" s="99"/>
      <c r="E438" s="99"/>
      <c r="F438" s="99"/>
      <c r="G438" s="99">
        <f>G442*G447+G443*G448</f>
        <v>99999.9999984</v>
      </c>
      <c r="H438" s="99"/>
      <c r="I438" s="99"/>
      <c r="J438" s="99">
        <f>G438+H438</f>
        <v>99999.9999984</v>
      </c>
      <c r="K438" s="99"/>
      <c r="L438" s="99"/>
      <c r="M438" s="99"/>
      <c r="N438" s="99">
        <f>(N442*N447)+(N443*N448)</f>
        <v>299213.19999972</v>
      </c>
      <c r="O438" s="99"/>
      <c r="P438" s="99">
        <f>N438</f>
        <v>299213.19999972</v>
      </c>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row>
    <row r="439" spans="1:16" ht="11.25">
      <c r="A439" s="42" t="s">
        <v>5</v>
      </c>
      <c r="B439" s="31"/>
      <c r="C439" s="31"/>
      <c r="D439" s="132"/>
      <c r="E439" s="132"/>
      <c r="F439" s="34"/>
      <c r="G439" s="132"/>
      <c r="H439" s="132"/>
      <c r="I439" s="132"/>
      <c r="J439" s="34"/>
      <c r="K439" s="37"/>
      <c r="L439" s="134"/>
      <c r="M439" s="134"/>
      <c r="N439" s="132"/>
      <c r="O439" s="132"/>
      <c r="P439" s="34"/>
    </row>
    <row r="440" spans="1:16" ht="24" customHeight="1">
      <c r="A440" s="43" t="s">
        <v>199</v>
      </c>
      <c r="B440" s="33"/>
      <c r="C440" s="33"/>
      <c r="D440" s="35"/>
      <c r="E440" s="35"/>
      <c r="F440" s="35"/>
      <c r="G440" s="35">
        <v>270</v>
      </c>
      <c r="H440" s="35"/>
      <c r="I440" s="35"/>
      <c r="J440" s="35">
        <v>257</v>
      </c>
      <c r="K440" s="35" t="e">
        <f>G440/D440*100</f>
        <v>#DIV/0!</v>
      </c>
      <c r="L440" s="35"/>
      <c r="M440" s="35"/>
      <c r="N440" s="35">
        <v>765</v>
      </c>
      <c r="O440" s="35"/>
      <c r="P440" s="35">
        <v>765</v>
      </c>
    </row>
    <row r="441" spans="1:16" ht="13.5" customHeight="1">
      <c r="A441" s="43" t="s">
        <v>68</v>
      </c>
      <c r="B441" s="33"/>
      <c r="C441" s="33"/>
      <c r="D441" s="35"/>
      <c r="E441" s="35"/>
      <c r="F441" s="35"/>
      <c r="G441" s="35"/>
      <c r="H441" s="35"/>
      <c r="I441" s="35"/>
      <c r="J441" s="35"/>
      <c r="K441" s="35"/>
      <c r="L441" s="35"/>
      <c r="M441" s="35"/>
      <c r="N441" s="35"/>
      <c r="O441" s="35"/>
      <c r="P441" s="35"/>
    </row>
    <row r="442" spans="1:16" ht="23.25" customHeight="1">
      <c r="A442" s="43" t="s">
        <v>200</v>
      </c>
      <c r="B442" s="33"/>
      <c r="C442" s="33"/>
      <c r="D442" s="35"/>
      <c r="E442" s="35"/>
      <c r="F442" s="35"/>
      <c r="G442" s="35">
        <v>77</v>
      </c>
      <c r="H442" s="35"/>
      <c r="I442" s="35"/>
      <c r="J442" s="35">
        <f>G442+H442</f>
        <v>77</v>
      </c>
      <c r="K442" s="35"/>
      <c r="L442" s="35"/>
      <c r="M442" s="35"/>
      <c r="N442" s="35">
        <v>225</v>
      </c>
      <c r="O442" s="35"/>
      <c r="P442" s="35">
        <f>N442</f>
        <v>225</v>
      </c>
    </row>
    <row r="443" spans="1:16" ht="27" customHeight="1">
      <c r="A443" s="43" t="s">
        <v>201</v>
      </c>
      <c r="B443" s="33"/>
      <c r="C443" s="33"/>
      <c r="D443" s="35"/>
      <c r="E443" s="35"/>
      <c r="F443" s="35"/>
      <c r="G443" s="35">
        <v>180</v>
      </c>
      <c r="H443" s="35"/>
      <c r="I443" s="35"/>
      <c r="J443" s="35">
        <f>G443+H443</f>
        <v>180</v>
      </c>
      <c r="K443" s="35"/>
      <c r="L443" s="35"/>
      <c r="M443" s="35"/>
      <c r="N443" s="35">
        <v>540</v>
      </c>
      <c r="O443" s="35"/>
      <c r="P443" s="35">
        <f>N443</f>
        <v>540</v>
      </c>
    </row>
    <row r="444" spans="1:16" ht="11.25">
      <c r="A444" s="42" t="s">
        <v>7</v>
      </c>
      <c r="B444" s="31"/>
      <c r="C444" s="31"/>
      <c r="D444" s="133"/>
      <c r="E444" s="133"/>
      <c r="F444" s="35"/>
      <c r="G444" s="133"/>
      <c r="H444" s="133"/>
      <c r="I444" s="133"/>
      <c r="J444" s="35"/>
      <c r="K444" s="36"/>
      <c r="L444" s="102"/>
      <c r="M444" s="102"/>
      <c r="N444" s="133"/>
      <c r="O444" s="133"/>
      <c r="P444" s="35"/>
    </row>
    <row r="445" spans="1:16" ht="36" customHeight="1">
      <c r="A445" s="43" t="s">
        <v>202</v>
      </c>
      <c r="B445" s="33"/>
      <c r="C445" s="33"/>
      <c r="D445" s="35"/>
      <c r="E445" s="35"/>
      <c r="F445" s="35"/>
      <c r="G445" s="35"/>
      <c r="H445" s="35"/>
      <c r="I445" s="35"/>
      <c r="J445" s="35">
        <f>G445</f>
        <v>0</v>
      </c>
      <c r="K445" s="36" t="e">
        <f>G445/D445*100</f>
        <v>#DIV/0!</v>
      </c>
      <c r="L445" s="36"/>
      <c r="M445" s="36"/>
      <c r="N445" s="35"/>
      <c r="O445" s="35"/>
      <c r="P445" s="35">
        <f>N445</f>
        <v>0</v>
      </c>
    </row>
    <row r="446" spans="1:16" ht="11.25">
      <c r="A446" s="43" t="s">
        <v>68</v>
      </c>
      <c r="B446" s="33"/>
      <c r="C446" s="33"/>
      <c r="D446" s="34"/>
      <c r="E446" s="34"/>
      <c r="F446" s="34"/>
      <c r="G446" s="34"/>
      <c r="H446" s="34"/>
      <c r="I446" s="34"/>
      <c r="J446" s="34"/>
      <c r="K446" s="37"/>
      <c r="L446" s="37"/>
      <c r="M446" s="37"/>
      <c r="N446" s="34"/>
      <c r="O446" s="34"/>
      <c r="P446" s="34"/>
    </row>
    <row r="447" spans="1:16" ht="23.25" customHeight="1">
      <c r="A447" s="43" t="s">
        <v>200</v>
      </c>
      <c r="B447" s="33"/>
      <c r="C447" s="33"/>
      <c r="D447" s="35"/>
      <c r="E447" s="35"/>
      <c r="F447" s="35"/>
      <c r="G447" s="35">
        <v>123</v>
      </c>
      <c r="H447" s="35"/>
      <c r="I447" s="35"/>
      <c r="J447" s="35">
        <f>G447</f>
        <v>123</v>
      </c>
      <c r="K447" s="37"/>
      <c r="L447" s="37"/>
      <c r="M447" s="37"/>
      <c r="N447" s="35">
        <v>123</v>
      </c>
      <c r="O447" s="35"/>
      <c r="P447" s="35">
        <f>N447</f>
        <v>123</v>
      </c>
    </row>
    <row r="448" spans="1:16" ht="24" customHeight="1">
      <c r="A448" s="43" t="s">
        <v>201</v>
      </c>
      <c r="B448" s="33"/>
      <c r="C448" s="33"/>
      <c r="D448" s="35"/>
      <c r="E448" s="35"/>
      <c r="F448" s="35"/>
      <c r="G448" s="35">
        <v>502.93888888</v>
      </c>
      <c r="H448" s="35"/>
      <c r="I448" s="35"/>
      <c r="J448" s="35">
        <f>G448</f>
        <v>502.93888888</v>
      </c>
      <c r="K448" s="37"/>
      <c r="L448" s="37"/>
      <c r="M448" s="37"/>
      <c r="N448" s="35">
        <v>502.848518518</v>
      </c>
      <c r="O448" s="35"/>
      <c r="P448" s="35">
        <f>N448</f>
        <v>502.848518518</v>
      </c>
    </row>
    <row r="449" spans="1:235" s="91" customFormat="1" ht="24" customHeight="1">
      <c r="A449" s="95" t="s">
        <v>375</v>
      </c>
      <c r="B449" s="95"/>
      <c r="C449" s="95"/>
      <c r="D449" s="99">
        <f>(D451*D453)+0.02</f>
        <v>51000.002</v>
      </c>
      <c r="E449" s="99"/>
      <c r="F449" s="99">
        <f>D449</f>
        <v>51000.002</v>
      </c>
      <c r="G449" s="99">
        <v>75000</v>
      </c>
      <c r="H449" s="99"/>
      <c r="I449" s="99"/>
      <c r="J449" s="99">
        <f>G449</f>
        <v>75000</v>
      </c>
      <c r="K449" s="99"/>
      <c r="L449" s="99"/>
      <c r="M449" s="99"/>
      <c r="N449" s="99">
        <v>75000</v>
      </c>
      <c r="O449" s="99"/>
      <c r="P449" s="99">
        <f>N449</f>
        <v>75000</v>
      </c>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c r="CB449" s="90"/>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row>
    <row r="450" spans="1:16" ht="12.75" customHeight="1">
      <c r="A450" s="42" t="s">
        <v>234</v>
      </c>
      <c r="B450" s="64"/>
      <c r="C450" s="64"/>
      <c r="D450" s="38"/>
      <c r="E450" s="38"/>
      <c r="F450" s="38"/>
      <c r="G450" s="38"/>
      <c r="H450" s="38"/>
      <c r="I450" s="38"/>
      <c r="J450" s="38"/>
      <c r="K450" s="135"/>
      <c r="L450" s="38"/>
      <c r="M450" s="38"/>
      <c r="N450" s="38"/>
      <c r="O450" s="38"/>
      <c r="P450" s="38"/>
    </row>
    <row r="451" spans="1:16" ht="24" customHeight="1">
      <c r="A451" s="54" t="s">
        <v>233</v>
      </c>
      <c r="B451" s="33"/>
      <c r="C451" s="33"/>
      <c r="D451" s="35">
        <v>6600</v>
      </c>
      <c r="E451" s="35"/>
      <c r="F451" s="35">
        <f>D451</f>
        <v>6600</v>
      </c>
      <c r="G451" s="35">
        <v>7200</v>
      </c>
      <c r="H451" s="35"/>
      <c r="I451" s="35"/>
      <c r="J451" s="35">
        <f>G451</f>
        <v>7200</v>
      </c>
      <c r="K451" s="37"/>
      <c r="L451" s="37"/>
      <c r="M451" s="37"/>
      <c r="N451" s="35">
        <v>7200</v>
      </c>
      <c r="O451" s="35"/>
      <c r="P451" s="35">
        <f>N451</f>
        <v>7200</v>
      </c>
    </row>
    <row r="452" spans="1:16" ht="11.25">
      <c r="A452" s="42" t="s">
        <v>7</v>
      </c>
      <c r="B452" s="33"/>
      <c r="C452" s="33"/>
      <c r="D452" s="35"/>
      <c r="E452" s="35"/>
      <c r="F452" s="35"/>
      <c r="G452" s="35"/>
      <c r="H452" s="35"/>
      <c r="I452" s="35"/>
      <c r="J452" s="35"/>
      <c r="K452" s="37"/>
      <c r="L452" s="37"/>
      <c r="M452" s="37"/>
      <c r="N452" s="35"/>
      <c r="O452" s="35"/>
      <c r="P452" s="35"/>
    </row>
    <row r="453" spans="1:16" ht="24" customHeight="1">
      <c r="A453" s="43" t="s">
        <v>235</v>
      </c>
      <c r="B453" s="33"/>
      <c r="C453" s="33"/>
      <c r="D453" s="35">
        <f>7727.27/1000</f>
        <v>7.727270000000001</v>
      </c>
      <c r="E453" s="35"/>
      <c r="F453" s="35">
        <f>D453</f>
        <v>7.727270000000001</v>
      </c>
      <c r="G453" s="35">
        <f>G449/G451</f>
        <v>10.416666666666666</v>
      </c>
      <c r="H453" s="35"/>
      <c r="I453" s="35"/>
      <c r="J453" s="35">
        <f>G453</f>
        <v>10.416666666666666</v>
      </c>
      <c r="K453" s="37"/>
      <c r="L453" s="37"/>
      <c r="M453" s="37"/>
      <c r="N453" s="35">
        <f>N449/N451</f>
        <v>10.416666666666666</v>
      </c>
      <c r="O453" s="35"/>
      <c r="P453" s="35">
        <f>N453</f>
        <v>10.416666666666666</v>
      </c>
    </row>
    <row r="454" spans="1:235" s="91" customFormat="1" ht="38.25" customHeight="1">
      <c r="A454" s="95" t="s">
        <v>376</v>
      </c>
      <c r="B454" s="95"/>
      <c r="C454" s="95"/>
      <c r="D454" s="99"/>
      <c r="E454" s="99"/>
      <c r="F454" s="99"/>
      <c r="G454" s="99">
        <f>G456*G458</f>
        <v>168999.9999996</v>
      </c>
      <c r="H454" s="99"/>
      <c r="I454" s="99"/>
      <c r="J454" s="99">
        <f>G454</f>
        <v>168999.9999996</v>
      </c>
      <c r="K454" s="102"/>
      <c r="L454" s="102"/>
      <c r="M454" s="102"/>
      <c r="N454" s="99">
        <f>N456*N458</f>
        <v>169999.999992</v>
      </c>
      <c r="O454" s="99"/>
      <c r="P454" s="99">
        <f>N454</f>
        <v>169999.999992</v>
      </c>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row>
    <row r="455" spans="1:16" ht="11.25">
      <c r="A455" s="42" t="s">
        <v>234</v>
      </c>
      <c r="B455" s="64"/>
      <c r="C455" s="64"/>
      <c r="D455" s="38"/>
      <c r="E455" s="38"/>
      <c r="F455" s="38"/>
      <c r="G455" s="38"/>
      <c r="H455" s="38"/>
      <c r="I455" s="38"/>
      <c r="J455" s="38"/>
      <c r="K455" s="37"/>
      <c r="L455" s="37"/>
      <c r="M455" s="37"/>
      <c r="N455" s="35"/>
      <c r="O455" s="35"/>
      <c r="P455" s="35"/>
    </row>
    <row r="456" spans="1:16" ht="45">
      <c r="A456" s="54" t="s">
        <v>288</v>
      </c>
      <c r="B456" s="33"/>
      <c r="C456" s="33"/>
      <c r="D456" s="35"/>
      <c r="E456" s="35"/>
      <c r="F456" s="35"/>
      <c r="G456" s="35">
        <v>12</v>
      </c>
      <c r="H456" s="35"/>
      <c r="I456" s="35"/>
      <c r="J456" s="35">
        <f>G456</f>
        <v>12</v>
      </c>
      <c r="K456" s="37"/>
      <c r="L456" s="37"/>
      <c r="M456" s="37"/>
      <c r="N456" s="35">
        <v>12</v>
      </c>
      <c r="O456" s="35"/>
      <c r="P456" s="35">
        <f>N456</f>
        <v>12</v>
      </c>
    </row>
    <row r="457" spans="1:16" ht="11.25">
      <c r="A457" s="42" t="s">
        <v>7</v>
      </c>
      <c r="B457" s="33"/>
      <c r="C457" s="33"/>
      <c r="D457" s="35"/>
      <c r="E457" s="35"/>
      <c r="F457" s="35"/>
      <c r="G457" s="35"/>
      <c r="H457" s="35"/>
      <c r="I457" s="35"/>
      <c r="J457" s="35"/>
      <c r="K457" s="37"/>
      <c r="L457" s="37"/>
      <c r="M457" s="37"/>
      <c r="N457" s="35"/>
      <c r="O457" s="35"/>
      <c r="P457" s="35"/>
    </row>
    <row r="458" spans="1:16" ht="56.25" customHeight="1">
      <c r="A458" s="43" t="s">
        <v>289</v>
      </c>
      <c r="B458" s="33"/>
      <c r="C458" s="33"/>
      <c r="D458" s="35"/>
      <c r="E458" s="35"/>
      <c r="F458" s="35"/>
      <c r="G458" s="35">
        <v>14083.3333333</v>
      </c>
      <c r="H458" s="35"/>
      <c r="I458" s="35"/>
      <c r="J458" s="35">
        <f>G458</f>
        <v>14083.3333333</v>
      </c>
      <c r="K458" s="37"/>
      <c r="L458" s="37"/>
      <c r="M458" s="37"/>
      <c r="N458" s="35">
        <v>14166.666666</v>
      </c>
      <c r="O458" s="35"/>
      <c r="P458" s="35">
        <f>N458</f>
        <v>14166.666666</v>
      </c>
    </row>
    <row r="459" spans="1:16" ht="2.25" customHeight="1" hidden="1">
      <c r="A459" s="43"/>
      <c r="B459" s="33"/>
      <c r="C459" s="33"/>
      <c r="D459" s="35"/>
      <c r="E459" s="35"/>
      <c r="F459" s="35"/>
      <c r="G459" s="35"/>
      <c r="H459" s="35"/>
      <c r="I459" s="35"/>
      <c r="J459" s="35"/>
      <c r="K459" s="37"/>
      <c r="L459" s="37"/>
      <c r="M459" s="37"/>
      <c r="N459" s="35"/>
      <c r="O459" s="35"/>
      <c r="P459" s="35"/>
    </row>
    <row r="460" spans="1:16" ht="24" customHeight="1" hidden="1">
      <c r="A460" s="43"/>
      <c r="B460" s="33"/>
      <c r="C460" s="33"/>
      <c r="D460" s="35"/>
      <c r="E460" s="35"/>
      <c r="F460" s="35"/>
      <c r="G460" s="35"/>
      <c r="H460" s="35"/>
      <c r="I460" s="35"/>
      <c r="J460" s="35"/>
      <c r="K460" s="37"/>
      <c r="L460" s="37"/>
      <c r="M460" s="37"/>
      <c r="N460" s="35"/>
      <c r="O460" s="35"/>
      <c r="P460" s="35"/>
    </row>
    <row r="461" spans="1:16" ht="24" customHeight="1" hidden="1">
      <c r="A461" s="43"/>
      <c r="B461" s="33"/>
      <c r="C461" s="33"/>
      <c r="D461" s="35"/>
      <c r="E461" s="35"/>
      <c r="F461" s="35"/>
      <c r="G461" s="35"/>
      <c r="H461" s="35"/>
      <c r="I461" s="35"/>
      <c r="J461" s="35"/>
      <c r="K461" s="37"/>
      <c r="L461" s="37"/>
      <c r="M461" s="37"/>
      <c r="N461" s="35"/>
      <c r="O461" s="35"/>
      <c r="P461" s="35"/>
    </row>
    <row r="462" spans="1:16" ht="24" customHeight="1" hidden="1">
      <c r="A462" s="43"/>
      <c r="B462" s="33"/>
      <c r="C462" s="33"/>
      <c r="D462" s="35"/>
      <c r="E462" s="35"/>
      <c r="F462" s="35"/>
      <c r="G462" s="35"/>
      <c r="H462" s="35"/>
      <c r="I462" s="35"/>
      <c r="J462" s="35"/>
      <c r="K462" s="37"/>
      <c r="L462" s="37"/>
      <c r="M462" s="37"/>
      <c r="N462" s="35"/>
      <c r="O462" s="35"/>
      <c r="P462" s="35"/>
    </row>
    <row r="463" spans="1:235" s="91" customFormat="1" ht="33.75">
      <c r="A463" s="95" t="s">
        <v>377</v>
      </c>
      <c r="B463" s="95"/>
      <c r="C463" s="95"/>
      <c r="D463" s="99">
        <v>216</v>
      </c>
      <c r="E463" s="99"/>
      <c r="F463" s="99">
        <f>D463</f>
        <v>216</v>
      </c>
      <c r="G463" s="99">
        <f>G465*G467</f>
        <v>33300</v>
      </c>
      <c r="H463" s="99"/>
      <c r="I463" s="99"/>
      <c r="J463" s="99">
        <f>G463</f>
        <v>33300</v>
      </c>
      <c r="K463" s="102"/>
      <c r="L463" s="102"/>
      <c r="M463" s="102"/>
      <c r="N463" s="99">
        <f>N465*N467</f>
        <v>9999.999996</v>
      </c>
      <c r="O463" s="99"/>
      <c r="P463" s="99">
        <f>N463</f>
        <v>9999.999996</v>
      </c>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c r="CB463" s="90"/>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row>
    <row r="464" spans="1:16" ht="11.25">
      <c r="A464" s="42" t="s">
        <v>234</v>
      </c>
      <c r="B464" s="64"/>
      <c r="C464" s="64"/>
      <c r="D464" s="38"/>
      <c r="E464" s="38"/>
      <c r="F464" s="38"/>
      <c r="G464" s="38"/>
      <c r="H464" s="38"/>
      <c r="I464" s="38"/>
      <c r="J464" s="38"/>
      <c r="K464" s="37"/>
      <c r="L464" s="37"/>
      <c r="M464" s="37"/>
      <c r="N464" s="35"/>
      <c r="O464" s="35"/>
      <c r="P464" s="35"/>
    </row>
    <row r="465" spans="1:16" ht="39" customHeight="1">
      <c r="A465" s="54" t="s">
        <v>290</v>
      </c>
      <c r="B465" s="33"/>
      <c r="C465" s="33"/>
      <c r="D465" s="35">
        <v>2</v>
      </c>
      <c r="E465" s="35"/>
      <c r="F465" s="35">
        <f>D465</f>
        <v>2</v>
      </c>
      <c r="G465" s="35">
        <v>12</v>
      </c>
      <c r="H465" s="35"/>
      <c r="I465" s="35"/>
      <c r="J465" s="35">
        <f>G465</f>
        <v>12</v>
      </c>
      <c r="K465" s="37"/>
      <c r="L465" s="37"/>
      <c r="M465" s="37"/>
      <c r="N465" s="35">
        <v>12</v>
      </c>
      <c r="O465" s="35"/>
      <c r="P465" s="35">
        <f>N465</f>
        <v>12</v>
      </c>
    </row>
    <row r="466" spans="1:16" ht="11.25">
      <c r="A466" s="42" t="s">
        <v>7</v>
      </c>
      <c r="B466" s="33"/>
      <c r="C466" s="33"/>
      <c r="D466" s="35"/>
      <c r="E466" s="35"/>
      <c r="F466" s="35"/>
      <c r="G466" s="35"/>
      <c r="H466" s="35"/>
      <c r="I466" s="35"/>
      <c r="J466" s="35"/>
      <c r="K466" s="37"/>
      <c r="L466" s="37"/>
      <c r="M466" s="37"/>
      <c r="N466" s="35"/>
      <c r="O466" s="35"/>
      <c r="P466" s="35"/>
    </row>
    <row r="467" spans="1:16" ht="33.75" customHeight="1">
      <c r="A467" s="43" t="s">
        <v>291</v>
      </c>
      <c r="B467" s="33"/>
      <c r="C467" s="33"/>
      <c r="D467" s="35">
        <f>D463/D465</f>
        <v>108</v>
      </c>
      <c r="E467" s="35"/>
      <c r="F467" s="35">
        <f>D467</f>
        <v>108</v>
      </c>
      <c r="G467" s="35">
        <v>2775</v>
      </c>
      <c r="H467" s="35"/>
      <c r="I467" s="35"/>
      <c r="J467" s="35">
        <f>G467</f>
        <v>2775</v>
      </c>
      <c r="K467" s="37"/>
      <c r="L467" s="37"/>
      <c r="M467" s="37"/>
      <c r="N467" s="35">
        <v>833.333333</v>
      </c>
      <c r="O467" s="35"/>
      <c r="P467" s="35">
        <f>N467</f>
        <v>833.333333</v>
      </c>
    </row>
    <row r="468" spans="1:235" s="84" customFormat="1" ht="12">
      <c r="A468" s="124" t="s">
        <v>440</v>
      </c>
      <c r="B468" s="121"/>
      <c r="C468" s="121"/>
      <c r="D468" s="122"/>
      <c r="E468" s="122">
        <f>E473+E481+E486</f>
        <v>534080</v>
      </c>
      <c r="F468" s="122">
        <f>E468</f>
        <v>534080</v>
      </c>
      <c r="G468" s="122">
        <f>G469+G470+G471</f>
        <v>0</v>
      </c>
      <c r="H468" s="122">
        <f>H473+H481+H486+H500+H507+H493+H471</f>
        <v>1116509.9999997</v>
      </c>
      <c r="I468" s="122"/>
      <c r="J468" s="122">
        <f>J469+J470+J471</f>
        <v>1116509.9999997</v>
      </c>
      <c r="K468" s="136"/>
      <c r="L468" s="137"/>
      <c r="M468" s="137"/>
      <c r="N468" s="122">
        <f>N469+N470+N471</f>
        <v>0</v>
      </c>
      <c r="O468" s="122">
        <f>O473+O481+O486+O493+O471</f>
        <v>5649509.9999997</v>
      </c>
      <c r="P468" s="122">
        <f>O468+N468</f>
        <v>5649509.9999997</v>
      </c>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c r="BR468" s="120"/>
      <c r="BS468" s="120"/>
      <c r="BT468" s="120"/>
      <c r="BU468" s="120"/>
      <c r="BV468" s="120"/>
      <c r="BW468" s="120"/>
      <c r="BX468" s="120"/>
      <c r="BY468" s="120"/>
      <c r="BZ468" s="120"/>
      <c r="CA468" s="120"/>
      <c r="CB468" s="120"/>
      <c r="CC468" s="120"/>
      <c r="CD468" s="120"/>
      <c r="CE468" s="120"/>
      <c r="CF468" s="120"/>
      <c r="CG468" s="120"/>
      <c r="CH468" s="120"/>
      <c r="CI468" s="120"/>
      <c r="CJ468" s="120"/>
      <c r="CK468" s="120"/>
      <c r="CL468" s="120"/>
      <c r="CM468" s="120"/>
      <c r="CN468" s="120"/>
      <c r="CO468" s="120"/>
      <c r="CP468" s="120"/>
      <c r="CQ468" s="120"/>
      <c r="CR468" s="120"/>
      <c r="CS468" s="120"/>
      <c r="CT468" s="120"/>
      <c r="CU468" s="120"/>
      <c r="CV468" s="120"/>
      <c r="CW468" s="120"/>
      <c r="CX468" s="120"/>
      <c r="CY468" s="120"/>
      <c r="CZ468" s="120"/>
      <c r="DA468" s="120"/>
      <c r="DB468" s="120"/>
      <c r="DC468" s="120"/>
      <c r="DD468" s="120"/>
      <c r="DE468" s="120"/>
      <c r="DF468" s="120"/>
      <c r="DG468" s="120"/>
      <c r="DH468" s="120"/>
      <c r="DI468" s="120"/>
      <c r="DJ468" s="120"/>
      <c r="DK468" s="120"/>
      <c r="DL468" s="120"/>
      <c r="DM468" s="120"/>
      <c r="DN468" s="120"/>
      <c r="DO468" s="120"/>
      <c r="DP468" s="120"/>
      <c r="DQ468" s="120"/>
      <c r="DR468" s="120"/>
      <c r="DS468" s="120"/>
      <c r="DT468" s="120"/>
      <c r="DU468" s="120"/>
      <c r="DV468" s="120"/>
      <c r="DW468" s="120"/>
      <c r="DX468" s="120"/>
      <c r="DY468" s="120"/>
      <c r="DZ468" s="120"/>
      <c r="EA468" s="120"/>
      <c r="EB468" s="120"/>
      <c r="EC468" s="120"/>
      <c r="ED468" s="120"/>
      <c r="EE468" s="120"/>
      <c r="EF468" s="120"/>
      <c r="EG468" s="120"/>
      <c r="EH468" s="120"/>
      <c r="EI468" s="120"/>
      <c r="EJ468" s="120"/>
      <c r="EK468" s="120"/>
      <c r="EL468" s="120"/>
      <c r="EM468" s="120"/>
      <c r="EN468" s="120"/>
      <c r="EO468" s="120"/>
      <c r="EP468" s="120"/>
      <c r="EQ468" s="120"/>
      <c r="ER468" s="120"/>
      <c r="ES468" s="120"/>
      <c r="ET468" s="120"/>
      <c r="EU468" s="120"/>
      <c r="EV468" s="120"/>
      <c r="EW468" s="120"/>
      <c r="EX468" s="120"/>
      <c r="EY468" s="120"/>
      <c r="EZ468" s="120"/>
      <c r="FA468" s="120"/>
      <c r="FB468" s="120"/>
      <c r="FC468" s="120"/>
      <c r="FD468" s="120"/>
      <c r="FE468" s="120"/>
      <c r="FF468" s="120"/>
      <c r="FG468" s="120"/>
      <c r="FH468" s="120"/>
      <c r="FI468" s="120"/>
      <c r="FJ468" s="120"/>
      <c r="FK468" s="120"/>
      <c r="FL468" s="120"/>
      <c r="FM468" s="120"/>
      <c r="FN468" s="120"/>
      <c r="FO468" s="120"/>
      <c r="FP468" s="120"/>
      <c r="FQ468" s="120"/>
      <c r="FR468" s="120"/>
      <c r="FS468" s="120"/>
      <c r="FT468" s="120"/>
      <c r="FU468" s="120"/>
      <c r="FV468" s="120"/>
      <c r="FW468" s="120"/>
      <c r="FX468" s="120"/>
      <c r="FY468" s="120"/>
      <c r="FZ468" s="120"/>
      <c r="GA468" s="120"/>
      <c r="GB468" s="120"/>
      <c r="GC468" s="120"/>
      <c r="GD468" s="120"/>
      <c r="GE468" s="120"/>
      <c r="GF468" s="120"/>
      <c r="GG468" s="120"/>
      <c r="GH468" s="120"/>
      <c r="GI468" s="120"/>
      <c r="GJ468" s="120"/>
      <c r="GK468" s="120"/>
      <c r="GL468" s="120"/>
      <c r="GM468" s="120"/>
      <c r="GN468" s="120"/>
      <c r="GO468" s="120"/>
      <c r="GP468" s="120"/>
      <c r="GQ468" s="120"/>
      <c r="GR468" s="120"/>
      <c r="GS468" s="120"/>
      <c r="GT468" s="120"/>
      <c r="GU468" s="120"/>
      <c r="GV468" s="120"/>
      <c r="GW468" s="120"/>
      <c r="GX468" s="120"/>
      <c r="GY468" s="120"/>
      <c r="GZ468" s="120"/>
      <c r="HA468" s="120"/>
      <c r="HB468" s="120"/>
      <c r="HC468" s="120"/>
      <c r="HD468" s="120"/>
      <c r="HE468" s="120"/>
      <c r="HF468" s="120"/>
      <c r="HG468" s="120"/>
      <c r="HH468" s="120"/>
      <c r="HI468" s="120"/>
      <c r="HJ468" s="120"/>
      <c r="HK468" s="120"/>
      <c r="HL468" s="120"/>
      <c r="HM468" s="120"/>
      <c r="HN468" s="120"/>
      <c r="HO468" s="120"/>
      <c r="HP468" s="120"/>
      <c r="HQ468" s="120"/>
      <c r="HR468" s="120"/>
      <c r="HS468" s="120"/>
      <c r="HT468" s="120"/>
      <c r="HU468" s="120"/>
      <c r="HV468" s="120"/>
      <c r="HW468" s="120"/>
      <c r="HX468" s="120"/>
      <c r="HY468" s="120"/>
      <c r="HZ468" s="120"/>
      <c r="IA468" s="120"/>
    </row>
    <row r="469" spans="1:235" s="84" customFormat="1" ht="12">
      <c r="A469" s="124" t="s">
        <v>339</v>
      </c>
      <c r="B469" s="121"/>
      <c r="C469" s="121"/>
      <c r="D469" s="122"/>
      <c r="E469" s="122">
        <f>E473+E481+E486</f>
        <v>534080</v>
      </c>
      <c r="F469" s="122">
        <f aca="true" t="shared" si="43" ref="F469:N469">F473+F481+F486</f>
        <v>534080</v>
      </c>
      <c r="G469" s="122">
        <f t="shared" si="43"/>
        <v>0</v>
      </c>
      <c r="H469" s="122">
        <f>33.5026841552*H478</f>
        <v>64399.99999992592</v>
      </c>
      <c r="I469" s="122"/>
      <c r="J469" s="122">
        <f>33.5026841552*J478</f>
        <v>64399.99999992592</v>
      </c>
      <c r="K469" s="122">
        <f t="shared" si="43"/>
        <v>0</v>
      </c>
      <c r="L469" s="122">
        <f t="shared" si="43"/>
        <v>0</v>
      </c>
      <c r="M469" s="122">
        <f t="shared" si="43"/>
        <v>0</v>
      </c>
      <c r="N469" s="122">
        <f t="shared" si="43"/>
        <v>0</v>
      </c>
      <c r="O469" s="122">
        <v>0</v>
      </c>
      <c r="P469" s="122">
        <v>0</v>
      </c>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c r="BR469" s="120"/>
      <c r="BS469" s="120"/>
      <c r="BT469" s="120"/>
      <c r="BU469" s="120"/>
      <c r="BV469" s="120"/>
      <c r="BW469" s="120"/>
      <c r="BX469" s="120"/>
      <c r="BY469" s="120"/>
      <c r="BZ469" s="120"/>
      <c r="CA469" s="120"/>
      <c r="CB469" s="120"/>
      <c r="CC469" s="120"/>
      <c r="CD469" s="120"/>
      <c r="CE469" s="120"/>
      <c r="CF469" s="120"/>
      <c r="CG469" s="120"/>
      <c r="CH469" s="120"/>
      <c r="CI469" s="120"/>
      <c r="CJ469" s="120"/>
      <c r="CK469" s="120"/>
      <c r="CL469" s="120"/>
      <c r="CM469" s="120"/>
      <c r="CN469" s="120"/>
      <c r="CO469" s="120"/>
      <c r="CP469" s="120"/>
      <c r="CQ469" s="120"/>
      <c r="CR469" s="120"/>
      <c r="CS469" s="120"/>
      <c r="CT469" s="120"/>
      <c r="CU469" s="120"/>
      <c r="CV469" s="120"/>
      <c r="CW469" s="120"/>
      <c r="CX469" s="120"/>
      <c r="CY469" s="120"/>
      <c r="CZ469" s="120"/>
      <c r="DA469" s="120"/>
      <c r="DB469" s="120"/>
      <c r="DC469" s="120"/>
      <c r="DD469" s="120"/>
      <c r="DE469" s="120"/>
      <c r="DF469" s="120"/>
      <c r="DG469" s="120"/>
      <c r="DH469" s="120"/>
      <c r="DI469" s="120"/>
      <c r="DJ469" s="120"/>
      <c r="DK469" s="120"/>
      <c r="DL469" s="120"/>
      <c r="DM469" s="120"/>
      <c r="DN469" s="120"/>
      <c r="DO469" s="120"/>
      <c r="DP469" s="120"/>
      <c r="DQ469" s="120"/>
      <c r="DR469" s="120"/>
      <c r="DS469" s="120"/>
      <c r="DT469" s="120"/>
      <c r="DU469" s="120"/>
      <c r="DV469" s="120"/>
      <c r="DW469" s="120"/>
      <c r="DX469" s="120"/>
      <c r="DY469" s="120"/>
      <c r="DZ469" s="120"/>
      <c r="EA469" s="120"/>
      <c r="EB469" s="120"/>
      <c r="EC469" s="120"/>
      <c r="ED469" s="120"/>
      <c r="EE469" s="120"/>
      <c r="EF469" s="120"/>
      <c r="EG469" s="120"/>
      <c r="EH469" s="120"/>
      <c r="EI469" s="120"/>
      <c r="EJ469" s="120"/>
      <c r="EK469" s="120"/>
      <c r="EL469" s="120"/>
      <c r="EM469" s="120"/>
      <c r="EN469" s="120"/>
      <c r="EO469" s="120"/>
      <c r="EP469" s="120"/>
      <c r="EQ469" s="120"/>
      <c r="ER469" s="120"/>
      <c r="ES469" s="120"/>
      <c r="ET469" s="120"/>
      <c r="EU469" s="120"/>
      <c r="EV469" s="120"/>
      <c r="EW469" s="120"/>
      <c r="EX469" s="120"/>
      <c r="EY469" s="120"/>
      <c r="EZ469" s="120"/>
      <c r="FA469" s="120"/>
      <c r="FB469" s="120"/>
      <c r="FC469" s="120"/>
      <c r="FD469" s="120"/>
      <c r="FE469" s="120"/>
      <c r="FF469" s="120"/>
      <c r="FG469" s="120"/>
      <c r="FH469" s="120"/>
      <c r="FI469" s="120"/>
      <c r="FJ469" s="120"/>
      <c r="FK469" s="120"/>
      <c r="FL469" s="120"/>
      <c r="FM469" s="120"/>
      <c r="FN469" s="120"/>
      <c r="FO469" s="120"/>
      <c r="FP469" s="120"/>
      <c r="FQ469" s="120"/>
      <c r="FR469" s="120"/>
      <c r="FS469" s="120"/>
      <c r="FT469" s="120"/>
      <c r="FU469" s="120"/>
      <c r="FV469" s="120"/>
      <c r="FW469" s="120"/>
      <c r="FX469" s="120"/>
      <c r="FY469" s="120"/>
      <c r="FZ469" s="120"/>
      <c r="GA469" s="120"/>
      <c r="GB469" s="120"/>
      <c r="GC469" s="120"/>
      <c r="GD469" s="120"/>
      <c r="GE469" s="120"/>
      <c r="GF469" s="120"/>
      <c r="GG469" s="120"/>
      <c r="GH469" s="120"/>
      <c r="GI469" s="120"/>
      <c r="GJ469" s="120"/>
      <c r="GK469" s="120"/>
      <c r="GL469" s="120"/>
      <c r="GM469" s="120"/>
      <c r="GN469" s="120"/>
      <c r="GO469" s="120"/>
      <c r="GP469" s="120"/>
      <c r="GQ469" s="120"/>
      <c r="GR469" s="120"/>
      <c r="GS469" s="120"/>
      <c r="GT469" s="120"/>
      <c r="GU469" s="120"/>
      <c r="GV469" s="120"/>
      <c r="GW469" s="120"/>
      <c r="GX469" s="120"/>
      <c r="GY469" s="120"/>
      <c r="GZ469" s="120"/>
      <c r="HA469" s="120"/>
      <c r="HB469" s="120"/>
      <c r="HC469" s="120"/>
      <c r="HD469" s="120"/>
      <c r="HE469" s="120"/>
      <c r="HF469" s="120"/>
      <c r="HG469" s="120"/>
      <c r="HH469" s="120"/>
      <c r="HI469" s="120"/>
      <c r="HJ469" s="120"/>
      <c r="HK469" s="120"/>
      <c r="HL469" s="120"/>
      <c r="HM469" s="120"/>
      <c r="HN469" s="120"/>
      <c r="HO469" s="120"/>
      <c r="HP469" s="120"/>
      <c r="HQ469" s="120"/>
      <c r="HR469" s="120"/>
      <c r="HS469" s="120"/>
      <c r="HT469" s="120"/>
      <c r="HU469" s="120"/>
      <c r="HV469" s="120"/>
      <c r="HW469" s="120"/>
      <c r="HX469" s="120"/>
      <c r="HY469" s="120"/>
      <c r="HZ469" s="120"/>
      <c r="IA469" s="120"/>
    </row>
    <row r="470" spans="1:235" s="84" customFormat="1" ht="12">
      <c r="A470" s="124" t="s">
        <v>340</v>
      </c>
      <c r="B470" s="121"/>
      <c r="C470" s="121"/>
      <c r="D470" s="122"/>
      <c r="E470" s="122">
        <f>E493+E500+E507</f>
        <v>0</v>
      </c>
      <c r="F470" s="122">
        <f>F493+F500+F507</f>
        <v>0</v>
      </c>
      <c r="G470" s="122">
        <f>G493+G500+G507</f>
        <v>0</v>
      </c>
      <c r="H470" s="122">
        <f>H473-H469+H481+H493+H500+H507</f>
        <v>814109.999999774</v>
      </c>
      <c r="I470" s="122"/>
      <c r="J470" s="122">
        <f aca="true" t="shared" si="44" ref="J470:P470">J473-J469+J481+J493+J500+J507</f>
        <v>814109.999999774</v>
      </c>
      <c r="K470" s="122">
        <f t="shared" si="44"/>
        <v>0</v>
      </c>
      <c r="L470" s="122">
        <f t="shared" si="44"/>
        <v>0</v>
      </c>
      <c r="M470" s="122">
        <f t="shared" si="44"/>
        <v>0</v>
      </c>
      <c r="N470" s="122">
        <f t="shared" si="44"/>
        <v>0</v>
      </c>
      <c r="O470" s="122">
        <f t="shared" si="44"/>
        <v>569509.9999997</v>
      </c>
      <c r="P470" s="122">
        <f t="shared" si="44"/>
        <v>569509.9999997</v>
      </c>
      <c r="Q470" s="122">
        <f>Q493+Q500+Q507</f>
        <v>0</v>
      </c>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c r="BR470" s="120"/>
      <c r="BS470" s="120"/>
      <c r="BT470" s="120"/>
      <c r="BU470" s="120"/>
      <c r="BV470" s="120"/>
      <c r="BW470" s="120"/>
      <c r="BX470" s="120"/>
      <c r="BY470" s="120"/>
      <c r="BZ470" s="120"/>
      <c r="CA470" s="120"/>
      <c r="CB470" s="120"/>
      <c r="CC470" s="120"/>
      <c r="CD470" s="120"/>
      <c r="CE470" s="120"/>
      <c r="CF470" s="120"/>
      <c r="CG470" s="120"/>
      <c r="CH470" s="120"/>
      <c r="CI470" s="120"/>
      <c r="CJ470" s="120"/>
      <c r="CK470" s="120"/>
      <c r="CL470" s="120"/>
      <c r="CM470" s="120"/>
      <c r="CN470" s="120"/>
      <c r="CO470" s="120"/>
      <c r="CP470" s="120"/>
      <c r="CQ470" s="120"/>
      <c r="CR470" s="120"/>
      <c r="CS470" s="120"/>
      <c r="CT470" s="120"/>
      <c r="CU470" s="120"/>
      <c r="CV470" s="120"/>
      <c r="CW470" s="120"/>
      <c r="CX470" s="120"/>
      <c r="CY470" s="120"/>
      <c r="CZ470" s="120"/>
      <c r="DA470" s="120"/>
      <c r="DB470" s="120"/>
      <c r="DC470" s="120"/>
      <c r="DD470" s="120"/>
      <c r="DE470" s="120"/>
      <c r="DF470" s="120"/>
      <c r="DG470" s="120"/>
      <c r="DH470" s="120"/>
      <c r="DI470" s="120"/>
      <c r="DJ470" s="120"/>
      <c r="DK470" s="120"/>
      <c r="DL470" s="120"/>
      <c r="DM470" s="120"/>
      <c r="DN470" s="120"/>
      <c r="DO470" s="120"/>
      <c r="DP470" s="120"/>
      <c r="DQ470" s="120"/>
      <c r="DR470" s="120"/>
      <c r="DS470" s="120"/>
      <c r="DT470" s="120"/>
      <c r="DU470" s="120"/>
      <c r="DV470" s="120"/>
      <c r="DW470" s="120"/>
      <c r="DX470" s="120"/>
      <c r="DY470" s="120"/>
      <c r="DZ470" s="120"/>
      <c r="EA470" s="120"/>
      <c r="EB470" s="120"/>
      <c r="EC470" s="120"/>
      <c r="ED470" s="120"/>
      <c r="EE470" s="120"/>
      <c r="EF470" s="120"/>
      <c r="EG470" s="120"/>
      <c r="EH470" s="120"/>
      <c r="EI470" s="120"/>
      <c r="EJ470" s="120"/>
      <c r="EK470" s="120"/>
      <c r="EL470" s="120"/>
      <c r="EM470" s="120"/>
      <c r="EN470" s="120"/>
      <c r="EO470" s="120"/>
      <c r="EP470" s="120"/>
      <c r="EQ470" s="120"/>
      <c r="ER470" s="120"/>
      <c r="ES470" s="120"/>
      <c r="ET470" s="120"/>
      <c r="EU470" s="120"/>
      <c r="EV470" s="120"/>
      <c r="EW470" s="120"/>
      <c r="EX470" s="120"/>
      <c r="EY470" s="120"/>
      <c r="EZ470" s="120"/>
      <c r="FA470" s="120"/>
      <c r="FB470" s="120"/>
      <c r="FC470" s="120"/>
      <c r="FD470" s="120"/>
      <c r="FE470" s="120"/>
      <c r="FF470" s="120"/>
      <c r="FG470" s="120"/>
      <c r="FH470" s="120"/>
      <c r="FI470" s="120"/>
      <c r="FJ470" s="120"/>
      <c r="FK470" s="120"/>
      <c r="FL470" s="120"/>
      <c r="FM470" s="120"/>
      <c r="FN470" s="120"/>
      <c r="FO470" s="120"/>
      <c r="FP470" s="120"/>
      <c r="FQ470" s="120"/>
      <c r="FR470" s="120"/>
      <c r="FS470" s="120"/>
      <c r="FT470" s="120"/>
      <c r="FU470" s="120"/>
      <c r="FV470" s="120"/>
      <c r="FW470" s="120"/>
      <c r="FX470" s="120"/>
      <c r="FY470" s="120"/>
      <c r="FZ470" s="120"/>
      <c r="GA470" s="120"/>
      <c r="GB470" s="120"/>
      <c r="GC470" s="120"/>
      <c r="GD470" s="120"/>
      <c r="GE470" s="120"/>
      <c r="GF470" s="120"/>
      <c r="GG470" s="120"/>
      <c r="GH470" s="120"/>
      <c r="GI470" s="120"/>
      <c r="GJ470" s="120"/>
      <c r="GK470" s="120"/>
      <c r="GL470" s="120"/>
      <c r="GM470" s="120"/>
      <c r="GN470" s="120"/>
      <c r="GO470" s="120"/>
      <c r="GP470" s="120"/>
      <c r="GQ470" s="120"/>
      <c r="GR470" s="120"/>
      <c r="GS470" s="120"/>
      <c r="GT470" s="120"/>
      <c r="GU470" s="120"/>
      <c r="GV470" s="120"/>
      <c r="GW470" s="120"/>
      <c r="GX470" s="120"/>
      <c r="GY470" s="120"/>
      <c r="GZ470" s="120"/>
      <c r="HA470" s="120"/>
      <c r="HB470" s="120"/>
      <c r="HC470" s="120"/>
      <c r="HD470" s="120"/>
      <c r="HE470" s="120"/>
      <c r="HF470" s="120"/>
      <c r="HG470" s="120"/>
      <c r="HH470" s="120"/>
      <c r="HI470" s="120"/>
      <c r="HJ470" s="120"/>
      <c r="HK470" s="120"/>
      <c r="HL470" s="120"/>
      <c r="HM470" s="120"/>
      <c r="HN470" s="120"/>
      <c r="HO470" s="120"/>
      <c r="HP470" s="120"/>
      <c r="HQ470" s="120"/>
      <c r="HR470" s="120"/>
      <c r="HS470" s="120"/>
      <c r="HT470" s="120"/>
      <c r="HU470" s="120"/>
      <c r="HV470" s="120"/>
      <c r="HW470" s="120"/>
      <c r="HX470" s="120"/>
      <c r="HY470" s="120"/>
      <c r="HZ470" s="120"/>
      <c r="IA470" s="120"/>
    </row>
    <row r="471" spans="1:235" s="84" customFormat="1" ht="12">
      <c r="A471" s="124" t="s">
        <v>418</v>
      </c>
      <c r="B471" s="121"/>
      <c r="C471" s="121"/>
      <c r="D471" s="122"/>
      <c r="E471" s="122"/>
      <c r="F471" s="122"/>
      <c r="G471" s="122">
        <f>G514</f>
        <v>0</v>
      </c>
      <c r="H471" s="122">
        <f>H514</f>
        <v>238000</v>
      </c>
      <c r="I471" s="122"/>
      <c r="J471" s="122">
        <f>G471+H471</f>
        <v>238000</v>
      </c>
      <c r="K471" s="122"/>
      <c r="L471" s="122"/>
      <c r="M471" s="122"/>
      <c r="N471" s="122">
        <f>N514</f>
        <v>0</v>
      </c>
      <c r="O471" s="122">
        <f>O514</f>
        <v>5080000</v>
      </c>
      <c r="P471" s="122">
        <f>O471+N471</f>
        <v>5080000</v>
      </c>
      <c r="Q471" s="182"/>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c r="BR471" s="120"/>
      <c r="BS471" s="120"/>
      <c r="BT471" s="120"/>
      <c r="BU471" s="120"/>
      <c r="BV471" s="120"/>
      <c r="BW471" s="120"/>
      <c r="BX471" s="120"/>
      <c r="BY471" s="120"/>
      <c r="BZ471" s="120"/>
      <c r="CA471" s="120"/>
      <c r="CB471" s="120"/>
      <c r="CC471" s="120"/>
      <c r="CD471" s="120"/>
      <c r="CE471" s="120"/>
      <c r="CF471" s="120"/>
      <c r="CG471" s="120"/>
      <c r="CH471" s="120"/>
      <c r="CI471" s="120"/>
      <c r="CJ471" s="120"/>
      <c r="CK471" s="120"/>
      <c r="CL471" s="120"/>
      <c r="CM471" s="120"/>
      <c r="CN471" s="120"/>
      <c r="CO471" s="120"/>
      <c r="CP471" s="120"/>
      <c r="CQ471" s="120"/>
      <c r="CR471" s="120"/>
      <c r="CS471" s="120"/>
      <c r="CT471" s="120"/>
      <c r="CU471" s="120"/>
      <c r="CV471" s="120"/>
      <c r="CW471" s="120"/>
      <c r="CX471" s="120"/>
      <c r="CY471" s="120"/>
      <c r="CZ471" s="120"/>
      <c r="DA471" s="120"/>
      <c r="DB471" s="120"/>
      <c r="DC471" s="120"/>
      <c r="DD471" s="120"/>
      <c r="DE471" s="120"/>
      <c r="DF471" s="120"/>
      <c r="DG471" s="120"/>
      <c r="DH471" s="120"/>
      <c r="DI471" s="120"/>
      <c r="DJ471" s="120"/>
      <c r="DK471" s="120"/>
      <c r="DL471" s="120"/>
      <c r="DM471" s="120"/>
      <c r="DN471" s="120"/>
      <c r="DO471" s="120"/>
      <c r="DP471" s="120"/>
      <c r="DQ471" s="120"/>
      <c r="DR471" s="120"/>
      <c r="DS471" s="120"/>
      <c r="DT471" s="120"/>
      <c r="DU471" s="120"/>
      <c r="DV471" s="120"/>
      <c r="DW471" s="120"/>
      <c r="DX471" s="120"/>
      <c r="DY471" s="120"/>
      <c r="DZ471" s="120"/>
      <c r="EA471" s="120"/>
      <c r="EB471" s="120"/>
      <c r="EC471" s="120"/>
      <c r="ED471" s="120"/>
      <c r="EE471" s="120"/>
      <c r="EF471" s="120"/>
      <c r="EG471" s="120"/>
      <c r="EH471" s="120"/>
      <c r="EI471" s="120"/>
      <c r="EJ471" s="120"/>
      <c r="EK471" s="120"/>
      <c r="EL471" s="120"/>
      <c r="EM471" s="120"/>
      <c r="EN471" s="120"/>
      <c r="EO471" s="120"/>
      <c r="EP471" s="120"/>
      <c r="EQ471" s="120"/>
      <c r="ER471" s="120"/>
      <c r="ES471" s="120"/>
      <c r="ET471" s="120"/>
      <c r="EU471" s="120"/>
      <c r="EV471" s="120"/>
      <c r="EW471" s="120"/>
      <c r="EX471" s="120"/>
      <c r="EY471" s="120"/>
      <c r="EZ471" s="120"/>
      <c r="FA471" s="120"/>
      <c r="FB471" s="120"/>
      <c r="FC471" s="120"/>
      <c r="FD471" s="120"/>
      <c r="FE471" s="120"/>
      <c r="FF471" s="120"/>
      <c r="FG471" s="120"/>
      <c r="FH471" s="120"/>
      <c r="FI471" s="120"/>
      <c r="FJ471" s="120"/>
      <c r="FK471" s="120"/>
      <c r="FL471" s="120"/>
      <c r="FM471" s="120"/>
      <c r="FN471" s="120"/>
      <c r="FO471" s="120"/>
      <c r="FP471" s="120"/>
      <c r="FQ471" s="120"/>
      <c r="FR471" s="120"/>
      <c r="FS471" s="120"/>
      <c r="FT471" s="120"/>
      <c r="FU471" s="120"/>
      <c r="FV471" s="120"/>
      <c r="FW471" s="120"/>
      <c r="FX471" s="120"/>
      <c r="FY471" s="120"/>
      <c r="FZ471" s="120"/>
      <c r="GA471" s="120"/>
      <c r="GB471" s="120"/>
      <c r="GC471" s="120"/>
      <c r="GD471" s="120"/>
      <c r="GE471" s="120"/>
      <c r="GF471" s="120"/>
      <c r="GG471" s="120"/>
      <c r="GH471" s="120"/>
      <c r="GI471" s="120"/>
      <c r="GJ471" s="120"/>
      <c r="GK471" s="120"/>
      <c r="GL471" s="120"/>
      <c r="GM471" s="120"/>
      <c r="GN471" s="120"/>
      <c r="GO471" s="120"/>
      <c r="GP471" s="120"/>
      <c r="GQ471" s="120"/>
      <c r="GR471" s="120"/>
      <c r="GS471" s="120"/>
      <c r="GT471" s="120"/>
      <c r="GU471" s="120"/>
      <c r="GV471" s="120"/>
      <c r="GW471" s="120"/>
      <c r="GX471" s="120"/>
      <c r="GY471" s="120"/>
      <c r="GZ471" s="120"/>
      <c r="HA471" s="120"/>
      <c r="HB471" s="120"/>
      <c r="HC471" s="120"/>
      <c r="HD471" s="120"/>
      <c r="HE471" s="120"/>
      <c r="HF471" s="120"/>
      <c r="HG471" s="120"/>
      <c r="HH471" s="120"/>
      <c r="HI471" s="120"/>
      <c r="HJ471" s="120"/>
      <c r="HK471" s="120"/>
      <c r="HL471" s="120"/>
      <c r="HM471" s="120"/>
      <c r="HN471" s="120"/>
      <c r="HO471" s="120"/>
      <c r="HP471" s="120"/>
      <c r="HQ471" s="120"/>
      <c r="HR471" s="120"/>
      <c r="HS471" s="120"/>
      <c r="HT471" s="120"/>
      <c r="HU471" s="120"/>
      <c r="HV471" s="120"/>
      <c r="HW471" s="120"/>
      <c r="HX471" s="120"/>
      <c r="HY471" s="120"/>
      <c r="HZ471" s="120"/>
      <c r="IA471" s="120"/>
    </row>
    <row r="472" spans="1:16" ht="108" customHeight="1">
      <c r="A472" s="44" t="s">
        <v>435</v>
      </c>
      <c r="B472" s="40"/>
      <c r="C472" s="40"/>
      <c r="D472" s="38"/>
      <c r="E472" s="38"/>
      <c r="F472" s="38"/>
      <c r="G472" s="38"/>
      <c r="H472" s="38"/>
      <c r="I472" s="38"/>
      <c r="J472" s="38"/>
      <c r="K472" s="138"/>
      <c r="L472" s="39"/>
      <c r="M472" s="39"/>
      <c r="N472" s="38"/>
      <c r="O472" s="38"/>
      <c r="P472" s="38"/>
    </row>
    <row r="473" spans="1:235" s="84" customFormat="1" ht="24.75" customHeight="1">
      <c r="A473" s="95" t="s">
        <v>378</v>
      </c>
      <c r="B473" s="95"/>
      <c r="C473" s="95"/>
      <c r="D473" s="99"/>
      <c r="E473" s="99">
        <f>E476*E478+1.32</f>
        <v>180690</v>
      </c>
      <c r="F473" s="99">
        <f>E473</f>
        <v>180690</v>
      </c>
      <c r="G473" s="99"/>
      <c r="H473" s="99">
        <f>H476*H478</f>
        <v>180689.9999997</v>
      </c>
      <c r="I473" s="99"/>
      <c r="J473" s="99">
        <f>H473</f>
        <v>180689.9999997</v>
      </c>
      <c r="K473" s="136"/>
      <c r="L473" s="99"/>
      <c r="M473" s="99"/>
      <c r="N473" s="99"/>
      <c r="O473" s="99">
        <f>O476*O478</f>
        <v>180689.9999997</v>
      </c>
      <c r="P473" s="99">
        <f>O473</f>
        <v>180689.9999997</v>
      </c>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c r="BR473" s="120"/>
      <c r="BS473" s="120"/>
      <c r="BT473" s="120"/>
      <c r="BU473" s="120"/>
      <c r="BV473" s="120"/>
      <c r="BW473" s="120"/>
      <c r="BX473" s="120"/>
      <c r="BY473" s="120"/>
      <c r="BZ473" s="120"/>
      <c r="CA473" s="120"/>
      <c r="CB473" s="120"/>
      <c r="CC473" s="120"/>
      <c r="CD473" s="120"/>
      <c r="CE473" s="120"/>
      <c r="CF473" s="120"/>
      <c r="CG473" s="120"/>
      <c r="CH473" s="120"/>
      <c r="CI473" s="120"/>
      <c r="CJ473" s="120"/>
      <c r="CK473" s="120"/>
      <c r="CL473" s="120"/>
      <c r="CM473" s="120"/>
      <c r="CN473" s="120"/>
      <c r="CO473" s="120"/>
      <c r="CP473" s="120"/>
      <c r="CQ473" s="120"/>
      <c r="CR473" s="120"/>
      <c r="CS473" s="120"/>
      <c r="CT473" s="120"/>
      <c r="CU473" s="120"/>
      <c r="CV473" s="120"/>
      <c r="CW473" s="120"/>
      <c r="CX473" s="120"/>
      <c r="CY473" s="120"/>
      <c r="CZ473" s="120"/>
      <c r="DA473" s="120"/>
      <c r="DB473" s="120"/>
      <c r="DC473" s="120"/>
      <c r="DD473" s="120"/>
      <c r="DE473" s="120"/>
      <c r="DF473" s="120"/>
      <c r="DG473" s="120"/>
      <c r="DH473" s="120"/>
      <c r="DI473" s="120"/>
      <c r="DJ473" s="120"/>
      <c r="DK473" s="120"/>
      <c r="DL473" s="120"/>
      <c r="DM473" s="120"/>
      <c r="DN473" s="120"/>
      <c r="DO473" s="120"/>
      <c r="DP473" s="120"/>
      <c r="DQ473" s="120"/>
      <c r="DR473" s="120"/>
      <c r="DS473" s="120"/>
      <c r="DT473" s="120"/>
      <c r="DU473" s="120"/>
      <c r="DV473" s="120"/>
      <c r="DW473" s="120"/>
      <c r="DX473" s="120"/>
      <c r="DY473" s="120"/>
      <c r="DZ473" s="120"/>
      <c r="EA473" s="120"/>
      <c r="EB473" s="120"/>
      <c r="EC473" s="120"/>
      <c r="ED473" s="120"/>
      <c r="EE473" s="120"/>
      <c r="EF473" s="120"/>
      <c r="EG473" s="120"/>
      <c r="EH473" s="120"/>
      <c r="EI473" s="120"/>
      <c r="EJ473" s="120"/>
      <c r="EK473" s="120"/>
      <c r="EL473" s="120"/>
      <c r="EM473" s="120"/>
      <c r="EN473" s="120"/>
      <c r="EO473" s="120"/>
      <c r="EP473" s="120"/>
      <c r="EQ473" s="120"/>
      <c r="ER473" s="120"/>
      <c r="ES473" s="120"/>
      <c r="ET473" s="120"/>
      <c r="EU473" s="120"/>
      <c r="EV473" s="120"/>
      <c r="EW473" s="120"/>
      <c r="EX473" s="120"/>
      <c r="EY473" s="120"/>
      <c r="EZ473" s="120"/>
      <c r="FA473" s="120"/>
      <c r="FB473" s="120"/>
      <c r="FC473" s="120"/>
      <c r="FD473" s="120"/>
      <c r="FE473" s="120"/>
      <c r="FF473" s="120"/>
      <c r="FG473" s="120"/>
      <c r="FH473" s="120"/>
      <c r="FI473" s="120"/>
      <c r="FJ473" s="120"/>
      <c r="FK473" s="120"/>
      <c r="FL473" s="120"/>
      <c r="FM473" s="120"/>
      <c r="FN473" s="120"/>
      <c r="FO473" s="120"/>
      <c r="FP473" s="120"/>
      <c r="FQ473" s="120"/>
      <c r="FR473" s="120"/>
      <c r="FS473" s="120"/>
      <c r="FT473" s="120"/>
      <c r="FU473" s="120"/>
      <c r="FV473" s="120"/>
      <c r="FW473" s="120"/>
      <c r="FX473" s="120"/>
      <c r="FY473" s="120"/>
      <c r="FZ473" s="120"/>
      <c r="GA473" s="120"/>
      <c r="GB473" s="120"/>
      <c r="GC473" s="120"/>
      <c r="GD473" s="120"/>
      <c r="GE473" s="120"/>
      <c r="GF473" s="120"/>
      <c r="GG473" s="120"/>
      <c r="GH473" s="120"/>
      <c r="GI473" s="120"/>
      <c r="GJ473" s="120"/>
      <c r="GK473" s="120"/>
      <c r="GL473" s="120"/>
      <c r="GM473" s="120"/>
      <c r="GN473" s="120"/>
      <c r="GO473" s="120"/>
      <c r="GP473" s="120"/>
      <c r="GQ473" s="120"/>
      <c r="GR473" s="120"/>
      <c r="GS473" s="120"/>
      <c r="GT473" s="120"/>
      <c r="GU473" s="120"/>
      <c r="GV473" s="120"/>
      <c r="GW473" s="120"/>
      <c r="GX473" s="120"/>
      <c r="GY473" s="120"/>
      <c r="GZ473" s="120"/>
      <c r="HA473" s="120"/>
      <c r="HB473" s="120"/>
      <c r="HC473" s="120"/>
      <c r="HD473" s="120"/>
      <c r="HE473" s="120"/>
      <c r="HF473" s="120"/>
      <c r="HG473" s="120"/>
      <c r="HH473" s="120"/>
      <c r="HI473" s="120"/>
      <c r="HJ473" s="120"/>
      <c r="HK473" s="120"/>
      <c r="HL473" s="120"/>
      <c r="HM473" s="120"/>
      <c r="HN473" s="120"/>
      <c r="HO473" s="120"/>
      <c r="HP473" s="120"/>
      <c r="HQ473" s="120"/>
      <c r="HR473" s="120"/>
      <c r="HS473" s="120"/>
      <c r="HT473" s="120"/>
      <c r="HU473" s="120"/>
      <c r="HV473" s="120"/>
      <c r="HW473" s="120"/>
      <c r="HX473" s="120"/>
      <c r="HY473" s="120"/>
      <c r="HZ473" s="120"/>
      <c r="IA473" s="120"/>
    </row>
    <row r="474" spans="1:16" ht="11.25">
      <c r="A474" s="42" t="s">
        <v>5</v>
      </c>
      <c r="B474" s="30"/>
      <c r="C474" s="30"/>
      <c r="D474" s="132"/>
      <c r="E474" s="132"/>
      <c r="F474" s="34"/>
      <c r="G474" s="132"/>
      <c r="H474" s="132"/>
      <c r="I474" s="132"/>
      <c r="J474" s="34"/>
      <c r="K474" s="34"/>
      <c r="L474" s="132"/>
      <c r="M474" s="132"/>
      <c r="N474" s="132"/>
      <c r="O474" s="132"/>
      <c r="P474" s="34"/>
    </row>
    <row r="475" spans="1:16" ht="26.25" customHeight="1">
      <c r="A475" s="43" t="s">
        <v>203</v>
      </c>
      <c r="B475" s="32"/>
      <c r="C475" s="32"/>
      <c r="D475" s="35"/>
      <c r="E475" s="35">
        <v>33</v>
      </c>
      <c r="F475" s="35">
        <f>E475</f>
        <v>33</v>
      </c>
      <c r="G475" s="35"/>
      <c r="H475" s="35">
        <v>33</v>
      </c>
      <c r="I475" s="35"/>
      <c r="J475" s="35">
        <f>H475</f>
        <v>33</v>
      </c>
      <c r="K475" s="35" t="e">
        <f>G475/D475*100</f>
        <v>#DIV/0!</v>
      </c>
      <c r="L475" s="35"/>
      <c r="M475" s="35"/>
      <c r="N475" s="35"/>
      <c r="O475" s="35">
        <v>33</v>
      </c>
      <c r="P475" s="35">
        <f>O475</f>
        <v>33</v>
      </c>
    </row>
    <row r="476" spans="1:16" ht="26.25" customHeight="1">
      <c r="A476" s="43" t="s">
        <v>69</v>
      </c>
      <c r="B476" s="32"/>
      <c r="C476" s="32"/>
      <c r="D476" s="35"/>
      <c r="E476" s="35">
        <v>94</v>
      </c>
      <c r="F476" s="35">
        <v>94</v>
      </c>
      <c r="G476" s="35"/>
      <c r="H476" s="35">
        <v>94</v>
      </c>
      <c r="I476" s="35"/>
      <c r="J476" s="35">
        <v>94</v>
      </c>
      <c r="K476" s="35"/>
      <c r="L476" s="35"/>
      <c r="M476" s="35"/>
      <c r="N476" s="35"/>
      <c r="O476" s="35">
        <v>94</v>
      </c>
      <c r="P476" s="35">
        <v>94</v>
      </c>
    </row>
    <row r="477" spans="1:16" ht="11.25">
      <c r="A477" s="42" t="s">
        <v>7</v>
      </c>
      <c r="B477" s="30"/>
      <c r="C477" s="30"/>
      <c r="D477" s="132"/>
      <c r="E477" s="132"/>
      <c r="F477" s="34"/>
      <c r="G477" s="132"/>
      <c r="H477" s="132"/>
      <c r="I477" s="132"/>
      <c r="J477" s="34"/>
      <c r="K477" s="34"/>
      <c r="L477" s="132"/>
      <c r="M477" s="132"/>
      <c r="N477" s="132"/>
      <c r="O477" s="132"/>
      <c r="P477" s="34"/>
    </row>
    <row r="478" spans="1:16" ht="23.25" customHeight="1">
      <c r="A478" s="43" t="s">
        <v>70</v>
      </c>
      <c r="B478" s="32"/>
      <c r="C478" s="32"/>
      <c r="D478" s="34"/>
      <c r="E478" s="34">
        <v>1922.22</v>
      </c>
      <c r="F478" s="34">
        <f>E478</f>
        <v>1922.22</v>
      </c>
      <c r="G478" s="34"/>
      <c r="H478" s="34">
        <v>1922.23404255</v>
      </c>
      <c r="I478" s="34"/>
      <c r="J478" s="34">
        <f>H478</f>
        <v>1922.23404255</v>
      </c>
      <c r="K478" s="34" t="e">
        <f>G478/D478*100</f>
        <v>#DIV/0!</v>
      </c>
      <c r="L478" s="34"/>
      <c r="M478" s="34"/>
      <c r="N478" s="34"/>
      <c r="O478" s="34">
        <v>1922.23404255</v>
      </c>
      <c r="P478" s="34">
        <f>O478</f>
        <v>1922.23404255</v>
      </c>
    </row>
    <row r="479" spans="1:16" ht="11.25">
      <c r="A479" s="53" t="s">
        <v>6</v>
      </c>
      <c r="B479" s="32"/>
      <c r="C479" s="32"/>
      <c r="D479" s="34"/>
      <c r="E479" s="34"/>
      <c r="F479" s="34"/>
      <c r="G479" s="34"/>
      <c r="H479" s="34"/>
      <c r="I479" s="34"/>
      <c r="J479" s="34"/>
      <c r="K479" s="34"/>
      <c r="L479" s="34"/>
      <c r="M479" s="34"/>
      <c r="N479" s="34"/>
      <c r="O479" s="34"/>
      <c r="P479" s="34"/>
    </row>
    <row r="480" spans="1:16" ht="29.25" customHeight="1">
      <c r="A480" s="54" t="s">
        <v>204</v>
      </c>
      <c r="B480" s="32"/>
      <c r="C480" s="32"/>
      <c r="D480" s="34"/>
      <c r="E480" s="34"/>
      <c r="F480" s="34"/>
      <c r="G480" s="34"/>
      <c r="H480" s="34"/>
      <c r="I480" s="34"/>
      <c r="J480" s="34"/>
      <c r="K480" s="34"/>
      <c r="L480" s="34"/>
      <c r="M480" s="34"/>
      <c r="N480" s="34"/>
      <c r="O480" s="34"/>
      <c r="P480" s="34"/>
    </row>
    <row r="481" spans="1:235" s="91" customFormat="1" ht="33.75" customHeight="1">
      <c r="A481" s="95" t="s">
        <v>379</v>
      </c>
      <c r="B481" s="95"/>
      <c r="C481" s="95"/>
      <c r="D481" s="99"/>
      <c r="E481" s="99">
        <f>E485</f>
        <v>162140</v>
      </c>
      <c r="F481" s="99">
        <f>E481</f>
        <v>162140</v>
      </c>
      <c r="G481" s="99"/>
      <c r="H481" s="99">
        <f>H485</f>
        <v>257570</v>
      </c>
      <c r="I481" s="99"/>
      <c r="J481" s="99">
        <f>H481</f>
        <v>257570</v>
      </c>
      <c r="K481" s="99"/>
      <c r="L481" s="99"/>
      <c r="M481" s="99"/>
      <c r="N481" s="99"/>
      <c r="O481" s="99">
        <f>O485</f>
        <v>257570</v>
      </c>
      <c r="P481" s="99">
        <f>O481</f>
        <v>257570</v>
      </c>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c r="CB481" s="90"/>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row>
    <row r="482" spans="1:16" ht="11.25">
      <c r="A482" s="42" t="s">
        <v>5</v>
      </c>
      <c r="B482" s="30"/>
      <c r="C482" s="30"/>
      <c r="D482" s="132"/>
      <c r="E482" s="132"/>
      <c r="F482" s="34"/>
      <c r="G482" s="132"/>
      <c r="H482" s="132"/>
      <c r="I482" s="132"/>
      <c r="J482" s="34"/>
      <c r="K482" s="34"/>
      <c r="L482" s="132"/>
      <c r="M482" s="132"/>
      <c r="N482" s="132"/>
      <c r="O482" s="132"/>
      <c r="P482" s="34"/>
    </row>
    <row r="483" spans="1:16" ht="24" customHeight="1">
      <c r="A483" s="43" t="s">
        <v>205</v>
      </c>
      <c r="B483" s="32"/>
      <c r="C483" s="32"/>
      <c r="D483" s="35"/>
      <c r="E483" s="35">
        <v>236</v>
      </c>
      <c r="F483" s="35">
        <f>E483</f>
        <v>236</v>
      </c>
      <c r="G483" s="35"/>
      <c r="H483" s="35">
        <v>236</v>
      </c>
      <c r="I483" s="35"/>
      <c r="J483" s="35">
        <f>H483</f>
        <v>236</v>
      </c>
      <c r="K483" s="35" t="e">
        <f>G483/D483*100</f>
        <v>#DIV/0!</v>
      </c>
      <c r="L483" s="35"/>
      <c r="M483" s="35"/>
      <c r="N483" s="35"/>
      <c r="O483" s="35">
        <v>236</v>
      </c>
      <c r="P483" s="35">
        <f>O483</f>
        <v>236</v>
      </c>
    </row>
    <row r="484" spans="1:16" ht="11.25">
      <c r="A484" s="42" t="s">
        <v>7</v>
      </c>
      <c r="B484" s="30"/>
      <c r="C484" s="30"/>
      <c r="D484" s="139"/>
      <c r="E484" s="139"/>
      <c r="F484" s="79"/>
      <c r="G484" s="139"/>
      <c r="H484" s="139"/>
      <c r="I484" s="139"/>
      <c r="J484" s="79"/>
      <c r="K484" s="79"/>
      <c r="L484" s="139"/>
      <c r="M484" s="139"/>
      <c r="N484" s="139"/>
      <c r="O484" s="139"/>
      <c r="P484" s="79"/>
    </row>
    <row r="485" spans="1:16" ht="24" customHeight="1">
      <c r="A485" s="45" t="s">
        <v>206</v>
      </c>
      <c r="B485" s="46"/>
      <c r="C485" s="75"/>
      <c r="D485" s="74"/>
      <c r="E485" s="74">
        <v>162140</v>
      </c>
      <c r="F485" s="74">
        <f>E485</f>
        <v>162140</v>
      </c>
      <c r="G485" s="74"/>
      <c r="H485" s="74">
        <v>257570</v>
      </c>
      <c r="I485" s="74"/>
      <c r="J485" s="74">
        <f>H485</f>
        <v>257570</v>
      </c>
      <c r="K485" s="74" t="e">
        <f>G485/D485*100</f>
        <v>#DIV/0!</v>
      </c>
      <c r="L485" s="74"/>
      <c r="M485" s="74"/>
      <c r="N485" s="74"/>
      <c r="O485" s="74">
        <v>257570</v>
      </c>
      <c r="P485" s="74">
        <f>O485</f>
        <v>257570</v>
      </c>
    </row>
    <row r="486" spans="1:235" s="91" customFormat="1" ht="33.75">
      <c r="A486" s="95" t="s">
        <v>380</v>
      </c>
      <c r="B486" s="95"/>
      <c r="C486" s="96"/>
      <c r="D486" s="104"/>
      <c r="E486" s="104">
        <v>191250</v>
      </c>
      <c r="F486" s="104">
        <f>E486</f>
        <v>191250</v>
      </c>
      <c r="G486" s="104"/>
      <c r="H486" s="104"/>
      <c r="I486" s="104"/>
      <c r="J486" s="104"/>
      <c r="K486" s="104"/>
      <c r="L486" s="104"/>
      <c r="M486" s="104"/>
      <c r="N486" s="104"/>
      <c r="O486" s="104"/>
      <c r="P486" s="104"/>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row>
    <row r="487" spans="1:16" ht="11.25">
      <c r="A487" s="42" t="s">
        <v>4</v>
      </c>
      <c r="B487" s="31"/>
      <c r="C487" s="31"/>
      <c r="D487" s="140"/>
      <c r="E487" s="140"/>
      <c r="F487" s="140"/>
      <c r="G487" s="140"/>
      <c r="H487" s="140"/>
      <c r="I487" s="140"/>
      <c r="J487" s="140"/>
      <c r="K487" s="141"/>
      <c r="L487" s="140"/>
      <c r="M487" s="140"/>
      <c r="N487" s="140"/>
      <c r="O487" s="140"/>
      <c r="P487" s="140"/>
    </row>
    <row r="488" spans="1:16" ht="11.25">
      <c r="A488" s="43" t="s">
        <v>65</v>
      </c>
      <c r="B488" s="33"/>
      <c r="C488" s="33"/>
      <c r="D488" s="35"/>
      <c r="E488" s="35">
        <f>E486/E492</f>
        <v>11.417910447761194</v>
      </c>
      <c r="F488" s="35">
        <f>E488</f>
        <v>11.417910447761194</v>
      </c>
      <c r="G488" s="35"/>
      <c r="H488" s="35"/>
      <c r="I488" s="35"/>
      <c r="J488" s="35"/>
      <c r="K488" s="35"/>
      <c r="L488" s="35"/>
      <c r="M488" s="35"/>
      <c r="N488" s="35"/>
      <c r="O488" s="35"/>
      <c r="P488" s="35"/>
    </row>
    <row r="489" spans="1:16" ht="11.25">
      <c r="A489" s="42" t="s">
        <v>5</v>
      </c>
      <c r="B489" s="31"/>
      <c r="C489" s="31"/>
      <c r="D489" s="133"/>
      <c r="E489" s="133"/>
      <c r="F489" s="35"/>
      <c r="G489" s="133"/>
      <c r="H489" s="133"/>
      <c r="I489" s="133"/>
      <c r="J489" s="35"/>
      <c r="K489" s="35"/>
      <c r="L489" s="133"/>
      <c r="M489" s="133"/>
      <c r="N489" s="133"/>
      <c r="O489" s="133"/>
      <c r="P489" s="35"/>
    </row>
    <row r="490" spans="1:16" ht="24" customHeight="1">
      <c r="A490" s="43" t="s">
        <v>66</v>
      </c>
      <c r="B490" s="33"/>
      <c r="C490" s="33"/>
      <c r="D490" s="35"/>
      <c r="E490" s="35">
        <v>11</v>
      </c>
      <c r="F490" s="35">
        <f>E490</f>
        <v>11</v>
      </c>
      <c r="G490" s="35"/>
      <c r="H490" s="35"/>
      <c r="I490" s="35"/>
      <c r="J490" s="35"/>
      <c r="K490" s="35"/>
      <c r="L490" s="35"/>
      <c r="M490" s="35"/>
      <c r="N490" s="35"/>
      <c r="O490" s="35"/>
      <c r="P490" s="35"/>
    </row>
    <row r="491" spans="1:16" ht="11.25">
      <c r="A491" s="42" t="s">
        <v>7</v>
      </c>
      <c r="B491" s="31"/>
      <c r="C491" s="31"/>
      <c r="D491" s="132"/>
      <c r="E491" s="132"/>
      <c r="F491" s="34"/>
      <c r="G491" s="132"/>
      <c r="H491" s="132"/>
      <c r="I491" s="132"/>
      <c r="J491" s="34"/>
      <c r="K491" s="34"/>
      <c r="L491" s="132"/>
      <c r="M491" s="132"/>
      <c r="N491" s="132"/>
      <c r="O491" s="132"/>
      <c r="P491" s="34"/>
    </row>
    <row r="492" spans="1:16" ht="24" customHeight="1">
      <c r="A492" s="45" t="s">
        <v>67</v>
      </c>
      <c r="B492" s="78"/>
      <c r="C492" s="78"/>
      <c r="D492" s="79"/>
      <c r="E492" s="79">
        <v>16750</v>
      </c>
      <c r="F492" s="79">
        <f>E492</f>
        <v>16750</v>
      </c>
      <c r="G492" s="79"/>
      <c r="H492" s="79"/>
      <c r="I492" s="79"/>
      <c r="J492" s="79"/>
      <c r="K492" s="79"/>
      <c r="L492" s="79"/>
      <c r="M492" s="79"/>
      <c r="N492" s="79"/>
      <c r="O492" s="79"/>
      <c r="P492" s="79"/>
    </row>
    <row r="493" spans="1:235" s="91" customFormat="1" ht="33.75">
      <c r="A493" s="95" t="s">
        <v>381</v>
      </c>
      <c r="B493" s="95"/>
      <c r="C493" s="96"/>
      <c r="D493" s="104"/>
      <c r="E493" s="104"/>
      <c r="F493" s="104"/>
      <c r="G493" s="104"/>
      <c r="H493" s="104">
        <f>H497*H499</f>
        <v>131250</v>
      </c>
      <c r="I493" s="104">
        <f aca="true" t="shared" si="45" ref="I493:Q493">I497*I499</f>
        <v>0</v>
      </c>
      <c r="J493" s="104">
        <f t="shared" si="45"/>
        <v>131250</v>
      </c>
      <c r="K493" s="104">
        <f t="shared" si="45"/>
        <v>0</v>
      </c>
      <c r="L493" s="104">
        <f t="shared" si="45"/>
        <v>0</v>
      </c>
      <c r="M493" s="104">
        <f t="shared" si="45"/>
        <v>0</v>
      </c>
      <c r="N493" s="104">
        <f t="shared" si="45"/>
        <v>0</v>
      </c>
      <c r="O493" s="104">
        <f t="shared" si="45"/>
        <v>131250</v>
      </c>
      <c r="P493" s="104">
        <f t="shared" si="45"/>
        <v>131250</v>
      </c>
      <c r="Q493" s="97">
        <f t="shared" si="45"/>
        <v>0</v>
      </c>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c r="BW493" s="90"/>
      <c r="BX493" s="90"/>
      <c r="BY493" s="90"/>
      <c r="BZ493" s="90"/>
      <c r="CA493" s="90"/>
      <c r="CB493" s="90"/>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row>
    <row r="494" spans="1:16" ht="11.25">
      <c r="A494" s="42" t="s">
        <v>4</v>
      </c>
      <c r="B494" s="31"/>
      <c r="C494" s="31"/>
      <c r="D494" s="140"/>
      <c r="E494" s="140"/>
      <c r="F494" s="140"/>
      <c r="G494" s="140"/>
      <c r="H494" s="140"/>
      <c r="I494" s="140"/>
      <c r="J494" s="140"/>
      <c r="K494" s="141"/>
      <c r="L494" s="140"/>
      <c r="M494" s="140"/>
      <c r="N494" s="140"/>
      <c r="O494" s="140"/>
      <c r="P494" s="140"/>
    </row>
    <row r="495" spans="1:16" ht="11.25">
      <c r="A495" s="43" t="s">
        <v>65</v>
      </c>
      <c r="B495" s="33"/>
      <c r="C495" s="33"/>
      <c r="D495" s="35"/>
      <c r="E495" s="35"/>
      <c r="F495" s="35"/>
      <c r="G495" s="35"/>
      <c r="H495" s="35">
        <v>8</v>
      </c>
      <c r="I495" s="35"/>
      <c r="J495" s="35">
        <v>8</v>
      </c>
      <c r="K495" s="35"/>
      <c r="L495" s="35"/>
      <c r="M495" s="35"/>
      <c r="N495" s="35"/>
      <c r="O495" s="35">
        <v>8</v>
      </c>
      <c r="P495" s="35">
        <v>8</v>
      </c>
    </row>
    <row r="496" spans="1:16" ht="11.25">
      <c r="A496" s="42" t="s">
        <v>5</v>
      </c>
      <c r="B496" s="31"/>
      <c r="C496" s="31"/>
      <c r="D496" s="133"/>
      <c r="E496" s="133"/>
      <c r="F496" s="35"/>
      <c r="G496" s="133"/>
      <c r="H496" s="133"/>
      <c r="I496" s="133"/>
      <c r="J496" s="35"/>
      <c r="K496" s="35"/>
      <c r="L496" s="133"/>
      <c r="M496" s="133"/>
      <c r="N496" s="133"/>
      <c r="O496" s="133"/>
      <c r="P496" s="35"/>
    </row>
    <row r="497" spans="1:16" ht="24" customHeight="1">
      <c r="A497" s="43" t="s">
        <v>66</v>
      </c>
      <c r="B497" s="33"/>
      <c r="C497" s="33"/>
      <c r="D497" s="35"/>
      <c r="E497" s="35"/>
      <c r="F497" s="35"/>
      <c r="G497" s="35"/>
      <c r="H497" s="35">
        <v>8</v>
      </c>
      <c r="I497" s="35"/>
      <c r="J497" s="35">
        <v>8</v>
      </c>
      <c r="K497" s="35"/>
      <c r="L497" s="35"/>
      <c r="M497" s="35"/>
      <c r="N497" s="35"/>
      <c r="O497" s="35">
        <v>8</v>
      </c>
      <c r="P497" s="35">
        <v>8</v>
      </c>
    </row>
    <row r="498" spans="1:16" ht="11.25">
      <c r="A498" s="42" t="s">
        <v>7</v>
      </c>
      <c r="B498" s="31"/>
      <c r="C498" s="31"/>
      <c r="D498" s="132"/>
      <c r="E498" s="132"/>
      <c r="F498" s="34"/>
      <c r="G498" s="132"/>
      <c r="H498" s="132"/>
      <c r="I498" s="132"/>
      <c r="J498" s="34"/>
      <c r="K498" s="34"/>
      <c r="L498" s="132"/>
      <c r="M498" s="132"/>
      <c r="N498" s="132"/>
      <c r="O498" s="132"/>
      <c r="P498" s="34"/>
    </row>
    <row r="499" spans="1:16" ht="24" customHeight="1">
      <c r="A499" s="45" t="s">
        <v>67</v>
      </c>
      <c r="B499" s="78"/>
      <c r="C499" s="78"/>
      <c r="D499" s="79"/>
      <c r="E499" s="79"/>
      <c r="F499" s="79"/>
      <c r="G499" s="79"/>
      <c r="H499" s="79">
        <v>16406.25</v>
      </c>
      <c r="I499" s="79"/>
      <c r="J499" s="79">
        <v>16406.25</v>
      </c>
      <c r="K499" s="79"/>
      <c r="L499" s="79"/>
      <c r="M499" s="79"/>
      <c r="N499" s="79"/>
      <c r="O499" s="79">
        <v>16406.25</v>
      </c>
      <c r="P499" s="79">
        <v>16406.25</v>
      </c>
    </row>
    <row r="500" spans="1:235" s="91" customFormat="1" ht="35.25" customHeight="1">
      <c r="A500" s="95" t="s">
        <v>382</v>
      </c>
      <c r="B500" s="103"/>
      <c r="C500" s="103"/>
      <c r="D500" s="104"/>
      <c r="E500" s="104"/>
      <c r="F500" s="104"/>
      <c r="G500" s="104"/>
      <c r="H500" s="104">
        <f>H504*H506</f>
        <v>110000</v>
      </c>
      <c r="I500" s="104"/>
      <c r="J500" s="104">
        <f>H500</f>
        <v>110000</v>
      </c>
      <c r="K500" s="104"/>
      <c r="L500" s="104"/>
      <c r="M500" s="104"/>
      <c r="N500" s="104"/>
      <c r="O500" s="104"/>
      <c r="P500" s="104"/>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c r="CB500" s="90"/>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row>
    <row r="501" spans="1:16" ht="11.25">
      <c r="A501" s="42" t="s">
        <v>4</v>
      </c>
      <c r="B501" s="80"/>
      <c r="C501" s="80"/>
      <c r="D501" s="74"/>
      <c r="E501" s="74"/>
      <c r="F501" s="74"/>
      <c r="G501" s="74"/>
      <c r="H501" s="74"/>
      <c r="I501" s="74"/>
      <c r="J501" s="74"/>
      <c r="K501" s="74"/>
      <c r="L501" s="74"/>
      <c r="M501" s="74"/>
      <c r="N501" s="74"/>
      <c r="O501" s="74"/>
      <c r="P501" s="74"/>
    </row>
    <row r="502" spans="1:16" ht="33.75">
      <c r="A502" s="43" t="s">
        <v>307</v>
      </c>
      <c r="B502" s="80"/>
      <c r="C502" s="80"/>
      <c r="D502" s="74"/>
      <c r="E502" s="74"/>
      <c r="F502" s="74"/>
      <c r="G502" s="74"/>
      <c r="H502" s="74">
        <v>110000</v>
      </c>
      <c r="I502" s="74"/>
      <c r="J502" s="74">
        <f>H502</f>
        <v>110000</v>
      </c>
      <c r="K502" s="74"/>
      <c r="L502" s="74"/>
      <c r="M502" s="74"/>
      <c r="N502" s="74"/>
      <c r="O502" s="74"/>
      <c r="P502" s="74"/>
    </row>
    <row r="503" spans="1:16" ht="11.25">
      <c r="A503" s="42" t="s">
        <v>5</v>
      </c>
      <c r="B503" s="80"/>
      <c r="C503" s="80"/>
      <c r="D503" s="74"/>
      <c r="E503" s="74"/>
      <c r="F503" s="74"/>
      <c r="G503" s="74"/>
      <c r="H503" s="74"/>
      <c r="I503" s="74"/>
      <c r="J503" s="74"/>
      <c r="K503" s="74"/>
      <c r="L503" s="74"/>
      <c r="M503" s="74"/>
      <c r="N503" s="74"/>
      <c r="O503" s="74"/>
      <c r="P503" s="74"/>
    </row>
    <row r="504" spans="1:16" ht="45">
      <c r="A504" s="106" t="s">
        <v>323</v>
      </c>
      <c r="B504" s="80"/>
      <c r="C504" s="80"/>
      <c r="D504" s="74"/>
      <c r="E504" s="74"/>
      <c r="F504" s="74"/>
      <c r="G504" s="74"/>
      <c r="H504" s="74">
        <v>1</v>
      </c>
      <c r="I504" s="74"/>
      <c r="J504" s="74">
        <v>1</v>
      </c>
      <c r="K504" s="74"/>
      <c r="L504" s="74"/>
      <c r="M504" s="74"/>
      <c r="N504" s="74"/>
      <c r="O504" s="74"/>
      <c r="P504" s="74"/>
    </row>
    <row r="505" spans="1:16" ht="11.25">
      <c r="A505" s="42" t="s">
        <v>7</v>
      </c>
      <c r="B505" s="80"/>
      <c r="C505" s="80"/>
      <c r="D505" s="74"/>
      <c r="E505" s="74"/>
      <c r="F505" s="74"/>
      <c r="G505" s="74"/>
      <c r="H505" s="74"/>
      <c r="I505" s="74"/>
      <c r="J505" s="74"/>
      <c r="K505" s="74"/>
      <c r="L505" s="74"/>
      <c r="M505" s="74"/>
      <c r="N505" s="74"/>
      <c r="O505" s="74"/>
      <c r="P505" s="74"/>
    </row>
    <row r="506" spans="1:16" ht="39" customHeight="1">
      <c r="A506" s="45" t="s">
        <v>308</v>
      </c>
      <c r="B506" s="80"/>
      <c r="C506" s="80"/>
      <c r="D506" s="74"/>
      <c r="E506" s="74"/>
      <c r="F506" s="74"/>
      <c r="G506" s="74"/>
      <c r="H506" s="74">
        <v>110000</v>
      </c>
      <c r="I506" s="74"/>
      <c r="J506" s="74">
        <f>J502/H504</f>
        <v>110000</v>
      </c>
      <c r="K506" s="74"/>
      <c r="L506" s="74"/>
      <c r="M506" s="74"/>
      <c r="N506" s="74"/>
      <c r="O506" s="74"/>
      <c r="P506" s="74"/>
    </row>
    <row r="507" spans="1:235" s="91" customFormat="1" ht="39" customHeight="1">
      <c r="A507" s="98" t="s">
        <v>383</v>
      </c>
      <c r="B507" s="103"/>
      <c r="C507" s="103"/>
      <c r="D507" s="104"/>
      <c r="E507" s="104"/>
      <c r="F507" s="104"/>
      <c r="G507" s="104"/>
      <c r="H507" s="104">
        <f>H509*H513</f>
        <v>199000</v>
      </c>
      <c r="I507" s="104"/>
      <c r="J507" s="104">
        <f>G507+H507</f>
        <v>199000</v>
      </c>
      <c r="K507" s="104"/>
      <c r="L507" s="104"/>
      <c r="M507" s="104"/>
      <c r="N507" s="104"/>
      <c r="O507" s="104"/>
      <c r="P507" s="104"/>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row>
    <row r="508" spans="1:16" ht="11.25">
      <c r="A508" s="86" t="s">
        <v>313</v>
      </c>
      <c r="B508" s="80"/>
      <c r="C508" s="80"/>
      <c r="D508" s="74"/>
      <c r="E508" s="74"/>
      <c r="F508" s="74"/>
      <c r="G508" s="74"/>
      <c r="H508" s="74"/>
      <c r="I508" s="74"/>
      <c r="J508" s="74"/>
      <c r="K508" s="74"/>
      <c r="L508" s="74"/>
      <c r="M508" s="74"/>
      <c r="N508" s="74"/>
      <c r="O508" s="74"/>
      <c r="P508" s="74"/>
    </row>
    <row r="509" spans="1:16" ht="33.75">
      <c r="A509" s="85" t="s">
        <v>314</v>
      </c>
      <c r="B509" s="80"/>
      <c r="C509" s="80"/>
      <c r="D509" s="74"/>
      <c r="E509" s="74"/>
      <c r="F509" s="74"/>
      <c r="G509" s="74"/>
      <c r="H509" s="74">
        <v>1</v>
      </c>
      <c r="I509" s="74"/>
      <c r="J509" s="74">
        <f>H509+G509</f>
        <v>1</v>
      </c>
      <c r="K509" s="74"/>
      <c r="L509" s="74"/>
      <c r="M509" s="74"/>
      <c r="N509" s="74"/>
      <c r="O509" s="74"/>
      <c r="P509" s="74"/>
    </row>
    <row r="510" spans="1:16" ht="11.25">
      <c r="A510" s="86" t="s">
        <v>315</v>
      </c>
      <c r="B510" s="80"/>
      <c r="C510" s="80"/>
      <c r="D510" s="74"/>
      <c r="E510" s="74"/>
      <c r="F510" s="74"/>
      <c r="G510" s="74"/>
      <c r="H510" s="74"/>
      <c r="I510" s="74"/>
      <c r="J510" s="74"/>
      <c r="K510" s="74"/>
      <c r="L510" s="74"/>
      <c r="M510" s="74"/>
      <c r="N510" s="74"/>
      <c r="O510" s="74"/>
      <c r="P510" s="74"/>
    </row>
    <row r="511" spans="1:16" ht="33.75">
      <c r="A511" s="85" t="s">
        <v>316</v>
      </c>
      <c r="B511" s="80"/>
      <c r="C511" s="80"/>
      <c r="D511" s="74"/>
      <c r="E511" s="74"/>
      <c r="F511" s="74"/>
      <c r="G511" s="74"/>
      <c r="H511" s="74">
        <v>199000</v>
      </c>
      <c r="I511" s="74"/>
      <c r="J511" s="74">
        <f>G511+H511</f>
        <v>199000</v>
      </c>
      <c r="K511" s="74"/>
      <c r="L511" s="74"/>
      <c r="M511" s="74"/>
      <c r="N511" s="74"/>
      <c r="O511" s="74"/>
      <c r="P511" s="74"/>
    </row>
    <row r="512" spans="1:16" ht="11.25">
      <c r="A512" s="86" t="s">
        <v>317</v>
      </c>
      <c r="B512" s="80"/>
      <c r="C512" s="80"/>
      <c r="D512" s="74"/>
      <c r="E512" s="74"/>
      <c r="F512" s="74"/>
      <c r="G512" s="74"/>
      <c r="H512" s="74"/>
      <c r="I512" s="74"/>
      <c r="J512" s="74"/>
      <c r="K512" s="74"/>
      <c r="L512" s="74"/>
      <c r="M512" s="74"/>
      <c r="N512" s="74"/>
      <c r="O512" s="74"/>
      <c r="P512" s="74"/>
    </row>
    <row r="513" spans="1:16" ht="37.5" customHeight="1">
      <c r="A513" s="85" t="s">
        <v>318</v>
      </c>
      <c r="B513" s="80"/>
      <c r="C513" s="80"/>
      <c r="D513" s="74"/>
      <c r="E513" s="74"/>
      <c r="F513" s="74"/>
      <c r="G513" s="74"/>
      <c r="H513" s="74">
        <v>199000</v>
      </c>
      <c r="I513" s="74"/>
      <c r="J513" s="74">
        <f>G513+H513</f>
        <v>199000</v>
      </c>
      <c r="K513" s="74"/>
      <c r="L513" s="74"/>
      <c r="M513" s="74"/>
      <c r="N513" s="74"/>
      <c r="O513" s="74"/>
      <c r="P513" s="74"/>
    </row>
    <row r="514" spans="1:16" ht="38.25" customHeight="1">
      <c r="A514" s="81" t="s">
        <v>405</v>
      </c>
      <c r="B514" s="183"/>
      <c r="C514" s="183"/>
      <c r="D514" s="184"/>
      <c r="E514" s="184"/>
      <c r="F514" s="184"/>
      <c r="G514" s="104"/>
      <c r="H514" s="104">
        <f>H516+H517</f>
        <v>238000</v>
      </c>
      <c r="I514" s="104"/>
      <c r="J514" s="104">
        <f>G514+H514</f>
        <v>238000</v>
      </c>
      <c r="K514" s="104"/>
      <c r="L514" s="104"/>
      <c r="M514" s="104"/>
      <c r="N514" s="104">
        <f>N516</f>
        <v>0</v>
      </c>
      <c r="O514" s="104">
        <f>O517+O516</f>
        <v>5080000</v>
      </c>
      <c r="P514" s="104">
        <f>O514+N514</f>
        <v>5080000</v>
      </c>
    </row>
    <row r="515" spans="1:16" ht="22.5" customHeight="1">
      <c r="A515" s="42" t="s">
        <v>4</v>
      </c>
      <c r="B515" s="80"/>
      <c r="C515" s="80"/>
      <c r="D515" s="74"/>
      <c r="E515" s="74"/>
      <c r="F515" s="74"/>
      <c r="G515" s="74"/>
      <c r="H515" s="74"/>
      <c r="I515" s="74"/>
      <c r="J515" s="74"/>
      <c r="K515" s="74"/>
      <c r="L515" s="74"/>
      <c r="M515" s="74"/>
      <c r="N515" s="74"/>
      <c r="O515" s="74"/>
      <c r="P515" s="74"/>
    </row>
    <row r="516" spans="1:16" ht="24.75" customHeight="1">
      <c r="A516" s="43" t="s">
        <v>399</v>
      </c>
      <c r="B516" s="80"/>
      <c r="C516" s="80"/>
      <c r="D516" s="74"/>
      <c r="E516" s="74"/>
      <c r="F516" s="74"/>
      <c r="H516" s="74">
        <f>163000+75000</f>
        <v>238000</v>
      </c>
      <c r="J516" s="74">
        <f>H516+H517</f>
        <v>238000</v>
      </c>
      <c r="K516" s="74"/>
      <c r="L516" s="74"/>
      <c r="M516" s="74"/>
      <c r="N516" s="74"/>
      <c r="O516" s="74">
        <v>80000</v>
      </c>
      <c r="P516" s="74">
        <f>N516</f>
        <v>0</v>
      </c>
    </row>
    <row r="517" spans="1:16" ht="24.75" customHeight="1">
      <c r="A517" s="43" t="s">
        <v>406</v>
      </c>
      <c r="B517" s="80"/>
      <c r="C517" s="80"/>
      <c r="D517" s="74"/>
      <c r="E517" s="74"/>
      <c r="F517" s="74"/>
      <c r="G517" s="74"/>
      <c r="H517" s="74"/>
      <c r="I517" s="74"/>
      <c r="J517" s="74"/>
      <c r="K517" s="74"/>
      <c r="L517" s="74"/>
      <c r="M517" s="74"/>
      <c r="N517" s="74"/>
      <c r="O517" s="74">
        <v>5000000</v>
      </c>
      <c r="P517" s="74">
        <f>O517</f>
        <v>5000000</v>
      </c>
    </row>
    <row r="518" spans="1:16" ht="15.75" customHeight="1">
      <c r="A518" s="42" t="s">
        <v>5</v>
      </c>
      <c r="B518" s="80"/>
      <c r="C518" s="80"/>
      <c r="D518" s="74"/>
      <c r="E518" s="74"/>
      <c r="F518" s="74"/>
      <c r="G518" s="74"/>
      <c r="H518" s="74"/>
      <c r="I518" s="74"/>
      <c r="J518" s="74"/>
      <c r="K518" s="74"/>
      <c r="L518" s="74"/>
      <c r="M518" s="74"/>
      <c r="N518" s="74"/>
      <c r="O518" s="74"/>
      <c r="P518" s="74"/>
    </row>
    <row r="519" spans="1:16" ht="31.5" customHeight="1">
      <c r="A519" s="197" t="s">
        <v>436</v>
      </c>
      <c r="B519" s="80"/>
      <c r="C519" s="80"/>
      <c r="D519" s="74"/>
      <c r="E519" s="74"/>
      <c r="F519" s="74"/>
      <c r="G519" s="74"/>
      <c r="H519" s="193">
        <v>500</v>
      </c>
      <c r="I519" s="74"/>
      <c r="J519" s="74"/>
      <c r="K519" s="74"/>
      <c r="L519" s="74"/>
      <c r="M519" s="74"/>
      <c r="N519" s="74"/>
      <c r="O519" s="194">
        <v>533</v>
      </c>
      <c r="P519" s="74">
        <f>O519</f>
        <v>533</v>
      </c>
    </row>
    <row r="520" spans="1:16" ht="31.5" customHeight="1">
      <c r="A520" s="195" t="s">
        <v>402</v>
      </c>
      <c r="B520" s="80"/>
      <c r="C520" s="80"/>
      <c r="D520" s="196"/>
      <c r="E520" s="74"/>
      <c r="F520" s="74"/>
      <c r="G520" s="74"/>
      <c r="H520" s="74">
        <v>6</v>
      </c>
      <c r="I520" s="74"/>
      <c r="J520" s="74"/>
      <c r="K520" s="74"/>
      <c r="L520" s="74"/>
      <c r="M520" s="74"/>
      <c r="N520" s="74"/>
      <c r="O520" s="74"/>
      <c r="P520" s="74"/>
    </row>
    <row r="521" spans="1:16" ht="26.25" customHeight="1">
      <c r="A521" s="106" t="s">
        <v>403</v>
      </c>
      <c r="B521" s="80"/>
      <c r="C521" s="80"/>
      <c r="D521" s="74"/>
      <c r="E521" s="74"/>
      <c r="F521" s="74"/>
      <c r="G521" s="74"/>
      <c r="H521" s="74"/>
      <c r="I521" s="74"/>
      <c r="J521" s="74"/>
      <c r="K521" s="74"/>
      <c r="L521" s="74"/>
      <c r="M521" s="74"/>
      <c r="N521" s="74"/>
      <c r="O521" s="194">
        <v>50</v>
      </c>
      <c r="P521" s="74">
        <f>O521</f>
        <v>50</v>
      </c>
    </row>
    <row r="522" spans="1:16" ht="23.25" customHeight="1">
      <c r="A522" s="42" t="s">
        <v>7</v>
      </c>
      <c r="B522" s="80"/>
      <c r="C522" s="80"/>
      <c r="D522" s="74"/>
      <c r="E522" s="74"/>
      <c r="F522" s="74"/>
      <c r="G522" s="74"/>
      <c r="H522" s="74"/>
      <c r="I522" s="74"/>
      <c r="J522" s="74"/>
      <c r="K522" s="74"/>
      <c r="L522" s="74"/>
      <c r="M522" s="74"/>
      <c r="N522" s="74"/>
      <c r="O522" s="74"/>
      <c r="P522" s="74"/>
    </row>
    <row r="523" spans="1:16" ht="37.5" customHeight="1">
      <c r="A523" s="45" t="s">
        <v>400</v>
      </c>
      <c r="B523" s="80"/>
      <c r="C523" s="80"/>
      <c r="D523" s="74"/>
      <c r="E523" s="74"/>
      <c r="F523" s="74"/>
      <c r="G523" s="74"/>
      <c r="H523" s="74">
        <f>75000/H519</f>
        <v>150</v>
      </c>
      <c r="I523" s="74"/>
      <c r="J523" s="74">
        <f>H523</f>
        <v>150</v>
      </c>
      <c r="K523" s="74"/>
      <c r="L523" s="74"/>
      <c r="M523" s="74"/>
      <c r="N523" s="74"/>
      <c r="O523" s="74">
        <f>O516/O519</f>
        <v>150.093808630394</v>
      </c>
      <c r="P523" s="74">
        <f>O523</f>
        <v>150.093808630394</v>
      </c>
    </row>
    <row r="524" spans="1:16" ht="37.5" customHeight="1">
      <c r="A524" s="45" t="s">
        <v>401</v>
      </c>
      <c r="B524" s="80"/>
      <c r="C524" s="80"/>
      <c r="D524" s="74"/>
      <c r="E524" s="74"/>
      <c r="F524" s="74"/>
      <c r="G524" s="74"/>
      <c r="H524" s="74">
        <f>163000/H520</f>
        <v>27166.666666666668</v>
      </c>
      <c r="I524" s="74"/>
      <c r="J524" s="74">
        <f>I524</f>
        <v>0</v>
      </c>
      <c r="K524" s="74"/>
      <c r="L524" s="74"/>
      <c r="M524" s="74"/>
      <c r="N524" s="74"/>
      <c r="O524" s="74"/>
      <c r="P524" s="74"/>
    </row>
    <row r="525" spans="1:16" ht="37.5" customHeight="1">
      <c r="A525" s="106" t="s">
        <v>404</v>
      </c>
      <c r="B525" s="80"/>
      <c r="C525" s="80"/>
      <c r="D525" s="74"/>
      <c r="E525" s="74"/>
      <c r="F525" s="74"/>
      <c r="G525" s="74"/>
      <c r="H525" s="74"/>
      <c r="I525" s="74"/>
      <c r="J525" s="74"/>
      <c r="K525" s="74"/>
      <c r="L525" s="74"/>
      <c r="M525" s="74"/>
      <c r="N525" s="74"/>
      <c r="O525" s="74">
        <f>O517/O521</f>
        <v>100000</v>
      </c>
      <c r="P525" s="74">
        <f>O525</f>
        <v>100000</v>
      </c>
    </row>
    <row r="526" spans="1:235" s="84" customFormat="1" ht="16.5" customHeight="1">
      <c r="A526" s="107" t="s">
        <v>441</v>
      </c>
      <c r="B526" s="107"/>
      <c r="C526" s="107"/>
      <c r="D526" s="118">
        <f>D527</f>
        <v>2172800</v>
      </c>
      <c r="E526" s="118">
        <f>E535</f>
        <v>13000</v>
      </c>
      <c r="F526" s="118">
        <f>D526+E526</f>
        <v>2185800</v>
      </c>
      <c r="G526" s="118">
        <f>G527</f>
        <v>298340</v>
      </c>
      <c r="H526" s="118"/>
      <c r="I526" s="118">
        <f>I527</f>
        <v>0</v>
      </c>
      <c r="J526" s="118">
        <f>G526</f>
        <v>298340</v>
      </c>
      <c r="K526" s="118" t="e">
        <f>#REF!+K527</f>
        <v>#REF!</v>
      </c>
      <c r="L526" s="118" t="e">
        <f>#REF!+L527</f>
        <v>#REF!</v>
      </c>
      <c r="M526" s="118" t="e">
        <f>#REF!+M527</f>
        <v>#REF!</v>
      </c>
      <c r="N526" s="118">
        <f>N527</f>
        <v>614700</v>
      </c>
      <c r="O526" s="118">
        <f>O527</f>
        <v>0</v>
      </c>
      <c r="P526" s="118">
        <f>N526</f>
        <v>614700</v>
      </c>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c r="DP526" s="120"/>
      <c r="DQ526" s="120"/>
      <c r="DR526" s="120"/>
      <c r="DS526" s="120"/>
      <c r="DT526" s="120"/>
      <c r="DU526" s="120"/>
      <c r="DV526" s="120"/>
      <c r="DW526" s="120"/>
      <c r="DX526" s="120"/>
      <c r="DY526" s="120"/>
      <c r="DZ526" s="120"/>
      <c r="EA526" s="120"/>
      <c r="EB526" s="120"/>
      <c r="EC526" s="120"/>
      <c r="ED526" s="120"/>
      <c r="EE526" s="120"/>
      <c r="EF526" s="120"/>
      <c r="EG526" s="120"/>
      <c r="EH526" s="120"/>
      <c r="EI526" s="120"/>
      <c r="EJ526" s="120"/>
      <c r="EK526" s="120"/>
      <c r="EL526" s="120"/>
      <c r="EM526" s="120"/>
      <c r="EN526" s="120"/>
      <c r="EO526" s="120"/>
      <c r="EP526" s="120"/>
      <c r="EQ526" s="120"/>
      <c r="ER526" s="120"/>
      <c r="ES526" s="120"/>
      <c r="ET526" s="120"/>
      <c r="EU526" s="120"/>
      <c r="EV526" s="120"/>
      <c r="EW526" s="120"/>
      <c r="EX526" s="120"/>
      <c r="EY526" s="120"/>
      <c r="EZ526" s="120"/>
      <c r="FA526" s="120"/>
      <c r="FB526" s="120"/>
      <c r="FC526" s="120"/>
      <c r="FD526" s="120"/>
      <c r="FE526" s="120"/>
      <c r="FF526" s="120"/>
      <c r="FG526" s="120"/>
      <c r="FH526" s="120"/>
      <c r="FI526" s="120"/>
      <c r="FJ526" s="120"/>
      <c r="FK526" s="120"/>
      <c r="FL526" s="120"/>
      <c r="FM526" s="120"/>
      <c r="FN526" s="120"/>
      <c r="FO526" s="120"/>
      <c r="FP526" s="120"/>
      <c r="FQ526" s="120"/>
      <c r="FR526" s="120"/>
      <c r="FS526" s="120"/>
      <c r="FT526" s="120"/>
      <c r="FU526" s="120"/>
      <c r="FV526" s="120"/>
      <c r="FW526" s="120"/>
      <c r="FX526" s="120"/>
      <c r="FY526" s="120"/>
      <c r="FZ526" s="120"/>
      <c r="GA526" s="120"/>
      <c r="GB526" s="120"/>
      <c r="GC526" s="120"/>
      <c r="GD526" s="120"/>
      <c r="GE526" s="120"/>
      <c r="GF526" s="120"/>
      <c r="GG526" s="120"/>
      <c r="GH526" s="120"/>
      <c r="GI526" s="120"/>
      <c r="GJ526" s="120"/>
      <c r="GK526" s="120"/>
      <c r="GL526" s="120"/>
      <c r="GM526" s="120"/>
      <c r="GN526" s="120"/>
      <c r="GO526" s="120"/>
      <c r="GP526" s="120"/>
      <c r="GQ526" s="120"/>
      <c r="GR526" s="120"/>
      <c r="GS526" s="120"/>
      <c r="GT526" s="120"/>
      <c r="GU526" s="120"/>
      <c r="GV526" s="120"/>
      <c r="GW526" s="120"/>
      <c r="GX526" s="120"/>
      <c r="GY526" s="120"/>
      <c r="GZ526" s="120"/>
      <c r="HA526" s="120"/>
      <c r="HB526" s="120"/>
      <c r="HC526" s="120"/>
      <c r="HD526" s="120"/>
      <c r="HE526" s="120"/>
      <c r="HF526" s="120"/>
      <c r="HG526" s="120"/>
      <c r="HH526" s="120"/>
      <c r="HI526" s="120"/>
      <c r="HJ526" s="120"/>
      <c r="HK526" s="120"/>
      <c r="HL526" s="120"/>
      <c r="HM526" s="120"/>
      <c r="HN526" s="120"/>
      <c r="HO526" s="120"/>
      <c r="HP526" s="120"/>
      <c r="HQ526" s="120"/>
      <c r="HR526" s="120"/>
      <c r="HS526" s="120"/>
      <c r="HT526" s="120"/>
      <c r="HU526" s="120"/>
      <c r="HV526" s="120"/>
      <c r="HW526" s="120"/>
      <c r="HX526" s="120"/>
      <c r="HY526" s="120"/>
      <c r="HZ526" s="120"/>
      <c r="IA526" s="120"/>
    </row>
    <row r="527" spans="1:235" s="91" customFormat="1" ht="29.25" customHeight="1">
      <c r="A527" s="81" t="s">
        <v>407</v>
      </c>
      <c r="B527" s="87"/>
      <c r="C527" s="87"/>
      <c r="D527" s="88">
        <f>D530</f>
        <v>2172800</v>
      </c>
      <c r="E527" s="88"/>
      <c r="F527" s="88">
        <f>D527</f>
        <v>2172800</v>
      </c>
      <c r="G527" s="88">
        <f>G530</f>
        <v>298340</v>
      </c>
      <c r="H527" s="88"/>
      <c r="I527" s="88">
        <f>I530</f>
        <v>0</v>
      </c>
      <c r="J527" s="88">
        <f>G527</f>
        <v>298340</v>
      </c>
      <c r="K527" s="88"/>
      <c r="L527" s="88"/>
      <c r="M527" s="88"/>
      <c r="N527" s="88">
        <f>N530</f>
        <v>614700</v>
      </c>
      <c r="O527" s="88">
        <f>O530</f>
        <v>0</v>
      </c>
      <c r="P527" s="88">
        <f>N527</f>
        <v>614700</v>
      </c>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c r="CB527" s="90"/>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row>
    <row r="528" spans="1:16" ht="26.25" customHeight="1">
      <c r="A528" s="44" t="s">
        <v>207</v>
      </c>
      <c r="B528" s="7"/>
      <c r="C528" s="7"/>
      <c r="D528" s="128"/>
      <c r="E528" s="128"/>
      <c r="F528" s="128"/>
      <c r="G528" s="128"/>
      <c r="H528" s="128"/>
      <c r="I528" s="128"/>
      <c r="J528" s="128"/>
      <c r="K528" s="14"/>
      <c r="L528" s="14"/>
      <c r="M528" s="14"/>
      <c r="N528" s="128"/>
      <c r="O528" s="128"/>
      <c r="P528" s="128"/>
    </row>
    <row r="529" spans="1:16" ht="11.25">
      <c r="A529" s="20" t="s">
        <v>4</v>
      </c>
      <c r="B529" s="7"/>
      <c r="C529" s="7"/>
      <c r="D529" s="14"/>
      <c r="E529" s="14"/>
      <c r="F529" s="14"/>
      <c r="G529" s="14"/>
      <c r="H529" s="14"/>
      <c r="I529" s="14"/>
      <c r="J529" s="14"/>
      <c r="K529" s="14"/>
      <c r="L529" s="14"/>
      <c r="M529" s="14"/>
      <c r="N529" s="14"/>
      <c r="O529" s="14"/>
      <c r="P529" s="14"/>
    </row>
    <row r="530" spans="1:16" ht="35.25" customHeight="1">
      <c r="A530" s="54" t="s">
        <v>262</v>
      </c>
      <c r="B530" s="58"/>
      <c r="C530" s="58"/>
      <c r="D530" s="61">
        <f>458700+125100+1589000</f>
        <v>2172800</v>
      </c>
      <c r="E530" s="61"/>
      <c r="F530" s="61">
        <f>D530</f>
        <v>2172800</v>
      </c>
      <c r="G530" s="14">
        <f>221340+30000+96800-49800</f>
        <v>298340</v>
      </c>
      <c r="H530" s="14"/>
      <c r="I530" s="14"/>
      <c r="J530" s="14">
        <f>G530</f>
        <v>298340</v>
      </c>
      <c r="K530" s="14"/>
      <c r="L530" s="14"/>
      <c r="M530" s="14"/>
      <c r="N530" s="14">
        <f>N532*N534</f>
        <v>614700</v>
      </c>
      <c r="O530" s="14"/>
      <c r="P530" s="14">
        <f>N530</f>
        <v>614700</v>
      </c>
    </row>
    <row r="531" spans="1:16" ht="11.25">
      <c r="A531" s="53" t="s">
        <v>5</v>
      </c>
      <c r="B531" s="58"/>
      <c r="C531" s="58"/>
      <c r="D531" s="61"/>
      <c r="E531" s="61"/>
      <c r="F531" s="61"/>
      <c r="G531" s="14"/>
      <c r="H531" s="14"/>
      <c r="I531" s="14"/>
      <c r="J531" s="14"/>
      <c r="K531" s="14"/>
      <c r="L531" s="14"/>
      <c r="M531" s="14"/>
      <c r="N531" s="14"/>
      <c r="O531" s="14"/>
      <c r="P531" s="14"/>
    </row>
    <row r="532" spans="1:16" ht="27" customHeight="1">
      <c r="A532" s="54" t="s">
        <v>236</v>
      </c>
      <c r="B532" s="58"/>
      <c r="C532" s="58"/>
      <c r="D532" s="61">
        <v>3</v>
      </c>
      <c r="E532" s="61"/>
      <c r="F532" s="61">
        <f>D532</f>
        <v>3</v>
      </c>
      <c r="G532" s="14">
        <v>6</v>
      </c>
      <c r="H532" s="14"/>
      <c r="I532" s="14"/>
      <c r="J532" s="14">
        <v>6</v>
      </c>
      <c r="K532" s="14"/>
      <c r="L532" s="14"/>
      <c r="M532" s="14"/>
      <c r="N532" s="14">
        <v>3</v>
      </c>
      <c r="O532" s="14"/>
      <c r="P532" s="14">
        <f>N532</f>
        <v>3</v>
      </c>
    </row>
    <row r="533" spans="1:16" ht="11.25">
      <c r="A533" s="53" t="s">
        <v>7</v>
      </c>
      <c r="B533" s="58"/>
      <c r="C533" s="58"/>
      <c r="D533" s="61"/>
      <c r="E533" s="61"/>
      <c r="F533" s="61"/>
      <c r="G533" s="14"/>
      <c r="H533" s="14"/>
      <c r="I533" s="14"/>
      <c r="J533" s="14"/>
      <c r="K533" s="14"/>
      <c r="L533" s="14"/>
      <c r="M533" s="14"/>
      <c r="N533" s="14"/>
      <c r="O533" s="14"/>
      <c r="P533" s="14"/>
    </row>
    <row r="534" spans="1:16" ht="24.75" customHeight="1">
      <c r="A534" s="21" t="s">
        <v>210</v>
      </c>
      <c r="B534" s="7"/>
      <c r="C534" s="7"/>
      <c r="D534" s="61">
        <f>D530/D532</f>
        <v>724266.6666666666</v>
      </c>
      <c r="E534" s="61"/>
      <c r="F534" s="61">
        <f>F530/F532</f>
        <v>724266.6666666666</v>
      </c>
      <c r="G534" s="14">
        <f>G530/G532</f>
        <v>49723.333333333336</v>
      </c>
      <c r="H534" s="14"/>
      <c r="I534" s="14"/>
      <c r="J534" s="14">
        <f>J530/J532</f>
        <v>49723.333333333336</v>
      </c>
      <c r="K534" s="14"/>
      <c r="L534" s="14"/>
      <c r="M534" s="14"/>
      <c r="N534" s="14">
        <v>204900</v>
      </c>
      <c r="O534" s="14"/>
      <c r="P534" s="14">
        <f>P530/P532</f>
        <v>204900</v>
      </c>
    </row>
    <row r="535" spans="1:235" s="91" customFormat="1" ht="33.75">
      <c r="A535" s="81" t="s">
        <v>408</v>
      </c>
      <c r="B535" s="87"/>
      <c r="C535" s="87"/>
      <c r="D535" s="88" t="str">
        <f>D537</f>
        <v> </v>
      </c>
      <c r="E535" s="88">
        <f>E537</f>
        <v>13000</v>
      </c>
      <c r="F535" s="88">
        <f>E535</f>
        <v>13000</v>
      </c>
      <c r="G535" s="88"/>
      <c r="H535" s="88"/>
      <c r="I535" s="88"/>
      <c r="J535" s="88"/>
      <c r="K535" s="88"/>
      <c r="L535" s="88"/>
      <c r="M535" s="88"/>
      <c r="N535" s="88"/>
      <c r="O535" s="88"/>
      <c r="P535" s="88"/>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c r="BW535" s="90"/>
      <c r="BX535" s="90"/>
      <c r="BY535" s="90"/>
      <c r="BZ535" s="90"/>
      <c r="CA535" s="90"/>
      <c r="CB535" s="90"/>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row>
    <row r="536" spans="1:16" ht="11.25">
      <c r="A536" s="53" t="s">
        <v>4</v>
      </c>
      <c r="B536" s="7"/>
      <c r="C536" s="7"/>
      <c r="D536" s="14"/>
      <c r="E536" s="14"/>
      <c r="F536" s="14"/>
      <c r="G536" s="14"/>
      <c r="H536" s="14"/>
      <c r="I536" s="14"/>
      <c r="J536" s="14"/>
      <c r="K536" s="14"/>
      <c r="L536" s="14"/>
      <c r="M536" s="14"/>
      <c r="N536" s="14"/>
      <c r="O536" s="14"/>
      <c r="P536" s="14"/>
    </row>
    <row r="537" spans="1:16" ht="15" customHeight="1">
      <c r="A537" s="54" t="s">
        <v>63</v>
      </c>
      <c r="B537" s="7"/>
      <c r="C537" s="7"/>
      <c r="D537" s="14" t="s">
        <v>263</v>
      </c>
      <c r="E537" s="14">
        <v>13000</v>
      </c>
      <c r="F537" s="14">
        <f>E537</f>
        <v>13000</v>
      </c>
      <c r="G537" s="14"/>
      <c r="H537" s="14"/>
      <c r="I537" s="14"/>
      <c r="J537" s="14"/>
      <c r="K537" s="14"/>
      <c r="L537" s="14"/>
      <c r="M537" s="14"/>
      <c r="N537" s="14"/>
      <c r="O537" s="14"/>
      <c r="P537" s="14"/>
    </row>
    <row r="538" spans="1:16" ht="11.25">
      <c r="A538" s="53" t="s">
        <v>5</v>
      </c>
      <c r="B538" s="7"/>
      <c r="C538" s="7"/>
      <c r="D538" s="14"/>
      <c r="E538" s="14"/>
      <c r="F538" s="14"/>
      <c r="G538" s="14"/>
      <c r="H538" s="14"/>
      <c r="I538" s="14"/>
      <c r="J538" s="14"/>
      <c r="K538" s="14"/>
      <c r="L538" s="14"/>
      <c r="M538" s="14"/>
      <c r="N538" s="14"/>
      <c r="O538" s="14"/>
      <c r="P538" s="14"/>
    </row>
    <row r="539" spans="1:16" ht="41.25" customHeight="1">
      <c r="A539" s="54" t="s">
        <v>252</v>
      </c>
      <c r="B539" s="7"/>
      <c r="C539" s="7"/>
      <c r="D539" s="14" t="s">
        <v>263</v>
      </c>
      <c r="E539" s="14">
        <v>1</v>
      </c>
      <c r="F539" s="14">
        <f>E539</f>
        <v>1</v>
      </c>
      <c r="G539" s="14"/>
      <c r="H539" s="14"/>
      <c r="I539" s="14"/>
      <c r="J539" s="14"/>
      <c r="K539" s="14"/>
      <c r="L539" s="14"/>
      <c r="M539" s="14"/>
      <c r="N539" s="14"/>
      <c r="O539" s="14"/>
      <c r="P539" s="14"/>
    </row>
    <row r="540" spans="1:16" ht="11.25">
      <c r="A540" s="53" t="s">
        <v>7</v>
      </c>
      <c r="B540" s="7"/>
      <c r="C540" s="7"/>
      <c r="D540" s="14"/>
      <c r="E540" s="14"/>
      <c r="F540" s="14"/>
      <c r="G540" s="14"/>
      <c r="H540" s="14"/>
      <c r="I540" s="14"/>
      <c r="J540" s="14"/>
      <c r="K540" s="14"/>
      <c r="L540" s="14"/>
      <c r="M540" s="14"/>
      <c r="N540" s="14"/>
      <c r="O540" s="14"/>
      <c r="P540" s="14"/>
    </row>
    <row r="541" spans="1:16" ht="35.25" customHeight="1">
      <c r="A541" s="54" t="s">
        <v>253</v>
      </c>
      <c r="B541" s="7"/>
      <c r="C541" s="7"/>
      <c r="D541" s="14" t="s">
        <v>263</v>
      </c>
      <c r="E541" s="14">
        <v>13000</v>
      </c>
      <c r="F541" s="14">
        <f>E541</f>
        <v>13000</v>
      </c>
      <c r="G541" s="14"/>
      <c r="H541" s="14"/>
      <c r="I541" s="14"/>
      <c r="J541" s="14"/>
      <c r="K541" s="14"/>
      <c r="L541" s="14"/>
      <c r="M541" s="14"/>
      <c r="N541" s="14"/>
      <c r="O541" s="14"/>
      <c r="P541" s="14"/>
    </row>
    <row r="542" spans="1:235" s="84" customFormat="1" ht="15" customHeight="1">
      <c r="A542" s="107" t="s">
        <v>442</v>
      </c>
      <c r="B542" s="76"/>
      <c r="C542" s="76"/>
      <c r="D542" s="88">
        <f>D544+D551+D558+D567+D574</f>
        <v>2702500</v>
      </c>
      <c r="E542" s="88"/>
      <c r="F542" s="88">
        <f>D542</f>
        <v>2702500</v>
      </c>
      <c r="G542" s="88">
        <f aca="true" t="shared" si="46" ref="G542:Q542">G544+G551+G567+G581+G588+G558+G574+G595+G602</f>
        <v>6206810</v>
      </c>
      <c r="H542" s="88">
        <f t="shared" si="46"/>
        <v>4700000</v>
      </c>
      <c r="I542" s="88">
        <f t="shared" si="46"/>
        <v>0</v>
      </c>
      <c r="J542" s="88">
        <f t="shared" si="46"/>
        <v>10906810</v>
      </c>
      <c r="K542" s="88">
        <f t="shared" si="46"/>
        <v>0</v>
      </c>
      <c r="L542" s="88">
        <f t="shared" si="46"/>
        <v>0</v>
      </c>
      <c r="M542" s="88">
        <f t="shared" si="46"/>
        <v>0</v>
      </c>
      <c r="N542" s="88">
        <f>N544+N551+N567+N581+N588+N558+N574+N595+N602</f>
        <v>6619559.995</v>
      </c>
      <c r="O542" s="88">
        <f t="shared" si="46"/>
        <v>0</v>
      </c>
      <c r="P542" s="88">
        <f t="shared" si="46"/>
        <v>6619559.995</v>
      </c>
      <c r="Q542" s="88">
        <f t="shared" si="46"/>
        <v>0</v>
      </c>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c r="BR542" s="120"/>
      <c r="BS542" s="120"/>
      <c r="BT542" s="120"/>
      <c r="BU542" s="120"/>
      <c r="BV542" s="120"/>
      <c r="BW542" s="120"/>
      <c r="BX542" s="120"/>
      <c r="BY542" s="120"/>
      <c r="BZ542" s="120"/>
      <c r="CA542" s="120"/>
      <c r="CB542" s="120"/>
      <c r="CC542" s="120"/>
      <c r="CD542" s="120"/>
      <c r="CE542" s="120"/>
      <c r="CF542" s="120"/>
      <c r="CG542" s="120"/>
      <c r="CH542" s="120"/>
      <c r="CI542" s="120"/>
      <c r="CJ542" s="120"/>
      <c r="CK542" s="120"/>
      <c r="CL542" s="120"/>
      <c r="CM542" s="120"/>
      <c r="CN542" s="120"/>
      <c r="CO542" s="120"/>
      <c r="CP542" s="120"/>
      <c r="CQ542" s="120"/>
      <c r="CR542" s="120"/>
      <c r="CS542" s="120"/>
      <c r="CT542" s="120"/>
      <c r="CU542" s="120"/>
      <c r="CV542" s="120"/>
      <c r="CW542" s="120"/>
      <c r="CX542" s="120"/>
      <c r="CY542" s="120"/>
      <c r="CZ542" s="120"/>
      <c r="DA542" s="120"/>
      <c r="DB542" s="120"/>
      <c r="DC542" s="120"/>
      <c r="DD542" s="120"/>
      <c r="DE542" s="120"/>
      <c r="DF542" s="120"/>
      <c r="DG542" s="120"/>
      <c r="DH542" s="120"/>
      <c r="DI542" s="120"/>
      <c r="DJ542" s="120"/>
      <c r="DK542" s="120"/>
      <c r="DL542" s="120"/>
      <c r="DM542" s="120"/>
      <c r="DN542" s="120"/>
      <c r="DO542" s="120"/>
      <c r="DP542" s="120"/>
      <c r="DQ542" s="120"/>
      <c r="DR542" s="120"/>
      <c r="DS542" s="120"/>
      <c r="DT542" s="120"/>
      <c r="DU542" s="120"/>
      <c r="DV542" s="120"/>
      <c r="DW542" s="120"/>
      <c r="DX542" s="120"/>
      <c r="DY542" s="120"/>
      <c r="DZ542" s="120"/>
      <c r="EA542" s="120"/>
      <c r="EB542" s="120"/>
      <c r="EC542" s="120"/>
      <c r="ED542" s="120"/>
      <c r="EE542" s="120"/>
      <c r="EF542" s="120"/>
      <c r="EG542" s="120"/>
      <c r="EH542" s="120"/>
      <c r="EI542" s="120"/>
      <c r="EJ542" s="120"/>
      <c r="EK542" s="120"/>
      <c r="EL542" s="120"/>
      <c r="EM542" s="120"/>
      <c r="EN542" s="120"/>
      <c r="EO542" s="120"/>
      <c r="EP542" s="120"/>
      <c r="EQ542" s="120"/>
      <c r="ER542" s="120"/>
      <c r="ES542" s="120"/>
      <c r="ET542" s="120"/>
      <c r="EU542" s="120"/>
      <c r="EV542" s="120"/>
      <c r="EW542" s="120"/>
      <c r="EX542" s="120"/>
      <c r="EY542" s="120"/>
      <c r="EZ542" s="120"/>
      <c r="FA542" s="120"/>
      <c r="FB542" s="120"/>
      <c r="FC542" s="120"/>
      <c r="FD542" s="120"/>
      <c r="FE542" s="120"/>
      <c r="FF542" s="120"/>
      <c r="FG542" s="120"/>
      <c r="FH542" s="120"/>
      <c r="FI542" s="120"/>
      <c r="FJ542" s="120"/>
      <c r="FK542" s="120"/>
      <c r="FL542" s="120"/>
      <c r="FM542" s="120"/>
      <c r="FN542" s="120"/>
      <c r="FO542" s="120"/>
      <c r="FP542" s="120"/>
      <c r="FQ542" s="120"/>
      <c r="FR542" s="120"/>
      <c r="FS542" s="120"/>
      <c r="FT542" s="120"/>
      <c r="FU542" s="120"/>
      <c r="FV542" s="120"/>
      <c r="FW542" s="120"/>
      <c r="FX542" s="120"/>
      <c r="FY542" s="120"/>
      <c r="FZ542" s="120"/>
      <c r="GA542" s="120"/>
      <c r="GB542" s="120"/>
      <c r="GC542" s="120"/>
      <c r="GD542" s="120"/>
      <c r="GE542" s="120"/>
      <c r="GF542" s="120"/>
      <c r="GG542" s="120"/>
      <c r="GH542" s="120"/>
      <c r="GI542" s="120"/>
      <c r="GJ542" s="120"/>
      <c r="GK542" s="120"/>
      <c r="GL542" s="120"/>
      <c r="GM542" s="120"/>
      <c r="GN542" s="120"/>
      <c r="GO542" s="120"/>
      <c r="GP542" s="120"/>
      <c r="GQ542" s="120"/>
      <c r="GR542" s="120"/>
      <c r="GS542" s="120"/>
      <c r="GT542" s="120"/>
      <c r="GU542" s="120"/>
      <c r="GV542" s="120"/>
      <c r="GW542" s="120"/>
      <c r="GX542" s="120"/>
      <c r="GY542" s="120"/>
      <c r="GZ542" s="120"/>
      <c r="HA542" s="120"/>
      <c r="HB542" s="120"/>
      <c r="HC542" s="120"/>
      <c r="HD542" s="120"/>
      <c r="HE542" s="120"/>
      <c r="HF542" s="120"/>
      <c r="HG542" s="120"/>
      <c r="HH542" s="120"/>
      <c r="HI542" s="120"/>
      <c r="HJ542" s="120"/>
      <c r="HK542" s="120"/>
      <c r="HL542" s="120"/>
      <c r="HM542" s="120"/>
      <c r="HN542" s="120"/>
      <c r="HO542" s="120"/>
      <c r="HP542" s="120"/>
      <c r="HQ542" s="120"/>
      <c r="HR542" s="120"/>
      <c r="HS542" s="120"/>
      <c r="HT542" s="120"/>
      <c r="HU542" s="120"/>
      <c r="HV542" s="120"/>
      <c r="HW542" s="120"/>
      <c r="HX542" s="120"/>
      <c r="HY542" s="120"/>
      <c r="HZ542" s="120"/>
      <c r="IA542" s="120"/>
    </row>
    <row r="543" spans="1:16" ht="23.25" customHeight="1">
      <c r="A543" s="21" t="s">
        <v>208</v>
      </c>
      <c r="B543" s="7"/>
      <c r="C543" s="7"/>
      <c r="D543" s="14"/>
      <c r="E543" s="14"/>
      <c r="F543" s="14"/>
      <c r="G543" s="14"/>
      <c r="H543" s="14"/>
      <c r="I543" s="14"/>
      <c r="J543" s="14"/>
      <c r="K543" s="14"/>
      <c r="L543" s="14"/>
      <c r="M543" s="14"/>
      <c r="N543" s="14"/>
      <c r="O543" s="14"/>
      <c r="P543" s="14"/>
    </row>
    <row r="544" spans="1:235" s="91" customFormat="1" ht="27.75" customHeight="1">
      <c r="A544" s="81" t="s">
        <v>409</v>
      </c>
      <c r="B544" s="87"/>
      <c r="C544" s="87"/>
      <c r="D544" s="88">
        <f>D546</f>
        <v>2200000</v>
      </c>
      <c r="E544" s="88"/>
      <c r="F544" s="88">
        <f>D544</f>
        <v>2200000</v>
      </c>
      <c r="G544" s="88">
        <f>G548*G550</f>
        <v>5886610</v>
      </c>
      <c r="H544" s="88"/>
      <c r="I544" s="88"/>
      <c r="J544" s="88">
        <f>G544</f>
        <v>5886610</v>
      </c>
      <c r="K544" s="88"/>
      <c r="L544" s="88"/>
      <c r="M544" s="88"/>
      <c r="N544" s="88">
        <f>N548*N550</f>
        <v>6169560</v>
      </c>
      <c r="O544" s="88">
        <f>O548*O550</f>
        <v>0</v>
      </c>
      <c r="P544" s="88">
        <f>N544</f>
        <v>6169560</v>
      </c>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c r="BP544" s="90"/>
      <c r="BQ544" s="90"/>
      <c r="BR544" s="90"/>
      <c r="BS544" s="90"/>
      <c r="BT544" s="90"/>
      <c r="BU544" s="90"/>
      <c r="BV544" s="90"/>
      <c r="BW544" s="90"/>
      <c r="BX544" s="90"/>
      <c r="BY544" s="90"/>
      <c r="BZ544" s="90"/>
      <c r="CA544" s="90"/>
      <c r="CB544" s="90"/>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row>
    <row r="545" spans="1:16" ht="12" customHeight="1">
      <c r="A545" s="20" t="s">
        <v>4</v>
      </c>
      <c r="B545" s="7"/>
      <c r="C545" s="7"/>
      <c r="D545" s="14"/>
      <c r="E545" s="14"/>
      <c r="F545" s="14"/>
      <c r="G545" s="14"/>
      <c r="H545" s="14"/>
      <c r="I545" s="14"/>
      <c r="J545" s="14"/>
      <c r="K545" s="14"/>
      <c r="L545" s="14"/>
      <c r="M545" s="14"/>
      <c r="N545" s="14"/>
      <c r="O545" s="14"/>
      <c r="P545" s="14"/>
    </row>
    <row r="546" spans="1:16" ht="13.5" customHeight="1">
      <c r="A546" s="21" t="s">
        <v>63</v>
      </c>
      <c r="B546" s="7"/>
      <c r="C546" s="7"/>
      <c r="D546" s="14">
        <v>2200000</v>
      </c>
      <c r="E546" s="14"/>
      <c r="F546" s="14">
        <f>D546</f>
        <v>2200000</v>
      </c>
      <c r="G546" s="14">
        <f>G548*G550</f>
        <v>5886610</v>
      </c>
      <c r="H546" s="14"/>
      <c r="I546" s="14"/>
      <c r="J546" s="14">
        <f>G546</f>
        <v>5886610</v>
      </c>
      <c r="K546" s="14"/>
      <c r="L546" s="14"/>
      <c r="M546" s="14"/>
      <c r="N546" s="14">
        <f>N548*N550</f>
        <v>6169560</v>
      </c>
      <c r="O546" s="14"/>
      <c r="P546" s="14">
        <f>N546</f>
        <v>6169560</v>
      </c>
    </row>
    <row r="547" spans="1:16" ht="12" customHeight="1">
      <c r="A547" s="20" t="s">
        <v>5</v>
      </c>
      <c r="B547" s="7"/>
      <c r="C547" s="7"/>
      <c r="D547" s="14"/>
      <c r="E547" s="14"/>
      <c r="F547" s="14"/>
      <c r="G547" s="14"/>
      <c r="H547" s="14"/>
      <c r="I547" s="14"/>
      <c r="J547" s="14"/>
      <c r="K547" s="14"/>
      <c r="L547" s="14"/>
      <c r="M547" s="14"/>
      <c r="N547" s="14"/>
      <c r="O547" s="14"/>
      <c r="P547" s="14"/>
    </row>
    <row r="548" spans="1:16" ht="33" customHeight="1">
      <c r="A548" s="21" t="s">
        <v>64</v>
      </c>
      <c r="B548" s="7"/>
      <c r="C548" s="7"/>
      <c r="D548" s="14">
        <v>1</v>
      </c>
      <c r="E548" s="14"/>
      <c r="F548" s="14">
        <v>1</v>
      </c>
      <c r="G548" s="14">
        <v>1</v>
      </c>
      <c r="H548" s="14"/>
      <c r="I548" s="14"/>
      <c r="J548" s="14">
        <v>1</v>
      </c>
      <c r="K548" s="14"/>
      <c r="L548" s="14"/>
      <c r="M548" s="14"/>
      <c r="N548" s="14">
        <v>1</v>
      </c>
      <c r="O548" s="14"/>
      <c r="P548" s="14">
        <f>N548</f>
        <v>1</v>
      </c>
    </row>
    <row r="549" spans="1:16" ht="11.25">
      <c r="A549" s="20" t="s">
        <v>7</v>
      </c>
      <c r="B549" s="7"/>
      <c r="C549" s="7"/>
      <c r="D549" s="14"/>
      <c r="E549" s="14"/>
      <c r="F549" s="14"/>
      <c r="G549" s="14"/>
      <c r="H549" s="14"/>
      <c r="I549" s="14"/>
      <c r="J549" s="14"/>
      <c r="K549" s="14"/>
      <c r="L549" s="14"/>
      <c r="M549" s="14"/>
      <c r="N549" s="14"/>
      <c r="O549" s="14"/>
      <c r="P549" s="14"/>
    </row>
    <row r="550" spans="1:16" ht="21" customHeight="1">
      <c r="A550" s="21" t="s">
        <v>210</v>
      </c>
      <c r="B550" s="7"/>
      <c r="C550" s="7"/>
      <c r="D550" s="14">
        <f>D546/D548</f>
        <v>2200000</v>
      </c>
      <c r="E550" s="14"/>
      <c r="F550" s="14">
        <f>D550</f>
        <v>2200000</v>
      </c>
      <c r="G550" s="14">
        <f>4829000+1057610</f>
        <v>5886610</v>
      </c>
      <c r="H550" s="14"/>
      <c r="I550" s="14"/>
      <c r="J550" s="14">
        <f>G550</f>
        <v>5886610</v>
      </c>
      <c r="K550" s="14"/>
      <c r="L550" s="14"/>
      <c r="M550" s="14"/>
      <c r="N550" s="14">
        <v>6169560</v>
      </c>
      <c r="O550" s="14"/>
      <c r="P550" s="14">
        <f>N550</f>
        <v>6169560</v>
      </c>
    </row>
    <row r="551" spans="1:235" s="91" customFormat="1" ht="25.5" customHeight="1">
      <c r="A551" s="81" t="s">
        <v>410</v>
      </c>
      <c r="B551" s="87"/>
      <c r="C551" s="87"/>
      <c r="D551" s="88"/>
      <c r="E551" s="88"/>
      <c r="F551" s="88"/>
      <c r="G551" s="88">
        <f>G555*G557</f>
        <v>70000</v>
      </c>
      <c r="H551" s="88"/>
      <c r="I551" s="88"/>
      <c r="J551" s="88">
        <f>G551</f>
        <v>70000</v>
      </c>
      <c r="K551" s="88"/>
      <c r="L551" s="88"/>
      <c r="M551" s="88"/>
      <c r="N551" s="88">
        <f>N557*N555</f>
        <v>70000</v>
      </c>
      <c r="O551" s="88"/>
      <c r="P551" s="88">
        <f>N551</f>
        <v>70000</v>
      </c>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row>
    <row r="552" spans="1:16" ht="11.25">
      <c r="A552" s="20" t="s">
        <v>4</v>
      </c>
      <c r="B552" s="7"/>
      <c r="C552" s="7"/>
      <c r="D552" s="14"/>
      <c r="E552" s="14"/>
      <c r="F552" s="14"/>
      <c r="G552" s="14"/>
      <c r="H552" s="14"/>
      <c r="I552" s="14"/>
      <c r="J552" s="14"/>
      <c r="K552" s="14"/>
      <c r="L552" s="14"/>
      <c r="M552" s="14"/>
      <c r="N552" s="14"/>
      <c r="O552" s="14"/>
      <c r="P552" s="14"/>
    </row>
    <row r="553" spans="1:16" ht="14.25" customHeight="1">
      <c r="A553" s="21" t="s">
        <v>63</v>
      </c>
      <c r="B553" s="7"/>
      <c r="C553" s="7"/>
      <c r="D553" s="14"/>
      <c r="E553" s="14"/>
      <c r="F553" s="14"/>
      <c r="G553" s="14">
        <v>70000</v>
      </c>
      <c r="H553" s="14"/>
      <c r="I553" s="14"/>
      <c r="J553" s="14">
        <f>G553</f>
        <v>70000</v>
      </c>
      <c r="K553" s="14"/>
      <c r="L553" s="14"/>
      <c r="M553" s="14"/>
      <c r="N553" s="14">
        <v>50000</v>
      </c>
      <c r="O553" s="14"/>
      <c r="P553" s="14">
        <v>50000</v>
      </c>
    </row>
    <row r="554" spans="1:16" ht="11.25">
      <c r="A554" s="20" t="s">
        <v>5</v>
      </c>
      <c r="B554" s="7"/>
      <c r="C554" s="7"/>
      <c r="D554" s="14"/>
      <c r="E554" s="14"/>
      <c r="F554" s="14"/>
      <c r="G554" s="14"/>
      <c r="H554" s="14"/>
      <c r="I554" s="14"/>
      <c r="J554" s="14"/>
      <c r="K554" s="14"/>
      <c r="L554" s="14"/>
      <c r="M554" s="14"/>
      <c r="N554" s="14"/>
      <c r="O554" s="14"/>
      <c r="P554" s="14"/>
    </row>
    <row r="555" spans="1:16" ht="23.25" customHeight="1">
      <c r="A555" s="21" t="s">
        <v>209</v>
      </c>
      <c r="B555" s="7"/>
      <c r="C555" s="7"/>
      <c r="D555" s="14"/>
      <c r="E555" s="14"/>
      <c r="F555" s="14"/>
      <c r="G555" s="14">
        <v>2</v>
      </c>
      <c r="H555" s="14"/>
      <c r="I555" s="14"/>
      <c r="J555" s="14">
        <v>2</v>
      </c>
      <c r="K555" s="14"/>
      <c r="L555" s="14"/>
      <c r="M555" s="14"/>
      <c r="N555" s="14">
        <v>1</v>
      </c>
      <c r="O555" s="14"/>
      <c r="P555" s="14">
        <v>1</v>
      </c>
    </row>
    <row r="556" spans="1:16" ht="11.25">
      <c r="A556" s="20" t="s">
        <v>7</v>
      </c>
      <c r="B556" s="7"/>
      <c r="C556" s="7"/>
      <c r="D556" s="14"/>
      <c r="E556" s="14"/>
      <c r="F556" s="14"/>
      <c r="G556" s="14"/>
      <c r="H556" s="14"/>
      <c r="I556" s="14"/>
      <c r="J556" s="14"/>
      <c r="K556" s="14"/>
      <c r="L556" s="14"/>
      <c r="M556" s="14"/>
      <c r="N556" s="14"/>
      <c r="O556" s="14"/>
      <c r="P556" s="14"/>
    </row>
    <row r="557" spans="1:16" ht="24.75" customHeight="1">
      <c r="A557" s="21" t="s">
        <v>211</v>
      </c>
      <c r="B557" s="7"/>
      <c r="C557" s="7"/>
      <c r="D557" s="14"/>
      <c r="E557" s="14"/>
      <c r="F557" s="14"/>
      <c r="G557" s="14">
        <v>35000</v>
      </c>
      <c r="H557" s="14"/>
      <c r="I557" s="14"/>
      <c r="J557" s="14">
        <f>G557</f>
        <v>35000</v>
      </c>
      <c r="K557" s="14"/>
      <c r="L557" s="14"/>
      <c r="M557" s="14"/>
      <c r="N557" s="14">
        <v>70000</v>
      </c>
      <c r="O557" s="14"/>
      <c r="P557" s="14">
        <v>50000</v>
      </c>
    </row>
    <row r="558" spans="1:235" s="91" customFormat="1" ht="15" customHeight="1">
      <c r="A558" s="81" t="s">
        <v>411</v>
      </c>
      <c r="B558" s="87"/>
      <c r="C558" s="87"/>
      <c r="D558" s="88">
        <f>D560</f>
        <v>150400</v>
      </c>
      <c r="E558" s="88"/>
      <c r="F558" s="88">
        <f>D558</f>
        <v>150400</v>
      </c>
      <c r="G558" s="88"/>
      <c r="H558" s="88"/>
      <c r="I558" s="88"/>
      <c r="J558" s="88"/>
      <c r="K558" s="88"/>
      <c r="L558" s="88"/>
      <c r="M558" s="88"/>
      <c r="N558" s="88"/>
      <c r="O558" s="88"/>
      <c r="P558" s="88"/>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c r="BW558" s="90"/>
      <c r="BX558" s="90"/>
      <c r="BY558" s="90"/>
      <c r="BZ558" s="90"/>
      <c r="CA558" s="90"/>
      <c r="CB558" s="90"/>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row>
    <row r="559" spans="1:16" ht="12" customHeight="1">
      <c r="A559" s="20" t="s">
        <v>4</v>
      </c>
      <c r="B559" s="7"/>
      <c r="C559" s="7"/>
      <c r="D559" s="14"/>
      <c r="E559" s="14"/>
      <c r="F559" s="14"/>
      <c r="G559" s="14"/>
      <c r="H559" s="14"/>
      <c r="I559" s="14"/>
      <c r="J559" s="14"/>
      <c r="K559" s="14"/>
      <c r="L559" s="14"/>
      <c r="M559" s="14"/>
      <c r="N559" s="14"/>
      <c r="O559" s="14"/>
      <c r="P559" s="14"/>
    </row>
    <row r="560" spans="1:16" ht="12" customHeight="1">
      <c r="A560" s="21" t="s">
        <v>63</v>
      </c>
      <c r="B560" s="7"/>
      <c r="C560" s="7"/>
      <c r="D560" s="14">
        <f>(D562*D565)+(D563*D566)-0.03</f>
        <v>150400</v>
      </c>
      <c r="E560" s="14"/>
      <c r="F560" s="14">
        <f>D560</f>
        <v>150400</v>
      </c>
      <c r="G560" s="14"/>
      <c r="H560" s="14"/>
      <c r="I560" s="14"/>
      <c r="J560" s="14"/>
      <c r="K560" s="14"/>
      <c r="L560" s="14"/>
      <c r="M560" s="14"/>
      <c r="N560" s="14"/>
      <c r="O560" s="14"/>
      <c r="P560" s="14"/>
    </row>
    <row r="561" spans="1:16" ht="12" customHeight="1">
      <c r="A561" s="20" t="s">
        <v>5</v>
      </c>
      <c r="B561" s="7"/>
      <c r="C561" s="7"/>
      <c r="D561" s="14"/>
      <c r="E561" s="14"/>
      <c r="F561" s="14"/>
      <c r="G561" s="14"/>
      <c r="H561" s="14"/>
      <c r="I561" s="14"/>
      <c r="J561" s="14"/>
      <c r="K561" s="14"/>
      <c r="L561" s="14"/>
      <c r="M561" s="14"/>
      <c r="N561" s="14"/>
      <c r="O561" s="14"/>
      <c r="P561" s="14"/>
    </row>
    <row r="562" spans="1:16" ht="24.75" customHeight="1">
      <c r="A562" s="21" t="s">
        <v>239</v>
      </c>
      <c r="B562" s="7"/>
      <c r="C562" s="7"/>
      <c r="D562" s="14">
        <v>57</v>
      </c>
      <c r="E562" s="14"/>
      <c r="F562" s="14">
        <v>57</v>
      </c>
      <c r="G562" s="14"/>
      <c r="H562" s="14"/>
      <c r="I562" s="14"/>
      <c r="J562" s="14"/>
      <c r="K562" s="14"/>
      <c r="L562" s="14"/>
      <c r="M562" s="14"/>
      <c r="N562" s="14"/>
      <c r="O562" s="14"/>
      <c r="P562" s="14"/>
    </row>
    <row r="563" spans="1:16" ht="15.75" customHeight="1">
      <c r="A563" s="21" t="s">
        <v>237</v>
      </c>
      <c r="B563" s="7"/>
      <c r="C563" s="7"/>
      <c r="D563" s="14">
        <v>145</v>
      </c>
      <c r="E563" s="14"/>
      <c r="F563" s="14">
        <f>D563</f>
        <v>145</v>
      </c>
      <c r="G563" s="14"/>
      <c r="H563" s="14"/>
      <c r="I563" s="14"/>
      <c r="J563" s="14"/>
      <c r="K563" s="14"/>
      <c r="L563" s="14"/>
      <c r="M563" s="14"/>
      <c r="N563" s="14"/>
      <c r="O563" s="14"/>
      <c r="P563" s="14"/>
    </row>
    <row r="564" spans="1:16" ht="12.75" customHeight="1">
      <c r="A564" s="20" t="s">
        <v>7</v>
      </c>
      <c r="B564" s="7"/>
      <c r="C564" s="7"/>
      <c r="D564" s="14"/>
      <c r="E564" s="14"/>
      <c r="F564" s="14"/>
      <c r="G564" s="14"/>
      <c r="H564" s="14"/>
      <c r="I564" s="14"/>
      <c r="J564" s="14"/>
      <c r="K564" s="14"/>
      <c r="L564" s="14"/>
      <c r="M564" s="14"/>
      <c r="N564" s="14"/>
      <c r="O564" s="14"/>
      <c r="P564" s="14"/>
    </row>
    <row r="565" spans="1:16" ht="24.75" customHeight="1">
      <c r="A565" s="21" t="s">
        <v>238</v>
      </c>
      <c r="B565" s="7"/>
      <c r="C565" s="7"/>
      <c r="D565" s="14">
        <v>1950.89</v>
      </c>
      <c r="E565" s="14"/>
      <c r="F565" s="14">
        <f>D565</f>
        <v>1950.89</v>
      </c>
      <c r="G565" s="14"/>
      <c r="H565" s="14"/>
      <c r="I565" s="14"/>
      <c r="J565" s="14"/>
      <c r="K565" s="14"/>
      <c r="L565" s="14"/>
      <c r="M565" s="14"/>
      <c r="N565" s="14"/>
      <c r="O565" s="14"/>
      <c r="P565" s="14"/>
    </row>
    <row r="566" spans="1:16" ht="24.75" customHeight="1">
      <c r="A566" s="21" t="s">
        <v>240</v>
      </c>
      <c r="B566" s="7"/>
      <c r="C566" s="7"/>
      <c r="D566" s="14">
        <v>270.34</v>
      </c>
      <c r="E566" s="14"/>
      <c r="F566" s="14">
        <f>D566</f>
        <v>270.34</v>
      </c>
      <c r="G566" s="14"/>
      <c r="H566" s="14"/>
      <c r="I566" s="14"/>
      <c r="J566" s="14"/>
      <c r="K566" s="14"/>
      <c r="L566" s="14"/>
      <c r="M566" s="14"/>
      <c r="N566" s="14"/>
      <c r="O566" s="14"/>
      <c r="P566" s="14"/>
    </row>
    <row r="567" spans="1:235" s="91" customFormat="1" ht="41.25" customHeight="1">
      <c r="A567" s="81" t="s">
        <v>412</v>
      </c>
      <c r="B567" s="87"/>
      <c r="C567" s="87"/>
      <c r="D567" s="88">
        <v>127900</v>
      </c>
      <c r="E567" s="88"/>
      <c r="F567" s="88">
        <f>D567</f>
        <v>127900</v>
      </c>
      <c r="G567" s="88">
        <f>G571*G573</f>
        <v>130000</v>
      </c>
      <c r="H567" s="88"/>
      <c r="I567" s="88"/>
      <c r="J567" s="88">
        <f>G567</f>
        <v>130000</v>
      </c>
      <c r="K567" s="88"/>
      <c r="L567" s="88"/>
      <c r="M567" s="88"/>
      <c r="N567" s="88"/>
      <c r="O567" s="88"/>
      <c r="P567" s="88"/>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c r="BB567" s="90"/>
      <c r="BC567" s="90"/>
      <c r="BD567" s="90"/>
      <c r="BE567" s="90"/>
      <c r="BF567" s="90"/>
      <c r="BG567" s="90"/>
      <c r="BH567" s="90"/>
      <c r="BI567" s="90"/>
      <c r="BJ567" s="90"/>
      <c r="BK567" s="90"/>
      <c r="BL567" s="90"/>
      <c r="BM567" s="90"/>
      <c r="BN567" s="90"/>
      <c r="BO567" s="90"/>
      <c r="BP567" s="90"/>
      <c r="BQ567" s="90"/>
      <c r="BR567" s="90"/>
      <c r="BS567" s="90"/>
      <c r="BT567" s="90"/>
      <c r="BU567" s="90"/>
      <c r="BV567" s="90"/>
      <c r="BW567" s="90"/>
      <c r="BX567" s="90"/>
      <c r="BY567" s="90"/>
      <c r="BZ567" s="90"/>
      <c r="CA567" s="90"/>
      <c r="CB567" s="90"/>
      <c r="CC567" s="90"/>
      <c r="CD567" s="90"/>
      <c r="CE567" s="90"/>
      <c r="CF567" s="90"/>
      <c r="CG567" s="90"/>
      <c r="CH567" s="90"/>
      <c r="CI567" s="90"/>
      <c r="CJ567" s="90"/>
      <c r="CK567" s="90"/>
      <c r="CL567" s="90"/>
      <c r="CM567" s="90"/>
      <c r="CN567" s="90"/>
      <c r="CO567" s="90"/>
      <c r="CP567" s="90"/>
      <c r="CQ567" s="90"/>
      <c r="CR567" s="90"/>
      <c r="CS567" s="90"/>
      <c r="CT567" s="90"/>
      <c r="CU567" s="90"/>
      <c r="CV567" s="90"/>
      <c r="CW567" s="90"/>
      <c r="CX567" s="90"/>
      <c r="CY567" s="90"/>
      <c r="CZ567" s="90"/>
      <c r="DA567" s="90"/>
      <c r="DB567" s="90"/>
      <c r="DC567" s="90"/>
      <c r="DD567" s="90"/>
      <c r="DE567" s="90"/>
      <c r="DF567" s="90"/>
      <c r="DG567" s="90"/>
      <c r="DH567" s="90"/>
      <c r="DI567" s="90"/>
      <c r="DJ567" s="90"/>
      <c r="DK567" s="90"/>
      <c r="DL567" s="90"/>
      <c r="DM567" s="90"/>
      <c r="DN567" s="90"/>
      <c r="DO567" s="90"/>
      <c r="DP567" s="90"/>
      <c r="DQ567" s="90"/>
      <c r="DR567" s="90"/>
      <c r="DS567" s="90"/>
      <c r="DT567" s="90"/>
      <c r="DU567" s="90"/>
      <c r="DV567" s="90"/>
      <c r="DW567" s="90"/>
      <c r="DX567" s="90"/>
      <c r="DY567" s="90"/>
      <c r="DZ567" s="90"/>
      <c r="EA567" s="90"/>
      <c r="EB567" s="90"/>
      <c r="EC567" s="90"/>
      <c r="ED567" s="90"/>
      <c r="EE567" s="90"/>
      <c r="EF567" s="90"/>
      <c r="EG567" s="90"/>
      <c r="EH567" s="90"/>
      <c r="EI567" s="90"/>
      <c r="EJ567" s="90"/>
      <c r="EK567" s="90"/>
      <c r="EL567" s="90"/>
      <c r="EM567" s="90"/>
      <c r="EN567" s="90"/>
      <c r="EO567" s="90"/>
      <c r="EP567" s="90"/>
      <c r="EQ567" s="90"/>
      <c r="ER567" s="90"/>
      <c r="ES567" s="90"/>
      <c r="ET567" s="90"/>
      <c r="EU567" s="90"/>
      <c r="EV567" s="90"/>
      <c r="EW567" s="90"/>
      <c r="EX567" s="90"/>
      <c r="EY567" s="90"/>
      <c r="EZ567" s="90"/>
      <c r="FA567" s="90"/>
      <c r="FB567" s="90"/>
      <c r="FC567" s="90"/>
      <c r="FD567" s="90"/>
      <c r="FE567" s="90"/>
      <c r="FF567" s="90"/>
      <c r="FG567" s="90"/>
      <c r="FH567" s="90"/>
      <c r="FI567" s="90"/>
      <c r="FJ567" s="90"/>
      <c r="FK567" s="90"/>
      <c r="FL567" s="90"/>
      <c r="FM567" s="90"/>
      <c r="FN567" s="90"/>
      <c r="FO567" s="90"/>
      <c r="FP567" s="90"/>
      <c r="FQ567" s="90"/>
      <c r="FR567" s="90"/>
      <c r="FS567" s="90"/>
      <c r="FT567" s="90"/>
      <c r="FU567" s="90"/>
      <c r="FV567" s="90"/>
      <c r="FW567" s="90"/>
      <c r="FX567" s="90"/>
      <c r="FY567" s="90"/>
      <c r="FZ567" s="90"/>
      <c r="GA567" s="90"/>
      <c r="GB567" s="90"/>
      <c r="GC567" s="90"/>
      <c r="GD567" s="90"/>
      <c r="GE567" s="90"/>
      <c r="GF567" s="90"/>
      <c r="GG567" s="90"/>
      <c r="GH567" s="90"/>
      <c r="GI567" s="90"/>
      <c r="GJ567" s="90"/>
      <c r="GK567" s="90"/>
      <c r="GL567" s="90"/>
      <c r="GM567" s="90"/>
      <c r="GN567" s="90"/>
      <c r="GO567" s="90"/>
      <c r="GP567" s="90"/>
      <c r="GQ567" s="90"/>
      <c r="GR567" s="90"/>
      <c r="GS567" s="90"/>
      <c r="GT567" s="90"/>
      <c r="GU567" s="90"/>
      <c r="GV567" s="90"/>
      <c r="GW567" s="90"/>
      <c r="GX567" s="90"/>
      <c r="GY567" s="90"/>
      <c r="GZ567" s="90"/>
      <c r="HA567" s="90"/>
      <c r="HB567" s="90"/>
      <c r="HC567" s="90"/>
      <c r="HD567" s="90"/>
      <c r="HE567" s="90"/>
      <c r="HF567" s="90"/>
      <c r="HG567" s="90"/>
      <c r="HH567" s="90"/>
      <c r="HI567" s="90"/>
      <c r="HJ567" s="90"/>
      <c r="HK567" s="90"/>
      <c r="HL567" s="90"/>
      <c r="HM567" s="90"/>
      <c r="HN567" s="90"/>
      <c r="HO567" s="90"/>
      <c r="HP567" s="90"/>
      <c r="HQ567" s="90"/>
      <c r="HR567" s="90"/>
      <c r="HS567" s="90"/>
      <c r="HT567" s="90"/>
      <c r="HU567" s="90"/>
      <c r="HV567" s="90"/>
      <c r="HW567" s="90"/>
      <c r="HX567" s="90"/>
      <c r="HY567" s="90"/>
      <c r="HZ567" s="90"/>
      <c r="IA567" s="90"/>
    </row>
    <row r="568" spans="1:16" ht="11.25" customHeight="1">
      <c r="A568" s="20" t="s">
        <v>4</v>
      </c>
      <c r="B568" s="7"/>
      <c r="C568" s="7"/>
      <c r="D568" s="14"/>
      <c r="E568" s="14"/>
      <c r="F568" s="14"/>
      <c r="G568" s="14"/>
      <c r="H568" s="14"/>
      <c r="I568" s="14"/>
      <c r="J568" s="14"/>
      <c r="K568" s="14"/>
      <c r="L568" s="14"/>
      <c r="M568" s="14"/>
      <c r="N568" s="14"/>
      <c r="O568" s="14"/>
      <c r="P568" s="14"/>
    </row>
    <row r="569" spans="1:16" ht="14.25" customHeight="1">
      <c r="A569" s="21" t="s">
        <v>63</v>
      </c>
      <c r="B569" s="7"/>
      <c r="C569" s="7"/>
      <c r="D569" s="61">
        <f>D567</f>
        <v>127900</v>
      </c>
      <c r="E569" s="14"/>
      <c r="F569" s="14">
        <f>D569</f>
        <v>127900</v>
      </c>
      <c r="G569" s="14">
        <v>130000</v>
      </c>
      <c r="H569" s="14"/>
      <c r="I569" s="14"/>
      <c r="J569" s="14">
        <f>G569</f>
        <v>130000</v>
      </c>
      <c r="K569" s="14"/>
      <c r="L569" s="14"/>
      <c r="M569" s="14"/>
      <c r="N569" s="14"/>
      <c r="O569" s="14"/>
      <c r="P569" s="14"/>
    </row>
    <row r="570" spans="1:16" ht="10.5" customHeight="1">
      <c r="A570" s="20" t="s">
        <v>5</v>
      </c>
      <c r="B570" s="7"/>
      <c r="C570" s="7"/>
      <c r="D570" s="61"/>
      <c r="E570" s="14"/>
      <c r="F570" s="14"/>
      <c r="G570" s="14"/>
      <c r="H570" s="14"/>
      <c r="I570" s="14"/>
      <c r="J570" s="14"/>
      <c r="K570" s="14"/>
      <c r="L570" s="14"/>
      <c r="M570" s="14"/>
      <c r="N570" s="14"/>
      <c r="O570" s="14"/>
      <c r="P570" s="14"/>
    </row>
    <row r="571" spans="1:16" ht="24.75" customHeight="1">
      <c r="A571" s="21" t="s">
        <v>244</v>
      </c>
      <c r="B571" s="7"/>
      <c r="C571" s="7"/>
      <c r="D571" s="61">
        <v>4</v>
      </c>
      <c r="E571" s="14"/>
      <c r="F571" s="14">
        <f>D571</f>
        <v>4</v>
      </c>
      <c r="G571" s="14">
        <v>4</v>
      </c>
      <c r="H571" s="14"/>
      <c r="I571" s="14"/>
      <c r="J571" s="14">
        <v>4</v>
      </c>
      <c r="K571" s="14"/>
      <c r="L571" s="14"/>
      <c r="M571" s="14"/>
      <c r="N571" s="14"/>
      <c r="O571" s="14"/>
      <c r="P571" s="14"/>
    </row>
    <row r="572" spans="1:16" ht="11.25">
      <c r="A572" s="20" t="s">
        <v>7</v>
      </c>
      <c r="B572" s="7"/>
      <c r="C572" s="7"/>
      <c r="D572" s="61"/>
      <c r="E572" s="14"/>
      <c r="F572" s="14"/>
      <c r="G572" s="14"/>
      <c r="H572" s="14"/>
      <c r="I572" s="14"/>
      <c r="J572" s="14"/>
      <c r="K572" s="14"/>
      <c r="L572" s="14"/>
      <c r="M572" s="14"/>
      <c r="N572" s="14"/>
      <c r="O572" s="14"/>
      <c r="P572" s="14"/>
    </row>
    <row r="573" spans="1:16" ht="24.75" customHeight="1">
      <c r="A573" s="21" t="s">
        <v>243</v>
      </c>
      <c r="B573" s="7"/>
      <c r="C573" s="7"/>
      <c r="D573" s="61">
        <f>D567/D571</f>
        <v>31975</v>
      </c>
      <c r="E573" s="14"/>
      <c r="F573" s="14">
        <f>D573</f>
        <v>31975</v>
      </c>
      <c r="G573" s="14">
        <v>32500</v>
      </c>
      <c r="H573" s="14"/>
      <c r="I573" s="14"/>
      <c r="J573" s="14">
        <f>G573</f>
        <v>32500</v>
      </c>
      <c r="K573" s="14"/>
      <c r="L573" s="14"/>
      <c r="M573" s="14"/>
      <c r="N573" s="14"/>
      <c r="O573" s="14"/>
      <c r="P573" s="14"/>
    </row>
    <row r="574" spans="1:235" s="91" customFormat="1" ht="25.5" customHeight="1">
      <c r="A574" s="81" t="s">
        <v>413</v>
      </c>
      <c r="B574" s="87"/>
      <c r="C574" s="87"/>
      <c r="D574" s="88">
        <v>224200</v>
      </c>
      <c r="E574" s="88"/>
      <c r="F574" s="88">
        <f>D574</f>
        <v>224200</v>
      </c>
      <c r="G574" s="88"/>
      <c r="H574" s="88"/>
      <c r="I574" s="88"/>
      <c r="J574" s="88"/>
      <c r="K574" s="88"/>
      <c r="L574" s="88"/>
      <c r="M574" s="88"/>
      <c r="N574" s="88">
        <f>N576</f>
        <v>199999.995</v>
      </c>
      <c r="O574" s="88"/>
      <c r="P574" s="88">
        <f>N574</f>
        <v>199999.995</v>
      </c>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c r="BB574" s="90"/>
      <c r="BC574" s="90"/>
      <c r="BD574" s="90"/>
      <c r="BE574" s="90"/>
      <c r="BF574" s="90"/>
      <c r="BG574" s="90"/>
      <c r="BH574" s="90"/>
      <c r="BI574" s="90"/>
      <c r="BJ574" s="90"/>
      <c r="BK574" s="90"/>
      <c r="BL574" s="90"/>
      <c r="BM574" s="90"/>
      <c r="BN574" s="90"/>
      <c r="BO574" s="90"/>
      <c r="BP574" s="90"/>
      <c r="BQ574" s="90"/>
      <c r="BR574" s="90"/>
      <c r="BS574" s="90"/>
      <c r="BT574" s="90"/>
      <c r="BU574" s="90"/>
      <c r="BV574" s="90"/>
      <c r="BW574" s="90"/>
      <c r="BX574" s="90"/>
      <c r="BY574" s="90"/>
      <c r="BZ574" s="90"/>
      <c r="CA574" s="90"/>
      <c r="CB574" s="90"/>
      <c r="CC574" s="90"/>
      <c r="CD574" s="90"/>
      <c r="CE574" s="90"/>
      <c r="CF574" s="90"/>
      <c r="CG574" s="90"/>
      <c r="CH574" s="90"/>
      <c r="CI574" s="90"/>
      <c r="CJ574" s="90"/>
      <c r="CK574" s="90"/>
      <c r="CL574" s="90"/>
      <c r="CM574" s="90"/>
      <c r="CN574" s="90"/>
      <c r="CO574" s="90"/>
      <c r="CP574" s="90"/>
      <c r="CQ574" s="90"/>
      <c r="CR574" s="90"/>
      <c r="CS574" s="90"/>
      <c r="CT574" s="90"/>
      <c r="CU574" s="90"/>
      <c r="CV574" s="90"/>
      <c r="CW574" s="90"/>
      <c r="CX574" s="90"/>
      <c r="CY574" s="90"/>
      <c r="CZ574" s="90"/>
      <c r="DA574" s="90"/>
      <c r="DB574" s="90"/>
      <c r="DC574" s="90"/>
      <c r="DD574" s="90"/>
      <c r="DE574" s="90"/>
      <c r="DF574" s="90"/>
      <c r="DG574" s="90"/>
      <c r="DH574" s="90"/>
      <c r="DI574" s="90"/>
      <c r="DJ574" s="90"/>
      <c r="DK574" s="90"/>
      <c r="DL574" s="90"/>
      <c r="DM574" s="90"/>
      <c r="DN574" s="90"/>
      <c r="DO574" s="90"/>
      <c r="DP574" s="90"/>
      <c r="DQ574" s="90"/>
      <c r="DR574" s="90"/>
      <c r="DS574" s="90"/>
      <c r="DT574" s="90"/>
      <c r="DU574" s="90"/>
      <c r="DV574" s="90"/>
      <c r="DW574" s="90"/>
      <c r="DX574" s="90"/>
      <c r="DY574" s="90"/>
      <c r="DZ574" s="90"/>
      <c r="EA574" s="90"/>
      <c r="EB574" s="90"/>
      <c r="EC574" s="90"/>
      <c r="ED574" s="90"/>
      <c r="EE574" s="90"/>
      <c r="EF574" s="90"/>
      <c r="EG574" s="90"/>
      <c r="EH574" s="90"/>
      <c r="EI574" s="90"/>
      <c r="EJ574" s="90"/>
      <c r="EK574" s="90"/>
      <c r="EL574" s="90"/>
      <c r="EM574" s="90"/>
      <c r="EN574" s="90"/>
      <c r="EO574" s="90"/>
      <c r="EP574" s="90"/>
      <c r="EQ574" s="90"/>
      <c r="ER574" s="90"/>
      <c r="ES574" s="90"/>
      <c r="ET574" s="90"/>
      <c r="EU574" s="90"/>
      <c r="EV574" s="90"/>
      <c r="EW574" s="90"/>
      <c r="EX574" s="90"/>
      <c r="EY574" s="90"/>
      <c r="EZ574" s="90"/>
      <c r="FA574" s="90"/>
      <c r="FB574" s="90"/>
      <c r="FC574" s="90"/>
      <c r="FD574" s="90"/>
      <c r="FE574" s="90"/>
      <c r="FF574" s="90"/>
      <c r="FG574" s="90"/>
      <c r="FH574" s="90"/>
      <c r="FI574" s="90"/>
      <c r="FJ574" s="90"/>
      <c r="FK574" s="90"/>
      <c r="FL574" s="90"/>
      <c r="FM574" s="90"/>
      <c r="FN574" s="90"/>
      <c r="FO574" s="90"/>
      <c r="FP574" s="90"/>
      <c r="FQ574" s="90"/>
      <c r="FR574" s="90"/>
      <c r="FS574" s="90"/>
      <c r="FT574" s="90"/>
      <c r="FU574" s="90"/>
      <c r="FV574" s="90"/>
      <c r="FW574" s="90"/>
      <c r="FX574" s="90"/>
      <c r="FY574" s="90"/>
      <c r="FZ574" s="90"/>
      <c r="GA574" s="90"/>
      <c r="GB574" s="90"/>
      <c r="GC574" s="90"/>
      <c r="GD574" s="90"/>
      <c r="GE574" s="90"/>
      <c r="GF574" s="90"/>
      <c r="GG574" s="90"/>
      <c r="GH574" s="90"/>
      <c r="GI574" s="90"/>
      <c r="GJ574" s="90"/>
      <c r="GK574" s="90"/>
      <c r="GL574" s="90"/>
      <c r="GM574" s="90"/>
      <c r="GN574" s="90"/>
      <c r="GO574" s="90"/>
      <c r="GP574" s="90"/>
      <c r="GQ574" s="90"/>
      <c r="GR574" s="90"/>
      <c r="GS574" s="90"/>
      <c r="GT574" s="90"/>
      <c r="GU574" s="90"/>
      <c r="GV574" s="90"/>
      <c r="GW574" s="90"/>
      <c r="GX574" s="90"/>
      <c r="GY574" s="90"/>
      <c r="GZ574" s="90"/>
      <c r="HA574" s="90"/>
      <c r="HB574" s="90"/>
      <c r="HC574" s="90"/>
      <c r="HD574" s="90"/>
      <c r="HE574" s="90"/>
      <c r="HF574" s="90"/>
      <c r="HG574" s="90"/>
      <c r="HH574" s="90"/>
      <c r="HI574" s="90"/>
      <c r="HJ574" s="90"/>
      <c r="HK574" s="90"/>
      <c r="HL574" s="90"/>
      <c r="HM574" s="90"/>
      <c r="HN574" s="90"/>
      <c r="HO574" s="90"/>
      <c r="HP574" s="90"/>
      <c r="HQ574" s="90"/>
      <c r="HR574" s="90"/>
      <c r="HS574" s="90"/>
      <c r="HT574" s="90"/>
      <c r="HU574" s="90"/>
      <c r="HV574" s="90"/>
      <c r="HW574" s="90"/>
      <c r="HX574" s="90"/>
      <c r="HY574" s="90"/>
      <c r="HZ574" s="90"/>
      <c r="IA574" s="90"/>
    </row>
    <row r="575" spans="1:16" ht="11.25" customHeight="1">
      <c r="A575" s="20" t="s">
        <v>4</v>
      </c>
      <c r="B575" s="7"/>
      <c r="C575" s="7"/>
      <c r="D575" s="14"/>
      <c r="E575" s="14"/>
      <c r="F575" s="14"/>
      <c r="G575" s="14"/>
      <c r="H575" s="14"/>
      <c r="I575" s="14"/>
      <c r="J575" s="14"/>
      <c r="K575" s="14"/>
      <c r="L575" s="14"/>
      <c r="M575" s="14"/>
      <c r="N575" s="14"/>
      <c r="O575" s="14"/>
      <c r="P575" s="180"/>
    </row>
    <row r="576" spans="1:16" ht="14.25" customHeight="1">
      <c r="A576" s="21" t="s">
        <v>63</v>
      </c>
      <c r="B576" s="7"/>
      <c r="C576" s="7"/>
      <c r="D576" s="61">
        <f>D574</f>
        <v>224200</v>
      </c>
      <c r="E576" s="14"/>
      <c r="F576" s="14">
        <v>224200</v>
      </c>
      <c r="G576" s="14"/>
      <c r="H576" s="14"/>
      <c r="I576" s="14"/>
      <c r="J576" s="14"/>
      <c r="K576" s="14"/>
      <c r="L576" s="14"/>
      <c r="M576" s="14"/>
      <c r="N576" s="14">
        <f>N578*N580+0.01</f>
        <v>199999.995</v>
      </c>
      <c r="O576" s="14"/>
      <c r="P576" s="180">
        <f>N576</f>
        <v>199999.995</v>
      </c>
    </row>
    <row r="577" spans="1:16" ht="10.5" customHeight="1">
      <c r="A577" s="20" t="s">
        <v>5</v>
      </c>
      <c r="B577" s="7"/>
      <c r="C577" s="7"/>
      <c r="D577" s="61"/>
      <c r="E577" s="14"/>
      <c r="F577" s="14"/>
      <c r="G577" s="14"/>
      <c r="H577" s="14"/>
      <c r="I577" s="14"/>
      <c r="J577" s="14"/>
      <c r="K577" s="14"/>
      <c r="L577" s="14"/>
      <c r="M577" s="14"/>
      <c r="N577" s="14"/>
      <c r="O577" s="14"/>
      <c r="P577" s="180"/>
    </row>
    <row r="578" spans="1:16" ht="24.75" customHeight="1">
      <c r="A578" s="21" t="s">
        <v>257</v>
      </c>
      <c r="B578" s="7"/>
      <c r="C578" s="7"/>
      <c r="D578" s="61">
        <v>398</v>
      </c>
      <c r="E578" s="14"/>
      <c r="F578" s="14">
        <f>D578</f>
        <v>398</v>
      </c>
      <c r="G578" s="14"/>
      <c r="H578" s="14"/>
      <c r="I578" s="14"/>
      <c r="J578" s="14"/>
      <c r="K578" s="14"/>
      <c r="L578" s="14"/>
      <c r="M578" s="14"/>
      <c r="N578" s="14">
        <v>85</v>
      </c>
      <c r="O578" s="14"/>
      <c r="P578" s="180">
        <f>N578</f>
        <v>85</v>
      </c>
    </row>
    <row r="579" spans="1:16" ht="11.25">
      <c r="A579" s="20" t="s">
        <v>7</v>
      </c>
      <c r="B579" s="7"/>
      <c r="C579" s="7"/>
      <c r="D579" s="61"/>
      <c r="E579" s="14"/>
      <c r="F579" s="14"/>
      <c r="G579" s="14"/>
      <c r="H579" s="14"/>
      <c r="I579" s="14"/>
      <c r="J579" s="14"/>
      <c r="K579" s="14"/>
      <c r="L579" s="14"/>
      <c r="M579" s="14"/>
      <c r="N579" s="14"/>
      <c r="O579" s="14"/>
      <c r="P579" s="180"/>
    </row>
    <row r="580" spans="1:16" ht="24.75" customHeight="1">
      <c r="A580" s="21" t="s">
        <v>258</v>
      </c>
      <c r="B580" s="7"/>
      <c r="C580" s="7"/>
      <c r="D580" s="61">
        <f>D574/D578</f>
        <v>563.3165829145729</v>
      </c>
      <c r="E580" s="14"/>
      <c r="F580" s="14">
        <f>D580</f>
        <v>563.3165829145729</v>
      </c>
      <c r="G580" s="14"/>
      <c r="H580" s="14"/>
      <c r="I580" s="14"/>
      <c r="J580" s="14"/>
      <c r="K580" s="14"/>
      <c r="L580" s="14"/>
      <c r="M580" s="14"/>
      <c r="N580" s="14">
        <v>2352.941</v>
      </c>
      <c r="O580" s="14"/>
      <c r="P580" s="180">
        <f>N580</f>
        <v>2352.941</v>
      </c>
    </row>
    <row r="581" spans="1:235" s="91" customFormat="1" ht="45.75" customHeight="1">
      <c r="A581" s="81" t="s">
        <v>414</v>
      </c>
      <c r="B581" s="87"/>
      <c r="C581" s="87"/>
      <c r="D581" s="88"/>
      <c r="E581" s="88"/>
      <c r="F581" s="88"/>
      <c r="G581" s="88">
        <f>G585*G587</f>
        <v>70100</v>
      </c>
      <c r="H581" s="88"/>
      <c r="I581" s="88"/>
      <c r="J581" s="88">
        <f>G581</f>
        <v>70100</v>
      </c>
      <c r="K581" s="88"/>
      <c r="L581" s="88"/>
      <c r="M581" s="88"/>
      <c r="N581" s="88"/>
      <c r="O581" s="88"/>
      <c r="P581" s="88"/>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c r="BB581" s="90"/>
      <c r="BC581" s="90"/>
      <c r="BD581" s="90"/>
      <c r="BE581" s="90"/>
      <c r="BF581" s="90"/>
      <c r="BG581" s="90"/>
      <c r="BH581" s="90"/>
      <c r="BI581" s="90"/>
      <c r="BJ581" s="90"/>
      <c r="BK581" s="90"/>
      <c r="BL581" s="90"/>
      <c r="BM581" s="90"/>
      <c r="BN581" s="90"/>
      <c r="BO581" s="90"/>
      <c r="BP581" s="90"/>
      <c r="BQ581" s="90"/>
      <c r="BR581" s="90"/>
      <c r="BS581" s="90"/>
      <c r="BT581" s="90"/>
      <c r="BU581" s="90"/>
      <c r="BV581" s="90"/>
      <c r="BW581" s="90"/>
      <c r="BX581" s="90"/>
      <c r="BY581" s="90"/>
      <c r="BZ581" s="90"/>
      <c r="CA581" s="90"/>
      <c r="CB581" s="90"/>
      <c r="CC581" s="90"/>
      <c r="CD581" s="90"/>
      <c r="CE581" s="90"/>
      <c r="CF581" s="90"/>
      <c r="CG581" s="90"/>
      <c r="CH581" s="90"/>
      <c r="CI581" s="90"/>
      <c r="CJ581" s="90"/>
      <c r="CK581" s="90"/>
      <c r="CL581" s="90"/>
      <c r="CM581" s="90"/>
      <c r="CN581" s="90"/>
      <c r="CO581" s="90"/>
      <c r="CP581" s="90"/>
      <c r="CQ581" s="90"/>
      <c r="CR581" s="90"/>
      <c r="CS581" s="90"/>
      <c r="CT581" s="90"/>
      <c r="CU581" s="90"/>
      <c r="CV581" s="90"/>
      <c r="CW581" s="90"/>
      <c r="CX581" s="90"/>
      <c r="CY581" s="90"/>
      <c r="CZ581" s="90"/>
      <c r="DA581" s="90"/>
      <c r="DB581" s="90"/>
      <c r="DC581" s="90"/>
      <c r="DD581" s="90"/>
      <c r="DE581" s="90"/>
      <c r="DF581" s="90"/>
      <c r="DG581" s="90"/>
      <c r="DH581" s="90"/>
      <c r="DI581" s="90"/>
      <c r="DJ581" s="90"/>
      <c r="DK581" s="90"/>
      <c r="DL581" s="90"/>
      <c r="DM581" s="90"/>
      <c r="DN581" s="90"/>
      <c r="DO581" s="90"/>
      <c r="DP581" s="90"/>
      <c r="DQ581" s="90"/>
      <c r="DR581" s="90"/>
      <c r="DS581" s="90"/>
      <c r="DT581" s="90"/>
      <c r="DU581" s="90"/>
      <c r="DV581" s="90"/>
      <c r="DW581" s="90"/>
      <c r="DX581" s="90"/>
      <c r="DY581" s="90"/>
      <c r="DZ581" s="90"/>
      <c r="EA581" s="90"/>
      <c r="EB581" s="90"/>
      <c r="EC581" s="90"/>
      <c r="ED581" s="90"/>
      <c r="EE581" s="90"/>
      <c r="EF581" s="90"/>
      <c r="EG581" s="90"/>
      <c r="EH581" s="90"/>
      <c r="EI581" s="90"/>
      <c r="EJ581" s="90"/>
      <c r="EK581" s="90"/>
      <c r="EL581" s="90"/>
      <c r="EM581" s="90"/>
      <c r="EN581" s="90"/>
      <c r="EO581" s="90"/>
      <c r="EP581" s="90"/>
      <c r="EQ581" s="90"/>
      <c r="ER581" s="90"/>
      <c r="ES581" s="90"/>
      <c r="ET581" s="90"/>
      <c r="EU581" s="90"/>
      <c r="EV581" s="90"/>
      <c r="EW581" s="90"/>
      <c r="EX581" s="90"/>
      <c r="EY581" s="90"/>
      <c r="EZ581" s="90"/>
      <c r="FA581" s="90"/>
      <c r="FB581" s="90"/>
      <c r="FC581" s="90"/>
      <c r="FD581" s="90"/>
      <c r="FE581" s="90"/>
      <c r="FF581" s="90"/>
      <c r="FG581" s="90"/>
      <c r="FH581" s="90"/>
      <c r="FI581" s="90"/>
      <c r="FJ581" s="90"/>
      <c r="FK581" s="90"/>
      <c r="FL581" s="90"/>
      <c r="FM581" s="90"/>
      <c r="FN581" s="90"/>
      <c r="FO581" s="90"/>
      <c r="FP581" s="90"/>
      <c r="FQ581" s="90"/>
      <c r="FR581" s="90"/>
      <c r="FS581" s="90"/>
      <c r="FT581" s="90"/>
      <c r="FU581" s="90"/>
      <c r="FV581" s="90"/>
      <c r="FW581" s="90"/>
      <c r="FX581" s="90"/>
      <c r="FY581" s="90"/>
      <c r="FZ581" s="90"/>
      <c r="GA581" s="90"/>
      <c r="GB581" s="90"/>
      <c r="GC581" s="90"/>
      <c r="GD581" s="90"/>
      <c r="GE581" s="90"/>
      <c r="GF581" s="90"/>
      <c r="GG581" s="90"/>
      <c r="GH581" s="90"/>
      <c r="GI581" s="90"/>
      <c r="GJ581" s="90"/>
      <c r="GK581" s="90"/>
      <c r="GL581" s="90"/>
      <c r="GM581" s="90"/>
      <c r="GN581" s="90"/>
      <c r="GO581" s="90"/>
      <c r="GP581" s="90"/>
      <c r="GQ581" s="90"/>
      <c r="GR581" s="90"/>
      <c r="GS581" s="90"/>
      <c r="GT581" s="90"/>
      <c r="GU581" s="90"/>
      <c r="GV581" s="90"/>
      <c r="GW581" s="90"/>
      <c r="GX581" s="90"/>
      <c r="GY581" s="90"/>
      <c r="GZ581" s="90"/>
      <c r="HA581" s="90"/>
      <c r="HB581" s="90"/>
      <c r="HC581" s="90"/>
      <c r="HD581" s="90"/>
      <c r="HE581" s="90"/>
      <c r="HF581" s="90"/>
      <c r="HG581" s="90"/>
      <c r="HH581" s="90"/>
      <c r="HI581" s="90"/>
      <c r="HJ581" s="90"/>
      <c r="HK581" s="90"/>
      <c r="HL581" s="90"/>
      <c r="HM581" s="90"/>
      <c r="HN581" s="90"/>
      <c r="HO581" s="90"/>
      <c r="HP581" s="90"/>
      <c r="HQ581" s="90"/>
      <c r="HR581" s="90"/>
      <c r="HS581" s="90"/>
      <c r="HT581" s="90"/>
      <c r="HU581" s="90"/>
      <c r="HV581" s="90"/>
      <c r="HW581" s="90"/>
      <c r="HX581" s="90"/>
      <c r="HY581" s="90"/>
      <c r="HZ581" s="90"/>
      <c r="IA581" s="90"/>
    </row>
    <row r="582" spans="1:16" ht="12.75" customHeight="1">
      <c r="A582" s="20" t="s">
        <v>4</v>
      </c>
      <c r="B582" s="7"/>
      <c r="C582" s="7"/>
      <c r="D582" s="61"/>
      <c r="E582" s="14"/>
      <c r="F582" s="14"/>
      <c r="G582" s="14"/>
      <c r="H582" s="14"/>
      <c r="I582" s="14"/>
      <c r="J582" s="14"/>
      <c r="K582" s="14"/>
      <c r="L582" s="14"/>
      <c r="M582" s="14"/>
      <c r="N582" s="14"/>
      <c r="O582" s="14"/>
      <c r="P582" s="14"/>
    </row>
    <row r="583" spans="1:16" ht="11.25">
      <c r="A583" s="21" t="s">
        <v>63</v>
      </c>
      <c r="B583" s="7"/>
      <c r="C583" s="7"/>
      <c r="D583" s="61"/>
      <c r="E583" s="14"/>
      <c r="F583" s="14"/>
      <c r="G583" s="14">
        <v>70100</v>
      </c>
      <c r="H583" s="14"/>
      <c r="I583" s="14"/>
      <c r="J583" s="14">
        <f>G583</f>
        <v>70100</v>
      </c>
      <c r="K583" s="14"/>
      <c r="L583" s="14"/>
      <c r="M583" s="14"/>
      <c r="N583" s="14"/>
      <c r="O583" s="14"/>
      <c r="P583" s="14"/>
    </row>
    <row r="584" spans="1:16" ht="11.25">
      <c r="A584" s="20" t="s">
        <v>5</v>
      </c>
      <c r="B584" s="7"/>
      <c r="C584" s="7"/>
      <c r="D584" s="61"/>
      <c r="E584" s="14"/>
      <c r="F584" s="14"/>
      <c r="G584" s="14"/>
      <c r="H584" s="14"/>
      <c r="I584" s="14"/>
      <c r="J584" s="14"/>
      <c r="K584" s="14"/>
      <c r="L584" s="14"/>
      <c r="M584" s="14"/>
      <c r="N584" s="14"/>
      <c r="O584" s="14"/>
      <c r="P584" s="14"/>
    </row>
    <row r="585" spans="1:16" ht="15" customHeight="1">
      <c r="A585" s="21" t="s">
        <v>296</v>
      </c>
      <c r="B585" s="7"/>
      <c r="C585" s="7"/>
      <c r="D585" s="61"/>
      <c r="E585" s="14"/>
      <c r="F585" s="14"/>
      <c r="G585" s="14">
        <v>1</v>
      </c>
      <c r="H585" s="14"/>
      <c r="I585" s="14"/>
      <c r="J585" s="14">
        <v>1</v>
      </c>
      <c r="K585" s="14"/>
      <c r="L585" s="14"/>
      <c r="M585" s="14"/>
      <c r="N585" s="14"/>
      <c r="O585" s="14"/>
      <c r="P585" s="14"/>
    </row>
    <row r="586" spans="1:16" ht="11.25">
      <c r="A586" s="20" t="s">
        <v>7</v>
      </c>
      <c r="B586" s="7"/>
      <c r="C586" s="7"/>
      <c r="D586" s="61"/>
      <c r="E586" s="14"/>
      <c r="F586" s="14"/>
      <c r="G586" s="14"/>
      <c r="H586" s="14"/>
      <c r="I586" s="14"/>
      <c r="J586" s="14"/>
      <c r="K586" s="14"/>
      <c r="L586" s="14"/>
      <c r="M586" s="14"/>
      <c r="N586" s="14"/>
      <c r="O586" s="14"/>
      <c r="P586" s="14"/>
    </row>
    <row r="587" spans="1:16" ht="22.5">
      <c r="A587" s="21" t="s">
        <v>297</v>
      </c>
      <c r="B587" s="7"/>
      <c r="C587" s="7"/>
      <c r="D587" s="61"/>
      <c r="E587" s="14"/>
      <c r="F587" s="14"/>
      <c r="G587" s="14">
        <v>70100</v>
      </c>
      <c r="H587" s="14"/>
      <c r="I587" s="14"/>
      <c r="J587" s="14">
        <f>G587</f>
        <v>70100</v>
      </c>
      <c r="K587" s="14"/>
      <c r="L587" s="14"/>
      <c r="M587" s="14"/>
      <c r="N587" s="14"/>
      <c r="O587" s="14"/>
      <c r="P587" s="14"/>
    </row>
    <row r="588" spans="1:235" s="91" customFormat="1" ht="24.75" customHeight="1">
      <c r="A588" s="81" t="s">
        <v>415</v>
      </c>
      <c r="B588" s="87"/>
      <c r="C588" s="87"/>
      <c r="D588" s="88"/>
      <c r="E588" s="88"/>
      <c r="F588" s="88"/>
      <c r="G588" s="88">
        <f>G592*G594</f>
        <v>50100</v>
      </c>
      <c r="H588" s="88"/>
      <c r="I588" s="88"/>
      <c r="J588" s="88">
        <f>G588</f>
        <v>50100</v>
      </c>
      <c r="K588" s="88"/>
      <c r="L588" s="88"/>
      <c r="M588" s="88"/>
      <c r="N588" s="88"/>
      <c r="O588" s="88"/>
      <c r="P588" s="88"/>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c r="BB588" s="90"/>
      <c r="BC588" s="90"/>
      <c r="BD588" s="90"/>
      <c r="BE588" s="90"/>
      <c r="BF588" s="90"/>
      <c r="BG588" s="90"/>
      <c r="BH588" s="90"/>
      <c r="BI588" s="90"/>
      <c r="BJ588" s="90"/>
      <c r="BK588" s="90"/>
      <c r="BL588" s="90"/>
      <c r="BM588" s="90"/>
      <c r="BN588" s="90"/>
      <c r="BO588" s="90"/>
      <c r="BP588" s="90"/>
      <c r="BQ588" s="90"/>
      <c r="BR588" s="90"/>
      <c r="BS588" s="90"/>
      <c r="BT588" s="90"/>
      <c r="BU588" s="90"/>
      <c r="BV588" s="90"/>
      <c r="BW588" s="90"/>
      <c r="BX588" s="90"/>
      <c r="BY588" s="90"/>
      <c r="BZ588" s="90"/>
      <c r="CA588" s="90"/>
      <c r="CB588" s="90"/>
      <c r="CC588" s="90"/>
      <c r="CD588" s="90"/>
      <c r="CE588" s="90"/>
      <c r="CF588" s="90"/>
      <c r="CG588" s="90"/>
      <c r="CH588" s="90"/>
      <c r="CI588" s="90"/>
      <c r="CJ588" s="90"/>
      <c r="CK588" s="90"/>
      <c r="CL588" s="90"/>
      <c r="CM588" s="90"/>
      <c r="CN588" s="90"/>
      <c r="CO588" s="90"/>
      <c r="CP588" s="90"/>
      <c r="CQ588" s="90"/>
      <c r="CR588" s="90"/>
      <c r="CS588" s="90"/>
      <c r="CT588" s="90"/>
      <c r="CU588" s="90"/>
      <c r="CV588" s="90"/>
      <c r="CW588" s="90"/>
      <c r="CX588" s="90"/>
      <c r="CY588" s="90"/>
      <c r="CZ588" s="90"/>
      <c r="DA588" s="90"/>
      <c r="DB588" s="90"/>
      <c r="DC588" s="90"/>
      <c r="DD588" s="90"/>
      <c r="DE588" s="90"/>
      <c r="DF588" s="90"/>
      <c r="DG588" s="90"/>
      <c r="DH588" s="90"/>
      <c r="DI588" s="90"/>
      <c r="DJ588" s="90"/>
      <c r="DK588" s="90"/>
      <c r="DL588" s="90"/>
      <c r="DM588" s="90"/>
      <c r="DN588" s="90"/>
      <c r="DO588" s="90"/>
      <c r="DP588" s="90"/>
      <c r="DQ588" s="90"/>
      <c r="DR588" s="90"/>
      <c r="DS588" s="90"/>
      <c r="DT588" s="90"/>
      <c r="DU588" s="90"/>
      <c r="DV588" s="90"/>
      <c r="DW588" s="90"/>
      <c r="DX588" s="90"/>
      <c r="DY588" s="90"/>
      <c r="DZ588" s="90"/>
      <c r="EA588" s="90"/>
      <c r="EB588" s="90"/>
      <c r="EC588" s="90"/>
      <c r="ED588" s="90"/>
      <c r="EE588" s="90"/>
      <c r="EF588" s="90"/>
      <c r="EG588" s="90"/>
      <c r="EH588" s="90"/>
      <c r="EI588" s="90"/>
      <c r="EJ588" s="90"/>
      <c r="EK588" s="90"/>
      <c r="EL588" s="90"/>
      <c r="EM588" s="90"/>
      <c r="EN588" s="90"/>
      <c r="EO588" s="90"/>
      <c r="EP588" s="90"/>
      <c r="EQ588" s="90"/>
      <c r="ER588" s="90"/>
      <c r="ES588" s="90"/>
      <c r="ET588" s="90"/>
      <c r="EU588" s="90"/>
      <c r="EV588" s="90"/>
      <c r="EW588" s="90"/>
      <c r="EX588" s="90"/>
      <c r="EY588" s="90"/>
      <c r="EZ588" s="90"/>
      <c r="FA588" s="90"/>
      <c r="FB588" s="90"/>
      <c r="FC588" s="90"/>
      <c r="FD588" s="90"/>
      <c r="FE588" s="90"/>
      <c r="FF588" s="90"/>
      <c r="FG588" s="90"/>
      <c r="FH588" s="90"/>
      <c r="FI588" s="90"/>
      <c r="FJ588" s="90"/>
      <c r="FK588" s="90"/>
      <c r="FL588" s="90"/>
      <c r="FM588" s="90"/>
      <c r="FN588" s="90"/>
      <c r="FO588" s="90"/>
      <c r="FP588" s="90"/>
      <c r="FQ588" s="90"/>
      <c r="FR588" s="90"/>
      <c r="FS588" s="90"/>
      <c r="FT588" s="90"/>
      <c r="FU588" s="90"/>
      <c r="FV588" s="90"/>
      <c r="FW588" s="90"/>
      <c r="FX588" s="90"/>
      <c r="FY588" s="90"/>
      <c r="FZ588" s="90"/>
      <c r="GA588" s="90"/>
      <c r="GB588" s="90"/>
      <c r="GC588" s="90"/>
      <c r="GD588" s="90"/>
      <c r="GE588" s="90"/>
      <c r="GF588" s="90"/>
      <c r="GG588" s="90"/>
      <c r="GH588" s="90"/>
      <c r="GI588" s="90"/>
      <c r="GJ588" s="90"/>
      <c r="GK588" s="90"/>
      <c r="GL588" s="90"/>
      <c r="GM588" s="90"/>
      <c r="GN588" s="90"/>
      <c r="GO588" s="90"/>
      <c r="GP588" s="90"/>
      <c r="GQ588" s="90"/>
      <c r="GR588" s="90"/>
      <c r="GS588" s="90"/>
      <c r="GT588" s="90"/>
      <c r="GU588" s="90"/>
      <c r="GV588" s="90"/>
      <c r="GW588" s="90"/>
      <c r="GX588" s="90"/>
      <c r="GY588" s="90"/>
      <c r="GZ588" s="90"/>
      <c r="HA588" s="90"/>
      <c r="HB588" s="90"/>
      <c r="HC588" s="90"/>
      <c r="HD588" s="90"/>
      <c r="HE588" s="90"/>
      <c r="HF588" s="90"/>
      <c r="HG588" s="90"/>
      <c r="HH588" s="90"/>
      <c r="HI588" s="90"/>
      <c r="HJ588" s="90"/>
      <c r="HK588" s="90"/>
      <c r="HL588" s="90"/>
      <c r="HM588" s="90"/>
      <c r="HN588" s="90"/>
      <c r="HO588" s="90"/>
      <c r="HP588" s="90"/>
      <c r="HQ588" s="90"/>
      <c r="HR588" s="90"/>
      <c r="HS588" s="90"/>
      <c r="HT588" s="90"/>
      <c r="HU588" s="90"/>
      <c r="HV588" s="90"/>
      <c r="HW588" s="90"/>
      <c r="HX588" s="90"/>
      <c r="HY588" s="90"/>
      <c r="HZ588" s="90"/>
      <c r="IA588" s="90"/>
    </row>
    <row r="589" spans="1:16" ht="11.25">
      <c r="A589" s="20" t="s">
        <v>4</v>
      </c>
      <c r="B589" s="7"/>
      <c r="C589" s="7"/>
      <c r="D589" s="61"/>
      <c r="E589" s="14"/>
      <c r="F589" s="14"/>
      <c r="G589" s="14"/>
      <c r="H589" s="14"/>
      <c r="I589" s="14"/>
      <c r="J589" s="14"/>
      <c r="K589" s="14"/>
      <c r="L589" s="14"/>
      <c r="M589" s="14"/>
      <c r="N589" s="14"/>
      <c r="O589" s="14"/>
      <c r="P589" s="14"/>
    </row>
    <row r="590" spans="1:16" ht="11.25">
      <c r="A590" s="21" t="s">
        <v>63</v>
      </c>
      <c r="B590" s="7"/>
      <c r="C590" s="7"/>
      <c r="D590" s="61"/>
      <c r="E590" s="14"/>
      <c r="F590" s="14"/>
      <c r="G590" s="14">
        <v>50100</v>
      </c>
      <c r="H590" s="14"/>
      <c r="I590" s="14"/>
      <c r="J590" s="14">
        <f>G590</f>
        <v>50100</v>
      </c>
      <c r="K590" s="14"/>
      <c r="L590" s="14"/>
      <c r="M590" s="14"/>
      <c r="N590" s="14"/>
      <c r="O590" s="14"/>
      <c r="P590" s="14"/>
    </row>
    <row r="591" spans="1:16" ht="11.25">
      <c r="A591" s="20" t="s">
        <v>5</v>
      </c>
      <c r="B591" s="7"/>
      <c r="C591" s="7"/>
      <c r="D591" s="61"/>
      <c r="E591" s="14"/>
      <c r="F591" s="14"/>
      <c r="G591" s="14"/>
      <c r="H591" s="14"/>
      <c r="I591" s="14"/>
      <c r="J591" s="14"/>
      <c r="K591" s="14"/>
      <c r="L591" s="14"/>
      <c r="M591" s="14"/>
      <c r="N591" s="14"/>
      <c r="O591" s="14"/>
      <c r="P591" s="14"/>
    </row>
    <row r="592" spans="1:16" ht="14.25" customHeight="1">
      <c r="A592" s="21" t="s">
        <v>395</v>
      </c>
      <c r="B592" s="7"/>
      <c r="C592" s="7"/>
      <c r="D592" s="61"/>
      <c r="E592" s="14"/>
      <c r="F592" s="14"/>
      <c r="G592" s="14">
        <v>1</v>
      </c>
      <c r="H592" s="14"/>
      <c r="I592" s="14"/>
      <c r="J592" s="14">
        <v>1</v>
      </c>
      <c r="K592" s="14"/>
      <c r="L592" s="14"/>
      <c r="M592" s="14"/>
      <c r="N592" s="14"/>
      <c r="O592" s="14"/>
      <c r="P592" s="14"/>
    </row>
    <row r="593" spans="1:16" ht="12" customHeight="1">
      <c r="A593" s="20" t="s">
        <v>7</v>
      </c>
      <c r="B593" s="7"/>
      <c r="C593" s="7"/>
      <c r="D593" s="61"/>
      <c r="E593" s="14"/>
      <c r="F593" s="14"/>
      <c r="G593" s="14"/>
      <c r="H593" s="14"/>
      <c r="I593" s="14"/>
      <c r="J593" s="14"/>
      <c r="K593" s="14"/>
      <c r="L593" s="14"/>
      <c r="M593" s="14"/>
      <c r="N593" s="14"/>
      <c r="O593" s="14"/>
      <c r="P593" s="14"/>
    </row>
    <row r="594" spans="1:16" ht="24.75" customHeight="1">
      <c r="A594" s="21" t="s">
        <v>297</v>
      </c>
      <c r="B594" s="7"/>
      <c r="C594" s="7"/>
      <c r="D594" s="61"/>
      <c r="E594" s="14"/>
      <c r="F594" s="14"/>
      <c r="G594" s="14">
        <v>50100</v>
      </c>
      <c r="H594" s="14"/>
      <c r="I594" s="14"/>
      <c r="J594" s="14">
        <f>G594</f>
        <v>50100</v>
      </c>
      <c r="K594" s="14"/>
      <c r="L594" s="14"/>
      <c r="M594" s="14"/>
      <c r="N594" s="14"/>
      <c r="O594" s="14"/>
      <c r="P594" s="14"/>
    </row>
    <row r="595" spans="1:235" s="91" customFormat="1" ht="24.75" customHeight="1">
      <c r="A595" s="81" t="s">
        <v>416</v>
      </c>
      <c r="B595" s="87"/>
      <c r="C595" s="87"/>
      <c r="D595" s="88"/>
      <c r="E595" s="88"/>
      <c r="F595" s="88"/>
      <c r="G595" s="88"/>
      <c r="H595" s="88">
        <f>H599*H601</f>
        <v>4700000</v>
      </c>
      <c r="I595" s="88"/>
      <c r="J595" s="88">
        <f>G595+H595</f>
        <v>4700000</v>
      </c>
      <c r="K595" s="88"/>
      <c r="L595" s="88"/>
      <c r="M595" s="88"/>
      <c r="N595" s="88"/>
      <c r="O595" s="88">
        <f>O599*O601</f>
        <v>0</v>
      </c>
      <c r="P595" s="88">
        <f>O595</f>
        <v>0</v>
      </c>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c r="BP595" s="90"/>
      <c r="BQ595" s="90"/>
      <c r="BR595" s="90"/>
      <c r="BS595" s="90"/>
      <c r="BT595" s="90"/>
      <c r="BU595" s="90"/>
      <c r="BV595" s="90"/>
      <c r="BW595" s="90"/>
      <c r="BX595" s="90"/>
      <c r="BY595" s="90"/>
      <c r="BZ595" s="90"/>
      <c r="CA595" s="90"/>
      <c r="CB595" s="90"/>
      <c r="CC595" s="90"/>
      <c r="CD595" s="90"/>
      <c r="CE595" s="90"/>
      <c r="CF595" s="90"/>
      <c r="CG595" s="90"/>
      <c r="CH595" s="90"/>
      <c r="CI595" s="90"/>
      <c r="CJ595" s="90"/>
      <c r="CK595" s="90"/>
      <c r="CL595" s="90"/>
      <c r="CM595" s="90"/>
      <c r="CN595" s="90"/>
      <c r="CO595" s="90"/>
      <c r="CP595" s="90"/>
      <c r="CQ595" s="90"/>
      <c r="CR595" s="90"/>
      <c r="CS595" s="90"/>
      <c r="CT595" s="90"/>
      <c r="CU595" s="90"/>
      <c r="CV595" s="90"/>
      <c r="CW595" s="90"/>
      <c r="CX595" s="90"/>
      <c r="CY595" s="90"/>
      <c r="CZ595" s="90"/>
      <c r="DA595" s="90"/>
      <c r="DB595" s="90"/>
      <c r="DC595" s="90"/>
      <c r="DD595" s="90"/>
      <c r="DE595" s="90"/>
      <c r="DF595" s="90"/>
      <c r="DG595" s="90"/>
      <c r="DH595" s="90"/>
      <c r="DI595" s="90"/>
      <c r="DJ595" s="90"/>
      <c r="DK595" s="90"/>
      <c r="DL595" s="90"/>
      <c r="DM595" s="90"/>
      <c r="DN595" s="90"/>
      <c r="DO595" s="90"/>
      <c r="DP595" s="90"/>
      <c r="DQ595" s="90"/>
      <c r="DR595" s="90"/>
      <c r="DS595" s="90"/>
      <c r="DT595" s="90"/>
      <c r="DU595" s="90"/>
      <c r="DV595" s="90"/>
      <c r="DW595" s="90"/>
      <c r="DX595" s="90"/>
      <c r="DY595" s="90"/>
      <c r="DZ595" s="90"/>
      <c r="EA595" s="90"/>
      <c r="EB595" s="90"/>
      <c r="EC595" s="90"/>
      <c r="ED595" s="90"/>
      <c r="EE595" s="90"/>
      <c r="EF595" s="90"/>
      <c r="EG595" s="90"/>
      <c r="EH595" s="90"/>
      <c r="EI595" s="90"/>
      <c r="EJ595" s="90"/>
      <c r="EK595" s="90"/>
      <c r="EL595" s="90"/>
      <c r="EM595" s="90"/>
      <c r="EN595" s="90"/>
      <c r="EO595" s="90"/>
      <c r="EP595" s="90"/>
      <c r="EQ595" s="90"/>
      <c r="ER595" s="90"/>
      <c r="ES595" s="90"/>
      <c r="ET595" s="90"/>
      <c r="EU595" s="90"/>
      <c r="EV595" s="90"/>
      <c r="EW595" s="90"/>
      <c r="EX595" s="90"/>
      <c r="EY595" s="90"/>
      <c r="EZ595" s="90"/>
      <c r="FA595" s="90"/>
      <c r="FB595" s="90"/>
      <c r="FC595" s="90"/>
      <c r="FD595" s="90"/>
      <c r="FE595" s="90"/>
      <c r="FF595" s="90"/>
      <c r="FG595" s="90"/>
      <c r="FH595" s="90"/>
      <c r="FI595" s="90"/>
      <c r="FJ595" s="90"/>
      <c r="FK595" s="90"/>
      <c r="FL595" s="90"/>
      <c r="FM595" s="90"/>
      <c r="FN595" s="90"/>
      <c r="FO595" s="90"/>
      <c r="FP595" s="90"/>
      <c r="FQ595" s="90"/>
      <c r="FR595" s="90"/>
      <c r="FS595" s="90"/>
      <c r="FT595" s="90"/>
      <c r="FU595" s="90"/>
      <c r="FV595" s="90"/>
      <c r="FW595" s="90"/>
      <c r="FX595" s="90"/>
      <c r="FY595" s="90"/>
      <c r="FZ595" s="90"/>
      <c r="GA595" s="90"/>
      <c r="GB595" s="90"/>
      <c r="GC595" s="90"/>
      <c r="GD595" s="90"/>
      <c r="GE595" s="90"/>
      <c r="GF595" s="90"/>
      <c r="GG595" s="90"/>
      <c r="GH595" s="90"/>
      <c r="GI595" s="90"/>
      <c r="GJ595" s="90"/>
      <c r="GK595" s="90"/>
      <c r="GL595" s="90"/>
      <c r="GM595" s="90"/>
      <c r="GN595" s="90"/>
      <c r="GO595" s="90"/>
      <c r="GP595" s="90"/>
      <c r="GQ595" s="90"/>
      <c r="GR595" s="90"/>
      <c r="GS595" s="90"/>
      <c r="GT595" s="90"/>
      <c r="GU595" s="90"/>
      <c r="GV595" s="90"/>
      <c r="GW595" s="90"/>
      <c r="GX595" s="90"/>
      <c r="GY595" s="90"/>
      <c r="GZ595" s="90"/>
      <c r="HA595" s="90"/>
      <c r="HB595" s="90"/>
      <c r="HC595" s="90"/>
      <c r="HD595" s="90"/>
      <c r="HE595" s="90"/>
      <c r="HF595" s="90"/>
      <c r="HG595" s="90"/>
      <c r="HH595" s="90"/>
      <c r="HI595" s="90"/>
      <c r="HJ595" s="90"/>
      <c r="HK595" s="90"/>
      <c r="HL595" s="90"/>
      <c r="HM595" s="90"/>
      <c r="HN595" s="90"/>
      <c r="HO595" s="90"/>
      <c r="HP595" s="90"/>
      <c r="HQ595" s="90"/>
      <c r="HR595" s="90"/>
      <c r="HS595" s="90"/>
      <c r="HT595" s="90"/>
      <c r="HU595" s="90"/>
      <c r="HV595" s="90"/>
      <c r="HW595" s="90"/>
      <c r="HX595" s="90"/>
      <c r="HY595" s="90"/>
      <c r="HZ595" s="90"/>
      <c r="IA595" s="90"/>
    </row>
    <row r="596" spans="1:16" ht="11.25">
      <c r="A596" s="20" t="s">
        <v>4</v>
      </c>
      <c r="B596" s="7"/>
      <c r="C596" s="7"/>
      <c r="D596" s="61"/>
      <c r="E596" s="14"/>
      <c r="F596" s="14"/>
      <c r="G596" s="14"/>
      <c r="H596" s="14"/>
      <c r="I596" s="14"/>
      <c r="J596" s="14"/>
      <c r="K596" s="14"/>
      <c r="L596" s="14"/>
      <c r="M596" s="14"/>
      <c r="N596" s="14"/>
      <c r="O596" s="14"/>
      <c r="P596" s="14"/>
    </row>
    <row r="597" spans="1:16" ht="11.25">
      <c r="A597" s="21" t="s">
        <v>63</v>
      </c>
      <c r="B597" s="7"/>
      <c r="C597" s="7"/>
      <c r="D597" s="61"/>
      <c r="E597" s="14"/>
      <c r="F597" s="14"/>
      <c r="G597" s="14"/>
      <c r="H597" s="14">
        <f>3129500+300702+664532+174600+200666</f>
        <v>4470000</v>
      </c>
      <c r="I597" s="14"/>
      <c r="J597" s="14">
        <f>G597+H597</f>
        <v>4470000</v>
      </c>
      <c r="K597" s="14"/>
      <c r="L597" s="14"/>
      <c r="M597" s="14"/>
      <c r="N597" s="14"/>
      <c r="O597" s="14">
        <f>O599*O601</f>
        <v>0</v>
      </c>
      <c r="P597" s="14">
        <f>O597</f>
        <v>0</v>
      </c>
    </row>
    <row r="598" spans="1:16" ht="11.25">
      <c r="A598" s="20" t="s">
        <v>5</v>
      </c>
      <c r="B598" s="7"/>
      <c r="C598" s="7"/>
      <c r="D598" s="61"/>
      <c r="E598" s="14"/>
      <c r="F598" s="14"/>
      <c r="G598" s="14"/>
      <c r="H598" s="14"/>
      <c r="I598" s="14"/>
      <c r="J598" s="14"/>
      <c r="K598" s="14"/>
      <c r="L598" s="14"/>
      <c r="M598" s="14"/>
      <c r="N598" s="14"/>
      <c r="O598" s="14"/>
      <c r="P598" s="14"/>
    </row>
    <row r="599" spans="1:16" ht="22.5">
      <c r="A599" s="92" t="s">
        <v>319</v>
      </c>
      <c r="B599" s="7"/>
      <c r="C599" s="7"/>
      <c r="D599" s="61"/>
      <c r="E599" s="14"/>
      <c r="F599" s="14"/>
      <c r="G599" s="14"/>
      <c r="H599" s="14">
        <v>10</v>
      </c>
      <c r="I599" s="14"/>
      <c r="J599" s="14">
        <f>G599+H599</f>
        <v>10</v>
      </c>
      <c r="K599" s="14"/>
      <c r="L599" s="14"/>
      <c r="M599" s="14"/>
      <c r="N599" s="14"/>
      <c r="O599" s="14"/>
      <c r="P599" s="14">
        <f>O599</f>
        <v>0</v>
      </c>
    </row>
    <row r="600" spans="1:16" ht="11.25">
      <c r="A600" s="20" t="s">
        <v>7</v>
      </c>
      <c r="B600" s="7"/>
      <c r="C600" s="7"/>
      <c r="D600" s="61"/>
      <c r="E600" s="14"/>
      <c r="F600" s="14"/>
      <c r="G600" s="14"/>
      <c r="H600" s="14"/>
      <c r="I600" s="14"/>
      <c r="J600" s="14"/>
      <c r="K600" s="14"/>
      <c r="L600" s="14"/>
      <c r="M600" s="14"/>
      <c r="N600" s="14"/>
      <c r="O600" s="14"/>
      <c r="P600" s="14"/>
    </row>
    <row r="601" spans="1:16" ht="22.5">
      <c r="A601" s="54" t="s">
        <v>174</v>
      </c>
      <c r="B601" s="7"/>
      <c r="C601" s="7"/>
      <c r="D601" s="61"/>
      <c r="E601" s="14"/>
      <c r="F601" s="14"/>
      <c r="G601" s="14"/>
      <c r="H601" s="14">
        <v>470000</v>
      </c>
      <c r="I601" s="14"/>
      <c r="J601" s="14">
        <f>G601+H601</f>
        <v>470000</v>
      </c>
      <c r="K601" s="14"/>
      <c r="L601" s="14"/>
      <c r="M601" s="14"/>
      <c r="N601" s="14"/>
      <c r="O601" s="14"/>
      <c r="P601" s="14">
        <f>O601</f>
        <v>0</v>
      </c>
    </row>
    <row r="602" spans="1:235" s="91" customFormat="1" ht="24.75" customHeight="1">
      <c r="A602" s="81" t="s">
        <v>417</v>
      </c>
      <c r="B602" s="87"/>
      <c r="C602" s="87"/>
      <c r="D602" s="88"/>
      <c r="E602" s="88"/>
      <c r="F602" s="88"/>
      <c r="G602" s="88">
        <f>G606*G608</f>
        <v>0</v>
      </c>
      <c r="H602" s="88"/>
      <c r="I602" s="88"/>
      <c r="J602" s="88">
        <f>G602</f>
        <v>0</v>
      </c>
      <c r="K602" s="88"/>
      <c r="L602" s="88"/>
      <c r="M602" s="88"/>
      <c r="N602" s="88">
        <f>N608*N606</f>
        <v>180000</v>
      </c>
      <c r="O602" s="88">
        <f>O608*O606</f>
        <v>0</v>
      </c>
      <c r="P602" s="88">
        <f>P608*P606</f>
        <v>180000</v>
      </c>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c r="BP602" s="90"/>
      <c r="BQ602" s="90"/>
      <c r="BR602" s="90"/>
      <c r="BS602" s="90"/>
      <c r="BT602" s="90"/>
      <c r="BU602" s="90"/>
      <c r="BV602" s="90"/>
      <c r="BW602" s="90"/>
      <c r="BX602" s="90"/>
      <c r="BY602" s="90"/>
      <c r="BZ602" s="90"/>
      <c r="CA602" s="90"/>
      <c r="CB602" s="90"/>
      <c r="CC602" s="90"/>
      <c r="CD602" s="90"/>
      <c r="CE602" s="90"/>
      <c r="CF602" s="90"/>
      <c r="CG602" s="90"/>
      <c r="CH602" s="90"/>
      <c r="CI602" s="90"/>
      <c r="CJ602" s="90"/>
      <c r="CK602" s="90"/>
      <c r="CL602" s="90"/>
      <c r="CM602" s="90"/>
      <c r="CN602" s="90"/>
      <c r="CO602" s="90"/>
      <c r="CP602" s="90"/>
      <c r="CQ602" s="90"/>
      <c r="CR602" s="90"/>
      <c r="CS602" s="90"/>
      <c r="CT602" s="90"/>
      <c r="CU602" s="90"/>
      <c r="CV602" s="90"/>
      <c r="CW602" s="90"/>
      <c r="CX602" s="90"/>
      <c r="CY602" s="90"/>
      <c r="CZ602" s="90"/>
      <c r="DA602" s="90"/>
      <c r="DB602" s="90"/>
      <c r="DC602" s="90"/>
      <c r="DD602" s="90"/>
      <c r="DE602" s="90"/>
      <c r="DF602" s="90"/>
      <c r="DG602" s="90"/>
      <c r="DH602" s="90"/>
      <c r="DI602" s="90"/>
      <c r="DJ602" s="90"/>
      <c r="DK602" s="90"/>
      <c r="DL602" s="90"/>
      <c r="DM602" s="90"/>
      <c r="DN602" s="90"/>
      <c r="DO602" s="90"/>
      <c r="DP602" s="90"/>
      <c r="DQ602" s="90"/>
      <c r="DR602" s="90"/>
      <c r="DS602" s="90"/>
      <c r="DT602" s="90"/>
      <c r="DU602" s="90"/>
      <c r="DV602" s="90"/>
      <c r="DW602" s="90"/>
      <c r="DX602" s="90"/>
      <c r="DY602" s="90"/>
      <c r="DZ602" s="90"/>
      <c r="EA602" s="90"/>
      <c r="EB602" s="90"/>
      <c r="EC602" s="90"/>
      <c r="ED602" s="90"/>
      <c r="EE602" s="90"/>
      <c r="EF602" s="90"/>
      <c r="EG602" s="90"/>
      <c r="EH602" s="90"/>
      <c r="EI602" s="90"/>
      <c r="EJ602" s="90"/>
      <c r="EK602" s="90"/>
      <c r="EL602" s="90"/>
      <c r="EM602" s="90"/>
      <c r="EN602" s="90"/>
      <c r="EO602" s="90"/>
      <c r="EP602" s="90"/>
      <c r="EQ602" s="90"/>
      <c r="ER602" s="90"/>
      <c r="ES602" s="90"/>
      <c r="ET602" s="90"/>
      <c r="EU602" s="90"/>
      <c r="EV602" s="90"/>
      <c r="EW602" s="90"/>
      <c r="EX602" s="90"/>
      <c r="EY602" s="90"/>
      <c r="EZ602" s="90"/>
      <c r="FA602" s="90"/>
      <c r="FB602" s="90"/>
      <c r="FC602" s="90"/>
      <c r="FD602" s="90"/>
      <c r="FE602" s="90"/>
      <c r="FF602" s="90"/>
      <c r="FG602" s="90"/>
      <c r="FH602" s="90"/>
      <c r="FI602" s="90"/>
      <c r="FJ602" s="90"/>
      <c r="FK602" s="90"/>
      <c r="FL602" s="90"/>
      <c r="FM602" s="90"/>
      <c r="FN602" s="90"/>
      <c r="FO602" s="90"/>
      <c r="FP602" s="90"/>
      <c r="FQ602" s="90"/>
      <c r="FR602" s="90"/>
      <c r="FS602" s="90"/>
      <c r="FT602" s="90"/>
      <c r="FU602" s="90"/>
      <c r="FV602" s="90"/>
      <c r="FW602" s="90"/>
      <c r="FX602" s="90"/>
      <c r="FY602" s="90"/>
      <c r="FZ602" s="90"/>
      <c r="GA602" s="90"/>
      <c r="GB602" s="90"/>
      <c r="GC602" s="90"/>
      <c r="GD602" s="90"/>
      <c r="GE602" s="90"/>
      <c r="GF602" s="90"/>
      <c r="GG602" s="90"/>
      <c r="GH602" s="90"/>
      <c r="GI602" s="90"/>
      <c r="GJ602" s="90"/>
      <c r="GK602" s="90"/>
      <c r="GL602" s="90"/>
      <c r="GM602" s="90"/>
      <c r="GN602" s="90"/>
      <c r="GO602" s="90"/>
      <c r="GP602" s="90"/>
      <c r="GQ602" s="90"/>
      <c r="GR602" s="90"/>
      <c r="GS602" s="90"/>
      <c r="GT602" s="90"/>
      <c r="GU602" s="90"/>
      <c r="GV602" s="90"/>
      <c r="GW602" s="90"/>
      <c r="GX602" s="90"/>
      <c r="GY602" s="90"/>
      <c r="GZ602" s="90"/>
      <c r="HA602" s="90"/>
      <c r="HB602" s="90"/>
      <c r="HC602" s="90"/>
      <c r="HD602" s="90"/>
      <c r="HE602" s="90"/>
      <c r="HF602" s="90"/>
      <c r="HG602" s="90"/>
      <c r="HH602" s="90"/>
      <c r="HI602" s="90"/>
      <c r="HJ602" s="90"/>
      <c r="HK602" s="90"/>
      <c r="HL602" s="90"/>
      <c r="HM602" s="90"/>
      <c r="HN602" s="90"/>
      <c r="HO602" s="90"/>
      <c r="HP602" s="90"/>
      <c r="HQ602" s="90"/>
      <c r="HR602" s="90"/>
      <c r="HS602" s="90"/>
      <c r="HT602" s="90"/>
      <c r="HU602" s="90"/>
      <c r="HV602" s="90"/>
      <c r="HW602" s="90"/>
      <c r="HX602" s="90"/>
      <c r="HY602" s="90"/>
      <c r="HZ602" s="90"/>
      <c r="IA602" s="90"/>
    </row>
    <row r="603" spans="1:16" ht="11.25">
      <c r="A603" s="20" t="s">
        <v>4</v>
      </c>
      <c r="B603" s="7"/>
      <c r="C603" s="7"/>
      <c r="D603" s="61"/>
      <c r="E603" s="14"/>
      <c r="F603" s="14"/>
      <c r="G603" s="14"/>
      <c r="H603" s="14"/>
      <c r="I603" s="14"/>
      <c r="J603" s="14"/>
      <c r="K603" s="14"/>
      <c r="L603" s="14"/>
      <c r="M603" s="14"/>
      <c r="N603" s="14"/>
      <c r="O603" s="14"/>
      <c r="P603" s="14"/>
    </row>
    <row r="604" spans="1:16" ht="11.25">
      <c r="A604" s="21" t="s">
        <v>63</v>
      </c>
      <c r="B604" s="7"/>
      <c r="C604" s="7"/>
      <c r="D604" s="61"/>
      <c r="E604" s="14"/>
      <c r="F604" s="14"/>
      <c r="G604" s="14"/>
      <c r="H604" s="14"/>
      <c r="I604" s="14"/>
      <c r="J604" s="14"/>
      <c r="K604" s="14"/>
      <c r="L604" s="14"/>
      <c r="M604" s="14"/>
      <c r="N604" s="14">
        <v>180000</v>
      </c>
      <c r="O604" s="14"/>
      <c r="P604" s="14">
        <f>N604+O604</f>
        <v>180000</v>
      </c>
    </row>
    <row r="605" spans="1:16" ht="11.25">
      <c r="A605" s="20" t="s">
        <v>5</v>
      </c>
      <c r="B605" s="7"/>
      <c r="C605" s="7"/>
      <c r="D605" s="61"/>
      <c r="E605" s="14"/>
      <c r="F605" s="14"/>
      <c r="G605" s="14"/>
      <c r="H605" s="14"/>
      <c r="I605" s="14"/>
      <c r="J605" s="14"/>
      <c r="K605" s="14"/>
      <c r="L605" s="14"/>
      <c r="M605" s="14"/>
      <c r="N605" s="14"/>
      <c r="O605" s="14"/>
      <c r="P605" s="14"/>
    </row>
    <row r="606" spans="1:16" ht="14.25" customHeight="1">
      <c r="A606" s="21" t="s">
        <v>395</v>
      </c>
      <c r="B606" s="7"/>
      <c r="C606" s="7"/>
      <c r="D606" s="61"/>
      <c r="E606" s="14"/>
      <c r="F606" s="14"/>
      <c r="G606" s="14"/>
      <c r="H606" s="14"/>
      <c r="I606" s="14"/>
      <c r="J606" s="14"/>
      <c r="K606" s="14"/>
      <c r="L606" s="14"/>
      <c r="M606" s="14"/>
      <c r="N606" s="14">
        <v>18</v>
      </c>
      <c r="O606" s="14"/>
      <c r="P606" s="14">
        <f>N606+O606</f>
        <v>18</v>
      </c>
    </row>
    <row r="607" spans="1:16" ht="12" customHeight="1">
      <c r="A607" s="20" t="s">
        <v>7</v>
      </c>
      <c r="B607" s="7"/>
      <c r="C607" s="7"/>
      <c r="D607" s="61"/>
      <c r="E607" s="14"/>
      <c r="F607" s="14"/>
      <c r="G607" s="14"/>
      <c r="H607" s="14"/>
      <c r="I607" s="14"/>
      <c r="J607" s="14"/>
      <c r="K607" s="14"/>
      <c r="L607" s="14"/>
      <c r="M607" s="14"/>
      <c r="N607" s="14"/>
      <c r="O607" s="14"/>
      <c r="P607" s="14"/>
    </row>
    <row r="608" spans="1:16" ht="24.75" customHeight="1">
      <c r="A608" s="21" t="s">
        <v>297</v>
      </c>
      <c r="B608" s="7"/>
      <c r="C608" s="7"/>
      <c r="D608" s="61"/>
      <c r="E608" s="14"/>
      <c r="F608" s="14"/>
      <c r="G608" s="14"/>
      <c r="H608" s="14"/>
      <c r="I608" s="14"/>
      <c r="J608" s="14"/>
      <c r="K608" s="14"/>
      <c r="L608" s="14"/>
      <c r="M608" s="14"/>
      <c r="N608" s="14">
        <f>N604/N606</f>
        <v>10000</v>
      </c>
      <c r="O608" s="14"/>
      <c r="P608" s="14">
        <f>N608+O608</f>
        <v>10000</v>
      </c>
    </row>
    <row r="609" spans="1:235" s="84" customFormat="1" ht="13.5" customHeight="1">
      <c r="A609" s="107" t="s">
        <v>443</v>
      </c>
      <c r="B609" s="76"/>
      <c r="C609" s="76"/>
      <c r="D609" s="88">
        <f>D612</f>
        <v>6000</v>
      </c>
      <c r="E609" s="88">
        <v>0</v>
      </c>
      <c r="F609" s="88">
        <f>D609</f>
        <v>6000</v>
      </c>
      <c r="G609" s="88">
        <f>G612</f>
        <v>495500</v>
      </c>
      <c r="H609" s="88">
        <f>H612</f>
        <v>0</v>
      </c>
      <c r="I609" s="88">
        <f>I612</f>
        <v>0</v>
      </c>
      <c r="J609" s="88">
        <f>J612</f>
        <v>495500</v>
      </c>
      <c r="K609" s="88"/>
      <c r="L609" s="88"/>
      <c r="M609" s="88"/>
      <c r="N609" s="88">
        <f>N612</f>
        <v>7800000</v>
      </c>
      <c r="O609" s="88">
        <f>O612</f>
        <v>0</v>
      </c>
      <c r="P609" s="88">
        <f>P612</f>
        <v>7800000</v>
      </c>
      <c r="Q609" s="88">
        <v>5500</v>
      </c>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c r="BR609" s="120"/>
      <c r="BS609" s="120"/>
      <c r="BT609" s="120"/>
      <c r="BU609" s="120"/>
      <c r="BV609" s="120"/>
      <c r="BW609" s="120"/>
      <c r="BX609" s="120"/>
      <c r="BY609" s="120"/>
      <c r="BZ609" s="120"/>
      <c r="CA609" s="120"/>
      <c r="CB609" s="120"/>
      <c r="CC609" s="120"/>
      <c r="CD609" s="120"/>
      <c r="CE609" s="120"/>
      <c r="CF609" s="120"/>
      <c r="CG609" s="120"/>
      <c r="CH609" s="120"/>
      <c r="CI609" s="120"/>
      <c r="CJ609" s="120"/>
      <c r="CK609" s="120"/>
      <c r="CL609" s="120"/>
      <c r="CM609" s="120"/>
      <c r="CN609" s="120"/>
      <c r="CO609" s="120"/>
      <c r="CP609" s="120"/>
      <c r="CQ609" s="120"/>
      <c r="CR609" s="120"/>
      <c r="CS609" s="120"/>
      <c r="CT609" s="120"/>
      <c r="CU609" s="120"/>
      <c r="CV609" s="120"/>
      <c r="CW609" s="120"/>
      <c r="CX609" s="120"/>
      <c r="CY609" s="120"/>
      <c r="CZ609" s="120"/>
      <c r="DA609" s="120"/>
      <c r="DB609" s="120"/>
      <c r="DC609" s="120"/>
      <c r="DD609" s="120"/>
      <c r="DE609" s="120"/>
      <c r="DF609" s="120"/>
      <c r="DG609" s="120"/>
      <c r="DH609" s="120"/>
      <c r="DI609" s="120"/>
      <c r="DJ609" s="120"/>
      <c r="DK609" s="120"/>
      <c r="DL609" s="120"/>
      <c r="DM609" s="120"/>
      <c r="DN609" s="120"/>
      <c r="DO609" s="120"/>
      <c r="DP609" s="120"/>
      <c r="DQ609" s="120"/>
      <c r="DR609" s="120"/>
      <c r="DS609" s="120"/>
      <c r="DT609" s="120"/>
      <c r="DU609" s="120"/>
      <c r="DV609" s="120"/>
      <c r="DW609" s="120"/>
      <c r="DX609" s="120"/>
      <c r="DY609" s="120"/>
      <c r="DZ609" s="120"/>
      <c r="EA609" s="120"/>
      <c r="EB609" s="120"/>
      <c r="EC609" s="120"/>
      <c r="ED609" s="120"/>
      <c r="EE609" s="120"/>
      <c r="EF609" s="120"/>
      <c r="EG609" s="120"/>
      <c r="EH609" s="120"/>
      <c r="EI609" s="120"/>
      <c r="EJ609" s="120"/>
      <c r="EK609" s="120"/>
      <c r="EL609" s="120"/>
      <c r="EM609" s="120"/>
      <c r="EN609" s="120"/>
      <c r="EO609" s="120"/>
      <c r="EP609" s="120"/>
      <c r="EQ609" s="120"/>
      <c r="ER609" s="120"/>
      <c r="ES609" s="120"/>
      <c r="ET609" s="120"/>
      <c r="EU609" s="120"/>
      <c r="EV609" s="120"/>
      <c r="EW609" s="120"/>
      <c r="EX609" s="120"/>
      <c r="EY609" s="120"/>
      <c r="EZ609" s="120"/>
      <c r="FA609" s="120"/>
      <c r="FB609" s="120"/>
      <c r="FC609" s="120"/>
      <c r="FD609" s="120"/>
      <c r="FE609" s="120"/>
      <c r="FF609" s="120"/>
      <c r="FG609" s="120"/>
      <c r="FH609" s="120"/>
      <c r="FI609" s="120"/>
      <c r="FJ609" s="120"/>
      <c r="FK609" s="120"/>
      <c r="FL609" s="120"/>
      <c r="FM609" s="120"/>
      <c r="FN609" s="120"/>
      <c r="FO609" s="120"/>
      <c r="FP609" s="120"/>
      <c r="FQ609" s="120"/>
      <c r="FR609" s="120"/>
      <c r="FS609" s="120"/>
      <c r="FT609" s="120"/>
      <c r="FU609" s="120"/>
      <c r="FV609" s="120"/>
      <c r="FW609" s="120"/>
      <c r="FX609" s="120"/>
      <c r="FY609" s="120"/>
      <c r="FZ609" s="120"/>
      <c r="GA609" s="120"/>
      <c r="GB609" s="120"/>
      <c r="GC609" s="120"/>
      <c r="GD609" s="120"/>
      <c r="GE609" s="120"/>
      <c r="GF609" s="120"/>
      <c r="GG609" s="120"/>
      <c r="GH609" s="120"/>
      <c r="GI609" s="120"/>
      <c r="GJ609" s="120"/>
      <c r="GK609" s="120"/>
      <c r="GL609" s="120"/>
      <c r="GM609" s="120"/>
      <c r="GN609" s="120"/>
      <c r="GO609" s="120"/>
      <c r="GP609" s="120"/>
      <c r="GQ609" s="120"/>
      <c r="GR609" s="120"/>
      <c r="GS609" s="120"/>
      <c r="GT609" s="120"/>
      <c r="GU609" s="120"/>
      <c r="GV609" s="120"/>
      <c r="GW609" s="120"/>
      <c r="GX609" s="120"/>
      <c r="GY609" s="120"/>
      <c r="GZ609" s="120"/>
      <c r="HA609" s="120"/>
      <c r="HB609" s="120"/>
      <c r="HC609" s="120"/>
      <c r="HD609" s="120"/>
      <c r="HE609" s="120"/>
      <c r="HF609" s="120"/>
      <c r="HG609" s="120"/>
      <c r="HH609" s="120"/>
      <c r="HI609" s="120"/>
      <c r="HJ609" s="120"/>
      <c r="HK609" s="120"/>
      <c r="HL609" s="120"/>
      <c r="HM609" s="120"/>
      <c r="HN609" s="120"/>
      <c r="HO609" s="120"/>
      <c r="HP609" s="120"/>
      <c r="HQ609" s="120"/>
      <c r="HR609" s="120"/>
      <c r="HS609" s="120"/>
      <c r="HT609" s="120"/>
      <c r="HU609" s="120"/>
      <c r="HV609" s="120"/>
      <c r="HW609" s="120"/>
      <c r="HX609" s="120"/>
      <c r="HY609" s="120"/>
      <c r="HZ609" s="120"/>
      <c r="IA609" s="120"/>
    </row>
    <row r="610" spans="1:17" ht="35.25" customHeight="1">
      <c r="A610" s="22" t="s">
        <v>245</v>
      </c>
      <c r="B610" s="7"/>
      <c r="C610" s="7"/>
      <c r="D610" s="14"/>
      <c r="E610" s="14"/>
      <c r="F610" s="14"/>
      <c r="G610" s="14"/>
      <c r="H610" s="14"/>
      <c r="I610" s="14"/>
      <c r="J610" s="14"/>
      <c r="K610" s="14"/>
      <c r="L610" s="14"/>
      <c r="M610" s="14"/>
      <c r="N610" s="14"/>
      <c r="O610" s="14"/>
      <c r="P610" s="14"/>
      <c r="Q610" s="6"/>
    </row>
    <row r="611" spans="1:17" ht="24.75" customHeight="1">
      <c r="A611" s="21" t="s">
        <v>242</v>
      </c>
      <c r="B611" s="7"/>
      <c r="C611" s="7"/>
      <c r="D611" s="61"/>
      <c r="E611" s="14"/>
      <c r="F611" s="14"/>
      <c r="G611" s="14"/>
      <c r="H611" s="14"/>
      <c r="I611" s="14"/>
      <c r="J611" s="14"/>
      <c r="K611" s="14"/>
      <c r="L611" s="14"/>
      <c r="M611" s="14"/>
      <c r="N611" s="14"/>
      <c r="O611" s="14"/>
      <c r="P611" s="14"/>
      <c r="Q611" s="6"/>
    </row>
    <row r="612" spans="1:235" s="91" customFormat="1" ht="15" customHeight="1">
      <c r="A612" s="81" t="s">
        <v>419</v>
      </c>
      <c r="B612" s="87"/>
      <c r="C612" s="87"/>
      <c r="D612" s="142">
        <f>D614</f>
        <v>6000</v>
      </c>
      <c r="E612" s="142"/>
      <c r="F612" s="142">
        <f>D612</f>
        <v>6000</v>
      </c>
      <c r="G612" s="88">
        <f>G614</f>
        <v>495500</v>
      </c>
      <c r="H612" s="88">
        <v>0</v>
      </c>
      <c r="I612" s="88">
        <f>I614</f>
        <v>0</v>
      </c>
      <c r="J612" s="88">
        <f>J614</f>
        <v>495500</v>
      </c>
      <c r="K612" s="88"/>
      <c r="L612" s="88"/>
      <c r="M612" s="88"/>
      <c r="N612" s="88">
        <f>N614</f>
        <v>7800000</v>
      </c>
      <c r="O612" s="88"/>
      <c r="P612" s="88">
        <f>N612</f>
        <v>7800000</v>
      </c>
      <c r="Q612" s="89">
        <v>5500</v>
      </c>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c r="BB612" s="90"/>
      <c r="BC612" s="90"/>
      <c r="BD612" s="90"/>
      <c r="BE612" s="90"/>
      <c r="BF612" s="90"/>
      <c r="BG612" s="90"/>
      <c r="BH612" s="90"/>
      <c r="BI612" s="90"/>
      <c r="BJ612" s="90"/>
      <c r="BK612" s="90"/>
      <c r="BL612" s="90"/>
      <c r="BM612" s="90"/>
      <c r="BN612" s="90"/>
      <c r="BO612" s="90"/>
      <c r="BP612" s="90"/>
      <c r="BQ612" s="90"/>
      <c r="BR612" s="90"/>
      <c r="BS612" s="90"/>
      <c r="BT612" s="90"/>
      <c r="BU612" s="90"/>
      <c r="BV612" s="90"/>
      <c r="BW612" s="90"/>
      <c r="BX612" s="90"/>
      <c r="BY612" s="90"/>
      <c r="BZ612" s="90"/>
      <c r="CA612" s="90"/>
      <c r="CB612" s="90"/>
      <c r="CC612" s="90"/>
      <c r="CD612" s="90"/>
      <c r="CE612" s="90"/>
      <c r="CF612" s="90"/>
      <c r="CG612" s="90"/>
      <c r="CH612" s="90"/>
      <c r="CI612" s="90"/>
      <c r="CJ612" s="90"/>
      <c r="CK612" s="90"/>
      <c r="CL612" s="90"/>
      <c r="CM612" s="90"/>
      <c r="CN612" s="90"/>
      <c r="CO612" s="90"/>
      <c r="CP612" s="90"/>
      <c r="CQ612" s="90"/>
      <c r="CR612" s="90"/>
      <c r="CS612" s="90"/>
      <c r="CT612" s="90"/>
      <c r="CU612" s="90"/>
      <c r="CV612" s="90"/>
      <c r="CW612" s="90"/>
      <c r="CX612" s="90"/>
      <c r="CY612" s="90"/>
      <c r="CZ612" s="90"/>
      <c r="DA612" s="90"/>
      <c r="DB612" s="90"/>
      <c r="DC612" s="90"/>
      <c r="DD612" s="90"/>
      <c r="DE612" s="90"/>
      <c r="DF612" s="90"/>
      <c r="DG612" s="90"/>
      <c r="DH612" s="90"/>
      <c r="DI612" s="90"/>
      <c r="DJ612" s="90"/>
      <c r="DK612" s="90"/>
      <c r="DL612" s="90"/>
      <c r="DM612" s="90"/>
      <c r="DN612" s="90"/>
      <c r="DO612" s="90"/>
      <c r="DP612" s="90"/>
      <c r="DQ612" s="90"/>
      <c r="DR612" s="90"/>
      <c r="DS612" s="90"/>
      <c r="DT612" s="90"/>
      <c r="DU612" s="90"/>
      <c r="DV612" s="90"/>
      <c r="DW612" s="90"/>
      <c r="DX612" s="90"/>
      <c r="DY612" s="90"/>
      <c r="DZ612" s="90"/>
      <c r="EA612" s="90"/>
      <c r="EB612" s="90"/>
      <c r="EC612" s="90"/>
      <c r="ED612" s="90"/>
      <c r="EE612" s="90"/>
      <c r="EF612" s="90"/>
      <c r="EG612" s="90"/>
      <c r="EH612" s="90"/>
      <c r="EI612" s="90"/>
      <c r="EJ612" s="90"/>
      <c r="EK612" s="90"/>
      <c r="EL612" s="90"/>
      <c r="EM612" s="90"/>
      <c r="EN612" s="90"/>
      <c r="EO612" s="90"/>
      <c r="EP612" s="90"/>
      <c r="EQ612" s="90"/>
      <c r="ER612" s="90"/>
      <c r="ES612" s="90"/>
      <c r="ET612" s="90"/>
      <c r="EU612" s="90"/>
      <c r="EV612" s="90"/>
      <c r="EW612" s="90"/>
      <c r="EX612" s="90"/>
      <c r="EY612" s="90"/>
      <c r="EZ612" s="90"/>
      <c r="FA612" s="90"/>
      <c r="FB612" s="90"/>
      <c r="FC612" s="90"/>
      <c r="FD612" s="90"/>
      <c r="FE612" s="90"/>
      <c r="FF612" s="90"/>
      <c r="FG612" s="90"/>
      <c r="FH612" s="90"/>
      <c r="FI612" s="90"/>
      <c r="FJ612" s="90"/>
      <c r="FK612" s="90"/>
      <c r="FL612" s="90"/>
      <c r="FM612" s="90"/>
      <c r="FN612" s="90"/>
      <c r="FO612" s="90"/>
      <c r="FP612" s="90"/>
      <c r="FQ612" s="90"/>
      <c r="FR612" s="90"/>
      <c r="FS612" s="90"/>
      <c r="FT612" s="90"/>
      <c r="FU612" s="90"/>
      <c r="FV612" s="90"/>
      <c r="FW612" s="90"/>
      <c r="FX612" s="90"/>
      <c r="FY612" s="90"/>
      <c r="FZ612" s="90"/>
      <c r="GA612" s="90"/>
      <c r="GB612" s="90"/>
      <c r="GC612" s="90"/>
      <c r="GD612" s="90"/>
      <c r="GE612" s="90"/>
      <c r="GF612" s="90"/>
      <c r="GG612" s="90"/>
      <c r="GH612" s="90"/>
      <c r="GI612" s="90"/>
      <c r="GJ612" s="90"/>
      <c r="GK612" s="90"/>
      <c r="GL612" s="90"/>
      <c r="GM612" s="90"/>
      <c r="GN612" s="90"/>
      <c r="GO612" s="90"/>
      <c r="GP612" s="90"/>
      <c r="GQ612" s="90"/>
      <c r="GR612" s="90"/>
      <c r="GS612" s="90"/>
      <c r="GT612" s="90"/>
      <c r="GU612" s="90"/>
      <c r="GV612" s="90"/>
      <c r="GW612" s="90"/>
      <c r="GX612" s="90"/>
      <c r="GY612" s="90"/>
      <c r="GZ612" s="90"/>
      <c r="HA612" s="90"/>
      <c r="HB612" s="90"/>
      <c r="HC612" s="90"/>
      <c r="HD612" s="90"/>
      <c r="HE612" s="90"/>
      <c r="HF612" s="90"/>
      <c r="HG612" s="90"/>
      <c r="HH612" s="90"/>
      <c r="HI612" s="90"/>
      <c r="HJ612" s="90"/>
      <c r="HK612" s="90"/>
      <c r="HL612" s="90"/>
      <c r="HM612" s="90"/>
      <c r="HN612" s="90"/>
      <c r="HO612" s="90"/>
      <c r="HP612" s="90"/>
      <c r="HQ612" s="90"/>
      <c r="HR612" s="90"/>
      <c r="HS612" s="90"/>
      <c r="HT612" s="90"/>
      <c r="HU612" s="90"/>
      <c r="HV612" s="90"/>
      <c r="HW612" s="90"/>
      <c r="HX612" s="90"/>
      <c r="HY612" s="90"/>
      <c r="HZ612" s="90"/>
      <c r="IA612" s="90"/>
    </row>
    <row r="613" spans="1:17" ht="12" customHeight="1">
      <c r="A613" s="20" t="s">
        <v>4</v>
      </c>
      <c r="B613" s="7"/>
      <c r="C613" s="7"/>
      <c r="D613" s="143"/>
      <c r="E613" s="144"/>
      <c r="F613" s="144"/>
      <c r="G613" s="14"/>
      <c r="H613" s="14"/>
      <c r="I613" s="14"/>
      <c r="J613" s="14"/>
      <c r="K613" s="14"/>
      <c r="L613" s="14"/>
      <c r="M613" s="14"/>
      <c r="N613" s="14"/>
      <c r="O613" s="14"/>
      <c r="P613" s="14"/>
      <c r="Q613" s="6"/>
    </row>
    <row r="614" spans="1:17" ht="12" customHeight="1">
      <c r="A614" s="21" t="s">
        <v>63</v>
      </c>
      <c r="B614" s="7"/>
      <c r="C614" s="7"/>
      <c r="D614" s="143">
        <f>(D616*D621)+(D617*D622)</f>
        <v>6000</v>
      </c>
      <c r="E614" s="144"/>
      <c r="F614" s="144">
        <f>D614</f>
        <v>6000</v>
      </c>
      <c r="G614" s="14">
        <v>495500</v>
      </c>
      <c r="H614" s="14"/>
      <c r="I614" s="14"/>
      <c r="J614" s="14">
        <f>J618*J623-1.6</f>
        <v>495500</v>
      </c>
      <c r="K614" s="14"/>
      <c r="L614" s="14"/>
      <c r="M614" s="14"/>
      <c r="N614" s="14">
        <f>N618*N623+65658</f>
        <v>7800000</v>
      </c>
      <c r="O614" s="14"/>
      <c r="P614" s="14">
        <f>N614</f>
        <v>7800000</v>
      </c>
      <c r="Q614" s="6">
        <v>5500</v>
      </c>
    </row>
    <row r="615" spans="1:17" ht="12.75" customHeight="1">
      <c r="A615" s="20" t="s">
        <v>5</v>
      </c>
      <c r="B615" s="7"/>
      <c r="C615" s="7"/>
      <c r="D615" s="143"/>
      <c r="E615" s="144"/>
      <c r="F615" s="144"/>
      <c r="G615" s="14"/>
      <c r="H615" s="14"/>
      <c r="I615" s="14"/>
      <c r="J615" s="14"/>
      <c r="K615" s="14"/>
      <c r="L615" s="14"/>
      <c r="M615" s="14"/>
      <c r="N615" s="14"/>
      <c r="O615" s="14"/>
      <c r="P615" s="14"/>
      <c r="Q615" s="6"/>
    </row>
    <row r="616" spans="1:17" ht="23.25" customHeight="1">
      <c r="A616" s="21" t="s">
        <v>247</v>
      </c>
      <c r="B616" s="7"/>
      <c r="C616" s="7"/>
      <c r="D616" s="143">
        <v>1</v>
      </c>
      <c r="E616" s="144"/>
      <c r="F616" s="144">
        <f>D616</f>
        <v>1</v>
      </c>
      <c r="G616" s="14"/>
      <c r="H616" s="14"/>
      <c r="I616" s="14"/>
      <c r="J616" s="14"/>
      <c r="K616" s="14"/>
      <c r="L616" s="14"/>
      <c r="M616" s="14"/>
      <c r="N616" s="14"/>
      <c r="O616" s="14"/>
      <c r="P616" s="14"/>
      <c r="Q616" s="9">
        <v>1</v>
      </c>
    </row>
    <row r="617" spans="1:17" ht="22.5">
      <c r="A617" s="21" t="s">
        <v>260</v>
      </c>
      <c r="B617" s="7"/>
      <c r="C617" s="7"/>
      <c r="D617" s="143">
        <v>1</v>
      </c>
      <c r="E617" s="144"/>
      <c r="F617" s="144">
        <v>1</v>
      </c>
      <c r="G617" s="14"/>
      <c r="H617" s="14"/>
      <c r="I617" s="14"/>
      <c r="J617" s="14"/>
      <c r="K617" s="14"/>
      <c r="L617" s="14"/>
      <c r="M617" s="14"/>
      <c r="N617" s="14"/>
      <c r="O617" s="14"/>
      <c r="P617" s="14"/>
      <c r="Q617" s="9"/>
    </row>
    <row r="618" spans="1:17" ht="22.5">
      <c r="A618" s="21" t="s">
        <v>294</v>
      </c>
      <c r="B618" s="7"/>
      <c r="C618" s="7"/>
      <c r="D618" s="143"/>
      <c r="E618" s="144"/>
      <c r="F618" s="144"/>
      <c r="G618" s="181">
        <v>165</v>
      </c>
      <c r="H618" s="14"/>
      <c r="I618" s="14"/>
      <c r="J618" s="14">
        <v>165</v>
      </c>
      <c r="K618" s="14"/>
      <c r="L618" s="14"/>
      <c r="M618" s="14"/>
      <c r="N618" s="14">
        <v>1155</v>
      </c>
      <c r="O618" s="14"/>
      <c r="P618" s="14">
        <f>N618</f>
        <v>1155</v>
      </c>
      <c r="Q618" s="9"/>
    </row>
    <row r="619" spans="1:17" ht="11.25">
      <c r="A619" s="21" t="s">
        <v>390</v>
      </c>
      <c r="B619" s="7"/>
      <c r="C619" s="7"/>
      <c r="D619" s="143"/>
      <c r="E619" s="144"/>
      <c r="F619" s="144"/>
      <c r="G619" s="181"/>
      <c r="H619" s="14"/>
      <c r="I619" s="14"/>
      <c r="J619" s="14"/>
      <c r="K619" s="14"/>
      <c r="L619" s="14"/>
      <c r="M619" s="14"/>
      <c r="N619" s="14"/>
      <c r="O619" s="14"/>
      <c r="P619" s="14"/>
      <c r="Q619" s="9"/>
    </row>
    <row r="620" spans="1:17" ht="12.75" customHeight="1">
      <c r="A620" s="20" t="s">
        <v>7</v>
      </c>
      <c r="B620" s="7"/>
      <c r="C620" s="7"/>
      <c r="D620" s="143"/>
      <c r="E620" s="144"/>
      <c r="F620" s="144"/>
      <c r="G620" s="14"/>
      <c r="H620" s="14"/>
      <c r="I620" s="14"/>
      <c r="J620" s="14"/>
      <c r="K620" s="14"/>
      <c r="L620" s="14"/>
      <c r="M620" s="14"/>
      <c r="N620" s="14"/>
      <c r="O620" s="14"/>
      <c r="P620" s="14"/>
      <c r="Q620" s="6"/>
    </row>
    <row r="621" spans="1:17" ht="24" customHeight="1">
      <c r="A621" s="21" t="s">
        <v>246</v>
      </c>
      <c r="B621" s="7"/>
      <c r="C621" s="7"/>
      <c r="D621" s="143">
        <v>3000</v>
      </c>
      <c r="E621" s="144"/>
      <c r="F621" s="144">
        <f>D621</f>
        <v>3000</v>
      </c>
      <c r="G621" s="14"/>
      <c r="H621" s="14"/>
      <c r="I621" s="14"/>
      <c r="J621" s="14"/>
      <c r="K621" s="14"/>
      <c r="L621" s="14"/>
      <c r="M621" s="14"/>
      <c r="N621" s="14"/>
      <c r="O621" s="14"/>
      <c r="P621" s="14"/>
      <c r="Q621" s="6"/>
    </row>
    <row r="622" spans="1:17" ht="26.25" customHeight="1">
      <c r="A622" s="21" t="s">
        <v>261</v>
      </c>
      <c r="B622" s="7"/>
      <c r="C622" s="7"/>
      <c r="D622" s="145">
        <v>3000</v>
      </c>
      <c r="E622" s="130"/>
      <c r="F622" s="130">
        <f>D622</f>
        <v>3000</v>
      </c>
      <c r="G622" s="14"/>
      <c r="H622" s="14"/>
      <c r="I622" s="14"/>
      <c r="J622" s="14"/>
      <c r="K622" s="14"/>
      <c r="L622" s="14"/>
      <c r="M622" s="14"/>
      <c r="N622" s="14"/>
      <c r="O622" s="14"/>
      <c r="P622" s="14"/>
      <c r="Q622" s="6">
        <v>5500</v>
      </c>
    </row>
    <row r="623" spans="1:17" ht="22.5">
      <c r="A623" s="21" t="s">
        <v>295</v>
      </c>
      <c r="B623" s="7"/>
      <c r="C623" s="7"/>
      <c r="D623" s="145"/>
      <c r="E623" s="130"/>
      <c r="F623" s="130"/>
      <c r="G623" s="14">
        <v>3003.03</v>
      </c>
      <c r="H623" s="14"/>
      <c r="I623" s="14"/>
      <c r="J623" s="14">
        <v>3003.04</v>
      </c>
      <c r="K623" s="14"/>
      <c r="L623" s="14"/>
      <c r="M623" s="14"/>
      <c r="N623" s="14">
        <v>6696.4</v>
      </c>
      <c r="O623" s="14"/>
      <c r="P623" s="14">
        <f>N623</f>
        <v>6696.4</v>
      </c>
      <c r="Q623" s="72"/>
    </row>
    <row r="624" spans="1:17" ht="11.25">
      <c r="A624" s="21" t="s">
        <v>391</v>
      </c>
      <c r="B624" s="7"/>
      <c r="C624" s="7"/>
      <c r="D624" s="145"/>
      <c r="E624" s="130"/>
      <c r="F624" s="130"/>
      <c r="G624" s="14"/>
      <c r="H624" s="14"/>
      <c r="I624" s="14"/>
      <c r="J624" s="14"/>
      <c r="K624" s="14"/>
      <c r="L624" s="14"/>
      <c r="M624" s="14"/>
      <c r="N624" s="14"/>
      <c r="O624" s="14"/>
      <c r="P624" s="14"/>
      <c r="Q624" s="72"/>
    </row>
    <row r="625" spans="1:235" s="84" customFormat="1" ht="12">
      <c r="A625" s="107" t="s">
        <v>444</v>
      </c>
      <c r="B625" s="76"/>
      <c r="C625" s="76"/>
      <c r="D625" s="88">
        <f>D628</f>
        <v>1214000</v>
      </c>
      <c r="E625" s="88">
        <v>0</v>
      </c>
      <c r="F625" s="88">
        <f>D625</f>
        <v>1214000</v>
      </c>
      <c r="G625" s="88">
        <f>G628</f>
        <v>8080000</v>
      </c>
      <c r="H625" s="88"/>
      <c r="I625" s="88">
        <f>I628</f>
        <v>0</v>
      </c>
      <c r="J625" s="88">
        <f>J628</f>
        <v>8080000</v>
      </c>
      <c r="K625" s="88"/>
      <c r="L625" s="88"/>
      <c r="M625" s="88"/>
      <c r="N625" s="88">
        <f>N628</f>
        <v>12000000</v>
      </c>
      <c r="O625" s="88"/>
      <c r="P625" s="88">
        <f>N625</f>
        <v>12000000</v>
      </c>
      <c r="Q625" s="83"/>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c r="BR625" s="120"/>
      <c r="BS625" s="120"/>
      <c r="BT625" s="120"/>
      <c r="BU625" s="120"/>
      <c r="BV625" s="120"/>
      <c r="BW625" s="120"/>
      <c r="BX625" s="120"/>
      <c r="BY625" s="120"/>
      <c r="BZ625" s="120"/>
      <c r="CA625" s="120"/>
      <c r="CB625" s="120"/>
      <c r="CC625" s="120"/>
      <c r="CD625" s="120"/>
      <c r="CE625" s="120"/>
      <c r="CF625" s="120"/>
      <c r="CG625" s="120"/>
      <c r="CH625" s="120"/>
      <c r="CI625" s="120"/>
      <c r="CJ625" s="120"/>
      <c r="CK625" s="120"/>
      <c r="CL625" s="120"/>
      <c r="CM625" s="120"/>
      <c r="CN625" s="120"/>
      <c r="CO625" s="120"/>
      <c r="CP625" s="120"/>
      <c r="CQ625" s="120"/>
      <c r="CR625" s="120"/>
      <c r="CS625" s="120"/>
      <c r="CT625" s="120"/>
      <c r="CU625" s="120"/>
      <c r="CV625" s="120"/>
      <c r="CW625" s="120"/>
      <c r="CX625" s="120"/>
      <c r="CY625" s="120"/>
      <c r="CZ625" s="120"/>
      <c r="DA625" s="120"/>
      <c r="DB625" s="120"/>
      <c r="DC625" s="120"/>
      <c r="DD625" s="120"/>
      <c r="DE625" s="120"/>
      <c r="DF625" s="120"/>
      <c r="DG625" s="120"/>
      <c r="DH625" s="120"/>
      <c r="DI625" s="120"/>
      <c r="DJ625" s="120"/>
      <c r="DK625" s="120"/>
      <c r="DL625" s="120"/>
      <c r="DM625" s="120"/>
      <c r="DN625" s="120"/>
      <c r="DO625" s="120"/>
      <c r="DP625" s="120"/>
      <c r="DQ625" s="120"/>
      <c r="DR625" s="120"/>
      <c r="DS625" s="120"/>
      <c r="DT625" s="120"/>
      <c r="DU625" s="120"/>
      <c r="DV625" s="120"/>
      <c r="DW625" s="120"/>
      <c r="DX625" s="120"/>
      <c r="DY625" s="120"/>
      <c r="DZ625" s="120"/>
      <c r="EA625" s="120"/>
      <c r="EB625" s="120"/>
      <c r="EC625" s="120"/>
      <c r="ED625" s="120"/>
      <c r="EE625" s="120"/>
      <c r="EF625" s="120"/>
      <c r="EG625" s="120"/>
      <c r="EH625" s="120"/>
      <c r="EI625" s="120"/>
      <c r="EJ625" s="120"/>
      <c r="EK625" s="120"/>
      <c r="EL625" s="120"/>
      <c r="EM625" s="120"/>
      <c r="EN625" s="120"/>
      <c r="EO625" s="120"/>
      <c r="EP625" s="120"/>
      <c r="EQ625" s="120"/>
      <c r="ER625" s="120"/>
      <c r="ES625" s="120"/>
      <c r="ET625" s="120"/>
      <c r="EU625" s="120"/>
      <c r="EV625" s="120"/>
      <c r="EW625" s="120"/>
      <c r="EX625" s="120"/>
      <c r="EY625" s="120"/>
      <c r="EZ625" s="120"/>
      <c r="FA625" s="120"/>
      <c r="FB625" s="120"/>
      <c r="FC625" s="120"/>
      <c r="FD625" s="120"/>
      <c r="FE625" s="120"/>
      <c r="FF625" s="120"/>
      <c r="FG625" s="120"/>
      <c r="FH625" s="120"/>
      <c r="FI625" s="120"/>
      <c r="FJ625" s="120"/>
      <c r="FK625" s="120"/>
      <c r="FL625" s="120"/>
      <c r="FM625" s="120"/>
      <c r="FN625" s="120"/>
      <c r="FO625" s="120"/>
      <c r="FP625" s="120"/>
      <c r="FQ625" s="120"/>
      <c r="FR625" s="120"/>
      <c r="FS625" s="120"/>
      <c r="FT625" s="120"/>
      <c r="FU625" s="120"/>
      <c r="FV625" s="120"/>
      <c r="FW625" s="120"/>
      <c r="FX625" s="120"/>
      <c r="FY625" s="120"/>
      <c r="FZ625" s="120"/>
      <c r="GA625" s="120"/>
      <c r="GB625" s="120"/>
      <c r="GC625" s="120"/>
      <c r="GD625" s="120"/>
      <c r="GE625" s="120"/>
      <c r="GF625" s="120"/>
      <c r="GG625" s="120"/>
      <c r="GH625" s="120"/>
      <c r="GI625" s="120"/>
      <c r="GJ625" s="120"/>
      <c r="GK625" s="120"/>
      <c r="GL625" s="120"/>
      <c r="GM625" s="120"/>
      <c r="GN625" s="120"/>
      <c r="GO625" s="120"/>
      <c r="GP625" s="120"/>
      <c r="GQ625" s="120"/>
      <c r="GR625" s="120"/>
      <c r="GS625" s="120"/>
      <c r="GT625" s="120"/>
      <c r="GU625" s="120"/>
      <c r="GV625" s="120"/>
      <c r="GW625" s="120"/>
      <c r="GX625" s="120"/>
      <c r="GY625" s="120"/>
      <c r="GZ625" s="120"/>
      <c r="HA625" s="120"/>
      <c r="HB625" s="120"/>
      <c r="HC625" s="120"/>
      <c r="HD625" s="120"/>
      <c r="HE625" s="120"/>
      <c r="HF625" s="120"/>
      <c r="HG625" s="120"/>
      <c r="HH625" s="120"/>
      <c r="HI625" s="120"/>
      <c r="HJ625" s="120"/>
      <c r="HK625" s="120"/>
      <c r="HL625" s="120"/>
      <c r="HM625" s="120"/>
      <c r="HN625" s="120"/>
      <c r="HO625" s="120"/>
      <c r="HP625" s="120"/>
      <c r="HQ625" s="120"/>
      <c r="HR625" s="120"/>
      <c r="HS625" s="120"/>
      <c r="HT625" s="120"/>
      <c r="HU625" s="120"/>
      <c r="HV625" s="120"/>
      <c r="HW625" s="120"/>
      <c r="HX625" s="120"/>
      <c r="HY625" s="120"/>
      <c r="HZ625" s="120"/>
      <c r="IA625" s="120"/>
    </row>
    <row r="626" spans="1:17" ht="33.75">
      <c r="A626" s="22" t="s">
        <v>245</v>
      </c>
      <c r="B626" s="7"/>
      <c r="C626" s="7"/>
      <c r="D626" s="14"/>
      <c r="E626" s="14"/>
      <c r="F626" s="14"/>
      <c r="G626" s="14"/>
      <c r="H626" s="14"/>
      <c r="I626" s="14"/>
      <c r="J626" s="14"/>
      <c r="K626" s="14"/>
      <c r="L626" s="14"/>
      <c r="M626" s="14"/>
      <c r="N626" s="14"/>
      <c r="O626" s="14"/>
      <c r="P626" s="14"/>
      <c r="Q626" s="72"/>
    </row>
    <row r="627" spans="1:17" ht="67.5">
      <c r="A627" s="21" t="s">
        <v>320</v>
      </c>
      <c r="B627" s="7"/>
      <c r="C627" s="7"/>
      <c r="D627" s="61"/>
      <c r="E627" s="14"/>
      <c r="F627" s="14"/>
      <c r="G627" s="14"/>
      <c r="H627" s="14"/>
      <c r="I627" s="14"/>
      <c r="J627" s="14"/>
      <c r="K627" s="14"/>
      <c r="L627" s="14"/>
      <c r="M627" s="14"/>
      <c r="N627" s="14"/>
      <c r="O627" s="14"/>
      <c r="P627" s="14"/>
      <c r="Q627" s="72"/>
    </row>
    <row r="628" spans="1:17" ht="102.75" customHeight="1">
      <c r="A628" s="19" t="s">
        <v>420</v>
      </c>
      <c r="B628" s="26"/>
      <c r="C628" s="26"/>
      <c r="D628" s="129">
        <f>D630</f>
        <v>1214000</v>
      </c>
      <c r="E628" s="129"/>
      <c r="F628" s="129">
        <f>D628</f>
        <v>1214000</v>
      </c>
      <c r="G628" s="25">
        <f>G630</f>
        <v>8080000</v>
      </c>
      <c r="H628" s="25"/>
      <c r="I628" s="25"/>
      <c r="J628" s="25">
        <f>J630</f>
        <v>8080000</v>
      </c>
      <c r="K628" s="25"/>
      <c r="L628" s="25"/>
      <c r="M628" s="25"/>
      <c r="N628" s="25">
        <f>N630</f>
        <v>12000000</v>
      </c>
      <c r="O628" s="25"/>
      <c r="P628" s="25">
        <f>N628</f>
        <v>12000000</v>
      </c>
      <c r="Q628" s="72"/>
    </row>
    <row r="629" spans="1:17" ht="11.25">
      <c r="A629" s="20" t="s">
        <v>4</v>
      </c>
      <c r="B629" s="7"/>
      <c r="C629" s="7"/>
      <c r="D629" s="143"/>
      <c r="E629" s="144"/>
      <c r="F629" s="144"/>
      <c r="G629" s="14"/>
      <c r="H629" s="14"/>
      <c r="I629" s="14"/>
      <c r="J629" s="14"/>
      <c r="K629" s="14"/>
      <c r="L629" s="14"/>
      <c r="M629" s="14"/>
      <c r="N629" s="14"/>
      <c r="O629" s="14"/>
      <c r="P629" s="14"/>
      <c r="Q629" s="72"/>
    </row>
    <row r="630" spans="1:17" ht="11.25">
      <c r="A630" s="21" t="s">
        <v>63</v>
      </c>
      <c r="B630" s="7"/>
      <c r="C630" s="7"/>
      <c r="D630" s="143">
        <f>D635*D632</f>
        <v>1214000</v>
      </c>
      <c r="E630" s="144"/>
      <c r="F630" s="144">
        <f>D630</f>
        <v>1214000</v>
      </c>
      <c r="G630" s="14">
        <f>G635*G632</f>
        <v>8080000</v>
      </c>
      <c r="H630" s="14"/>
      <c r="I630" s="14"/>
      <c r="J630" s="14">
        <f>G630</f>
        <v>8080000</v>
      </c>
      <c r="K630" s="14"/>
      <c r="L630" s="14"/>
      <c r="M630" s="14"/>
      <c r="N630" s="14">
        <f>N632*N635</f>
        <v>12000000</v>
      </c>
      <c r="O630" s="14"/>
      <c r="P630" s="14">
        <f>N630</f>
        <v>12000000</v>
      </c>
      <c r="Q630" s="72"/>
    </row>
    <row r="631" spans="1:17" ht="11.25">
      <c r="A631" s="20" t="s">
        <v>5</v>
      </c>
      <c r="B631" s="7"/>
      <c r="C631" s="7"/>
      <c r="D631" s="143"/>
      <c r="E631" s="144"/>
      <c r="F631" s="144"/>
      <c r="G631" s="14"/>
      <c r="H631" s="14"/>
      <c r="I631" s="14"/>
      <c r="J631" s="14"/>
      <c r="K631" s="14"/>
      <c r="L631" s="14"/>
      <c r="M631" s="14"/>
      <c r="N631" s="14"/>
      <c r="O631" s="14"/>
      <c r="P631" s="14"/>
      <c r="Q631" s="72"/>
    </row>
    <row r="632" spans="1:17" ht="22.5">
      <c r="A632" s="21" t="s">
        <v>311</v>
      </c>
      <c r="B632" s="7"/>
      <c r="C632" s="7"/>
      <c r="D632" s="143">
        <v>2</v>
      </c>
      <c r="E632" s="144"/>
      <c r="F632" s="144">
        <v>2</v>
      </c>
      <c r="G632" s="14">
        <v>2</v>
      </c>
      <c r="H632" s="14"/>
      <c r="I632" s="14"/>
      <c r="J632" s="14">
        <f>G632</f>
        <v>2</v>
      </c>
      <c r="K632" s="14"/>
      <c r="L632" s="14"/>
      <c r="M632" s="14"/>
      <c r="N632" s="14">
        <v>1</v>
      </c>
      <c r="O632" s="14"/>
      <c r="P632" s="14">
        <v>1</v>
      </c>
      <c r="Q632" s="72"/>
    </row>
    <row r="633" spans="1:17" ht="22.5" hidden="1">
      <c r="A633" s="21" t="s">
        <v>260</v>
      </c>
      <c r="B633" s="7"/>
      <c r="C633" s="7"/>
      <c r="D633" s="143"/>
      <c r="E633" s="144"/>
      <c r="F633" s="144"/>
      <c r="G633" s="14"/>
      <c r="H633" s="14"/>
      <c r="I633" s="14"/>
      <c r="J633" s="14"/>
      <c r="K633" s="14"/>
      <c r="L633" s="14"/>
      <c r="M633" s="14"/>
      <c r="N633" s="14"/>
      <c r="O633" s="14"/>
      <c r="P633" s="14"/>
      <c r="Q633" s="72"/>
    </row>
    <row r="634" spans="1:17" ht="11.25">
      <c r="A634" s="20" t="s">
        <v>7</v>
      </c>
      <c r="B634" s="7"/>
      <c r="C634" s="7"/>
      <c r="D634" s="143"/>
      <c r="E634" s="144"/>
      <c r="F634" s="144"/>
      <c r="G634" s="14"/>
      <c r="H634" s="14"/>
      <c r="I634" s="14"/>
      <c r="J634" s="14"/>
      <c r="K634" s="14"/>
      <c r="L634" s="14"/>
      <c r="M634" s="14"/>
      <c r="N634" s="14"/>
      <c r="O634" s="14"/>
      <c r="P634" s="14"/>
      <c r="Q634" s="72"/>
    </row>
    <row r="635" spans="1:17" ht="22.5">
      <c r="A635" s="21" t="s">
        <v>312</v>
      </c>
      <c r="B635" s="7"/>
      <c r="C635" s="7"/>
      <c r="D635" s="143">
        <v>607000</v>
      </c>
      <c r="E635" s="144"/>
      <c r="F635" s="144">
        <f>D635</f>
        <v>607000</v>
      </c>
      <c r="G635" s="14">
        <v>4040000</v>
      </c>
      <c r="H635" s="14"/>
      <c r="I635" s="14"/>
      <c r="J635" s="14">
        <f>G635</f>
        <v>4040000</v>
      </c>
      <c r="K635" s="14"/>
      <c r="L635" s="14"/>
      <c r="M635" s="14"/>
      <c r="N635" s="14">
        <v>12000000</v>
      </c>
      <c r="O635" s="14"/>
      <c r="P635" s="14">
        <f>N635</f>
        <v>12000000</v>
      </c>
      <c r="Q635" s="72"/>
    </row>
    <row r="636" spans="1:235" ht="33.75" hidden="1">
      <c r="A636" s="21" t="s">
        <v>261</v>
      </c>
      <c r="B636" s="7"/>
      <c r="C636" s="7"/>
      <c r="D636" s="145"/>
      <c r="E636" s="130"/>
      <c r="F636" s="130"/>
      <c r="G636" s="14"/>
      <c r="H636" s="14"/>
      <c r="I636" s="14"/>
      <c r="J636" s="14"/>
      <c r="K636" s="14"/>
      <c r="L636" s="14"/>
      <c r="M636" s="14"/>
      <c r="N636" s="14"/>
      <c r="O636" s="14"/>
      <c r="P636" s="14"/>
      <c r="Q636" s="72"/>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row>
    <row r="637" spans="1:17" s="84" customFormat="1" ht="12">
      <c r="A637" s="107" t="s">
        <v>445</v>
      </c>
      <c r="B637" s="76"/>
      <c r="C637" s="76"/>
      <c r="D637" s="88">
        <f>D640</f>
        <v>0</v>
      </c>
      <c r="E637" s="88">
        <v>0</v>
      </c>
      <c r="F637" s="88">
        <f>D637</f>
        <v>0</v>
      </c>
      <c r="G637" s="88">
        <f>G640</f>
        <v>1200000</v>
      </c>
      <c r="H637" s="88"/>
      <c r="I637" s="88">
        <f>I640</f>
        <v>0</v>
      </c>
      <c r="J637" s="88">
        <f>J640</f>
        <v>1200000</v>
      </c>
      <c r="K637" s="88"/>
      <c r="L637" s="88"/>
      <c r="M637" s="88"/>
      <c r="N637" s="88">
        <f>N640</f>
        <v>1000000</v>
      </c>
      <c r="O637" s="88"/>
      <c r="P637" s="88">
        <f>P640</f>
        <v>1000000</v>
      </c>
      <c r="Q637" s="83"/>
    </row>
    <row r="638" spans="1:235" ht="33.75">
      <c r="A638" s="22" t="s">
        <v>245</v>
      </c>
      <c r="B638" s="7"/>
      <c r="C638" s="7"/>
      <c r="D638" s="14"/>
      <c r="E638" s="14"/>
      <c r="F638" s="14"/>
      <c r="G638" s="14"/>
      <c r="H638" s="14"/>
      <c r="I638" s="14"/>
      <c r="J638" s="14"/>
      <c r="K638" s="14"/>
      <c r="L638" s="14"/>
      <c r="M638" s="14"/>
      <c r="N638" s="14"/>
      <c r="O638" s="14"/>
      <c r="P638" s="14"/>
      <c r="Q638" s="72"/>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235" ht="54.75" customHeight="1">
      <c r="A639" s="21" t="s">
        <v>264</v>
      </c>
      <c r="B639" s="7"/>
      <c r="C639" s="7"/>
      <c r="D639" s="61"/>
      <c r="E639" s="14"/>
      <c r="F639" s="14"/>
      <c r="G639" s="14"/>
      <c r="H639" s="14"/>
      <c r="I639" s="14"/>
      <c r="J639" s="14"/>
      <c r="K639" s="14"/>
      <c r="L639" s="14"/>
      <c r="M639" s="14"/>
      <c r="N639" s="14"/>
      <c r="O639" s="14"/>
      <c r="P639" s="14"/>
      <c r="Q639" s="72"/>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row>
    <row r="640" spans="1:17" s="170" customFormat="1" ht="21">
      <c r="A640" s="171" t="s">
        <v>421</v>
      </c>
      <c r="B640" s="167"/>
      <c r="C640" s="167"/>
      <c r="D640" s="168">
        <f>200000-200000</f>
        <v>0</v>
      </c>
      <c r="E640" s="168"/>
      <c r="F640" s="168">
        <f>D640</f>
        <v>0</v>
      </c>
      <c r="G640" s="149">
        <f>G641+G648</f>
        <v>1200000</v>
      </c>
      <c r="H640" s="149"/>
      <c r="I640" s="149"/>
      <c r="J640" s="149">
        <f>G640</f>
        <v>1200000</v>
      </c>
      <c r="K640" s="149"/>
      <c r="L640" s="149"/>
      <c r="M640" s="149"/>
      <c r="N640" s="149">
        <f>N641+N648</f>
        <v>1000000</v>
      </c>
      <c r="O640" s="149"/>
      <c r="P640" s="149">
        <f>N640</f>
        <v>1000000</v>
      </c>
      <c r="Q640" s="169"/>
    </row>
    <row r="641" spans="1:17" s="201" customFormat="1" ht="45">
      <c r="A641" s="202" t="s">
        <v>455</v>
      </c>
      <c r="B641" s="167"/>
      <c r="C641" s="167"/>
      <c r="D641" s="168"/>
      <c r="E641" s="168"/>
      <c r="F641" s="168"/>
      <c r="G641" s="149">
        <f>G645*G647</f>
        <v>1000000</v>
      </c>
      <c r="H641" s="149">
        <f aca="true" t="shared" si="47" ref="H641:P641">H645*H647</f>
        <v>0</v>
      </c>
      <c r="I641" s="149">
        <f t="shared" si="47"/>
        <v>0</v>
      </c>
      <c r="J641" s="149">
        <f>G641</f>
        <v>1000000</v>
      </c>
      <c r="K641" s="149">
        <f t="shared" si="47"/>
        <v>0</v>
      </c>
      <c r="L641" s="149">
        <f t="shared" si="47"/>
        <v>0</v>
      </c>
      <c r="M641" s="149">
        <f t="shared" si="47"/>
        <v>0</v>
      </c>
      <c r="N641" s="149">
        <f>N645*N647</f>
        <v>800000</v>
      </c>
      <c r="O641" s="149">
        <f t="shared" si="47"/>
        <v>0</v>
      </c>
      <c r="P641" s="149">
        <f t="shared" si="47"/>
        <v>800000</v>
      </c>
      <c r="Q641" s="200"/>
    </row>
    <row r="642" spans="1:17" s="201" customFormat="1" ht="11.25">
      <c r="A642" s="20" t="s">
        <v>4</v>
      </c>
      <c r="B642" s="198"/>
      <c r="C642" s="198"/>
      <c r="D642" s="199"/>
      <c r="E642" s="199"/>
      <c r="F642" s="199"/>
      <c r="G642" s="166"/>
      <c r="H642" s="166"/>
      <c r="I642" s="166"/>
      <c r="J642" s="166"/>
      <c r="K642" s="166"/>
      <c r="L642" s="166"/>
      <c r="M642" s="166"/>
      <c r="N642" s="166"/>
      <c r="O642" s="166"/>
      <c r="P642" s="166"/>
      <c r="Q642" s="200"/>
    </row>
    <row r="643" spans="1:17" s="201" customFormat="1" ht="33.75">
      <c r="A643" s="21" t="s">
        <v>271</v>
      </c>
      <c r="B643" s="198"/>
      <c r="C643" s="198"/>
      <c r="D643" s="199"/>
      <c r="E643" s="199"/>
      <c r="F643" s="199"/>
      <c r="G643" s="113">
        <v>100</v>
      </c>
      <c r="H643" s="166"/>
      <c r="I643" s="166"/>
      <c r="J643" s="113">
        <f>G643</f>
        <v>100</v>
      </c>
      <c r="K643" s="166"/>
      <c r="L643" s="166"/>
      <c r="M643" s="166"/>
      <c r="N643" s="113">
        <v>100</v>
      </c>
      <c r="O643" s="113"/>
      <c r="P643" s="113">
        <f>N643</f>
        <v>100</v>
      </c>
      <c r="Q643" s="200"/>
    </row>
    <row r="644" spans="1:17" s="201" customFormat="1" ht="11.25">
      <c r="A644" s="20" t="s">
        <v>5</v>
      </c>
      <c r="B644" s="198"/>
      <c r="C644" s="198"/>
      <c r="D644" s="199"/>
      <c r="E644" s="199"/>
      <c r="F644" s="199"/>
      <c r="G644" s="166"/>
      <c r="H644" s="166"/>
      <c r="I644" s="166"/>
      <c r="J644" s="166"/>
      <c r="K644" s="166"/>
      <c r="L644" s="166"/>
      <c r="M644" s="166"/>
      <c r="N644" s="166"/>
      <c r="O644" s="166"/>
      <c r="P644" s="166"/>
      <c r="Q644" s="200"/>
    </row>
    <row r="645" spans="1:17" s="201" customFormat="1" ht="22.5">
      <c r="A645" s="21" t="s">
        <v>272</v>
      </c>
      <c r="B645" s="198"/>
      <c r="C645" s="198"/>
      <c r="D645" s="199"/>
      <c r="E645" s="199"/>
      <c r="F645" s="199"/>
      <c r="G645" s="113">
        <f>G643</f>
        <v>100</v>
      </c>
      <c r="H645" s="113"/>
      <c r="I645" s="113"/>
      <c r="J645" s="113">
        <f>J643</f>
        <v>100</v>
      </c>
      <c r="K645" s="113">
        <f aca="true" t="shared" si="48" ref="K645:P645">K643</f>
        <v>0</v>
      </c>
      <c r="L645" s="113">
        <f t="shared" si="48"/>
        <v>0</v>
      </c>
      <c r="M645" s="113">
        <f t="shared" si="48"/>
        <v>0</v>
      </c>
      <c r="N645" s="113">
        <f t="shared" si="48"/>
        <v>100</v>
      </c>
      <c r="O645" s="113">
        <f t="shared" si="48"/>
        <v>0</v>
      </c>
      <c r="P645" s="113">
        <f t="shared" si="48"/>
        <v>100</v>
      </c>
      <c r="Q645" s="200"/>
    </row>
    <row r="646" spans="1:17" s="201" customFormat="1" ht="11.25">
      <c r="A646" s="20" t="s">
        <v>7</v>
      </c>
      <c r="B646" s="198"/>
      <c r="C646" s="198"/>
      <c r="D646" s="199"/>
      <c r="E646" s="199"/>
      <c r="F646" s="199"/>
      <c r="G646" s="166"/>
      <c r="H646" s="166"/>
      <c r="I646" s="166"/>
      <c r="J646" s="166"/>
      <c r="K646" s="166"/>
      <c r="L646" s="166"/>
      <c r="M646" s="166"/>
      <c r="N646" s="166"/>
      <c r="O646" s="166"/>
      <c r="P646" s="166"/>
      <c r="Q646" s="200"/>
    </row>
    <row r="647" spans="1:17" s="201" customFormat="1" ht="22.5">
      <c r="A647" s="21" t="s">
        <v>273</v>
      </c>
      <c r="B647" s="198"/>
      <c r="C647" s="198"/>
      <c r="D647" s="199"/>
      <c r="E647" s="199"/>
      <c r="F647" s="199"/>
      <c r="G647" s="113">
        <v>10000</v>
      </c>
      <c r="H647" s="166"/>
      <c r="I647" s="166"/>
      <c r="J647" s="166"/>
      <c r="K647" s="166"/>
      <c r="L647" s="166"/>
      <c r="M647" s="166"/>
      <c r="N647" s="113">
        <v>8000</v>
      </c>
      <c r="O647" s="113"/>
      <c r="P647" s="113">
        <v>8000</v>
      </c>
      <c r="Q647" s="200"/>
    </row>
    <row r="648" spans="1:17" s="201" customFormat="1" ht="67.5">
      <c r="A648" s="202" t="s">
        <v>456</v>
      </c>
      <c r="B648" s="167"/>
      <c r="C648" s="167"/>
      <c r="D648" s="168"/>
      <c r="E648" s="168"/>
      <c r="F648" s="168"/>
      <c r="G648" s="149">
        <f>G652*G655</f>
        <v>200000</v>
      </c>
      <c r="H648" s="149">
        <f aca="true" t="shared" si="49" ref="H648:P648">H652*H655</f>
        <v>0</v>
      </c>
      <c r="I648" s="149">
        <f t="shared" si="49"/>
        <v>0</v>
      </c>
      <c r="J648" s="149">
        <f t="shared" si="49"/>
        <v>200000</v>
      </c>
      <c r="K648" s="149">
        <f t="shared" si="49"/>
        <v>0</v>
      </c>
      <c r="L648" s="149">
        <f t="shared" si="49"/>
        <v>0</v>
      </c>
      <c r="M648" s="149">
        <f t="shared" si="49"/>
        <v>0</v>
      </c>
      <c r="N648" s="149">
        <f t="shared" si="49"/>
        <v>200000</v>
      </c>
      <c r="O648" s="149">
        <f t="shared" si="49"/>
        <v>0</v>
      </c>
      <c r="P648" s="149">
        <f t="shared" si="49"/>
        <v>200000</v>
      </c>
      <c r="Q648" s="200"/>
    </row>
    <row r="649" spans="1:235" ht="11.25">
      <c r="A649" s="20" t="s">
        <v>4</v>
      </c>
      <c r="B649" s="7"/>
      <c r="C649" s="7"/>
      <c r="D649" s="143"/>
      <c r="E649" s="144"/>
      <c r="F649" s="144"/>
      <c r="G649" s="14"/>
      <c r="H649" s="14"/>
      <c r="I649" s="14"/>
      <c r="J649" s="14"/>
      <c r="K649" s="14"/>
      <c r="L649" s="14"/>
      <c r="M649" s="14"/>
      <c r="N649" s="14"/>
      <c r="O649" s="14"/>
      <c r="P649" s="14"/>
      <c r="Q649" s="72"/>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33.75">
      <c r="A650" s="21" t="s">
        <v>271</v>
      </c>
      <c r="B650" s="7"/>
      <c r="C650" s="7"/>
      <c r="D650" s="143">
        <v>120</v>
      </c>
      <c r="E650" s="144"/>
      <c r="F650" s="144">
        <f>D650</f>
        <v>120</v>
      </c>
      <c r="G650" s="144">
        <v>20</v>
      </c>
      <c r="H650" s="144"/>
      <c r="I650" s="144"/>
      <c r="J650" s="144">
        <f>G650</f>
        <v>20</v>
      </c>
      <c r="K650" s="144">
        <f>H650</f>
        <v>0</v>
      </c>
      <c r="L650" s="144">
        <f>J650</f>
        <v>20</v>
      </c>
      <c r="M650" s="144">
        <f>K650</f>
        <v>0</v>
      </c>
      <c r="N650" s="144">
        <v>20</v>
      </c>
      <c r="O650" s="144"/>
      <c r="P650" s="144">
        <f>N650</f>
        <v>20</v>
      </c>
      <c r="Q650" s="72"/>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11.25">
      <c r="A651" s="20" t="s">
        <v>5</v>
      </c>
      <c r="B651" s="7"/>
      <c r="C651" s="7"/>
      <c r="D651" s="143"/>
      <c r="E651" s="144"/>
      <c r="F651" s="144"/>
      <c r="G651" s="14"/>
      <c r="H651" s="14"/>
      <c r="I651" s="14"/>
      <c r="J651" s="14"/>
      <c r="K651" s="14"/>
      <c r="L651" s="14"/>
      <c r="M651" s="14"/>
      <c r="N651" s="14"/>
      <c r="O651" s="14"/>
      <c r="P651" s="14"/>
      <c r="Q651" s="72"/>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32.25" customHeight="1">
      <c r="A652" s="21" t="s">
        <v>272</v>
      </c>
      <c r="B652" s="7"/>
      <c r="C652" s="7"/>
      <c r="D652" s="143">
        <v>120</v>
      </c>
      <c r="E652" s="144"/>
      <c r="F652" s="144">
        <v>120</v>
      </c>
      <c r="G652" s="14">
        <v>20</v>
      </c>
      <c r="H652" s="14"/>
      <c r="I652" s="14"/>
      <c r="J652" s="14">
        <f>G652</f>
        <v>20</v>
      </c>
      <c r="K652" s="14"/>
      <c r="L652" s="14"/>
      <c r="M652" s="14"/>
      <c r="N652" s="14">
        <v>20</v>
      </c>
      <c r="O652" s="14"/>
      <c r="P652" s="14">
        <f>N652</f>
        <v>20</v>
      </c>
      <c r="Q652" s="7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hidden="1">
      <c r="A653" s="21" t="s">
        <v>260</v>
      </c>
      <c r="B653" s="7"/>
      <c r="C653" s="7"/>
      <c r="D653" s="143"/>
      <c r="E653" s="144"/>
      <c r="F653" s="144"/>
      <c r="G653" s="14"/>
      <c r="H653" s="14"/>
      <c r="I653" s="14"/>
      <c r="J653" s="14"/>
      <c r="K653" s="14"/>
      <c r="L653" s="14"/>
      <c r="M653" s="14"/>
      <c r="N653" s="14"/>
      <c r="O653" s="14"/>
      <c r="P653" s="14"/>
      <c r="Q653" s="72"/>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c r="A654" s="20" t="s">
        <v>7</v>
      </c>
      <c r="B654" s="7"/>
      <c r="C654" s="7"/>
      <c r="D654" s="143"/>
      <c r="E654" s="144"/>
      <c r="F654" s="144"/>
      <c r="G654" s="14"/>
      <c r="H654" s="14"/>
      <c r="I654" s="14"/>
      <c r="J654" s="14"/>
      <c r="K654" s="14"/>
      <c r="L654" s="14"/>
      <c r="M654" s="14"/>
      <c r="N654" s="14"/>
      <c r="O654" s="14"/>
      <c r="P654" s="14"/>
      <c r="Q654" s="72"/>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22.5">
      <c r="A655" s="21" t="s">
        <v>273</v>
      </c>
      <c r="B655" s="7"/>
      <c r="C655" s="7"/>
      <c r="D655" s="143">
        <f>D640/D652</f>
        <v>0</v>
      </c>
      <c r="E655" s="144"/>
      <c r="F655" s="144">
        <f>D655</f>
        <v>0</v>
      </c>
      <c r="G655" s="14">
        <v>10000</v>
      </c>
      <c r="H655" s="14"/>
      <c r="I655" s="14"/>
      <c r="J655" s="14">
        <f>G655</f>
        <v>10000</v>
      </c>
      <c r="K655" s="14"/>
      <c r="L655" s="14"/>
      <c r="M655" s="14"/>
      <c r="N655" s="14">
        <v>10000</v>
      </c>
      <c r="O655" s="14"/>
      <c r="P655" s="14">
        <f>N655</f>
        <v>10000</v>
      </c>
      <c r="Q655" s="72"/>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0"/>
      <c r="B656" s="52"/>
      <c r="C656" s="52"/>
      <c r="D656" s="146"/>
      <c r="E656" s="147"/>
      <c r="F656" s="147"/>
      <c r="G656" s="71"/>
      <c r="H656" s="71"/>
      <c r="I656" s="71"/>
      <c r="J656" s="71"/>
      <c r="K656" s="71"/>
      <c r="L656" s="71"/>
      <c r="M656" s="71"/>
      <c r="N656" s="71"/>
      <c r="O656" s="71"/>
      <c r="P656" s="71"/>
      <c r="Q656" s="72"/>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0"/>
      <c r="B657" s="52"/>
      <c r="C657" s="52"/>
      <c r="D657" s="146"/>
      <c r="E657" s="147"/>
      <c r="F657" s="147"/>
      <c r="G657" s="71"/>
      <c r="H657" s="71"/>
      <c r="I657" s="71"/>
      <c r="J657" s="71"/>
      <c r="K657" s="71"/>
      <c r="L657" s="71"/>
      <c r="M657" s="71"/>
      <c r="N657" s="71"/>
      <c r="O657" s="71"/>
      <c r="P657" s="71"/>
      <c r="Q657" s="72"/>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0"/>
      <c r="B658" s="52"/>
      <c r="C658" s="52"/>
      <c r="D658" s="146"/>
      <c r="E658" s="147"/>
      <c r="F658" s="147"/>
      <c r="G658" s="71"/>
      <c r="H658" s="71"/>
      <c r="I658" s="71"/>
      <c r="J658" s="71"/>
      <c r="K658" s="71"/>
      <c r="L658" s="71"/>
      <c r="M658" s="71"/>
      <c r="N658" s="71"/>
      <c r="O658" s="71"/>
      <c r="P658" s="71"/>
      <c r="Q658" s="72"/>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70"/>
      <c r="B659" s="52"/>
      <c r="C659" s="52"/>
      <c r="D659" s="146"/>
      <c r="E659" s="147"/>
      <c r="F659" s="147"/>
      <c r="G659" s="71"/>
      <c r="H659" s="71"/>
      <c r="I659" s="71"/>
      <c r="J659" s="71"/>
      <c r="K659" s="71"/>
      <c r="L659" s="71"/>
      <c r="M659" s="71"/>
      <c r="N659" s="71"/>
      <c r="O659" s="71"/>
      <c r="P659" s="71"/>
      <c r="Q659" s="72"/>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17" s="84" customFormat="1" ht="12">
      <c r="A660" s="107" t="s">
        <v>446</v>
      </c>
      <c r="B660" s="76"/>
      <c r="C660" s="76"/>
      <c r="D660" s="88">
        <f>D663</f>
        <v>0</v>
      </c>
      <c r="E660" s="88">
        <f>E663</f>
        <v>1084420</v>
      </c>
      <c r="F660" s="88">
        <f>D660+E660</f>
        <v>1084420</v>
      </c>
      <c r="G660" s="88"/>
      <c r="H660" s="88">
        <f>H663</f>
        <v>3699999.9999893</v>
      </c>
      <c r="I660" s="88">
        <f>I663</f>
        <v>0</v>
      </c>
      <c r="J660" s="88">
        <f>J663</f>
        <v>3699999.9999893</v>
      </c>
      <c r="K660" s="88"/>
      <c r="L660" s="88"/>
      <c r="M660" s="88"/>
      <c r="N660" s="88"/>
      <c r="O660" s="88">
        <f>O663</f>
        <v>1000000</v>
      </c>
      <c r="P660" s="88">
        <f>O660</f>
        <v>1000000</v>
      </c>
      <c r="Q660" s="83"/>
    </row>
    <row r="661" spans="1:235" ht="33.75">
      <c r="A661" s="22" t="s">
        <v>245</v>
      </c>
      <c r="B661" s="7"/>
      <c r="C661" s="7"/>
      <c r="D661" s="14"/>
      <c r="E661" s="14"/>
      <c r="F661" s="14"/>
      <c r="G661" s="14"/>
      <c r="H661" s="14"/>
      <c r="I661" s="14"/>
      <c r="J661" s="14"/>
      <c r="K661" s="14"/>
      <c r="L661" s="14"/>
      <c r="M661" s="14"/>
      <c r="N661" s="14"/>
      <c r="O661" s="14"/>
      <c r="P661" s="14"/>
      <c r="Q661" s="72"/>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c r="A662" s="21" t="s">
        <v>274</v>
      </c>
      <c r="B662" s="7"/>
      <c r="C662" s="7"/>
      <c r="D662" s="14"/>
      <c r="E662" s="14"/>
      <c r="F662" s="14"/>
      <c r="G662" s="14"/>
      <c r="H662" s="14"/>
      <c r="I662" s="14"/>
      <c r="J662" s="14"/>
      <c r="K662" s="14"/>
      <c r="L662" s="14"/>
      <c r="M662" s="14"/>
      <c r="N662" s="14"/>
      <c r="O662" s="14"/>
      <c r="P662" s="14"/>
      <c r="Q662" s="7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91" customFormat="1" ht="22.5">
      <c r="A663" s="81" t="s">
        <v>422</v>
      </c>
      <c r="B663" s="87"/>
      <c r="C663" s="87"/>
      <c r="D663" s="88"/>
      <c r="E663" s="88">
        <v>1084420</v>
      </c>
      <c r="F663" s="88">
        <f>D663+E663</f>
        <v>1084420</v>
      </c>
      <c r="G663" s="88"/>
      <c r="H663" s="88">
        <f>H667*H670</f>
        <v>3699999.9999893</v>
      </c>
      <c r="I663" s="88"/>
      <c r="J663" s="88">
        <f>H663</f>
        <v>3699999.9999893</v>
      </c>
      <c r="K663" s="88"/>
      <c r="L663" s="88"/>
      <c r="M663" s="88"/>
      <c r="N663" s="88"/>
      <c r="O663" s="88">
        <f>O665</f>
        <v>1000000</v>
      </c>
      <c r="P663" s="88">
        <f>O663</f>
        <v>1000000</v>
      </c>
      <c r="Q663" s="105"/>
    </row>
    <row r="664" spans="1:235" ht="11.25">
      <c r="A664" s="20" t="s">
        <v>4</v>
      </c>
      <c r="B664" s="7"/>
      <c r="C664" s="7"/>
      <c r="D664" s="14"/>
      <c r="E664" s="14"/>
      <c r="F664" s="14"/>
      <c r="G664" s="14"/>
      <c r="H664" s="14"/>
      <c r="I664" s="14"/>
      <c r="J664" s="14"/>
      <c r="K664" s="14"/>
      <c r="L664" s="14"/>
      <c r="M664" s="14"/>
      <c r="N664" s="14"/>
      <c r="O664" s="14"/>
      <c r="P664" s="14"/>
      <c r="Q664" s="72"/>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63</v>
      </c>
      <c r="B665" s="7"/>
      <c r="C665" s="7"/>
      <c r="D665" s="14"/>
      <c r="E665" s="14">
        <f>E663</f>
        <v>1084420</v>
      </c>
      <c r="F665" s="14">
        <f>D665+E665</f>
        <v>1084420</v>
      </c>
      <c r="G665" s="14"/>
      <c r="H665" s="14">
        <f>H663</f>
        <v>3699999.9999893</v>
      </c>
      <c r="I665" s="14"/>
      <c r="J665" s="14">
        <f>H665</f>
        <v>3699999.9999893</v>
      </c>
      <c r="K665" s="14"/>
      <c r="L665" s="14"/>
      <c r="M665" s="14"/>
      <c r="O665" s="14">
        <v>1000000</v>
      </c>
      <c r="P665" s="14">
        <f>O665</f>
        <v>1000000</v>
      </c>
      <c r="Q665" s="72"/>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11.25">
      <c r="A666" s="20" t="s">
        <v>5</v>
      </c>
      <c r="B666" s="7"/>
      <c r="C666" s="7"/>
      <c r="D666" s="14"/>
      <c r="E666" s="14"/>
      <c r="F666" s="14"/>
      <c r="G666" s="14"/>
      <c r="H666" s="14"/>
      <c r="I666" s="14"/>
      <c r="J666" s="14"/>
      <c r="K666" s="14"/>
      <c r="L666" s="14"/>
      <c r="M666" s="14"/>
      <c r="N666" s="14"/>
      <c r="O666" s="14"/>
      <c r="P666" s="14"/>
      <c r="Q666" s="72"/>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6.25" customHeight="1">
      <c r="A667" s="21" t="s">
        <v>275</v>
      </c>
      <c r="B667" s="7"/>
      <c r="C667" s="7"/>
      <c r="D667" s="14"/>
      <c r="E667" s="14">
        <v>39</v>
      </c>
      <c r="F667" s="14">
        <f>D667+E667</f>
        <v>39</v>
      </c>
      <c r="G667" s="14"/>
      <c r="H667" s="14">
        <v>133</v>
      </c>
      <c r="I667" s="14"/>
      <c r="J667" s="14">
        <f>H667</f>
        <v>133</v>
      </c>
      <c r="K667" s="14"/>
      <c r="L667" s="14"/>
      <c r="M667" s="14"/>
      <c r="N667" s="14"/>
      <c r="O667" s="14">
        <v>28</v>
      </c>
      <c r="P667" s="14">
        <v>28</v>
      </c>
      <c r="Q667" s="72"/>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hidden="1">
      <c r="A668" s="21" t="s">
        <v>237</v>
      </c>
      <c r="B668" s="7"/>
      <c r="C668" s="7"/>
      <c r="D668" s="14">
        <v>145</v>
      </c>
      <c r="E668" s="14"/>
      <c r="F668" s="14">
        <f>D668</f>
        <v>145</v>
      </c>
      <c r="G668" s="14"/>
      <c r="H668" s="14"/>
      <c r="I668" s="14"/>
      <c r="J668" s="14"/>
      <c r="K668" s="14"/>
      <c r="L668" s="14"/>
      <c r="M668" s="14"/>
      <c r="N668" s="14"/>
      <c r="O668" s="14"/>
      <c r="P668" s="14"/>
      <c r="Q668" s="72"/>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c r="A669" s="20" t="s">
        <v>7</v>
      </c>
      <c r="B669" s="7"/>
      <c r="C669" s="7"/>
      <c r="D669" s="14"/>
      <c r="E669" s="14"/>
      <c r="F669" s="14"/>
      <c r="G669" s="14"/>
      <c r="H669" s="14"/>
      <c r="I669" s="14"/>
      <c r="J669" s="14"/>
      <c r="K669" s="14"/>
      <c r="L669" s="14"/>
      <c r="M669" s="14"/>
      <c r="N669" s="14"/>
      <c r="O669" s="14"/>
      <c r="P669" s="14"/>
      <c r="Q669" s="72"/>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c r="A670" s="21" t="s">
        <v>276</v>
      </c>
      <c r="B670" s="7"/>
      <c r="C670" s="7"/>
      <c r="D670" s="14"/>
      <c r="E670" s="14">
        <f>E665/E667</f>
        <v>27805.641025641027</v>
      </c>
      <c r="F670" s="14">
        <f>F665/F667</f>
        <v>27805.641025641027</v>
      </c>
      <c r="G670" s="14"/>
      <c r="H670" s="14">
        <v>27819.5488721</v>
      </c>
      <c r="I670" s="14"/>
      <c r="J670" s="14">
        <f>H670</f>
        <v>27819.5488721</v>
      </c>
      <c r="K670" s="14"/>
      <c r="L670" s="14"/>
      <c r="M670" s="14"/>
      <c r="N670" s="14"/>
      <c r="O670" s="14">
        <f>O665/O667</f>
        <v>35714.28571428572</v>
      </c>
      <c r="P670" s="14">
        <f>O670</f>
        <v>35714.28571428572</v>
      </c>
      <c r="Q670" s="72"/>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22.5" hidden="1">
      <c r="A671" s="21" t="s">
        <v>240</v>
      </c>
      <c r="B671" s="7"/>
      <c r="C671" s="7"/>
      <c r="D671" s="14">
        <v>270.34</v>
      </c>
      <c r="E671" s="14"/>
      <c r="F671" s="14">
        <f>D671</f>
        <v>270.34</v>
      </c>
      <c r="G671" s="14"/>
      <c r="H671" s="14"/>
      <c r="I671" s="14"/>
      <c r="J671" s="14"/>
      <c r="K671" s="14"/>
      <c r="L671" s="14"/>
      <c r="M671" s="14"/>
      <c r="N671" s="14"/>
      <c r="O671" s="14"/>
      <c r="P671" s="14"/>
      <c r="Q671" s="72"/>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17" s="84" customFormat="1" ht="12">
      <c r="A672" s="107" t="s">
        <v>447</v>
      </c>
      <c r="B672" s="76"/>
      <c r="C672" s="76"/>
      <c r="D672" s="88">
        <f>D675</f>
        <v>0</v>
      </c>
      <c r="E672" s="88">
        <v>0</v>
      </c>
      <c r="F672" s="88">
        <f>D672</f>
        <v>0</v>
      </c>
      <c r="G672" s="88">
        <f>G675+G690</f>
        <v>1198800</v>
      </c>
      <c r="H672" s="88"/>
      <c r="I672" s="88">
        <f>I675</f>
        <v>0</v>
      </c>
      <c r="J672" s="88">
        <f>J675+J690</f>
        <v>1198800</v>
      </c>
      <c r="K672" s="88"/>
      <c r="L672" s="88"/>
      <c r="M672" s="88"/>
      <c r="N672" s="88">
        <f>N675</f>
        <v>650000</v>
      </c>
      <c r="O672" s="88"/>
      <c r="P672" s="88">
        <f>P675</f>
        <v>650000</v>
      </c>
      <c r="Q672" s="83"/>
    </row>
    <row r="673" spans="1:235" ht="33.75">
      <c r="A673" s="22" t="s">
        <v>245</v>
      </c>
      <c r="B673" s="7"/>
      <c r="C673" s="7"/>
      <c r="D673" s="14"/>
      <c r="E673" s="14"/>
      <c r="F673" s="14"/>
      <c r="G673" s="14"/>
      <c r="H673" s="14"/>
      <c r="I673" s="14"/>
      <c r="J673" s="14"/>
      <c r="K673" s="14"/>
      <c r="L673" s="14"/>
      <c r="M673" s="14"/>
      <c r="N673" s="14"/>
      <c r="O673" s="14"/>
      <c r="P673" s="14"/>
      <c r="Q673" s="72"/>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299</v>
      </c>
      <c r="B674" s="7"/>
      <c r="C674" s="7"/>
      <c r="D674" s="61"/>
      <c r="E674" s="14"/>
      <c r="F674" s="14"/>
      <c r="G674" s="14"/>
      <c r="H674" s="14"/>
      <c r="I674" s="14"/>
      <c r="J674" s="14"/>
      <c r="K674" s="14"/>
      <c r="L674" s="14"/>
      <c r="M674" s="14"/>
      <c r="N674" s="14"/>
      <c r="O674" s="14"/>
      <c r="P674" s="14"/>
      <c r="Q674" s="72"/>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17" s="91" customFormat="1" ht="22.5">
      <c r="A675" s="81" t="s">
        <v>423</v>
      </c>
      <c r="B675" s="87"/>
      <c r="C675" s="87"/>
      <c r="D675" s="142"/>
      <c r="E675" s="142"/>
      <c r="F675" s="142">
        <f>D675</f>
        <v>0</v>
      </c>
      <c r="G675" s="88">
        <f>G680*G683</f>
        <v>998800</v>
      </c>
      <c r="H675" s="88"/>
      <c r="I675" s="88"/>
      <c r="J675" s="88">
        <f>G675</f>
        <v>998800</v>
      </c>
      <c r="K675" s="88"/>
      <c r="L675" s="88"/>
      <c r="M675" s="88"/>
      <c r="N675" s="88">
        <f>N677</f>
        <v>650000</v>
      </c>
      <c r="O675" s="88"/>
      <c r="P675" s="88">
        <f>N675</f>
        <v>650000</v>
      </c>
      <c r="Q675" s="105"/>
    </row>
    <row r="676" spans="1:235" ht="11.25">
      <c r="A676" s="20" t="s">
        <v>4</v>
      </c>
      <c r="B676" s="7"/>
      <c r="C676" s="7"/>
      <c r="D676" s="143"/>
      <c r="E676" s="144"/>
      <c r="F676" s="144"/>
      <c r="G676" s="14"/>
      <c r="H676" s="14"/>
      <c r="I676" s="14"/>
      <c r="J676" s="14"/>
      <c r="K676" s="14"/>
      <c r="L676" s="14"/>
      <c r="M676" s="14"/>
      <c r="N676" s="14"/>
      <c r="O676" s="14"/>
      <c r="P676" s="14"/>
      <c r="Q676" s="72"/>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0.5" customHeight="1">
      <c r="A677" s="21" t="s">
        <v>63</v>
      </c>
      <c r="B677" s="7"/>
      <c r="C677" s="7"/>
      <c r="D677" s="143"/>
      <c r="E677" s="144"/>
      <c r="F677" s="144"/>
      <c r="G677" s="14">
        <f>G683</f>
        <v>499400</v>
      </c>
      <c r="H677" s="14"/>
      <c r="I677" s="14"/>
      <c r="J677" s="14">
        <f>G677</f>
        <v>499400</v>
      </c>
      <c r="K677" s="14"/>
      <c r="L677" s="14"/>
      <c r="M677" s="14"/>
      <c r="N677" s="14">
        <f>N680*N683</f>
        <v>650000</v>
      </c>
      <c r="O677" s="14"/>
      <c r="P677" s="14">
        <f>N677</f>
        <v>650000</v>
      </c>
      <c r="Q677" s="72"/>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t="s">
        <v>63</v>
      </c>
      <c r="B678" s="7"/>
      <c r="C678" s="7"/>
      <c r="D678" s="143"/>
      <c r="E678" s="144"/>
      <c r="F678" s="144"/>
      <c r="G678" s="14"/>
      <c r="H678" s="14"/>
      <c r="I678" s="14"/>
      <c r="J678" s="14"/>
      <c r="K678" s="14"/>
      <c r="L678" s="14"/>
      <c r="M678" s="14"/>
      <c r="N678" s="14"/>
      <c r="O678" s="14"/>
      <c r="P678" s="14"/>
      <c r="Q678" s="72"/>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0" t="s">
        <v>5</v>
      </c>
      <c r="B679" s="7"/>
      <c r="C679" s="7"/>
      <c r="D679" s="143"/>
      <c r="E679" s="144"/>
      <c r="F679" s="144"/>
      <c r="G679" s="14"/>
      <c r="H679" s="14"/>
      <c r="I679" s="14"/>
      <c r="J679" s="14"/>
      <c r="K679" s="14"/>
      <c r="L679" s="14"/>
      <c r="M679" s="14"/>
      <c r="N679" s="14"/>
      <c r="O679" s="14"/>
      <c r="P679" s="14"/>
      <c r="Q679" s="72"/>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0.5" customHeight="1">
      <c r="A680" s="21" t="s">
        <v>277</v>
      </c>
      <c r="B680" s="7"/>
      <c r="C680" s="7"/>
      <c r="D680" s="143"/>
      <c r="E680" s="144"/>
      <c r="F680" s="144">
        <f>D680</f>
        <v>0</v>
      </c>
      <c r="G680" s="144">
        <v>2</v>
      </c>
      <c r="H680" s="144"/>
      <c r="I680" s="144"/>
      <c r="J680" s="144">
        <v>2</v>
      </c>
      <c r="K680" s="144">
        <f>H680</f>
        <v>0</v>
      </c>
      <c r="L680" s="144">
        <f>J680</f>
        <v>2</v>
      </c>
      <c r="M680" s="144">
        <f>K680</f>
        <v>0</v>
      </c>
      <c r="N680" s="144">
        <v>1</v>
      </c>
      <c r="O680" s="144"/>
      <c r="P680" s="144">
        <v>1</v>
      </c>
      <c r="Q680" s="72"/>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t="s">
        <v>292</v>
      </c>
      <c r="B681" s="7"/>
      <c r="C681" s="7"/>
      <c r="D681" s="143"/>
      <c r="E681" s="144"/>
      <c r="F681" s="144"/>
      <c r="G681" s="144">
        <v>1487</v>
      </c>
      <c r="H681" s="144"/>
      <c r="I681" s="144"/>
      <c r="J681" s="144">
        <f>G681</f>
        <v>1487</v>
      </c>
      <c r="K681" s="144"/>
      <c r="L681" s="144"/>
      <c r="M681" s="144"/>
      <c r="N681" s="144"/>
      <c r="O681" s="144"/>
      <c r="P681" s="144"/>
      <c r="Q681" s="72"/>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0" t="s">
        <v>7</v>
      </c>
      <c r="B682" s="7"/>
      <c r="C682" s="7"/>
      <c r="D682" s="143"/>
      <c r="E682" s="144"/>
      <c r="F682" s="144"/>
      <c r="G682" s="14"/>
      <c r="H682" s="14"/>
      <c r="I682" s="14"/>
      <c r="J682" s="14"/>
      <c r="K682" s="14"/>
      <c r="L682" s="14"/>
      <c r="M682" s="14"/>
      <c r="N682" s="14"/>
      <c r="O682" s="14"/>
      <c r="P682" s="14"/>
      <c r="Q682" s="7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c r="A683" s="21" t="s">
        <v>278</v>
      </c>
      <c r="B683" s="7"/>
      <c r="C683" s="7"/>
      <c r="D683" s="143"/>
      <c r="E683" s="144"/>
      <c r="F683" s="144"/>
      <c r="G683" s="14">
        <f>465000+34400</f>
        <v>499400</v>
      </c>
      <c r="H683" s="14"/>
      <c r="I683" s="14"/>
      <c r="J683" s="14">
        <f>G683</f>
        <v>499400</v>
      </c>
      <c r="K683" s="14"/>
      <c r="L683" s="14"/>
      <c r="M683" s="14"/>
      <c r="N683" s="14">
        <v>650000</v>
      </c>
      <c r="O683" s="14"/>
      <c r="P683" s="14">
        <f>N683</f>
        <v>650000</v>
      </c>
      <c r="Q683" s="72"/>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2"/>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2"/>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2"/>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2"/>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hidden="1">
      <c r="A688" s="21"/>
      <c r="B688" s="7"/>
      <c r="C688" s="7"/>
      <c r="D688" s="14"/>
      <c r="E688" s="14"/>
      <c r="F688" s="14"/>
      <c r="G688" s="14"/>
      <c r="H688" s="14"/>
      <c r="I688" s="14"/>
      <c r="J688" s="14"/>
      <c r="K688" s="14"/>
      <c r="L688" s="14"/>
      <c r="M688" s="14"/>
      <c r="N688" s="14"/>
      <c r="O688" s="14"/>
      <c r="P688" s="14"/>
      <c r="Q688" s="72"/>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1" customHeight="1" hidden="1">
      <c r="A689" s="21" t="s">
        <v>293</v>
      </c>
      <c r="B689" s="7"/>
      <c r="C689" s="7"/>
      <c r="D689" s="14"/>
      <c r="E689" s="14"/>
      <c r="F689" s="14"/>
      <c r="G689" s="14">
        <v>3000</v>
      </c>
      <c r="H689" s="14"/>
      <c r="I689" s="14"/>
      <c r="J689" s="14">
        <f>G689</f>
        <v>3000</v>
      </c>
      <c r="K689" s="14"/>
      <c r="L689" s="14"/>
      <c r="M689" s="14"/>
      <c r="N689" s="14"/>
      <c r="O689" s="14"/>
      <c r="P689" s="14"/>
      <c r="Q689" s="72"/>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91" customFormat="1" ht="22.5">
      <c r="A690" s="81" t="s">
        <v>424</v>
      </c>
      <c r="B690" s="87"/>
      <c r="C690" s="87"/>
      <c r="D690" s="142"/>
      <c r="E690" s="142"/>
      <c r="F690" s="142">
        <f>D690</f>
        <v>0</v>
      </c>
      <c r="G690" s="88">
        <f>G695*G698</f>
        <v>200000</v>
      </c>
      <c r="H690" s="88"/>
      <c r="I690" s="88"/>
      <c r="J690" s="88">
        <f>G690</f>
        <v>200000</v>
      </c>
      <c r="K690" s="88"/>
      <c r="L690" s="88"/>
      <c r="M690" s="88"/>
      <c r="N690" s="88"/>
      <c r="O690" s="88"/>
      <c r="P690" s="88"/>
      <c r="Q690" s="105"/>
    </row>
    <row r="691" spans="1:235" ht="11.25">
      <c r="A691" s="20" t="s">
        <v>4</v>
      </c>
      <c r="B691" s="7"/>
      <c r="C691" s="7"/>
      <c r="D691" s="143"/>
      <c r="E691" s="144"/>
      <c r="F691" s="144"/>
      <c r="G691" s="14"/>
      <c r="H691" s="14"/>
      <c r="I691" s="14"/>
      <c r="J691" s="14"/>
      <c r="K691" s="14"/>
      <c r="L691" s="14"/>
      <c r="M691" s="14"/>
      <c r="N691" s="14"/>
      <c r="O691" s="14"/>
      <c r="P691" s="14"/>
      <c r="Q691" s="72"/>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0.5" customHeight="1">
      <c r="A692" s="21" t="s">
        <v>63</v>
      </c>
      <c r="B692" s="7"/>
      <c r="C692" s="7"/>
      <c r="D692" s="143"/>
      <c r="E692" s="144"/>
      <c r="F692" s="144"/>
      <c r="G692" s="14">
        <f>G695*G698</f>
        <v>200000</v>
      </c>
      <c r="H692" s="14"/>
      <c r="I692" s="14"/>
      <c r="J692" s="14">
        <f>G692</f>
        <v>200000</v>
      </c>
      <c r="K692" s="14"/>
      <c r="L692" s="14"/>
      <c r="M692" s="14"/>
      <c r="N692" s="14"/>
      <c r="O692" s="14"/>
      <c r="P692" s="14"/>
      <c r="Q692" s="7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hidden="1">
      <c r="A693" s="21" t="s">
        <v>63</v>
      </c>
      <c r="B693" s="7"/>
      <c r="C693" s="7"/>
      <c r="D693" s="143"/>
      <c r="E693" s="144"/>
      <c r="F693" s="144"/>
      <c r="G693" s="14"/>
      <c r="H693" s="14"/>
      <c r="I693" s="14"/>
      <c r="J693" s="14"/>
      <c r="K693" s="14"/>
      <c r="L693" s="14"/>
      <c r="M693" s="14"/>
      <c r="N693" s="14"/>
      <c r="O693" s="14"/>
      <c r="P693" s="14"/>
      <c r="Q693" s="72"/>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0" t="s">
        <v>5</v>
      </c>
      <c r="B694" s="7"/>
      <c r="C694" s="7"/>
      <c r="D694" s="143"/>
      <c r="E694" s="144"/>
      <c r="F694" s="144"/>
      <c r="G694" s="14"/>
      <c r="H694" s="14"/>
      <c r="I694" s="14"/>
      <c r="J694" s="14"/>
      <c r="K694" s="14"/>
      <c r="L694" s="14"/>
      <c r="M694" s="14"/>
      <c r="N694" s="14"/>
      <c r="O694" s="14"/>
      <c r="P694" s="14"/>
      <c r="Q694" s="72"/>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0.5" customHeight="1">
      <c r="A695" s="21" t="s">
        <v>329</v>
      </c>
      <c r="B695" s="7"/>
      <c r="C695" s="7"/>
      <c r="D695" s="143"/>
      <c r="E695" s="144"/>
      <c r="F695" s="144">
        <f>D695</f>
        <v>0</v>
      </c>
      <c r="G695" s="144">
        <v>1</v>
      </c>
      <c r="H695" s="144"/>
      <c r="I695" s="144"/>
      <c r="J695" s="144">
        <f>G695</f>
        <v>1</v>
      </c>
      <c r="K695" s="144">
        <f>H695</f>
        <v>0</v>
      </c>
      <c r="L695" s="144">
        <f>J695</f>
        <v>1</v>
      </c>
      <c r="M695" s="144">
        <f>K695</f>
        <v>0</v>
      </c>
      <c r="N695" s="144"/>
      <c r="O695" s="144"/>
      <c r="P695" s="144"/>
      <c r="Q695" s="72"/>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hidden="1">
      <c r="A696" s="21" t="s">
        <v>292</v>
      </c>
      <c r="B696" s="7"/>
      <c r="C696" s="7"/>
      <c r="D696" s="143"/>
      <c r="E696" s="144"/>
      <c r="F696" s="144"/>
      <c r="G696" s="144">
        <v>1487</v>
      </c>
      <c r="H696" s="144"/>
      <c r="I696" s="144"/>
      <c r="J696" s="144">
        <f>G696</f>
        <v>1487</v>
      </c>
      <c r="K696" s="144"/>
      <c r="L696" s="144"/>
      <c r="M696" s="144"/>
      <c r="N696" s="144"/>
      <c r="O696" s="144"/>
      <c r="P696" s="144"/>
      <c r="Q696" s="72"/>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3"/>
      <c r="E697" s="144"/>
      <c r="F697" s="144"/>
      <c r="G697" s="14"/>
      <c r="H697" s="14"/>
      <c r="I697" s="14"/>
      <c r="J697" s="14"/>
      <c r="K697" s="14"/>
      <c r="L697" s="14"/>
      <c r="M697" s="14"/>
      <c r="N697" s="14"/>
      <c r="O697" s="14"/>
      <c r="P697" s="14"/>
      <c r="Q697" s="72"/>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2.5">
      <c r="A698" s="21" t="s">
        <v>330</v>
      </c>
      <c r="B698" s="7"/>
      <c r="C698" s="7"/>
      <c r="D698" s="143"/>
      <c r="E698" s="144"/>
      <c r="F698" s="144"/>
      <c r="G698" s="14">
        <v>200000</v>
      </c>
      <c r="H698" s="14"/>
      <c r="I698" s="14"/>
      <c r="J698" s="14">
        <f>G698</f>
        <v>200000</v>
      </c>
      <c r="K698" s="14"/>
      <c r="L698" s="14"/>
      <c r="M698" s="14"/>
      <c r="N698" s="14"/>
      <c r="O698" s="14"/>
      <c r="P698" s="14"/>
      <c r="Q698" s="72"/>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17" s="84" customFormat="1" ht="12">
      <c r="A699" s="107" t="s">
        <v>448</v>
      </c>
      <c r="B699" s="76"/>
      <c r="C699" s="76"/>
      <c r="D699" s="88">
        <f>D701+D715+D782+D791+D798</f>
        <v>0</v>
      </c>
      <c r="E699" s="88"/>
      <c r="F699" s="88">
        <f>D699</f>
        <v>0</v>
      </c>
      <c r="G699" s="88"/>
      <c r="H699" s="88">
        <f>H701</f>
        <v>79404991</v>
      </c>
      <c r="I699" s="88">
        <f>I701</f>
        <v>47000</v>
      </c>
      <c r="J699" s="88">
        <f>H699+I699</f>
        <v>79451991</v>
      </c>
      <c r="K699" s="88"/>
      <c r="L699" s="88"/>
      <c r="M699" s="88"/>
      <c r="N699" s="88"/>
      <c r="O699" s="88">
        <f>O701</f>
        <v>129784224</v>
      </c>
      <c r="P699" s="88">
        <f>P701</f>
        <v>129784224</v>
      </c>
      <c r="Q699" s="83"/>
    </row>
    <row r="700" spans="1:235" ht="22.5">
      <c r="A700" s="21" t="s">
        <v>279</v>
      </c>
      <c r="B700" s="7"/>
      <c r="C700" s="7"/>
      <c r="D700" s="14"/>
      <c r="E700" s="14"/>
      <c r="F700" s="14"/>
      <c r="G700" s="14"/>
      <c r="H700" s="14"/>
      <c r="I700" s="14"/>
      <c r="J700" s="14"/>
      <c r="K700" s="14"/>
      <c r="L700" s="14"/>
      <c r="M700" s="14"/>
      <c r="N700" s="14"/>
      <c r="O700" s="14"/>
      <c r="P700" s="14"/>
      <c r="Q700" s="72"/>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17" s="91" customFormat="1" ht="33.75">
      <c r="A701" s="81" t="s">
        <v>425</v>
      </c>
      <c r="B701" s="87"/>
      <c r="C701" s="87"/>
      <c r="D701" s="88"/>
      <c r="E701" s="88"/>
      <c r="F701" s="88">
        <f>D701</f>
        <v>0</v>
      </c>
      <c r="G701" s="88"/>
      <c r="H701" s="88">
        <f>H705*H707</f>
        <v>79404991</v>
      </c>
      <c r="I701" s="88">
        <f>I703</f>
        <v>47000</v>
      </c>
      <c r="J701" s="88">
        <f>H701+I701</f>
        <v>79451991</v>
      </c>
      <c r="K701" s="88"/>
      <c r="L701" s="88"/>
      <c r="M701" s="88"/>
      <c r="N701" s="88"/>
      <c r="O701" s="88">
        <f>O705*O707</f>
        <v>129784224</v>
      </c>
      <c r="P701" s="88">
        <f>O701</f>
        <v>129784224</v>
      </c>
      <c r="Q701" s="105"/>
    </row>
    <row r="702" spans="1:235" ht="11.25">
      <c r="A702" s="20" t="s">
        <v>4</v>
      </c>
      <c r="B702" s="7"/>
      <c r="C702" s="7"/>
      <c r="D702" s="14"/>
      <c r="E702" s="14"/>
      <c r="F702" s="14"/>
      <c r="G702" s="14"/>
      <c r="H702" s="14"/>
      <c r="I702" s="14"/>
      <c r="J702" s="14"/>
      <c r="K702" s="14"/>
      <c r="L702" s="14"/>
      <c r="M702" s="14"/>
      <c r="N702" s="14"/>
      <c r="O702" s="14"/>
      <c r="P702" s="14"/>
      <c r="Q702" s="7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1" t="s">
        <v>63</v>
      </c>
      <c r="B703" s="7"/>
      <c r="C703" s="7"/>
      <c r="D703" s="14"/>
      <c r="E703" s="14"/>
      <c r="F703" s="14">
        <f>D703</f>
        <v>0</v>
      </c>
      <c r="G703" s="14"/>
      <c r="H703" s="14">
        <f>49855600+12000000+250000+1116250+339900+677700+277200+14159+17372+292000+50+5000+2725000+1800000+1470000+21000+72610+1134950+5798800+317600+470000+700000+49800</f>
        <v>79404991</v>
      </c>
      <c r="I703" s="14">
        <v>47000</v>
      </c>
      <c r="J703" s="14">
        <f>H703+I703</f>
        <v>79451991</v>
      </c>
      <c r="K703" s="14"/>
      <c r="L703" s="14"/>
      <c r="M703" s="14"/>
      <c r="N703" s="14"/>
      <c r="O703" s="14">
        <f>88015624+13700000+4000000</f>
        <v>105715624</v>
      </c>
      <c r="P703" s="14">
        <f>O703</f>
        <v>105715624</v>
      </c>
      <c r="Q703" s="72"/>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c r="A704" s="20" t="s">
        <v>5</v>
      </c>
      <c r="B704" s="7"/>
      <c r="C704" s="7"/>
      <c r="D704" s="14"/>
      <c r="E704" s="14"/>
      <c r="F704" s="14"/>
      <c r="G704" s="14"/>
      <c r="H704" s="14"/>
      <c r="I704" s="14"/>
      <c r="J704" s="14"/>
      <c r="K704" s="14"/>
      <c r="L704" s="14"/>
      <c r="M704" s="14"/>
      <c r="N704" s="14"/>
      <c r="O704" s="14"/>
      <c r="P704" s="14"/>
      <c r="Q704" s="72"/>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33.75">
      <c r="A705" s="21" t="s">
        <v>280</v>
      </c>
      <c r="B705" s="7"/>
      <c r="C705" s="7"/>
      <c r="D705" s="14"/>
      <c r="E705" s="14"/>
      <c r="F705" s="14"/>
      <c r="G705" s="14"/>
      <c r="H705" s="14">
        <v>8</v>
      </c>
      <c r="I705" s="14"/>
      <c r="J705" s="14">
        <v>8</v>
      </c>
      <c r="K705" s="14"/>
      <c r="L705" s="14"/>
      <c r="M705" s="14"/>
      <c r="N705" s="14"/>
      <c r="O705" s="14">
        <v>8</v>
      </c>
      <c r="P705" s="14">
        <f>O705</f>
        <v>8</v>
      </c>
      <c r="Q705" s="72"/>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c r="A706" s="20" t="s">
        <v>7</v>
      </c>
      <c r="B706" s="7"/>
      <c r="C706" s="7"/>
      <c r="D706" s="14"/>
      <c r="E706" s="14"/>
      <c r="F706" s="14"/>
      <c r="G706" s="14"/>
      <c r="H706" s="14"/>
      <c r="I706" s="14"/>
      <c r="J706" s="14"/>
      <c r="K706" s="14"/>
      <c r="L706" s="14"/>
      <c r="M706" s="14"/>
      <c r="N706" s="14"/>
      <c r="O706" s="14"/>
      <c r="P706" s="14"/>
      <c r="Q706" s="72"/>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24.75" customHeight="1">
      <c r="A707" s="21" t="s">
        <v>281</v>
      </c>
      <c r="B707" s="7"/>
      <c r="C707" s="7"/>
      <c r="D707" s="14"/>
      <c r="E707" s="14"/>
      <c r="F707" s="14"/>
      <c r="G707" s="14"/>
      <c r="H707" s="14">
        <f>H703/H705</f>
        <v>9925623.875</v>
      </c>
      <c r="I707" s="14"/>
      <c r="J707" s="14">
        <f>J703/J705</f>
        <v>9931498.875</v>
      </c>
      <c r="K707" s="14"/>
      <c r="L707" s="14"/>
      <c r="M707" s="14"/>
      <c r="N707" s="14"/>
      <c r="O707" s="14">
        <v>16223028</v>
      </c>
      <c r="P707" s="71">
        <f>O707</f>
        <v>16223028</v>
      </c>
      <c r="Q707" s="72"/>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1"/>
      <c r="Q708" s="72"/>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1"/>
      <c r="Q709" s="72"/>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1"/>
      <c r="Q710" s="72"/>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1"/>
      <c r="Q711" s="72"/>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1"/>
      <c r="Q712" s="7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1"/>
      <c r="Q713" s="72"/>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11.25" hidden="1">
      <c r="A714" s="21"/>
      <c r="B714" s="7"/>
      <c r="C714" s="7"/>
      <c r="D714" s="14"/>
      <c r="E714" s="14"/>
      <c r="F714" s="14"/>
      <c r="G714" s="14"/>
      <c r="H714" s="14"/>
      <c r="I714" s="14"/>
      <c r="J714" s="14"/>
      <c r="K714" s="14"/>
      <c r="L714" s="14"/>
      <c r="M714" s="14"/>
      <c r="N714" s="14"/>
      <c r="O714" s="14"/>
      <c r="P714" s="71"/>
      <c r="Q714" s="72"/>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4" customFormat="1" ht="12">
      <c r="A715" s="107" t="s">
        <v>449</v>
      </c>
      <c r="B715" s="76"/>
      <c r="C715" s="76"/>
      <c r="D715" s="88">
        <f>D717+D791+D800+D814</f>
        <v>0</v>
      </c>
      <c r="E715" s="88"/>
      <c r="F715" s="88">
        <f>D715</f>
        <v>0</v>
      </c>
      <c r="G715" s="88">
        <f>G717</f>
        <v>679500</v>
      </c>
      <c r="H715" s="88">
        <f>H717</f>
        <v>750500</v>
      </c>
      <c r="I715" s="88">
        <f>I717</f>
        <v>0</v>
      </c>
      <c r="J715" s="88">
        <f>G715+H715</f>
        <v>1430000</v>
      </c>
      <c r="K715" s="88"/>
      <c r="L715" s="88"/>
      <c r="M715" s="88"/>
      <c r="N715" s="88">
        <f>N717</f>
        <v>758500</v>
      </c>
      <c r="O715" s="88">
        <f>O717</f>
        <v>1221500</v>
      </c>
      <c r="P715" s="88">
        <f>N715+O715</f>
        <v>1980000</v>
      </c>
      <c r="Q715" s="83"/>
    </row>
    <row r="716" spans="1:235" ht="56.25">
      <c r="A716" s="21" t="s">
        <v>306</v>
      </c>
      <c r="B716" s="7"/>
      <c r="C716" s="7"/>
      <c r="D716" s="14"/>
      <c r="E716" s="14"/>
      <c r="F716" s="14"/>
      <c r="G716" s="14"/>
      <c r="H716" s="14"/>
      <c r="I716" s="14"/>
      <c r="J716" s="14"/>
      <c r="K716" s="14"/>
      <c r="L716" s="14"/>
      <c r="M716" s="14"/>
      <c r="N716" s="14"/>
      <c r="O716" s="14"/>
      <c r="P716" s="14"/>
      <c r="Q716" s="72"/>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17" s="91" customFormat="1" ht="36" customHeight="1">
      <c r="A717" s="81" t="s">
        <v>426</v>
      </c>
      <c r="B717" s="87"/>
      <c r="C717" s="87"/>
      <c r="D717" s="88"/>
      <c r="E717" s="88"/>
      <c r="F717" s="88">
        <f>D717</f>
        <v>0</v>
      </c>
      <c r="G717" s="88">
        <f>G721*G723</f>
        <v>679500</v>
      </c>
      <c r="H717" s="88">
        <f>H719</f>
        <v>750500</v>
      </c>
      <c r="I717" s="88"/>
      <c r="J717" s="88">
        <f>G717+H717</f>
        <v>1430000</v>
      </c>
      <c r="K717" s="88"/>
      <c r="L717" s="88"/>
      <c r="M717" s="88"/>
      <c r="N717" s="88">
        <f>N721*N723</f>
        <v>758500</v>
      </c>
      <c r="O717" s="88">
        <f>O721*O723</f>
        <v>1221500</v>
      </c>
      <c r="P717" s="88">
        <f>N717+O717</f>
        <v>1980000</v>
      </c>
      <c r="Q717" s="105"/>
    </row>
    <row r="718" spans="1:235" ht="11.25">
      <c r="A718" s="20" t="s">
        <v>4</v>
      </c>
      <c r="B718" s="7"/>
      <c r="C718" s="7"/>
      <c r="D718" s="14"/>
      <c r="E718" s="14"/>
      <c r="F718" s="14"/>
      <c r="G718" s="14"/>
      <c r="H718" s="14"/>
      <c r="I718" s="14"/>
      <c r="J718" s="14"/>
      <c r="K718" s="14"/>
      <c r="L718" s="14"/>
      <c r="M718" s="14"/>
      <c r="N718" s="14"/>
      <c r="O718" s="14"/>
      <c r="P718" s="14"/>
      <c r="Q718" s="72"/>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1" t="s">
        <v>63</v>
      </c>
      <c r="B719" s="7"/>
      <c r="C719" s="7"/>
      <c r="D719" s="14"/>
      <c r="E719" s="14"/>
      <c r="F719" s="14">
        <f>D719</f>
        <v>0</v>
      </c>
      <c r="G719" s="14">
        <v>679500</v>
      </c>
      <c r="H719" s="14">
        <v>750500</v>
      </c>
      <c r="I719" s="14"/>
      <c r="J719" s="14">
        <f>G719+H719</f>
        <v>1430000</v>
      </c>
      <c r="K719" s="14"/>
      <c r="L719" s="14"/>
      <c r="M719" s="14"/>
      <c r="N719" s="14">
        <v>758500</v>
      </c>
      <c r="O719" s="14">
        <v>1221500</v>
      </c>
      <c r="P719" s="14">
        <f>N719+O719</f>
        <v>1980000</v>
      </c>
      <c r="Q719" s="72"/>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1.25">
      <c r="A720" s="20" t="s">
        <v>5</v>
      </c>
      <c r="B720" s="7"/>
      <c r="C720" s="7"/>
      <c r="D720" s="14"/>
      <c r="E720" s="14"/>
      <c r="F720" s="14"/>
      <c r="G720" s="14"/>
      <c r="H720" s="14"/>
      <c r="I720" s="14"/>
      <c r="J720" s="14"/>
      <c r="K720" s="14"/>
      <c r="L720" s="14"/>
      <c r="M720" s="14"/>
      <c r="N720" s="14"/>
      <c r="O720" s="14"/>
      <c r="P720" s="14"/>
      <c r="Q720" s="72"/>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22.5">
      <c r="A721" s="21" t="s">
        <v>309</v>
      </c>
      <c r="B721" s="7"/>
      <c r="C721" s="7"/>
      <c r="D721" s="14"/>
      <c r="E721" s="14"/>
      <c r="F721" s="14"/>
      <c r="G721" s="14">
        <v>1</v>
      </c>
      <c r="H721" s="14">
        <v>1</v>
      </c>
      <c r="I721" s="14"/>
      <c r="J721" s="14">
        <v>1</v>
      </c>
      <c r="K721" s="14"/>
      <c r="L721" s="14"/>
      <c r="M721" s="14"/>
      <c r="N721" s="14">
        <v>1</v>
      </c>
      <c r="O721" s="14">
        <v>1</v>
      </c>
      <c r="P721" s="14">
        <v>1</v>
      </c>
      <c r="Q721" s="72"/>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7</v>
      </c>
      <c r="B722" s="7"/>
      <c r="C722" s="7"/>
      <c r="D722" s="14"/>
      <c r="E722" s="14"/>
      <c r="F722" s="14"/>
      <c r="G722" s="14"/>
      <c r="H722" s="14"/>
      <c r="I722" s="14"/>
      <c r="J722" s="14"/>
      <c r="K722" s="14"/>
      <c r="L722" s="14"/>
      <c r="M722" s="14"/>
      <c r="N722" s="14"/>
      <c r="O722" s="14"/>
      <c r="P722" s="14"/>
      <c r="Q722" s="7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22.5">
      <c r="A723" s="21" t="s">
        <v>310</v>
      </c>
      <c r="B723" s="7"/>
      <c r="C723" s="7"/>
      <c r="D723" s="14"/>
      <c r="E723" s="14"/>
      <c r="F723" s="14"/>
      <c r="G723" s="14">
        <v>679500</v>
      </c>
      <c r="H723" s="14">
        <f>H719/H721</f>
        <v>750500</v>
      </c>
      <c r="I723" s="148"/>
      <c r="J723" s="148">
        <f>J719/J721</f>
        <v>1430000</v>
      </c>
      <c r="K723" s="148"/>
      <c r="L723" s="148"/>
      <c r="M723" s="148"/>
      <c r="N723" s="148">
        <v>758500</v>
      </c>
      <c r="O723" s="148">
        <v>1221500</v>
      </c>
      <c r="P723" s="14">
        <f>N723+O723</f>
        <v>1980000</v>
      </c>
      <c r="Q723" s="72"/>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17" s="84" customFormat="1" ht="12">
      <c r="A724" s="107" t="s">
        <v>450</v>
      </c>
      <c r="B724" s="76"/>
      <c r="C724" s="76"/>
      <c r="D724" s="88">
        <f>D727</f>
        <v>0</v>
      </c>
      <c r="E724" s="88">
        <v>0</v>
      </c>
      <c r="F724" s="88">
        <f>D724</f>
        <v>0</v>
      </c>
      <c r="G724" s="88">
        <f>G727</f>
        <v>2000000</v>
      </c>
      <c r="H724" s="88"/>
      <c r="I724" s="88">
        <f>I727</f>
        <v>0</v>
      </c>
      <c r="J724" s="88">
        <f>J727</f>
        <v>2000000</v>
      </c>
      <c r="K724" s="88"/>
      <c r="L724" s="88"/>
      <c r="M724" s="88"/>
      <c r="N724" s="88">
        <f>N727</f>
        <v>3200000</v>
      </c>
      <c r="O724" s="88"/>
      <c r="P724" s="88">
        <f>P727</f>
        <v>3200000</v>
      </c>
      <c r="Q724" s="83"/>
    </row>
    <row r="725" spans="1:235" ht="33.75">
      <c r="A725" s="22" t="s">
        <v>245</v>
      </c>
      <c r="B725" s="7"/>
      <c r="C725" s="7"/>
      <c r="D725" s="14"/>
      <c r="E725" s="14"/>
      <c r="F725" s="14"/>
      <c r="G725" s="14"/>
      <c r="H725" s="14"/>
      <c r="I725" s="14"/>
      <c r="J725" s="14"/>
      <c r="K725" s="14"/>
      <c r="L725" s="14"/>
      <c r="M725" s="14"/>
      <c r="N725" s="14"/>
      <c r="O725" s="14"/>
      <c r="P725" s="14"/>
      <c r="Q725" s="72"/>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22.5">
      <c r="A726" s="21" t="s">
        <v>298</v>
      </c>
      <c r="B726" s="7"/>
      <c r="C726" s="7"/>
      <c r="D726" s="61"/>
      <c r="E726" s="14"/>
      <c r="F726" s="14"/>
      <c r="G726" s="14"/>
      <c r="H726" s="14"/>
      <c r="I726" s="14"/>
      <c r="J726" s="14"/>
      <c r="K726" s="14"/>
      <c r="L726" s="14"/>
      <c r="M726" s="14"/>
      <c r="N726" s="14"/>
      <c r="O726" s="14"/>
      <c r="P726" s="14"/>
      <c r="Q726" s="72"/>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17" s="91" customFormat="1" ht="37.5" customHeight="1">
      <c r="A727" s="81" t="s">
        <v>427</v>
      </c>
      <c r="B727" s="87"/>
      <c r="C727" s="87"/>
      <c r="D727" s="142"/>
      <c r="E727" s="142"/>
      <c r="F727" s="142">
        <f>D727</f>
        <v>0</v>
      </c>
      <c r="G727" s="88">
        <f>G733*G742</f>
        <v>2000000</v>
      </c>
      <c r="H727" s="88"/>
      <c r="I727" s="88"/>
      <c r="J727" s="88">
        <f>J729</f>
        <v>2000000</v>
      </c>
      <c r="K727" s="88"/>
      <c r="L727" s="88"/>
      <c r="M727" s="88"/>
      <c r="N727" s="88">
        <f>N729</f>
        <v>3200000</v>
      </c>
      <c r="O727" s="88"/>
      <c r="P727" s="88">
        <f>N727</f>
        <v>3200000</v>
      </c>
      <c r="Q727" s="105"/>
    </row>
    <row r="728" spans="1:235" ht="11.25">
      <c r="A728" s="20" t="s">
        <v>4</v>
      </c>
      <c r="B728" s="7"/>
      <c r="C728" s="7"/>
      <c r="D728" s="143"/>
      <c r="E728" s="144"/>
      <c r="F728" s="144"/>
      <c r="G728" s="14"/>
      <c r="H728" s="14"/>
      <c r="I728" s="14"/>
      <c r="J728" s="14"/>
      <c r="K728" s="14"/>
      <c r="L728" s="14"/>
      <c r="M728" s="14"/>
      <c r="N728" s="14"/>
      <c r="O728" s="14"/>
      <c r="P728" s="14"/>
      <c r="Q728" s="72"/>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0.5" customHeight="1">
      <c r="A729" s="21" t="s">
        <v>63</v>
      </c>
      <c r="B729" s="7"/>
      <c r="C729" s="7"/>
      <c r="D729" s="143"/>
      <c r="E729" s="144"/>
      <c r="F729" s="144"/>
      <c r="G729" s="14">
        <v>2000000</v>
      </c>
      <c r="H729" s="14"/>
      <c r="I729" s="14"/>
      <c r="J729" s="14">
        <f>J733*J742</f>
        <v>2000000</v>
      </c>
      <c r="K729" s="14"/>
      <c r="L729" s="14"/>
      <c r="M729" s="14"/>
      <c r="N729" s="14">
        <v>3200000</v>
      </c>
      <c r="O729" s="14"/>
      <c r="P729" s="14">
        <f>N729</f>
        <v>3200000</v>
      </c>
      <c r="Q729" s="72"/>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t="s">
        <v>63</v>
      </c>
      <c r="B730" s="7"/>
      <c r="C730" s="7"/>
      <c r="D730" s="143"/>
      <c r="E730" s="144"/>
      <c r="F730" s="144"/>
      <c r="G730" s="14"/>
      <c r="H730" s="14"/>
      <c r="I730" s="14"/>
      <c r="J730" s="14"/>
      <c r="K730" s="14"/>
      <c r="L730" s="14"/>
      <c r="M730" s="14"/>
      <c r="N730" s="14"/>
      <c r="O730" s="14"/>
      <c r="P730" s="14">
        <f aca="true" t="shared" si="50" ref="P730:P742">N730</f>
        <v>0</v>
      </c>
      <c r="Q730" s="72"/>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c r="A731" s="20" t="s">
        <v>5</v>
      </c>
      <c r="B731" s="7"/>
      <c r="C731" s="7"/>
      <c r="D731" s="143"/>
      <c r="E731" s="144"/>
      <c r="F731" s="144"/>
      <c r="G731" s="14"/>
      <c r="H731" s="14"/>
      <c r="I731" s="14"/>
      <c r="J731" s="14"/>
      <c r="K731" s="14"/>
      <c r="L731" s="14"/>
      <c r="M731" s="14"/>
      <c r="N731" s="14"/>
      <c r="O731" s="14"/>
      <c r="P731" s="14"/>
      <c r="Q731" s="72"/>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0.75" customHeight="1" hidden="1">
      <c r="A732" s="21" t="s">
        <v>277</v>
      </c>
      <c r="B732" s="7"/>
      <c r="C732" s="7"/>
      <c r="D732" s="143"/>
      <c r="E732" s="144"/>
      <c r="F732" s="144">
        <f>D732</f>
        <v>0</v>
      </c>
      <c r="G732" s="144">
        <v>1</v>
      </c>
      <c r="H732" s="144"/>
      <c r="I732" s="144"/>
      <c r="J732" s="144">
        <f>G732</f>
        <v>1</v>
      </c>
      <c r="K732" s="14"/>
      <c r="L732" s="14"/>
      <c r="M732" s="14"/>
      <c r="N732" s="14"/>
      <c r="O732" s="14"/>
      <c r="P732" s="14">
        <f t="shared" si="50"/>
        <v>0</v>
      </c>
      <c r="Q732" s="7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c r="A733" s="21" t="s">
        <v>292</v>
      </c>
      <c r="B733" s="7"/>
      <c r="C733" s="7"/>
      <c r="D733" s="143"/>
      <c r="E733" s="144"/>
      <c r="F733" s="144"/>
      <c r="G733" s="144">
        <v>500</v>
      </c>
      <c r="H733" s="144"/>
      <c r="I733" s="144"/>
      <c r="J733" s="144">
        <v>500</v>
      </c>
      <c r="K733" s="14"/>
      <c r="L733" s="14"/>
      <c r="M733" s="14"/>
      <c r="N733" s="14">
        <v>1244</v>
      </c>
      <c r="O733" s="14"/>
      <c r="P733" s="14">
        <f t="shared" si="50"/>
        <v>1244</v>
      </c>
      <c r="Q733" s="72"/>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22.5">
      <c r="A734" s="21" t="s">
        <v>392</v>
      </c>
      <c r="B734" s="7"/>
      <c r="C734" s="7"/>
      <c r="D734" s="143"/>
      <c r="E734" s="144"/>
      <c r="F734" s="144"/>
      <c r="G734" s="144">
        <f>G733*4000</f>
        <v>2000000</v>
      </c>
      <c r="H734" s="144"/>
      <c r="I734" s="144"/>
      <c r="J734" s="144">
        <f>G734</f>
        <v>2000000</v>
      </c>
      <c r="K734" s="14"/>
      <c r="L734" s="14"/>
      <c r="M734" s="14"/>
      <c r="N734" s="14">
        <f>N733*4000</f>
        <v>4976000</v>
      </c>
      <c r="O734" s="14"/>
      <c r="P734" s="14">
        <f>N734</f>
        <v>4976000</v>
      </c>
      <c r="Q734" s="72"/>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0.5" customHeight="1">
      <c r="A735" s="20" t="s">
        <v>7</v>
      </c>
      <c r="B735" s="7"/>
      <c r="C735" s="7"/>
      <c r="D735" s="143"/>
      <c r="E735" s="144"/>
      <c r="F735" s="144"/>
      <c r="G735" s="14"/>
      <c r="H735" s="14"/>
      <c r="I735" s="14"/>
      <c r="J735" s="14"/>
      <c r="K735" s="14"/>
      <c r="L735" s="14"/>
      <c r="M735" s="14"/>
      <c r="N735" s="14"/>
      <c r="O735" s="14"/>
      <c r="P735" s="14"/>
      <c r="Q735" s="72"/>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5" customHeight="1" hidden="1">
      <c r="A736" s="21" t="s">
        <v>278</v>
      </c>
      <c r="B736" s="7"/>
      <c r="C736" s="7"/>
      <c r="D736" s="143"/>
      <c r="E736" s="144"/>
      <c r="F736" s="144"/>
      <c r="G736" s="14">
        <v>465000</v>
      </c>
      <c r="H736" s="14"/>
      <c r="I736" s="14"/>
      <c r="J736" s="14">
        <f>G736</f>
        <v>465000</v>
      </c>
      <c r="K736" s="14"/>
      <c r="L736" s="14"/>
      <c r="M736" s="14"/>
      <c r="N736" s="14"/>
      <c r="O736" s="14"/>
      <c r="P736" s="14">
        <f t="shared" si="50"/>
        <v>0</v>
      </c>
      <c r="Q736" s="72"/>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2"/>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2"/>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2"/>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2"/>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hidden="1">
      <c r="A741" s="21"/>
      <c r="B741" s="7"/>
      <c r="C741" s="7"/>
      <c r="D741" s="14"/>
      <c r="E741" s="14"/>
      <c r="F741" s="14"/>
      <c r="G741" s="14"/>
      <c r="H741" s="14"/>
      <c r="I741" s="14"/>
      <c r="J741" s="14"/>
      <c r="K741" s="14"/>
      <c r="L741" s="14"/>
      <c r="M741" s="14"/>
      <c r="N741" s="14"/>
      <c r="O741" s="14"/>
      <c r="P741" s="14">
        <f t="shared" si="50"/>
        <v>0</v>
      </c>
      <c r="Q741" s="72"/>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2.75" customHeight="1">
      <c r="A742" s="21" t="s">
        <v>293</v>
      </c>
      <c r="B742" s="7"/>
      <c r="C742" s="7"/>
      <c r="D742" s="14"/>
      <c r="E742" s="14"/>
      <c r="F742" s="14"/>
      <c r="G742" s="14">
        <v>4000</v>
      </c>
      <c r="H742" s="14"/>
      <c r="I742" s="14"/>
      <c r="J742" s="14">
        <v>4000</v>
      </c>
      <c r="K742" s="14"/>
      <c r="L742" s="14"/>
      <c r="M742" s="14"/>
      <c r="N742" s="14">
        <v>2572.339</v>
      </c>
      <c r="O742" s="14"/>
      <c r="P742" s="14">
        <f t="shared" si="50"/>
        <v>2572.339</v>
      </c>
      <c r="Q742" s="7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11.25">
      <c r="A743" s="21" t="s">
        <v>389</v>
      </c>
      <c r="B743" s="7"/>
      <c r="C743" s="7"/>
      <c r="D743" s="14"/>
      <c r="E743" s="14"/>
      <c r="F743" s="14"/>
      <c r="G743" s="14">
        <f>G729/G734</f>
        <v>1</v>
      </c>
      <c r="H743" s="14"/>
      <c r="I743" s="14"/>
      <c r="J743" s="14"/>
      <c r="K743" s="14"/>
      <c r="L743" s="14"/>
      <c r="M743" s="14"/>
      <c r="N743" s="14">
        <f>N729/N734</f>
        <v>0.6430868167202572</v>
      </c>
      <c r="O743" s="14"/>
      <c r="P743" s="14">
        <f>N743</f>
        <v>0.6430868167202572</v>
      </c>
      <c r="Q743" s="72"/>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17" s="84" customFormat="1" ht="12.75">
      <c r="A744" s="82" t="s">
        <v>451</v>
      </c>
      <c r="B744" s="76"/>
      <c r="C744" s="76"/>
      <c r="D744" s="77"/>
      <c r="E744" s="77"/>
      <c r="F744" s="77"/>
      <c r="G744" s="149">
        <f>G745</f>
        <v>349999.999992</v>
      </c>
      <c r="H744" s="149"/>
      <c r="I744" s="149">
        <f>I745</f>
        <v>0</v>
      </c>
      <c r="J744" s="149">
        <f>G744</f>
        <v>349999.999992</v>
      </c>
      <c r="K744" s="77"/>
      <c r="L744" s="77"/>
      <c r="M744" s="77"/>
      <c r="N744" s="149">
        <f>N745</f>
        <v>499999.9998</v>
      </c>
      <c r="O744" s="149"/>
      <c r="P744" s="149">
        <f>N744</f>
        <v>499999.9998</v>
      </c>
      <c r="Q744" s="83"/>
    </row>
    <row r="745" spans="1:17" s="91" customFormat="1" ht="22.5">
      <c r="A745" s="81" t="s">
        <v>428</v>
      </c>
      <c r="B745" s="87"/>
      <c r="C745" s="87"/>
      <c r="D745" s="88"/>
      <c r="E745" s="88"/>
      <c r="F745" s="88"/>
      <c r="G745" s="88">
        <f>G749*G751</f>
        <v>349999.999992</v>
      </c>
      <c r="H745" s="88"/>
      <c r="I745" s="88"/>
      <c r="J745" s="88">
        <f>G745</f>
        <v>349999.999992</v>
      </c>
      <c r="K745" s="88"/>
      <c r="L745" s="88"/>
      <c r="M745" s="88"/>
      <c r="N745" s="88">
        <f>N749*N751</f>
        <v>499999.9998</v>
      </c>
      <c r="O745" s="88"/>
      <c r="P745" s="149">
        <f>N745</f>
        <v>499999.9998</v>
      </c>
      <c r="Q745" s="105"/>
    </row>
    <row r="746" spans="1:235" ht="11.25">
      <c r="A746" s="20" t="s">
        <v>4</v>
      </c>
      <c r="B746" s="7"/>
      <c r="C746" s="7"/>
      <c r="D746" s="14"/>
      <c r="E746" s="14"/>
      <c r="F746" s="14"/>
      <c r="G746" s="14"/>
      <c r="H746" s="14"/>
      <c r="I746" s="14"/>
      <c r="J746" s="14"/>
      <c r="K746" s="14"/>
      <c r="L746" s="14"/>
      <c r="M746" s="14"/>
      <c r="N746" s="14"/>
      <c r="O746" s="14"/>
      <c r="P746" s="14"/>
      <c r="Q746" s="72"/>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22.5">
      <c r="A747" s="54" t="s">
        <v>78</v>
      </c>
      <c r="B747" s="7"/>
      <c r="C747" s="7"/>
      <c r="D747" s="14"/>
      <c r="E747" s="14"/>
      <c r="F747" s="14"/>
      <c r="G747" s="14">
        <f>G749*G751</f>
        <v>349999.999992</v>
      </c>
      <c r="H747" s="14"/>
      <c r="I747" s="14"/>
      <c r="J747" s="14">
        <f>G747</f>
        <v>349999.999992</v>
      </c>
      <c r="K747" s="14"/>
      <c r="L747" s="14"/>
      <c r="M747" s="14"/>
      <c r="N747" s="14">
        <f>N749*N751</f>
        <v>499999.9998</v>
      </c>
      <c r="O747" s="14"/>
      <c r="P747" s="14">
        <f>N747</f>
        <v>499999.9998</v>
      </c>
      <c r="Q747" s="72"/>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1.25">
      <c r="A748" s="20" t="s">
        <v>5</v>
      </c>
      <c r="B748" s="7"/>
      <c r="C748" s="7"/>
      <c r="D748" s="14"/>
      <c r="E748" s="14"/>
      <c r="F748" s="14"/>
      <c r="G748" s="14"/>
      <c r="H748" s="14"/>
      <c r="I748" s="14"/>
      <c r="J748" s="14"/>
      <c r="K748" s="14"/>
      <c r="L748" s="14"/>
      <c r="M748" s="14"/>
      <c r="N748" s="14"/>
      <c r="O748" s="14"/>
      <c r="P748" s="14"/>
      <c r="Q748" s="72"/>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27.75" customHeight="1">
      <c r="A749" s="54" t="s">
        <v>77</v>
      </c>
      <c r="B749" s="7"/>
      <c r="C749" s="7"/>
      <c r="D749" s="14"/>
      <c r="E749" s="14"/>
      <c r="F749" s="14"/>
      <c r="G749" s="14">
        <v>12</v>
      </c>
      <c r="H749" s="14"/>
      <c r="I749" s="14"/>
      <c r="J749" s="14">
        <f>G749</f>
        <v>12</v>
      </c>
      <c r="K749" s="14"/>
      <c r="L749" s="14"/>
      <c r="M749" s="14"/>
      <c r="N749" s="14">
        <v>14</v>
      </c>
      <c r="O749" s="14"/>
      <c r="P749" s="14">
        <f>N749</f>
        <v>14</v>
      </c>
      <c r="Q749" s="72"/>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7</v>
      </c>
      <c r="B750" s="7"/>
      <c r="C750" s="7"/>
      <c r="D750" s="14"/>
      <c r="E750" s="14"/>
      <c r="F750" s="14"/>
      <c r="G750" s="14"/>
      <c r="H750" s="14"/>
      <c r="I750" s="14"/>
      <c r="J750" s="14"/>
      <c r="K750" s="14"/>
      <c r="L750" s="14"/>
      <c r="M750" s="14"/>
      <c r="N750" s="14"/>
      <c r="O750" s="14"/>
      <c r="P750" s="14"/>
      <c r="Q750" s="72"/>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33.75">
      <c r="A751" s="54" t="s">
        <v>81</v>
      </c>
      <c r="B751" s="7"/>
      <c r="C751" s="7"/>
      <c r="D751" s="14"/>
      <c r="E751" s="14"/>
      <c r="F751" s="14"/>
      <c r="G751" s="14">
        <v>29166.666666</v>
      </c>
      <c r="H751" s="14"/>
      <c r="I751" s="14"/>
      <c r="J751" s="14">
        <f>G751</f>
        <v>29166.666666</v>
      </c>
      <c r="K751" s="14"/>
      <c r="L751" s="14"/>
      <c r="M751" s="14"/>
      <c r="N751" s="14">
        <v>35714.2857</v>
      </c>
      <c r="O751" s="14"/>
      <c r="P751" s="14">
        <f>N751</f>
        <v>35714.2857</v>
      </c>
      <c r="Q751" s="72"/>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17" s="84" customFormat="1" ht="12">
      <c r="A752" s="107" t="s">
        <v>452</v>
      </c>
      <c r="B752" s="76"/>
      <c r="C752" s="76"/>
      <c r="D752" s="88">
        <f>D755</f>
        <v>0</v>
      </c>
      <c r="E752" s="88">
        <v>0</v>
      </c>
      <c r="F752" s="88">
        <f>D752</f>
        <v>0</v>
      </c>
      <c r="G752" s="88">
        <f>G755+G764</f>
        <v>0</v>
      </c>
      <c r="H752" s="88">
        <f aca="true" t="shared" si="51" ref="H752:P752">H755+H764</f>
        <v>2092800</v>
      </c>
      <c r="I752" s="88">
        <f t="shared" si="51"/>
        <v>0</v>
      </c>
      <c r="J752" s="88">
        <f t="shared" si="51"/>
        <v>2092800</v>
      </c>
      <c r="K752" s="88">
        <f t="shared" si="51"/>
        <v>0</v>
      </c>
      <c r="L752" s="88">
        <f t="shared" si="51"/>
        <v>0</v>
      </c>
      <c r="M752" s="88">
        <f t="shared" si="51"/>
        <v>0</v>
      </c>
      <c r="N752" s="88">
        <f t="shared" si="51"/>
        <v>0</v>
      </c>
      <c r="O752" s="88">
        <f t="shared" si="51"/>
        <v>12775000</v>
      </c>
      <c r="P752" s="88">
        <f t="shared" si="51"/>
        <v>12775000</v>
      </c>
      <c r="Q752" s="83"/>
    </row>
    <row r="753" spans="1:235" ht="24.75" customHeight="1">
      <c r="A753" s="22" t="s">
        <v>336</v>
      </c>
      <c r="B753" s="7"/>
      <c r="C753" s="7"/>
      <c r="D753" s="14"/>
      <c r="E753" s="14"/>
      <c r="F753" s="14"/>
      <c r="G753" s="14"/>
      <c r="H753" s="14"/>
      <c r="I753" s="14"/>
      <c r="J753" s="14"/>
      <c r="K753" s="14"/>
      <c r="L753" s="14"/>
      <c r="M753" s="14"/>
      <c r="N753" s="14"/>
      <c r="O753" s="14"/>
      <c r="P753" s="14"/>
      <c r="Q753" s="72"/>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33.75">
      <c r="A754" s="21" t="s">
        <v>384</v>
      </c>
      <c r="B754" s="7"/>
      <c r="C754" s="7"/>
      <c r="D754" s="61"/>
      <c r="E754" s="14"/>
      <c r="F754" s="14"/>
      <c r="G754" s="14"/>
      <c r="H754" s="14"/>
      <c r="I754" s="14"/>
      <c r="J754" s="14"/>
      <c r="K754" s="14"/>
      <c r="L754" s="14"/>
      <c r="M754" s="14"/>
      <c r="N754" s="14"/>
      <c r="O754" s="14"/>
      <c r="P754" s="14"/>
      <c r="Q754" s="72"/>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1" customFormat="1" ht="33.75">
      <c r="A755" s="81" t="s">
        <v>429</v>
      </c>
      <c r="B755" s="87"/>
      <c r="C755" s="87"/>
      <c r="D755" s="142"/>
      <c r="E755" s="142"/>
      <c r="F755" s="142">
        <f>D755</f>
        <v>0</v>
      </c>
      <c r="G755" s="88">
        <f>G760*G763</f>
        <v>0</v>
      </c>
      <c r="H755" s="88">
        <f>H757</f>
        <v>619800</v>
      </c>
      <c r="I755" s="88">
        <f>I760*I763</f>
        <v>0</v>
      </c>
      <c r="J755" s="88">
        <f>J757</f>
        <v>619800</v>
      </c>
      <c r="K755" s="88"/>
      <c r="L755" s="88"/>
      <c r="M755" s="88"/>
      <c r="N755" s="88"/>
      <c r="O755" s="88"/>
      <c r="P755" s="88"/>
      <c r="Q755" s="105"/>
    </row>
    <row r="756" spans="1:235" ht="11.25">
      <c r="A756" s="20" t="s">
        <v>4</v>
      </c>
      <c r="B756" s="7"/>
      <c r="C756" s="7"/>
      <c r="D756" s="143"/>
      <c r="E756" s="144"/>
      <c r="F756" s="144"/>
      <c r="G756" s="14"/>
      <c r="H756" s="14"/>
      <c r="I756" s="14"/>
      <c r="J756" s="14"/>
      <c r="K756" s="14"/>
      <c r="L756" s="14"/>
      <c r="M756" s="14"/>
      <c r="N756" s="14"/>
      <c r="O756" s="14"/>
      <c r="P756" s="14"/>
      <c r="Q756" s="72"/>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3"/>
      <c r="E757" s="144"/>
      <c r="F757" s="144"/>
      <c r="G757" s="14"/>
      <c r="H757" s="14">
        <f>541000+78800</f>
        <v>619800</v>
      </c>
      <c r="I757" s="14"/>
      <c r="J757" s="14">
        <f>H757</f>
        <v>619800</v>
      </c>
      <c r="K757" s="14"/>
      <c r="L757" s="14"/>
      <c r="M757" s="14"/>
      <c r="N757" s="14"/>
      <c r="O757" s="14"/>
      <c r="P757" s="14"/>
      <c r="Q757" s="72"/>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3"/>
      <c r="E758" s="144"/>
      <c r="F758" s="144"/>
      <c r="G758" s="14"/>
      <c r="H758" s="14"/>
      <c r="I758" s="14"/>
      <c r="J758" s="14"/>
      <c r="K758" s="14"/>
      <c r="L758" s="14"/>
      <c r="M758" s="14"/>
      <c r="N758" s="14"/>
      <c r="O758" s="14"/>
      <c r="P758" s="14"/>
      <c r="Q758" s="72"/>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3"/>
      <c r="E759" s="144"/>
      <c r="F759" s="144"/>
      <c r="G759" s="14"/>
      <c r="H759" s="14"/>
      <c r="I759" s="14"/>
      <c r="J759" s="14"/>
      <c r="K759" s="14"/>
      <c r="L759" s="14"/>
      <c r="M759" s="14"/>
      <c r="N759" s="14"/>
      <c r="O759" s="14"/>
      <c r="P759" s="14"/>
      <c r="Q759" s="72"/>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331</v>
      </c>
      <c r="B760" s="7"/>
      <c r="C760" s="7"/>
      <c r="D760" s="143"/>
      <c r="E760" s="144"/>
      <c r="F760" s="144">
        <f>D760</f>
        <v>0</v>
      </c>
      <c r="G760" s="144"/>
      <c r="H760" s="144">
        <v>4</v>
      </c>
      <c r="I760" s="144"/>
      <c r="J760" s="144">
        <v>4</v>
      </c>
      <c r="K760" s="144">
        <f>H760</f>
        <v>4</v>
      </c>
      <c r="L760" s="144">
        <f>J760</f>
        <v>4</v>
      </c>
      <c r="M760" s="144">
        <f>K760</f>
        <v>4</v>
      </c>
      <c r="N760" s="144"/>
      <c r="O760" s="144"/>
      <c r="P760" s="144"/>
      <c r="Q760" s="72"/>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292</v>
      </c>
      <c r="B761" s="7"/>
      <c r="C761" s="7"/>
      <c r="D761" s="143"/>
      <c r="E761" s="144"/>
      <c r="F761" s="144"/>
      <c r="G761" s="144">
        <v>1487</v>
      </c>
      <c r="H761" s="144"/>
      <c r="I761" s="144"/>
      <c r="J761" s="144">
        <f>G761</f>
        <v>1487</v>
      </c>
      <c r="K761" s="144"/>
      <c r="L761" s="144"/>
      <c r="M761" s="144"/>
      <c r="N761" s="144"/>
      <c r="O761" s="144"/>
      <c r="P761" s="144"/>
      <c r="Q761" s="72"/>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3"/>
      <c r="E762" s="144"/>
      <c r="F762" s="144"/>
      <c r="G762" s="14"/>
      <c r="H762" s="14"/>
      <c r="I762" s="14"/>
      <c r="J762" s="14"/>
      <c r="K762" s="14"/>
      <c r="L762" s="14"/>
      <c r="M762" s="14"/>
      <c r="N762" s="14"/>
      <c r="O762" s="14"/>
      <c r="P762" s="14"/>
      <c r="Q762" s="7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332</v>
      </c>
      <c r="B763" s="7"/>
      <c r="C763" s="7"/>
      <c r="D763" s="143"/>
      <c r="E763" s="144"/>
      <c r="F763" s="144"/>
      <c r="G763" s="14"/>
      <c r="H763" s="14">
        <v>166666.67</v>
      </c>
      <c r="I763" s="14"/>
      <c r="J763" s="14">
        <v>166666.67</v>
      </c>
      <c r="K763" s="14"/>
      <c r="L763" s="14"/>
      <c r="M763" s="14"/>
      <c r="N763" s="14"/>
      <c r="O763" s="14"/>
      <c r="P763" s="14"/>
      <c r="Q763" s="72"/>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17" s="91" customFormat="1" ht="45">
      <c r="A764" s="81" t="s">
        <v>453</v>
      </c>
      <c r="B764" s="87"/>
      <c r="C764" s="87"/>
      <c r="D764" s="142"/>
      <c r="E764" s="142"/>
      <c r="F764" s="142">
        <f>D764</f>
        <v>0</v>
      </c>
      <c r="G764" s="88">
        <f>G766</f>
        <v>0</v>
      </c>
      <c r="H764" s="88">
        <f>H769*H772</f>
        <v>1473000</v>
      </c>
      <c r="I764" s="88"/>
      <c r="J764" s="88">
        <f>G764+H764+I764</f>
        <v>1473000</v>
      </c>
      <c r="K764" s="88"/>
      <c r="L764" s="88"/>
      <c r="M764" s="88"/>
      <c r="N764" s="88"/>
      <c r="O764" s="88">
        <f>O766</f>
        <v>12775000</v>
      </c>
      <c r="P764" s="88">
        <f>N764+O764</f>
        <v>12775000</v>
      </c>
      <c r="Q764" s="105"/>
    </row>
    <row r="765" spans="1:235" ht="11.25">
      <c r="A765" s="20" t="s">
        <v>4</v>
      </c>
      <c r="B765" s="7"/>
      <c r="C765" s="7"/>
      <c r="D765" s="143"/>
      <c r="E765" s="144"/>
      <c r="F765" s="144"/>
      <c r="G765" s="14"/>
      <c r="H765" s="14"/>
      <c r="I765" s="14"/>
      <c r="J765" s="14"/>
      <c r="K765" s="14"/>
      <c r="L765" s="14"/>
      <c r="M765" s="14"/>
      <c r="N765" s="14"/>
      <c r="O765" s="14"/>
      <c r="P765" s="14"/>
      <c r="Q765" s="72"/>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0.5" customHeight="1">
      <c r="A766" s="21" t="s">
        <v>63</v>
      </c>
      <c r="B766" s="7"/>
      <c r="C766" s="7"/>
      <c r="D766" s="143"/>
      <c r="E766" s="144"/>
      <c r="F766" s="144"/>
      <c r="G766" s="14"/>
      <c r="H766" s="14">
        <v>1473000</v>
      </c>
      <c r="I766" s="14"/>
      <c r="J766" s="14">
        <f>H766</f>
        <v>1473000</v>
      </c>
      <c r="K766" s="14"/>
      <c r="L766" s="14"/>
      <c r="M766" s="14"/>
      <c r="N766" s="14"/>
      <c r="O766" s="14">
        <f>5200000+1575000+6000000</f>
        <v>12775000</v>
      </c>
      <c r="P766" s="14">
        <f>O766</f>
        <v>12775000</v>
      </c>
      <c r="Q766" s="72"/>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hidden="1">
      <c r="A767" s="21" t="s">
        <v>63</v>
      </c>
      <c r="B767" s="7"/>
      <c r="C767" s="7"/>
      <c r="D767" s="143"/>
      <c r="E767" s="144"/>
      <c r="F767" s="144"/>
      <c r="G767" s="14"/>
      <c r="H767" s="14"/>
      <c r="I767" s="14"/>
      <c r="J767" s="14">
        <f aca="true" t="shared" si="52" ref="J767:J772">H767</f>
        <v>0</v>
      </c>
      <c r="K767" s="14"/>
      <c r="L767" s="14"/>
      <c r="M767" s="14"/>
      <c r="N767" s="14"/>
      <c r="O767" s="14"/>
      <c r="P767" s="14"/>
      <c r="Q767" s="72"/>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1.25">
      <c r="A768" s="20" t="s">
        <v>5</v>
      </c>
      <c r="B768" s="7"/>
      <c r="C768" s="7"/>
      <c r="D768" s="143"/>
      <c r="E768" s="144"/>
      <c r="F768" s="144"/>
      <c r="G768" s="14"/>
      <c r="H768" s="14"/>
      <c r="I768" s="14"/>
      <c r="J768" s="14"/>
      <c r="K768" s="14"/>
      <c r="L768" s="14"/>
      <c r="M768" s="14"/>
      <c r="N768" s="14"/>
      <c r="O768" s="14"/>
      <c r="P768" s="14"/>
      <c r="Q768" s="72"/>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0.5" customHeight="1">
      <c r="A769" s="21" t="s">
        <v>331</v>
      </c>
      <c r="B769" s="7"/>
      <c r="C769" s="7"/>
      <c r="D769" s="143"/>
      <c r="E769" s="144"/>
      <c r="F769" s="144">
        <f>D769</f>
        <v>0</v>
      </c>
      <c r="G769" s="144"/>
      <c r="H769" s="144">
        <v>1</v>
      </c>
      <c r="I769" s="144"/>
      <c r="J769" s="14">
        <f t="shared" si="52"/>
        <v>1</v>
      </c>
      <c r="K769" s="144">
        <f>H769</f>
        <v>1</v>
      </c>
      <c r="L769" s="144">
        <f>J769</f>
        <v>1</v>
      </c>
      <c r="M769" s="144">
        <f>K769</f>
        <v>1</v>
      </c>
      <c r="N769" s="144"/>
      <c r="O769" s="144">
        <f>1+3</f>
        <v>4</v>
      </c>
      <c r="P769" s="144">
        <f>O769</f>
        <v>4</v>
      </c>
      <c r="Q769" s="72"/>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hidden="1">
      <c r="A770" s="21" t="s">
        <v>292</v>
      </c>
      <c r="B770" s="7"/>
      <c r="C770" s="7"/>
      <c r="D770" s="143"/>
      <c r="E770" s="144"/>
      <c r="F770" s="144"/>
      <c r="G770" s="144">
        <v>1487</v>
      </c>
      <c r="H770" s="144"/>
      <c r="I770" s="144"/>
      <c r="J770" s="14">
        <f t="shared" si="52"/>
        <v>0</v>
      </c>
      <c r="K770" s="144"/>
      <c r="L770" s="144"/>
      <c r="M770" s="144"/>
      <c r="N770" s="144"/>
      <c r="O770" s="144"/>
      <c r="P770" s="144"/>
      <c r="Q770" s="72"/>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3"/>
      <c r="E771" s="144"/>
      <c r="F771" s="144"/>
      <c r="G771" s="14"/>
      <c r="H771" s="14"/>
      <c r="I771" s="14"/>
      <c r="J771" s="14"/>
      <c r="K771" s="14"/>
      <c r="L771" s="14"/>
      <c r="M771" s="14"/>
      <c r="N771" s="14"/>
      <c r="O771" s="14"/>
      <c r="P771" s="14"/>
      <c r="Q771" s="72"/>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c r="A772" s="21" t="s">
        <v>335</v>
      </c>
      <c r="B772" s="7"/>
      <c r="C772" s="7"/>
      <c r="D772" s="143"/>
      <c r="E772" s="144"/>
      <c r="F772" s="144"/>
      <c r="G772" s="14"/>
      <c r="H772" s="14">
        <v>1473000</v>
      </c>
      <c r="I772" s="14"/>
      <c r="J772" s="14">
        <f t="shared" si="52"/>
        <v>1473000</v>
      </c>
      <c r="K772" s="14"/>
      <c r="L772" s="14"/>
      <c r="M772" s="14"/>
      <c r="N772" s="14"/>
      <c r="O772" s="14">
        <f>O766/O769</f>
        <v>3193750</v>
      </c>
      <c r="P772" s="14">
        <f>O772</f>
        <v>3193750</v>
      </c>
      <c r="Q772" s="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2">
      <c r="A773" s="107" t="s">
        <v>454</v>
      </c>
      <c r="B773" s="76"/>
      <c r="C773" s="76"/>
      <c r="D773" s="186"/>
      <c r="E773" s="186"/>
      <c r="F773" s="186"/>
      <c r="G773" s="77"/>
      <c r="H773" s="88">
        <f>H775</f>
        <v>-2804000</v>
      </c>
      <c r="I773" s="88"/>
      <c r="J773" s="88">
        <f>H773</f>
        <v>-2804000</v>
      </c>
      <c r="K773" s="88"/>
      <c r="L773" s="88"/>
      <c r="M773" s="88"/>
      <c r="N773" s="88"/>
      <c r="O773" s="88">
        <f>O775</f>
        <v>-2104092</v>
      </c>
      <c r="P773" s="88">
        <f>O773</f>
        <v>-2104092</v>
      </c>
      <c r="Q773" s="72"/>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7.25" customHeight="1">
      <c r="A774" s="21" t="s">
        <v>430</v>
      </c>
      <c r="B774" s="7"/>
      <c r="C774" s="7"/>
      <c r="D774" s="143"/>
      <c r="E774" s="144"/>
      <c r="F774" s="144"/>
      <c r="G774" s="14"/>
      <c r="H774" s="14"/>
      <c r="I774" s="14"/>
      <c r="J774" s="14"/>
      <c r="K774" s="14"/>
      <c r="L774" s="14"/>
      <c r="M774" s="14"/>
      <c r="N774" s="14"/>
      <c r="O774" s="14"/>
      <c r="P774" s="14"/>
      <c r="Q774" s="72"/>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81" t="s">
        <v>431</v>
      </c>
      <c r="B775" s="76"/>
      <c r="C775" s="76"/>
      <c r="D775" s="186"/>
      <c r="E775" s="186"/>
      <c r="F775" s="186"/>
      <c r="G775" s="77"/>
      <c r="H775" s="88">
        <f>H777</f>
        <v>-2804000</v>
      </c>
      <c r="I775" s="88"/>
      <c r="J775" s="88">
        <f>H775</f>
        <v>-2804000</v>
      </c>
      <c r="K775" s="88"/>
      <c r="L775" s="88"/>
      <c r="M775" s="88"/>
      <c r="N775" s="88"/>
      <c r="O775" s="88">
        <f>O777</f>
        <v>-2104092</v>
      </c>
      <c r="P775" s="88">
        <f>O775</f>
        <v>-2104092</v>
      </c>
      <c r="Q775" s="72"/>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4</v>
      </c>
      <c r="B776" s="7"/>
      <c r="C776" s="7"/>
      <c r="D776" s="143"/>
      <c r="E776" s="144"/>
      <c r="F776" s="144"/>
      <c r="G776" s="14"/>
      <c r="H776" s="14"/>
      <c r="I776" s="14"/>
      <c r="J776" s="14"/>
      <c r="K776" s="14"/>
      <c r="L776" s="14"/>
      <c r="M776" s="14"/>
      <c r="N776" s="14"/>
      <c r="O776" s="14"/>
      <c r="P776" s="14"/>
      <c r="Q776" s="72"/>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c r="A777" s="21" t="s">
        <v>434</v>
      </c>
      <c r="B777" s="7"/>
      <c r="C777" s="7"/>
      <c r="D777" s="143"/>
      <c r="E777" s="144"/>
      <c r="F777" s="144"/>
      <c r="G777" s="14"/>
      <c r="H777" s="14">
        <v>-2804000</v>
      </c>
      <c r="I777" s="14"/>
      <c r="J777" s="14">
        <f>H777</f>
        <v>-2804000</v>
      </c>
      <c r="K777" s="14"/>
      <c r="L777" s="14"/>
      <c r="M777" s="14"/>
      <c r="N777" s="14"/>
      <c r="O777" s="14">
        <v>-2104092</v>
      </c>
      <c r="P777" s="14">
        <f>O777</f>
        <v>-2104092</v>
      </c>
      <c r="Q777" s="72"/>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c r="A778" s="20" t="s">
        <v>5</v>
      </c>
      <c r="B778" s="7"/>
      <c r="C778" s="7"/>
      <c r="D778" s="143"/>
      <c r="E778" s="144"/>
      <c r="F778" s="144"/>
      <c r="G778" s="14"/>
      <c r="H778" s="14"/>
      <c r="I778" s="14"/>
      <c r="J778" s="14"/>
      <c r="K778" s="14"/>
      <c r="L778" s="14"/>
      <c r="M778" s="14"/>
      <c r="N778" s="14"/>
      <c r="O778" s="14"/>
      <c r="P778" s="14"/>
      <c r="Q778" s="72"/>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22.5">
      <c r="A779" s="21" t="s">
        <v>432</v>
      </c>
      <c r="B779" s="7"/>
      <c r="C779" s="7"/>
      <c r="D779" s="143"/>
      <c r="E779" s="144"/>
      <c r="F779" s="144"/>
      <c r="G779" s="14"/>
      <c r="H779" s="181">
        <v>3</v>
      </c>
      <c r="I779" s="14"/>
      <c r="J779" s="181">
        <f>H779</f>
        <v>3</v>
      </c>
      <c r="K779" s="14"/>
      <c r="L779" s="14"/>
      <c r="M779" s="14"/>
      <c r="N779" s="14"/>
      <c r="O779" s="181">
        <v>2</v>
      </c>
      <c r="P779" s="181">
        <v>2</v>
      </c>
      <c r="Q779" s="72"/>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c r="A780" s="20" t="s">
        <v>7</v>
      </c>
      <c r="B780" s="7"/>
      <c r="C780" s="7"/>
      <c r="D780" s="143"/>
      <c r="E780" s="144"/>
      <c r="F780" s="144"/>
      <c r="G780" s="14"/>
      <c r="H780" s="14"/>
      <c r="I780" s="14"/>
      <c r="J780" s="14"/>
      <c r="K780" s="14"/>
      <c r="L780" s="14"/>
      <c r="M780" s="14"/>
      <c r="N780" s="14"/>
      <c r="O780" s="14"/>
      <c r="P780" s="14"/>
      <c r="Q780" s="72"/>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22.5" hidden="1">
      <c r="A781" s="185" t="s">
        <v>335</v>
      </c>
      <c r="B781" s="52"/>
      <c r="C781" s="52"/>
      <c r="D781" s="71"/>
      <c r="E781" s="71"/>
      <c r="F781" s="71"/>
      <c r="G781" s="71"/>
      <c r="H781" s="71"/>
      <c r="I781" s="71"/>
      <c r="J781" s="71"/>
      <c r="K781" s="71"/>
      <c r="L781" s="71"/>
      <c r="M781" s="71"/>
      <c r="N781" s="71"/>
      <c r="O781" s="71"/>
      <c r="P781" s="71"/>
      <c r="Q781" s="72"/>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0"/>
      <c r="B782" s="52"/>
      <c r="C782" s="52"/>
      <c r="D782" s="71"/>
      <c r="E782" s="71"/>
      <c r="F782" s="71"/>
      <c r="G782" s="71"/>
      <c r="H782" s="71"/>
      <c r="I782" s="71"/>
      <c r="J782" s="71"/>
      <c r="K782" s="71"/>
      <c r="L782" s="71"/>
      <c r="M782" s="71"/>
      <c r="N782" s="71"/>
      <c r="O782" s="71"/>
      <c r="P782" s="71"/>
      <c r="Q782" s="7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0"/>
      <c r="B783" s="52"/>
      <c r="C783" s="52"/>
      <c r="D783" s="71"/>
      <c r="E783" s="71"/>
      <c r="F783" s="71"/>
      <c r="G783" s="71"/>
      <c r="H783" s="71"/>
      <c r="I783" s="71"/>
      <c r="J783" s="71"/>
      <c r="K783" s="71"/>
      <c r="L783" s="71"/>
      <c r="M783" s="71"/>
      <c r="N783" s="71"/>
      <c r="O783" s="71"/>
      <c r="P783" s="71"/>
      <c r="Q783" s="72"/>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0"/>
      <c r="B784" s="52"/>
      <c r="C784" s="52"/>
      <c r="D784" s="71"/>
      <c r="E784" s="71"/>
      <c r="F784" s="71"/>
      <c r="G784" s="71"/>
      <c r="H784" s="71"/>
      <c r="I784" s="71"/>
      <c r="J784" s="71"/>
      <c r="K784" s="71"/>
      <c r="L784" s="71"/>
      <c r="M784" s="71"/>
      <c r="N784" s="71"/>
      <c r="O784" s="71"/>
      <c r="P784" s="71"/>
      <c r="Q784" s="72"/>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0"/>
      <c r="B785" s="52"/>
      <c r="C785" s="52"/>
      <c r="D785" s="71"/>
      <c r="E785" s="71"/>
      <c r="F785" s="71"/>
      <c r="G785" s="71"/>
      <c r="H785" s="71"/>
      <c r="I785" s="71"/>
      <c r="J785" s="71"/>
      <c r="K785" s="71"/>
      <c r="L785" s="71"/>
      <c r="M785" s="71"/>
      <c r="N785" s="71"/>
      <c r="O785" s="71"/>
      <c r="P785" s="71"/>
      <c r="Q785" s="72"/>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0"/>
      <c r="B786" s="52"/>
      <c r="C786" s="52"/>
      <c r="D786" s="71"/>
      <c r="E786" s="71"/>
      <c r="F786" s="71"/>
      <c r="G786" s="71"/>
      <c r="H786" s="71"/>
      <c r="I786" s="71"/>
      <c r="J786" s="71"/>
      <c r="K786" s="71"/>
      <c r="L786" s="71"/>
      <c r="M786" s="71"/>
      <c r="N786" s="71"/>
      <c r="O786" s="71"/>
      <c r="P786" s="71"/>
      <c r="Q786" s="72"/>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0"/>
      <c r="B787" s="52"/>
      <c r="C787" s="52"/>
      <c r="D787" s="71"/>
      <c r="E787" s="71"/>
      <c r="F787" s="71"/>
      <c r="G787" s="71"/>
      <c r="H787" s="71"/>
      <c r="I787" s="71"/>
      <c r="J787" s="71"/>
      <c r="K787" s="71"/>
      <c r="L787" s="71"/>
      <c r="M787" s="71"/>
      <c r="N787" s="71"/>
      <c r="O787" s="71"/>
      <c r="P787" s="71"/>
      <c r="Q787" s="72"/>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0"/>
      <c r="B788" s="52"/>
      <c r="C788" s="52"/>
      <c r="D788" s="71"/>
      <c r="E788" s="71"/>
      <c r="F788" s="71"/>
      <c r="G788" s="71"/>
      <c r="H788" s="71"/>
      <c r="I788" s="71"/>
      <c r="J788" s="71"/>
      <c r="K788" s="71"/>
      <c r="L788" s="71"/>
      <c r="M788" s="71"/>
      <c r="N788" s="71"/>
      <c r="O788" s="71"/>
      <c r="P788" s="71"/>
      <c r="Q788" s="72"/>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0"/>
      <c r="B789" s="52"/>
      <c r="C789" s="52"/>
      <c r="D789" s="71"/>
      <c r="E789" s="71"/>
      <c r="F789" s="71"/>
      <c r="G789" s="71"/>
      <c r="H789" s="71"/>
      <c r="I789" s="71"/>
      <c r="J789" s="71"/>
      <c r="K789" s="71"/>
      <c r="L789" s="71"/>
      <c r="M789" s="71"/>
      <c r="N789" s="71"/>
      <c r="O789" s="71"/>
      <c r="P789" s="71"/>
      <c r="Q789" s="72"/>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0.5" customHeight="1" hidden="1">
      <c r="A790" s="70"/>
      <c r="B790" s="52"/>
      <c r="C790" s="52"/>
      <c r="D790" s="146"/>
      <c r="E790" s="147"/>
      <c r="F790" s="147"/>
      <c r="G790" s="71"/>
      <c r="H790" s="71"/>
      <c r="I790" s="71"/>
      <c r="J790" s="71"/>
      <c r="K790" s="71"/>
      <c r="L790" s="71"/>
      <c r="M790" s="71"/>
      <c r="N790" s="71"/>
      <c r="O790" s="71"/>
      <c r="P790" s="71"/>
      <c r="Q790" s="72"/>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0"/>
      <c r="B791" s="52"/>
      <c r="C791" s="52"/>
      <c r="D791" s="146"/>
      <c r="E791" s="147"/>
      <c r="F791" s="147"/>
      <c r="G791" s="71"/>
      <c r="H791" s="71"/>
      <c r="I791" s="71"/>
      <c r="J791" s="71"/>
      <c r="K791" s="71"/>
      <c r="L791" s="71"/>
      <c r="M791" s="71"/>
      <c r="N791" s="71"/>
      <c r="O791" s="71"/>
      <c r="P791" s="71"/>
      <c r="Q791" s="72"/>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0"/>
      <c r="B792" s="52"/>
      <c r="C792" s="52"/>
      <c r="D792" s="146"/>
      <c r="E792" s="147"/>
      <c r="F792" s="147"/>
      <c r="G792" s="71"/>
      <c r="H792" s="71"/>
      <c r="I792" s="71"/>
      <c r="J792" s="71"/>
      <c r="K792" s="71"/>
      <c r="L792" s="71"/>
      <c r="M792" s="71"/>
      <c r="N792" s="71"/>
      <c r="O792" s="71"/>
      <c r="P792" s="71"/>
      <c r="Q792" s="7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0"/>
      <c r="B793" s="52"/>
      <c r="C793" s="52"/>
      <c r="D793" s="146"/>
      <c r="E793" s="147"/>
      <c r="F793" s="147"/>
      <c r="G793" s="71"/>
      <c r="H793" s="71"/>
      <c r="I793" s="71"/>
      <c r="J793" s="71"/>
      <c r="K793" s="71"/>
      <c r="L793" s="71"/>
      <c r="M793" s="71"/>
      <c r="N793" s="71"/>
      <c r="O793" s="71"/>
      <c r="P793" s="71"/>
      <c r="Q793" s="72"/>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0"/>
      <c r="B794" s="52"/>
      <c r="C794" s="52"/>
      <c r="D794" s="146"/>
      <c r="E794" s="147"/>
      <c r="F794" s="147"/>
      <c r="G794" s="71"/>
      <c r="H794" s="71"/>
      <c r="I794" s="71"/>
      <c r="J794" s="71"/>
      <c r="K794" s="71"/>
      <c r="L794" s="71"/>
      <c r="M794" s="71"/>
      <c r="N794" s="71"/>
      <c r="O794" s="71"/>
      <c r="P794" s="71"/>
      <c r="Q794" s="72"/>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0"/>
      <c r="B795" s="52"/>
      <c r="C795" s="52"/>
      <c r="D795" s="146"/>
      <c r="E795" s="147"/>
      <c r="F795" s="147"/>
      <c r="G795" s="71"/>
      <c r="H795" s="71"/>
      <c r="I795" s="71"/>
      <c r="J795" s="71"/>
      <c r="K795" s="71"/>
      <c r="L795" s="71"/>
      <c r="M795" s="71"/>
      <c r="N795" s="71"/>
      <c r="O795" s="71"/>
      <c r="P795" s="71"/>
      <c r="Q795" s="72"/>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0"/>
      <c r="B796" s="52"/>
      <c r="C796" s="52"/>
      <c r="D796" s="146"/>
      <c r="E796" s="147"/>
      <c r="F796" s="147"/>
      <c r="G796" s="71"/>
      <c r="H796" s="71"/>
      <c r="I796" s="71"/>
      <c r="J796" s="71"/>
      <c r="K796" s="71"/>
      <c r="L796" s="71"/>
      <c r="M796" s="71"/>
      <c r="N796" s="71"/>
      <c r="O796" s="71"/>
      <c r="P796" s="71"/>
      <c r="Q796" s="72"/>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0"/>
      <c r="B797" s="52"/>
      <c r="C797" s="52"/>
      <c r="D797" s="146"/>
      <c r="E797" s="147"/>
      <c r="F797" s="147"/>
      <c r="G797" s="71"/>
      <c r="H797" s="71"/>
      <c r="I797" s="71"/>
      <c r="J797" s="71"/>
      <c r="K797" s="71"/>
      <c r="L797" s="71"/>
      <c r="M797" s="71"/>
      <c r="N797" s="71"/>
      <c r="O797" s="71"/>
      <c r="P797" s="71"/>
      <c r="Q797" s="72"/>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1.25" hidden="1">
      <c r="A798" s="70"/>
      <c r="B798" s="52"/>
      <c r="C798" s="52"/>
      <c r="D798" s="146"/>
      <c r="E798" s="147"/>
      <c r="F798" s="147"/>
      <c r="G798" s="71"/>
      <c r="H798" s="71"/>
      <c r="I798" s="71"/>
      <c r="J798" s="71"/>
      <c r="K798" s="71"/>
      <c r="L798" s="71"/>
      <c r="M798" s="71"/>
      <c r="N798" s="71"/>
      <c r="O798" s="71"/>
      <c r="P798" s="71"/>
      <c r="Q798" s="72"/>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2" customHeight="1" hidden="1">
      <c r="A799" s="70"/>
      <c r="B799" s="52"/>
      <c r="C799" s="52"/>
      <c r="D799" s="146"/>
      <c r="E799" s="147"/>
      <c r="F799" s="147"/>
      <c r="G799" s="71"/>
      <c r="H799" s="71"/>
      <c r="I799" s="71"/>
      <c r="J799" s="71"/>
      <c r="K799" s="71"/>
      <c r="L799" s="71"/>
      <c r="M799" s="71"/>
      <c r="N799" s="71"/>
      <c r="O799" s="71"/>
      <c r="P799" s="71"/>
      <c r="Q799" s="72"/>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11.25" hidden="1">
      <c r="A800" s="70"/>
      <c r="B800" s="52"/>
      <c r="C800" s="52"/>
      <c r="D800" s="146"/>
      <c r="E800" s="147"/>
      <c r="F800" s="147"/>
      <c r="G800" s="71"/>
      <c r="H800" s="71"/>
      <c r="I800" s="71"/>
      <c r="J800" s="71"/>
      <c r="K800" s="71"/>
      <c r="L800" s="71"/>
      <c r="M800" s="71"/>
      <c r="N800" s="71"/>
      <c r="O800" s="71"/>
      <c r="P800" s="71"/>
      <c r="Q800" s="72"/>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hidden="1">
      <c r="A801" s="65"/>
      <c r="B801" s="65"/>
      <c r="C801" s="65"/>
      <c r="D801" s="150"/>
      <c r="E801" s="151"/>
      <c r="F801" s="151"/>
      <c r="G801" s="151"/>
      <c r="H801" s="151"/>
      <c r="I801" s="151"/>
      <c r="J801" s="152"/>
      <c r="K801" s="152"/>
      <c r="L801" s="152"/>
      <c r="M801" s="152"/>
      <c r="N801" s="152"/>
      <c r="O801" s="152"/>
      <c r="P801" s="152"/>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9.25" customHeight="1">
      <c r="A802" s="21" t="s">
        <v>433</v>
      </c>
      <c r="B802" s="187"/>
      <c r="C802" s="187"/>
      <c r="D802" s="188"/>
      <c r="E802" s="189"/>
      <c r="F802" s="189"/>
      <c r="G802" s="189"/>
      <c r="H802" s="14">
        <f>H777/H779</f>
        <v>-934666.6666666666</v>
      </c>
      <c r="I802" s="189"/>
      <c r="J802" s="17">
        <f>H802</f>
        <v>-934666.6666666666</v>
      </c>
      <c r="K802" s="190"/>
      <c r="L802" s="190"/>
      <c r="M802" s="190"/>
      <c r="N802" s="190"/>
      <c r="O802" s="17">
        <f>O777/O779</f>
        <v>-1052046</v>
      </c>
      <c r="P802" s="17">
        <f>P777/P779</f>
        <v>-1052046</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70"/>
      <c r="B803" s="65"/>
      <c r="C803" s="65"/>
      <c r="D803" s="150"/>
      <c r="E803" s="191"/>
      <c r="F803" s="191"/>
      <c r="G803" s="191"/>
      <c r="H803" s="71"/>
      <c r="I803" s="191"/>
      <c r="J803" s="192"/>
      <c r="K803" s="152"/>
      <c r="L803" s="152"/>
      <c r="M803" s="152"/>
      <c r="N803" s="152"/>
      <c r="O803" s="192"/>
      <c r="P803" s="192"/>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1.75" customHeight="1">
      <c r="A804" s="65"/>
      <c r="B804" s="65"/>
      <c r="C804" s="65"/>
      <c r="D804" s="150"/>
      <c r="E804" s="151"/>
      <c r="F804" s="151"/>
      <c r="G804" s="151"/>
      <c r="H804" s="151"/>
      <c r="I804" s="151"/>
      <c r="J804" s="152"/>
      <c r="K804" s="152"/>
      <c r="L804" s="152"/>
      <c r="M804" s="152"/>
      <c r="N804" s="152"/>
      <c r="O804" s="152"/>
      <c r="P804" s="152"/>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4.75" customHeight="1">
      <c r="A805" s="65"/>
      <c r="B805" s="65"/>
      <c r="C805" s="65"/>
      <c r="D805" s="150"/>
      <c r="E805" s="151"/>
      <c r="F805" s="151"/>
      <c r="G805" s="151"/>
      <c r="H805" s="151"/>
      <c r="I805" s="151"/>
      <c r="J805" s="152"/>
      <c r="K805" s="152"/>
      <c r="L805" s="152"/>
      <c r="M805" s="152"/>
      <c r="N805" s="152"/>
      <c r="O805" s="152"/>
      <c r="P805" s="152"/>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1.75" customHeight="1">
      <c r="A806" s="65"/>
      <c r="B806" s="65"/>
      <c r="C806" s="65"/>
      <c r="D806" s="150"/>
      <c r="E806" s="151"/>
      <c r="F806" s="151"/>
      <c r="G806" s="151"/>
      <c r="H806" s="151"/>
      <c r="I806" s="151"/>
      <c r="J806" s="152"/>
      <c r="K806" s="152"/>
      <c r="L806" s="152"/>
      <c r="M806" s="152"/>
      <c r="N806" s="152"/>
      <c r="O806" s="152"/>
      <c r="P806" s="152"/>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221" t="s">
        <v>398</v>
      </c>
      <c r="B807" s="221"/>
      <c r="C807" s="221"/>
      <c r="D807" s="153"/>
      <c r="E807" s="153"/>
      <c r="F807" s="154"/>
      <c r="G807" s="155"/>
      <c r="H807" s="155"/>
      <c r="I807" s="155"/>
      <c r="J807" s="156"/>
      <c r="K807" s="156"/>
      <c r="L807" s="156"/>
      <c r="M807" s="156"/>
      <c r="N807" s="155"/>
      <c r="O807" s="205" t="s">
        <v>231</v>
      </c>
      <c r="P807" s="205"/>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20.25" customHeight="1">
      <c r="A808" s="93"/>
      <c r="B808" s="93"/>
      <c r="C808" s="93"/>
      <c r="D808" s="153"/>
      <c r="E808" s="153"/>
      <c r="F808" s="154"/>
      <c r="G808" s="155"/>
      <c r="H808" s="155"/>
      <c r="I808" s="155"/>
      <c r="J808" s="156"/>
      <c r="K808" s="156"/>
      <c r="L808" s="156"/>
      <c r="M808" s="156"/>
      <c r="N808" s="155"/>
      <c r="O808" s="157"/>
      <c r="P808" s="157"/>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2.75" customHeight="1">
      <c r="A809" s="93"/>
      <c r="B809" s="93"/>
      <c r="C809" s="93"/>
      <c r="D809" s="153"/>
      <c r="E809" s="153"/>
      <c r="F809" s="154"/>
      <c r="G809" s="155"/>
      <c r="H809" s="155"/>
      <c r="I809" s="155"/>
      <c r="J809" s="156"/>
      <c r="K809" s="156"/>
      <c r="L809" s="156"/>
      <c r="M809" s="156"/>
      <c r="N809" s="155"/>
      <c r="O809" s="157"/>
      <c r="P809" s="157"/>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18.75" customHeight="1">
      <c r="A810" s="220" t="s">
        <v>259</v>
      </c>
      <c r="B810" s="220"/>
      <c r="C810" s="66"/>
      <c r="D810" s="158"/>
      <c r="E810" s="153"/>
      <c r="F810" s="155"/>
      <c r="G810" s="153"/>
      <c r="H810" s="153"/>
      <c r="I810" s="153"/>
      <c r="J810" s="159"/>
      <c r="K810" s="159"/>
      <c r="L810" s="159"/>
      <c r="M810" s="159"/>
      <c r="N810" s="159"/>
      <c r="O810" s="159"/>
      <c r="P810" s="159"/>
      <c r="Q810" s="67"/>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7.75" customHeight="1">
      <c r="A811" s="47" t="s">
        <v>232</v>
      </c>
      <c r="B811" s="47"/>
      <c r="C811" s="223"/>
      <c r="D811" s="155"/>
      <c r="E811" s="155"/>
      <c r="F811" s="155"/>
      <c r="G811" s="155"/>
      <c r="H811" s="155"/>
      <c r="I811" s="155"/>
      <c r="J811" s="155"/>
      <c r="K811" s="155"/>
      <c r="L811" s="155"/>
      <c r="M811" s="155"/>
      <c r="N811" s="155"/>
      <c r="O811" s="155"/>
      <c r="P811" s="155"/>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8.5" customHeight="1">
      <c r="A812" s="28"/>
      <c r="B812" s="29"/>
      <c r="C812" s="24"/>
      <c r="D812" s="160"/>
      <c r="E812" s="160"/>
      <c r="F812" s="155"/>
      <c r="G812" s="155"/>
      <c r="H812" s="155"/>
      <c r="I812" s="155"/>
      <c r="J812" s="155"/>
      <c r="K812" s="155"/>
      <c r="L812" s="155"/>
      <c r="M812" s="155"/>
      <c r="N812" s="155"/>
      <c r="O812" s="155"/>
      <c r="P812" s="155"/>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1"/>
      <c r="E813" s="161"/>
      <c r="F813" s="161"/>
      <c r="G813" s="161"/>
      <c r="H813" s="161"/>
      <c r="I813" s="161"/>
      <c r="J813" s="161"/>
      <c r="K813" s="162"/>
      <c r="L813" s="162"/>
      <c r="M813" s="162"/>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1"/>
      <c r="E814" s="161"/>
      <c r="F814" s="161"/>
      <c r="G814" s="161"/>
      <c r="H814" s="161"/>
      <c r="I814" s="161"/>
      <c r="J814" s="161"/>
      <c r="K814" s="162"/>
      <c r="L814" s="162"/>
      <c r="M814" s="162"/>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1"/>
      <c r="E815" s="161"/>
      <c r="F815" s="161"/>
      <c r="G815" s="161"/>
      <c r="H815" s="161"/>
      <c r="I815" s="161"/>
      <c r="J815" s="161"/>
      <c r="K815" s="162"/>
      <c r="L815" s="162"/>
      <c r="M815" s="162"/>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4"/>
      <c r="B816" s="4"/>
      <c r="C816" s="4"/>
      <c r="D816" s="161"/>
      <c r="E816" s="161"/>
      <c r="F816" s="161"/>
      <c r="G816" s="161"/>
      <c r="H816" s="161"/>
      <c r="I816" s="161"/>
      <c r="J816" s="161"/>
      <c r="K816" s="162"/>
      <c r="L816" s="162"/>
      <c r="M816" s="162"/>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2"/>
      <c r="E817" s="162"/>
      <c r="F817" s="162"/>
      <c r="G817" s="162"/>
      <c r="H817" s="162"/>
      <c r="I817" s="162"/>
      <c r="J817" s="162"/>
      <c r="K817" s="162"/>
      <c r="L817" s="162"/>
      <c r="M817" s="162"/>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2"/>
      <c r="E818" s="162"/>
      <c r="F818" s="162"/>
      <c r="G818" s="162"/>
      <c r="H818" s="162"/>
      <c r="I818" s="162"/>
      <c r="J818" s="162"/>
      <c r="K818" s="162"/>
      <c r="L818" s="162"/>
      <c r="M818" s="162"/>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2"/>
      <c r="E819" s="162"/>
      <c r="F819" s="162"/>
      <c r="G819" s="162"/>
      <c r="H819" s="162"/>
      <c r="I819" s="162"/>
      <c r="J819" s="162"/>
      <c r="K819" s="162"/>
      <c r="L819" s="162"/>
      <c r="M819" s="162"/>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2"/>
      <c r="E820" s="162"/>
      <c r="F820" s="162"/>
      <c r="G820" s="162"/>
      <c r="H820" s="162"/>
      <c r="I820" s="162"/>
      <c r="J820" s="162"/>
      <c r="K820" s="162"/>
      <c r="L820" s="162"/>
      <c r="M820" s="162"/>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2"/>
      <c r="E821" s="162"/>
      <c r="F821" s="162"/>
      <c r="G821" s="162"/>
      <c r="H821" s="162"/>
      <c r="I821" s="162"/>
      <c r="J821" s="162"/>
      <c r="K821" s="162"/>
      <c r="L821" s="162"/>
      <c r="M821" s="162"/>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2"/>
      <c r="E822" s="162"/>
      <c r="F822" s="162"/>
      <c r="G822" s="162"/>
      <c r="H822" s="162"/>
      <c r="I822" s="162"/>
      <c r="J822" s="162"/>
      <c r="K822" s="162"/>
      <c r="L822" s="162"/>
      <c r="M822" s="16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2"/>
      <c r="E823" s="162"/>
      <c r="F823" s="162"/>
      <c r="G823" s="162"/>
      <c r="H823" s="162"/>
      <c r="I823" s="162"/>
      <c r="J823" s="162"/>
      <c r="K823" s="162"/>
      <c r="L823" s="162"/>
      <c r="M823" s="162"/>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2"/>
      <c r="E824" s="162"/>
      <c r="F824" s="162"/>
      <c r="G824" s="162"/>
      <c r="H824" s="162"/>
      <c r="I824" s="162"/>
      <c r="J824" s="162"/>
      <c r="K824" s="162"/>
      <c r="L824" s="162"/>
      <c r="M824" s="162"/>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2"/>
      <c r="E825" s="162"/>
      <c r="F825" s="162"/>
      <c r="G825" s="162"/>
      <c r="H825" s="162"/>
      <c r="I825" s="162"/>
      <c r="J825" s="162"/>
      <c r="K825" s="162"/>
      <c r="L825" s="162"/>
      <c r="M825" s="162"/>
      <c r="N825" s="155"/>
      <c r="O825" s="155"/>
      <c r="P825" s="15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2"/>
      <c r="E826" s="162"/>
      <c r="F826" s="162"/>
      <c r="G826" s="162"/>
      <c r="H826" s="162"/>
      <c r="I826" s="162"/>
      <c r="J826" s="162"/>
      <c r="K826" s="162"/>
      <c r="L826" s="162"/>
      <c r="M826" s="162"/>
      <c r="N826" s="155"/>
      <c r="O826" s="155"/>
      <c r="P826" s="155"/>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2"/>
      <c r="E827" s="162"/>
      <c r="F827" s="162"/>
      <c r="G827" s="162"/>
      <c r="H827" s="162"/>
      <c r="I827" s="162"/>
      <c r="J827" s="162"/>
      <c r="K827" s="162"/>
      <c r="L827" s="162"/>
      <c r="M827" s="162"/>
      <c r="N827" s="155"/>
      <c r="O827" s="155"/>
      <c r="P827" s="155"/>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2"/>
      <c r="E828" s="162"/>
      <c r="F828" s="162"/>
      <c r="G828" s="162"/>
      <c r="H828" s="162"/>
      <c r="I828" s="162"/>
      <c r="J828" s="162"/>
      <c r="K828" s="162"/>
      <c r="L828" s="162"/>
      <c r="M828" s="162"/>
      <c r="N828" s="155"/>
      <c r="O828" s="155"/>
      <c r="P828" s="155"/>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2"/>
      <c r="E829" s="162"/>
      <c r="F829" s="162"/>
      <c r="G829" s="162"/>
      <c r="H829" s="162"/>
      <c r="I829" s="162"/>
      <c r="J829" s="162"/>
      <c r="K829" s="162"/>
      <c r="L829" s="162"/>
      <c r="M829" s="162"/>
      <c r="N829" s="155"/>
      <c r="O829" s="155"/>
      <c r="P829" s="155"/>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2"/>
      <c r="E830" s="162"/>
      <c r="F830" s="162"/>
      <c r="G830" s="162"/>
      <c r="H830" s="162"/>
      <c r="I830" s="162"/>
      <c r="J830" s="162"/>
      <c r="K830" s="162"/>
      <c r="L830" s="162"/>
      <c r="M830" s="162"/>
      <c r="N830" s="155"/>
      <c r="O830" s="155"/>
      <c r="P830" s="155"/>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2"/>
      <c r="E831" s="162"/>
      <c r="F831" s="162"/>
      <c r="G831" s="162"/>
      <c r="H831" s="162"/>
      <c r="I831" s="162"/>
      <c r="J831" s="162"/>
      <c r="K831" s="162"/>
      <c r="L831" s="162"/>
      <c r="M831" s="162"/>
      <c r="N831" s="155"/>
      <c r="O831" s="155"/>
      <c r="P831" s="155"/>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2"/>
      <c r="E832" s="162"/>
      <c r="F832" s="162"/>
      <c r="G832" s="162"/>
      <c r="H832" s="162"/>
      <c r="I832" s="162"/>
      <c r="J832" s="162"/>
      <c r="K832" s="162"/>
      <c r="L832" s="162"/>
      <c r="M832" s="162"/>
      <c r="N832" s="155"/>
      <c r="O832" s="155"/>
      <c r="P832" s="155"/>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2"/>
      <c r="E833" s="162"/>
      <c r="F833" s="162"/>
      <c r="G833" s="162"/>
      <c r="H833" s="162"/>
      <c r="I833" s="162"/>
      <c r="J833" s="162"/>
      <c r="K833" s="162"/>
      <c r="L833" s="162"/>
      <c r="M833" s="162"/>
      <c r="N833" s="155"/>
      <c r="O833" s="155"/>
      <c r="P833" s="155"/>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2"/>
      <c r="E834" s="162"/>
      <c r="F834" s="162"/>
      <c r="G834" s="162"/>
      <c r="H834" s="162"/>
      <c r="I834" s="162"/>
      <c r="J834" s="162"/>
      <c r="K834" s="162"/>
      <c r="L834" s="162"/>
      <c r="M834" s="162"/>
      <c r="N834" s="155"/>
      <c r="O834" s="155"/>
      <c r="P834" s="155"/>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2"/>
      <c r="E835" s="162"/>
      <c r="F835" s="162"/>
      <c r="G835" s="162"/>
      <c r="H835" s="162"/>
      <c r="I835" s="162"/>
      <c r="J835" s="162"/>
      <c r="K835" s="162"/>
      <c r="L835" s="162"/>
      <c r="M835" s="162"/>
      <c r="N835" s="155"/>
      <c r="O835" s="155"/>
      <c r="P835" s="15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2"/>
      <c r="E836" s="162"/>
      <c r="F836" s="162"/>
      <c r="G836" s="162"/>
      <c r="H836" s="162"/>
      <c r="I836" s="162"/>
      <c r="J836" s="162"/>
      <c r="K836" s="162"/>
      <c r="L836" s="162"/>
      <c r="M836" s="162"/>
      <c r="N836" s="155"/>
      <c r="O836" s="155"/>
      <c r="P836" s="155"/>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2"/>
      <c r="E837" s="162"/>
      <c r="F837" s="162"/>
      <c r="G837" s="162"/>
      <c r="H837" s="162"/>
      <c r="I837" s="162"/>
      <c r="J837" s="162"/>
      <c r="K837" s="162"/>
      <c r="L837" s="162"/>
      <c r="M837" s="162"/>
      <c r="N837" s="155"/>
      <c r="O837" s="155"/>
      <c r="P837" s="155"/>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2"/>
      <c r="E838" s="162"/>
      <c r="F838" s="162"/>
      <c r="G838" s="162"/>
      <c r="H838" s="162"/>
      <c r="I838" s="162"/>
      <c r="J838" s="162"/>
      <c r="K838" s="162"/>
      <c r="L838" s="162"/>
      <c r="M838" s="162"/>
      <c r="N838" s="155"/>
      <c r="O838" s="155"/>
      <c r="P838" s="155"/>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2"/>
      <c r="E839" s="162"/>
      <c r="F839" s="162"/>
      <c r="G839" s="162"/>
      <c r="H839" s="162"/>
      <c r="I839" s="162"/>
      <c r="J839" s="162"/>
      <c r="K839" s="162"/>
      <c r="L839" s="162"/>
      <c r="M839" s="162"/>
      <c r="N839" s="155"/>
      <c r="O839" s="155"/>
      <c r="P839" s="155"/>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2"/>
      <c r="E840" s="162"/>
      <c r="F840" s="162"/>
      <c r="G840" s="162"/>
      <c r="H840" s="162"/>
      <c r="I840" s="162"/>
      <c r="J840" s="162"/>
      <c r="K840" s="162"/>
      <c r="L840" s="162"/>
      <c r="M840" s="162"/>
      <c r="N840" s="155"/>
      <c r="O840" s="155"/>
      <c r="P840" s="155"/>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2"/>
      <c r="E841" s="162"/>
      <c r="F841" s="162"/>
      <c r="G841" s="162"/>
      <c r="H841" s="162"/>
      <c r="I841" s="162"/>
      <c r="J841" s="162"/>
      <c r="K841" s="162"/>
      <c r="L841" s="162"/>
      <c r="M841" s="162"/>
      <c r="N841" s="155"/>
      <c r="O841" s="155"/>
      <c r="P841" s="155"/>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2"/>
      <c r="E842" s="162"/>
      <c r="F842" s="162"/>
      <c r="G842" s="162"/>
      <c r="H842" s="162"/>
      <c r="I842" s="162"/>
      <c r="J842" s="162"/>
      <c r="K842" s="162"/>
      <c r="L842" s="162"/>
      <c r="M842" s="162"/>
      <c r="N842" s="155"/>
      <c r="O842" s="155"/>
      <c r="P842" s="155"/>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2"/>
      <c r="E843" s="162"/>
      <c r="F843" s="162"/>
      <c r="G843" s="162"/>
      <c r="H843" s="162"/>
      <c r="I843" s="162"/>
      <c r="J843" s="162"/>
      <c r="K843" s="162"/>
      <c r="L843" s="162"/>
      <c r="M843" s="162"/>
      <c r="N843" s="155"/>
      <c r="O843" s="155"/>
      <c r="P843" s="155"/>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2"/>
      <c r="E844" s="162"/>
      <c r="F844" s="162"/>
      <c r="G844" s="162"/>
      <c r="H844" s="162"/>
      <c r="I844" s="162"/>
      <c r="J844" s="162"/>
      <c r="K844" s="162"/>
      <c r="L844" s="162"/>
      <c r="M844" s="162"/>
      <c r="N844" s="155"/>
      <c r="O844" s="155"/>
      <c r="P844" s="155"/>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2"/>
      <c r="E845" s="162"/>
      <c r="F845" s="162"/>
      <c r="G845" s="162"/>
      <c r="H845" s="162"/>
      <c r="I845" s="162"/>
      <c r="J845" s="162"/>
      <c r="K845" s="162"/>
      <c r="L845" s="162"/>
      <c r="M845" s="162"/>
      <c r="N845" s="155"/>
      <c r="O845" s="155"/>
      <c r="P845" s="15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2"/>
      <c r="E846" s="162"/>
      <c r="F846" s="162"/>
      <c r="G846" s="162"/>
      <c r="H846" s="162"/>
      <c r="I846" s="162"/>
      <c r="J846" s="162"/>
      <c r="K846" s="162"/>
      <c r="L846" s="162"/>
      <c r="M846" s="162"/>
      <c r="N846" s="155"/>
      <c r="O846" s="155"/>
      <c r="P846" s="155"/>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2"/>
      <c r="E847" s="162"/>
      <c r="F847" s="162"/>
      <c r="G847" s="162"/>
      <c r="H847" s="162"/>
      <c r="I847" s="162"/>
      <c r="J847" s="162"/>
      <c r="K847" s="162"/>
      <c r="L847" s="162"/>
      <c r="M847" s="162"/>
      <c r="N847" s="155"/>
      <c r="O847" s="155"/>
      <c r="P847" s="155"/>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2"/>
      <c r="E848" s="162"/>
      <c r="F848" s="162"/>
      <c r="G848" s="162"/>
      <c r="H848" s="162"/>
      <c r="I848" s="162"/>
      <c r="J848" s="162"/>
      <c r="K848" s="162"/>
      <c r="L848" s="162"/>
      <c r="M848" s="162"/>
      <c r="N848" s="155"/>
      <c r="O848" s="155"/>
      <c r="P848" s="155"/>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2"/>
      <c r="E849" s="162"/>
      <c r="F849" s="162"/>
      <c r="G849" s="162"/>
      <c r="H849" s="162"/>
      <c r="I849" s="162"/>
      <c r="J849" s="162"/>
      <c r="K849" s="162"/>
      <c r="L849" s="162"/>
      <c r="M849" s="162"/>
      <c r="N849" s="155"/>
      <c r="O849" s="155"/>
      <c r="P849" s="155"/>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2"/>
      <c r="E850" s="162"/>
      <c r="F850" s="162"/>
      <c r="G850" s="162"/>
      <c r="H850" s="162"/>
      <c r="I850" s="162"/>
      <c r="J850" s="162"/>
      <c r="K850" s="162"/>
      <c r="L850" s="162"/>
      <c r="M850" s="162"/>
      <c r="N850" s="155"/>
      <c r="O850" s="155"/>
      <c r="P850" s="155"/>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2"/>
      <c r="E851" s="162"/>
      <c r="F851" s="162"/>
      <c r="G851" s="162"/>
      <c r="H851" s="162"/>
      <c r="I851" s="162"/>
      <c r="J851" s="162"/>
      <c r="K851" s="162"/>
      <c r="L851" s="162"/>
      <c r="M851" s="162"/>
      <c r="N851" s="155"/>
      <c r="O851" s="155"/>
      <c r="P851" s="155"/>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2"/>
      <c r="E852" s="162"/>
      <c r="F852" s="162"/>
      <c r="G852" s="162"/>
      <c r="H852" s="162"/>
      <c r="I852" s="162"/>
      <c r="J852" s="162"/>
      <c r="K852" s="162"/>
      <c r="L852" s="162"/>
      <c r="M852" s="162"/>
      <c r="N852" s="155"/>
      <c r="O852" s="155"/>
      <c r="P852" s="155"/>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2"/>
      <c r="E853" s="162"/>
      <c r="F853" s="162"/>
      <c r="G853" s="162"/>
      <c r="H853" s="162"/>
      <c r="I853" s="162"/>
      <c r="J853" s="162"/>
      <c r="K853" s="162"/>
      <c r="L853" s="162"/>
      <c r="M853" s="162"/>
      <c r="N853" s="155"/>
      <c r="O853" s="155"/>
      <c r="P853" s="155"/>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2"/>
      <c r="E854" s="162"/>
      <c r="F854" s="162"/>
      <c r="G854" s="162"/>
      <c r="H854" s="162"/>
      <c r="I854" s="162"/>
      <c r="J854" s="162"/>
      <c r="K854" s="162"/>
      <c r="L854" s="162"/>
      <c r="M854" s="162"/>
      <c r="N854" s="155"/>
      <c r="O854" s="155"/>
      <c r="P854" s="155"/>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2"/>
      <c r="E855" s="162"/>
      <c r="F855" s="162"/>
      <c r="G855" s="162"/>
      <c r="H855" s="162"/>
      <c r="I855" s="162"/>
      <c r="J855" s="162"/>
      <c r="K855" s="162"/>
      <c r="L855" s="162"/>
      <c r="M855" s="162"/>
      <c r="N855" s="155"/>
      <c r="O855" s="155"/>
      <c r="P855" s="1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2"/>
      <c r="E856" s="162"/>
      <c r="F856" s="162"/>
      <c r="G856" s="162"/>
      <c r="H856" s="162"/>
      <c r="I856" s="162"/>
      <c r="J856" s="162"/>
      <c r="K856" s="162"/>
      <c r="L856" s="162"/>
      <c r="M856" s="162"/>
      <c r="N856" s="155"/>
      <c r="O856" s="155"/>
      <c r="P856" s="155"/>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2"/>
      <c r="E857" s="162"/>
      <c r="F857" s="162"/>
      <c r="G857" s="162"/>
      <c r="H857" s="162"/>
      <c r="I857" s="162"/>
      <c r="J857" s="162"/>
      <c r="K857" s="162"/>
      <c r="L857" s="162"/>
      <c r="M857" s="162"/>
      <c r="N857" s="155"/>
      <c r="O857" s="155"/>
      <c r="P857" s="155"/>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2"/>
      <c r="E858" s="162"/>
      <c r="F858" s="162"/>
      <c r="G858" s="162"/>
      <c r="H858" s="162"/>
      <c r="I858" s="162"/>
      <c r="J858" s="162"/>
      <c r="K858" s="162"/>
      <c r="L858" s="162"/>
      <c r="M858" s="162"/>
      <c r="N858" s="155"/>
      <c r="O858" s="155"/>
      <c r="P858" s="155"/>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2"/>
      <c r="E859" s="162"/>
      <c r="F859" s="162"/>
      <c r="G859" s="162"/>
      <c r="H859" s="162"/>
      <c r="I859" s="162"/>
      <c r="J859" s="162"/>
      <c r="K859" s="162"/>
      <c r="L859" s="162"/>
      <c r="M859" s="162"/>
      <c r="N859" s="155"/>
      <c r="O859" s="155"/>
      <c r="P859" s="155"/>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2"/>
      <c r="E860" s="162"/>
      <c r="F860" s="162"/>
      <c r="G860" s="162"/>
      <c r="H860" s="162"/>
      <c r="I860" s="162"/>
      <c r="J860" s="162"/>
      <c r="K860" s="162"/>
      <c r="L860" s="162"/>
      <c r="M860" s="162"/>
      <c r="N860" s="155"/>
      <c r="O860" s="155"/>
      <c r="P860" s="155"/>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2"/>
      <c r="E861" s="162"/>
      <c r="F861" s="162"/>
      <c r="G861" s="162"/>
      <c r="H861" s="162"/>
      <c r="I861" s="162"/>
      <c r="J861" s="162"/>
      <c r="K861" s="162"/>
      <c r="L861" s="162"/>
      <c r="M861" s="162"/>
      <c r="N861" s="155"/>
      <c r="O861" s="155"/>
      <c r="P861" s="155"/>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2"/>
      <c r="E862" s="162"/>
      <c r="F862" s="162"/>
      <c r="G862" s="162"/>
      <c r="H862" s="162"/>
      <c r="I862" s="162"/>
      <c r="J862" s="162"/>
      <c r="K862" s="162"/>
      <c r="L862" s="162"/>
      <c r="M862" s="162"/>
      <c r="N862" s="155"/>
      <c r="O862" s="155"/>
      <c r="P862" s="155"/>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2"/>
      <c r="E863" s="162"/>
      <c r="F863" s="162"/>
      <c r="G863" s="162"/>
      <c r="H863" s="162"/>
      <c r="I863" s="162"/>
      <c r="J863" s="162"/>
      <c r="K863" s="162"/>
      <c r="L863" s="162"/>
      <c r="M863" s="162"/>
      <c r="N863" s="155"/>
      <c r="O863" s="155"/>
      <c r="P863" s="155"/>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2"/>
      <c r="E864" s="162"/>
      <c r="F864" s="162"/>
      <c r="G864" s="162"/>
      <c r="H864" s="162"/>
      <c r="I864" s="162"/>
      <c r="J864" s="162"/>
      <c r="K864" s="162"/>
      <c r="L864" s="162"/>
      <c r="M864" s="162"/>
      <c r="N864" s="155"/>
      <c r="O864" s="155"/>
      <c r="P864" s="155"/>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2"/>
      <c r="E865" s="162"/>
      <c r="F865" s="162"/>
      <c r="G865" s="162"/>
      <c r="H865" s="162"/>
      <c r="I865" s="162"/>
      <c r="J865" s="162"/>
      <c r="K865" s="162"/>
      <c r="L865" s="162"/>
      <c r="M865" s="162"/>
      <c r="N865" s="155"/>
      <c r="O865" s="155"/>
      <c r="P865" s="15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2"/>
      <c r="E866" s="162"/>
      <c r="F866" s="162"/>
      <c r="G866" s="162"/>
      <c r="H866" s="162"/>
      <c r="I866" s="162"/>
      <c r="J866" s="162"/>
      <c r="K866" s="162"/>
      <c r="L866" s="162"/>
      <c r="M866" s="162"/>
      <c r="N866" s="155"/>
      <c r="O866" s="155"/>
      <c r="P866" s="155"/>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2"/>
      <c r="E867" s="162"/>
      <c r="F867" s="162"/>
      <c r="G867" s="162"/>
      <c r="H867" s="162"/>
      <c r="I867" s="162"/>
      <c r="J867" s="162"/>
      <c r="K867" s="162"/>
      <c r="L867" s="162"/>
      <c r="M867" s="162"/>
      <c r="N867" s="155"/>
      <c r="O867" s="155"/>
      <c r="P867" s="155"/>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2"/>
      <c r="E868" s="162"/>
      <c r="F868" s="162"/>
      <c r="G868" s="162"/>
      <c r="H868" s="162"/>
      <c r="I868" s="162"/>
      <c r="J868" s="162"/>
      <c r="K868" s="162"/>
      <c r="L868" s="162"/>
      <c r="M868" s="162"/>
      <c r="N868" s="155"/>
      <c r="O868" s="155"/>
      <c r="P868" s="155"/>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2"/>
      <c r="E869" s="162"/>
      <c r="F869" s="162"/>
      <c r="G869" s="162"/>
      <c r="H869" s="162"/>
      <c r="I869" s="162"/>
      <c r="J869" s="162"/>
      <c r="K869" s="162"/>
      <c r="L869" s="162"/>
      <c r="M869" s="162"/>
      <c r="N869" s="155"/>
      <c r="O869" s="155"/>
      <c r="P869" s="155"/>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2"/>
      <c r="E870" s="162"/>
      <c r="F870" s="162"/>
      <c r="G870" s="162"/>
      <c r="H870" s="162"/>
      <c r="I870" s="162"/>
      <c r="J870" s="162"/>
      <c r="K870" s="162"/>
      <c r="L870" s="162"/>
      <c r="M870" s="162"/>
      <c r="N870" s="155"/>
      <c r="O870" s="155"/>
      <c r="P870" s="155"/>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2"/>
      <c r="E871" s="162"/>
      <c r="F871" s="162"/>
      <c r="G871" s="162"/>
      <c r="H871" s="162"/>
      <c r="I871" s="162"/>
      <c r="J871" s="162"/>
      <c r="K871" s="162"/>
      <c r="L871" s="162"/>
      <c r="M871" s="162"/>
      <c r="N871" s="155"/>
      <c r="O871" s="155"/>
      <c r="P871" s="155"/>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2"/>
      <c r="E872" s="162"/>
      <c r="F872" s="162"/>
      <c r="G872" s="162"/>
      <c r="H872" s="162"/>
      <c r="I872" s="162"/>
      <c r="J872" s="162"/>
      <c r="K872" s="162"/>
      <c r="L872" s="162"/>
      <c r="M872" s="162"/>
      <c r="N872" s="155"/>
      <c r="O872" s="155"/>
      <c r="P872" s="155"/>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2"/>
      <c r="E873" s="162"/>
      <c r="F873" s="162"/>
      <c r="G873" s="162"/>
      <c r="H873" s="162"/>
      <c r="I873" s="162"/>
      <c r="J873" s="162"/>
      <c r="K873" s="162"/>
      <c r="L873" s="162"/>
      <c r="M873" s="162"/>
      <c r="N873" s="155"/>
      <c r="O873" s="155"/>
      <c r="P873" s="155"/>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2"/>
      <c r="E874" s="162"/>
      <c r="F874" s="162"/>
      <c r="G874" s="162"/>
      <c r="H874" s="162"/>
      <c r="I874" s="162"/>
      <c r="J874" s="162"/>
      <c r="K874" s="162"/>
      <c r="L874" s="162"/>
      <c r="M874" s="162"/>
      <c r="N874" s="155"/>
      <c r="O874" s="155"/>
      <c r="P874" s="155"/>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2"/>
      <c r="E875" s="162"/>
      <c r="F875" s="162"/>
      <c r="G875" s="162"/>
      <c r="H875" s="162"/>
      <c r="I875" s="162"/>
      <c r="J875" s="162"/>
      <c r="K875" s="162"/>
      <c r="L875" s="162"/>
      <c r="M875" s="162"/>
      <c r="N875" s="155"/>
      <c r="O875" s="155"/>
      <c r="P875" s="15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2"/>
      <c r="E876" s="162"/>
      <c r="F876" s="162"/>
      <c r="G876" s="162"/>
      <c r="H876" s="162"/>
      <c r="I876" s="162"/>
      <c r="J876" s="162"/>
      <c r="K876" s="162"/>
      <c r="L876" s="162"/>
      <c r="M876" s="162"/>
      <c r="N876" s="155"/>
      <c r="O876" s="155"/>
      <c r="P876" s="155"/>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2"/>
      <c r="E877" s="162"/>
      <c r="F877" s="162"/>
      <c r="G877" s="162"/>
      <c r="H877" s="162"/>
      <c r="I877" s="162"/>
      <c r="J877" s="162"/>
      <c r="K877" s="162"/>
      <c r="L877" s="162"/>
      <c r="M877" s="162"/>
      <c r="N877" s="155"/>
      <c r="O877" s="155"/>
      <c r="P877" s="155"/>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2"/>
      <c r="E878" s="162"/>
      <c r="F878" s="162"/>
      <c r="G878" s="162"/>
      <c r="H878" s="162"/>
      <c r="I878" s="162"/>
      <c r="J878" s="162"/>
      <c r="K878" s="162"/>
      <c r="L878" s="162"/>
      <c r="M878" s="162"/>
      <c r="N878" s="155"/>
      <c r="O878" s="155"/>
      <c r="P878" s="155"/>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2"/>
      <c r="E879" s="162"/>
      <c r="F879" s="162"/>
      <c r="G879" s="162"/>
      <c r="H879" s="162"/>
      <c r="I879" s="162"/>
      <c r="J879" s="162"/>
      <c r="K879" s="162"/>
      <c r="L879" s="162"/>
      <c r="M879" s="162"/>
      <c r="N879" s="155"/>
      <c r="O879" s="155"/>
      <c r="P879" s="155"/>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2"/>
      <c r="E880" s="162"/>
      <c r="F880" s="162"/>
      <c r="G880" s="162"/>
      <c r="H880" s="162"/>
      <c r="I880" s="162"/>
      <c r="J880" s="162"/>
      <c r="K880" s="162"/>
      <c r="L880" s="162"/>
      <c r="M880" s="162"/>
      <c r="N880" s="155"/>
      <c r="O880" s="155"/>
      <c r="P880" s="155"/>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2"/>
      <c r="E881" s="162"/>
      <c r="F881" s="162"/>
      <c r="G881" s="162"/>
      <c r="H881" s="162"/>
      <c r="I881" s="162"/>
      <c r="J881" s="162"/>
      <c r="K881" s="162"/>
      <c r="L881" s="162"/>
      <c r="M881" s="162"/>
      <c r="N881" s="155"/>
      <c r="O881" s="155"/>
      <c r="P881" s="155"/>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2"/>
      <c r="E882" s="162"/>
      <c r="F882" s="162"/>
      <c r="G882" s="162"/>
      <c r="H882" s="162"/>
      <c r="I882" s="162"/>
      <c r="J882" s="162"/>
      <c r="K882" s="162"/>
      <c r="L882" s="162"/>
      <c r="M882" s="162"/>
      <c r="N882" s="155"/>
      <c r="O882" s="155"/>
      <c r="P882" s="155"/>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2"/>
      <c r="E883" s="162"/>
      <c r="F883" s="162"/>
      <c r="G883" s="162"/>
      <c r="H883" s="162"/>
      <c r="I883" s="162"/>
      <c r="J883" s="162"/>
      <c r="K883" s="162"/>
      <c r="L883" s="162"/>
      <c r="M883" s="162"/>
      <c r="N883" s="155"/>
      <c r="O883" s="155"/>
      <c r="P883" s="155"/>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2"/>
      <c r="E884" s="162"/>
      <c r="F884" s="162"/>
      <c r="G884" s="162"/>
      <c r="H884" s="162"/>
      <c r="I884" s="162"/>
      <c r="J884" s="162"/>
      <c r="K884" s="162"/>
      <c r="L884" s="162"/>
      <c r="M884" s="162"/>
      <c r="N884" s="155"/>
      <c r="O884" s="155"/>
      <c r="P884" s="155"/>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2"/>
      <c r="E885" s="162"/>
      <c r="F885" s="162"/>
      <c r="G885" s="162"/>
      <c r="H885" s="162"/>
      <c r="I885" s="162"/>
      <c r="J885" s="162"/>
      <c r="K885" s="162"/>
      <c r="L885" s="162"/>
      <c r="M885" s="162"/>
      <c r="N885" s="155"/>
      <c r="O885" s="155"/>
      <c r="P885" s="15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2"/>
      <c r="E886" s="162"/>
      <c r="F886" s="162"/>
      <c r="G886" s="162"/>
      <c r="H886" s="162"/>
      <c r="I886" s="162"/>
      <c r="J886" s="162"/>
      <c r="K886" s="162"/>
      <c r="L886" s="162"/>
      <c r="M886" s="162"/>
      <c r="N886" s="155"/>
      <c r="O886" s="155"/>
      <c r="P886" s="155"/>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2"/>
      <c r="E887" s="162"/>
      <c r="F887" s="162"/>
      <c r="G887" s="162"/>
      <c r="H887" s="162"/>
      <c r="I887" s="162"/>
      <c r="J887" s="162"/>
      <c r="K887" s="162"/>
      <c r="L887" s="162"/>
      <c r="M887" s="162"/>
      <c r="N887" s="155"/>
      <c r="O887" s="155"/>
      <c r="P887" s="155"/>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2"/>
      <c r="E888" s="162"/>
      <c r="F888" s="162"/>
      <c r="G888" s="162"/>
      <c r="H888" s="162"/>
      <c r="I888" s="162"/>
      <c r="J888" s="162"/>
      <c r="K888" s="162"/>
      <c r="L888" s="162"/>
      <c r="M888" s="162"/>
      <c r="N888" s="155"/>
      <c r="O888" s="155"/>
      <c r="P888" s="155"/>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2"/>
      <c r="E889" s="162"/>
      <c r="F889" s="162"/>
      <c r="G889" s="162"/>
      <c r="H889" s="162"/>
      <c r="I889" s="162"/>
      <c r="J889" s="162"/>
      <c r="K889" s="162"/>
      <c r="L889" s="162"/>
      <c r="M889" s="162"/>
      <c r="N889" s="155"/>
      <c r="O889" s="155"/>
      <c r="P889" s="155"/>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2"/>
      <c r="E890" s="162"/>
      <c r="F890" s="162"/>
      <c r="G890" s="162"/>
      <c r="H890" s="162"/>
      <c r="I890" s="162"/>
      <c r="J890" s="162"/>
      <c r="K890" s="162"/>
      <c r="L890" s="162"/>
      <c r="M890" s="162"/>
      <c r="N890" s="155"/>
      <c r="O890" s="155"/>
      <c r="P890" s="155"/>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2"/>
      <c r="E891" s="162"/>
      <c r="F891" s="162"/>
      <c r="G891" s="162"/>
      <c r="H891" s="162"/>
      <c r="I891" s="162"/>
      <c r="J891" s="162"/>
      <c r="K891" s="162"/>
      <c r="L891" s="162"/>
      <c r="M891" s="162"/>
      <c r="N891" s="155"/>
      <c r="O891" s="155"/>
      <c r="P891" s="155"/>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2"/>
      <c r="E892" s="162"/>
      <c r="F892" s="162"/>
      <c r="G892" s="162"/>
      <c r="H892" s="162"/>
      <c r="I892" s="162"/>
      <c r="J892" s="162"/>
      <c r="K892" s="162"/>
      <c r="L892" s="162"/>
      <c r="M892" s="162"/>
      <c r="N892" s="155"/>
      <c r="O892" s="155"/>
      <c r="P892" s="155"/>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2"/>
      <c r="E893" s="162"/>
      <c r="F893" s="162"/>
      <c r="G893" s="162"/>
      <c r="H893" s="162"/>
      <c r="I893" s="162"/>
      <c r="J893" s="162"/>
      <c r="K893" s="162"/>
      <c r="L893" s="162"/>
      <c r="M893" s="162"/>
      <c r="N893" s="155"/>
      <c r="O893" s="155"/>
      <c r="P893" s="155"/>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2"/>
      <c r="E894" s="162"/>
      <c r="F894" s="162"/>
      <c r="G894" s="162"/>
      <c r="H894" s="162"/>
      <c r="I894" s="162"/>
      <c r="J894" s="162"/>
      <c r="K894" s="162"/>
      <c r="L894" s="162"/>
      <c r="M894" s="162"/>
      <c r="N894" s="155"/>
      <c r="O894" s="155"/>
      <c r="P894" s="155"/>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2"/>
      <c r="E895" s="162"/>
      <c r="F895" s="162"/>
      <c r="G895" s="162"/>
      <c r="H895" s="162"/>
      <c r="I895" s="162"/>
      <c r="J895" s="162"/>
      <c r="K895" s="162"/>
      <c r="L895" s="162"/>
      <c r="M895" s="162"/>
      <c r="N895" s="155"/>
      <c r="O895" s="155"/>
      <c r="P895" s="15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2"/>
      <c r="E896" s="162"/>
      <c r="F896" s="162"/>
      <c r="G896" s="162"/>
      <c r="H896" s="162"/>
      <c r="I896" s="162"/>
      <c r="J896" s="162"/>
      <c r="K896" s="162"/>
      <c r="L896" s="162"/>
      <c r="M896" s="162"/>
      <c r="N896" s="155"/>
      <c r="O896" s="155"/>
      <c r="P896" s="155"/>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2"/>
      <c r="E897" s="162"/>
      <c r="F897" s="162"/>
      <c r="G897" s="162"/>
      <c r="H897" s="162"/>
      <c r="I897" s="162"/>
      <c r="J897" s="162"/>
      <c r="K897" s="162"/>
      <c r="L897" s="162"/>
      <c r="M897" s="162"/>
      <c r="N897" s="155"/>
      <c r="O897" s="155"/>
      <c r="P897" s="155"/>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2"/>
      <c r="E898" s="162"/>
      <c r="F898" s="162"/>
      <c r="G898" s="162"/>
      <c r="H898" s="162"/>
      <c r="I898" s="162"/>
      <c r="J898" s="162"/>
      <c r="K898" s="162"/>
      <c r="L898" s="162"/>
      <c r="M898" s="162"/>
      <c r="N898" s="155"/>
      <c r="O898" s="155"/>
      <c r="P898" s="155"/>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2"/>
      <c r="E899" s="162"/>
      <c r="F899" s="162"/>
      <c r="G899" s="162"/>
      <c r="H899" s="162"/>
      <c r="I899" s="162"/>
      <c r="J899" s="162"/>
      <c r="K899" s="162"/>
      <c r="L899" s="162"/>
      <c r="M899" s="162"/>
      <c r="N899" s="155"/>
      <c r="O899" s="155"/>
      <c r="P899" s="155"/>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2"/>
      <c r="E900" s="162"/>
      <c r="F900" s="162"/>
      <c r="G900" s="162"/>
      <c r="H900" s="162"/>
      <c r="I900" s="162"/>
      <c r="J900" s="162"/>
      <c r="K900" s="162"/>
      <c r="L900" s="162"/>
      <c r="M900" s="162"/>
      <c r="N900" s="155"/>
      <c r="O900" s="155"/>
      <c r="P900" s="155"/>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2"/>
      <c r="E901" s="162"/>
      <c r="F901" s="162"/>
      <c r="G901" s="162"/>
      <c r="H901" s="162"/>
      <c r="I901" s="162"/>
      <c r="J901" s="162"/>
      <c r="K901" s="162"/>
      <c r="L901" s="162"/>
      <c r="M901" s="162"/>
      <c r="N901" s="155"/>
      <c r="O901" s="155"/>
      <c r="P901" s="155"/>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2"/>
      <c r="E902" s="162"/>
      <c r="F902" s="162"/>
      <c r="G902" s="162"/>
      <c r="H902" s="162"/>
      <c r="I902" s="162"/>
      <c r="J902" s="162"/>
      <c r="K902" s="162"/>
      <c r="L902" s="162"/>
      <c r="M902" s="162"/>
      <c r="N902" s="155"/>
      <c r="O902" s="155"/>
      <c r="P902" s="155"/>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2"/>
      <c r="E903" s="162"/>
      <c r="F903" s="162"/>
      <c r="G903" s="162"/>
      <c r="H903" s="162"/>
      <c r="I903" s="162"/>
      <c r="J903" s="162"/>
      <c r="K903" s="162"/>
      <c r="L903" s="162"/>
      <c r="M903" s="162"/>
      <c r="N903" s="155"/>
      <c r="O903" s="155"/>
      <c r="P903" s="155"/>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2"/>
      <c r="E904" s="162"/>
      <c r="F904" s="162"/>
      <c r="G904" s="162"/>
      <c r="H904" s="162"/>
      <c r="I904" s="162"/>
      <c r="J904" s="162"/>
      <c r="K904" s="162"/>
      <c r="L904" s="162"/>
      <c r="M904" s="162"/>
      <c r="N904" s="155"/>
      <c r="O904" s="155"/>
      <c r="P904" s="155"/>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2"/>
      <c r="E905" s="162"/>
      <c r="F905" s="162"/>
      <c r="G905" s="162"/>
      <c r="H905" s="162"/>
      <c r="I905" s="162"/>
      <c r="J905" s="162"/>
      <c r="K905" s="162"/>
      <c r="L905" s="162"/>
      <c r="M905" s="162"/>
      <c r="N905" s="155"/>
      <c r="O905" s="155"/>
      <c r="P905" s="15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2"/>
      <c r="E906" s="162"/>
      <c r="F906" s="162"/>
      <c r="G906" s="162"/>
      <c r="H906" s="162"/>
      <c r="I906" s="162"/>
      <c r="J906" s="162"/>
      <c r="K906" s="162"/>
      <c r="L906" s="162"/>
      <c r="M906" s="162"/>
      <c r="N906" s="155"/>
      <c r="O906" s="155"/>
      <c r="P906" s="155"/>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2"/>
      <c r="E907" s="162"/>
      <c r="F907" s="162"/>
      <c r="G907" s="162"/>
      <c r="H907" s="162"/>
      <c r="I907" s="162"/>
      <c r="J907" s="162"/>
      <c r="K907" s="162"/>
      <c r="L907" s="162"/>
      <c r="M907" s="162"/>
      <c r="N907" s="155"/>
      <c r="O907" s="155"/>
      <c r="P907" s="155"/>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2"/>
      <c r="E908" s="162"/>
      <c r="F908" s="162"/>
      <c r="G908" s="162"/>
      <c r="H908" s="162"/>
      <c r="I908" s="162"/>
      <c r="J908" s="162"/>
      <c r="K908" s="162"/>
      <c r="L908" s="162"/>
      <c r="M908" s="162"/>
      <c r="N908" s="155"/>
      <c r="O908" s="155"/>
      <c r="P908" s="155"/>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sheetData>
  <sheetProtection/>
  <mergeCells count="24">
    <mergeCell ref="C12:C14"/>
    <mergeCell ref="D13:E13"/>
    <mergeCell ref="G12:J12"/>
    <mergeCell ref="A810:B810"/>
    <mergeCell ref="A807:C807"/>
    <mergeCell ref="F13:F14"/>
    <mergeCell ref="D12:F12"/>
    <mergeCell ref="G13:I13"/>
    <mergeCell ref="A10:P10"/>
    <mergeCell ref="O807:P807"/>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3" horizontalDpi="600" verticalDpi="600" orientation="landscape" paperSize="9" scale="79" r:id="rId1"/>
  <rowBreaks count="1" manualBreakCount="1">
    <brk id="75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Eremenko</cp:lastModifiedBy>
  <cp:lastPrinted>2017-02-27T11:25:04Z</cp:lastPrinted>
  <dcterms:created xsi:type="dcterms:W3CDTF">2014-04-22T08:24:49Z</dcterms:created>
  <dcterms:modified xsi:type="dcterms:W3CDTF">2017-02-27T13:45:00Z</dcterms:modified>
  <cp:category/>
  <cp:version/>
  <cp:contentType/>
  <cp:contentStatus/>
</cp:coreProperties>
</file>