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 windowWidth="15750" windowHeight="13080" activeTab="0"/>
  </bookViews>
  <sheets>
    <sheet name="ОСНОВНЕ" sheetId="1" r:id="rId1"/>
  </sheets>
  <definedNames>
    <definedName name="_xlnm.Print_Area" localSheetId="0">'ОСНОВНЕ'!$A$1:$L$199</definedName>
  </definedNames>
  <calcPr fullCalcOnLoad="1"/>
</workbook>
</file>

<file path=xl/sharedStrings.xml><?xml version="1.0" encoding="utf-8"?>
<sst xmlns="http://schemas.openxmlformats.org/spreadsheetml/2006/main" count="375" uniqueCount="177">
  <si>
    <t>у тому числі кошти міського бюджету</t>
  </si>
  <si>
    <t>Всього на виконання програми</t>
  </si>
  <si>
    <t>Всього на виконання підпрограми</t>
  </si>
  <si>
    <t>- громадянам, яким виповнилося 100 і більше років – мешканцям міста Суми (щомісячна стипендія);</t>
  </si>
  <si>
    <t>- одиноким громадянам похилого віку, інвалідам (благодійні обіди);</t>
  </si>
  <si>
    <t>- надання грошової допомоги на проведення поховання деяких категорій осіб;</t>
  </si>
  <si>
    <t>грн.</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</si>
  <si>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</si>
  <si>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</si>
  <si>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</si>
  <si>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</si>
  <si>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</si>
  <si>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</si>
  <si>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</si>
  <si>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</si>
  <si>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</si>
  <si>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</si>
  <si>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</si>
  <si>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</si>
  <si>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</si>
  <si>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</si>
  <si>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</si>
  <si>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</si>
  <si>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</si>
  <si>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</si>
  <si>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</si>
  <si>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3. Надання фінансової підтримки громадським організаціям інвалідів і ветеранів, діяльність яких має соціальну спрямованість.</t>
  </si>
  <si>
    <t>Мета: Фінансова допомога громадським організаціям інвалідів і ветеранів для захисту інтересів інвалідів та ветеранів, інтеграції інвалідів у суспільство.</t>
  </si>
  <si>
    <r>
      <t>Завдання 1.</t>
    </r>
    <r>
      <rPr>
        <sz val="10"/>
        <rFont val="Times New Roman"/>
        <family val="1"/>
      </rPr>
      <t xml:space="preserve">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r>
  </si>
  <si>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</si>
  <si>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</si>
  <si>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</si>
  <si>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1. </t>
    </r>
    <r>
      <rPr>
        <sz val="10"/>
        <rFont val="Times New Roman"/>
        <family val="1"/>
      </rPr>
      <t>Забезпечення надання пільг населенню на оплату житлово-комунальних послуг і природного газу:</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</si>
  <si>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</si>
  <si>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</si>
  <si>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</si>
  <si>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</si>
  <si>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t>- інваліду 1 групи з дитинства, майстру спорту України з пауерліфтингу та армспорту, Чемпіону України та Європи з пауерліфтингу Педоренку М.М. (щомісячна стипендія);</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</si>
  <si>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</si>
  <si>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</si>
  <si>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</si>
  <si>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</si>
  <si>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</si>
  <si>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</si>
  <si>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</si>
  <si>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</si>
  <si>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</si>
  <si>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</si>
  <si>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r>
      <t xml:space="preserve">ДСЗН </t>
    </r>
    <r>
      <rPr>
        <b/>
        <sz val="9"/>
        <rFont val="Times New Roman"/>
        <family val="1"/>
      </rPr>
      <t>Сумської міської ради</t>
    </r>
  </si>
  <si>
    <r>
      <t xml:space="preserve">Завдання 4. </t>
    </r>
    <r>
      <rPr>
        <sz val="10"/>
        <rFont val="Times New Roman"/>
        <family val="1"/>
      </rPr>
      <t xml:space="preserve">Забезпечення надання пільг з послуг зв’язку </t>
    </r>
  </si>
  <si>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</si>
  <si>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</si>
  <si>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</si>
  <si>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</si>
  <si>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</si>
  <si>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</si>
  <si>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r>
      <t>Завдання 3.</t>
    </r>
    <r>
      <rPr>
        <sz val="10"/>
        <rFont val="Times New Roman"/>
        <family val="1"/>
      </rPr>
      <t xml:space="preserve"> Забезпечити проведення заходів для ветеранів війни та праці, інвалідів та дітей-інвалідів, громадян постраждалих внаслідок аварії на ЧАЕС (вшанування під час проведення в місті святкових заходів, відзначення пам’ятних дат).</t>
    </r>
  </si>
  <si>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</si>
  <si>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</si>
  <si>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r>
      <t>Завдання 3. З</t>
    </r>
    <r>
      <rPr>
        <sz val="10"/>
        <rFont val="Times New Roman"/>
        <family val="1"/>
      </rPr>
      <t>абезпечення надання інших передбачених законодавством пільг громадянам, які постраждали внаслідок Чорнобильської катастрофи.</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</si>
  <si>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</si>
  <si>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</si>
  <si>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 проведення капітального ремоннту будинків та квартир;</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</si>
  <si>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</si>
  <si>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</si>
  <si>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</si>
  <si>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</si>
  <si>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</si>
  <si>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</si>
  <si>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(надання одноразової матеріальної допомоги);</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</si>
  <si>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</si>
  <si>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</si>
  <si>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</si>
  <si>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</si>
  <si>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</si>
  <si>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</si>
  <si>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</si>
  <si>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</si>
  <si>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</si>
  <si>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</si>
  <si>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</si>
  <si>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</si>
  <si>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</si>
  <si>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Управління освіти і науки Сумської міської ради</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</si>
  <si>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</si>
  <si>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</si>
  <si>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t>Додаток 5</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</si>
  <si>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</si>
  <si>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</si>
  <si>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</si>
  <si>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</si>
  <si>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</si>
  <si>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</si>
  <si>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</si>
  <si>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учасникам бойових дій та інвалідам війни з числа осіб, які брали безпосередню участь у бойових діях під час Великої Вітчизняної війни та війни з Японією - мешканцям міста Суми (виплата разової грошової допомоги);</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</si>
  <si>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</si>
  <si>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</si>
  <si>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сім'ям загиблих при виконанні службового обов'язку під час проведення антитероритсичної операції (надання матеріальної допомоги на вирішення соціально-побутових питань);</t>
  </si>
  <si>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</si>
  <si>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</si>
  <si>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</si>
  <si>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</si>
  <si>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t>- сім'ям інвалідів І-ІІ груп по зору - мешканцям міста Суми                     (50 % пільги);</t>
  </si>
  <si>
    <t>Продовження додатка 5</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</si>
  <si>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</si>
  <si>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</si>
  <si>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</si>
  <si>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 xml:space="preserve">Виконавець: </t>
  </si>
  <si>
    <t>______________  Масік Т.О.</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</si>
  <si>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</si>
  <si>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інвалідам з дитинства I та II групи з діагнозом ДЦП (крім інвалідів І А групи) та дітям-інвалідам з діагнозом ДЦП - мешканцям міста Суми (50 % пільги), а також інвалідам з дитинства І А групи з діагнозом ДЦП (100% пільги);</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</si>
  <si>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</si>
  <si>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</si>
  <si>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3. </t>
    </r>
    <r>
      <rPr>
        <sz val="10"/>
        <rFont val="Times New Roman"/>
        <family val="1"/>
      </rPr>
      <t>Забезпечити безкоштовним харчуванням дітей раннього віку дошкільних навчальних закладів, батьки яких є учасниками бойових дій в Афганістані.</t>
    </r>
  </si>
  <si>
    <r>
      <t xml:space="preserve">Завдання 4. </t>
    </r>
    <r>
      <rPr>
        <sz val="10"/>
        <rFont val="Times New Roman"/>
        <family val="1"/>
      </rPr>
      <t>Забезпечити безкоштовним харчуванням дітей дошкільного віку дошкільних навчальних закладів, батьки яких є учасниками бойових дій в Афганістані.</t>
    </r>
  </si>
  <si>
    <r>
      <t xml:space="preserve">Завдання 2. </t>
    </r>
    <r>
      <rPr>
        <sz val="10"/>
        <rFont val="Times New Roman"/>
        <family val="1"/>
      </rPr>
      <t>Забезпечити безкоштовним харчуванням  учнів загальноосвітніх навчальних закладів, батьки яких є учасниками бойових дій в Афганістані.</t>
    </r>
  </si>
  <si>
    <r>
      <t xml:space="preserve">Завдання 5. </t>
    </r>
    <r>
      <rPr>
        <sz val="9"/>
        <rFont val="Times New Roman"/>
        <family val="1"/>
      </rPr>
      <t>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</si>
  <si>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</si>
  <si>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</si>
  <si>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</si>
  <si>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r>
      <t>Завдання 5.</t>
    </r>
    <r>
      <rPr>
        <sz val="10"/>
        <rFont val="Times New Roman"/>
        <family val="1"/>
      </rPr>
      <t xml:space="preserve"> Забезпечити новорічними подарунками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 та батьки яких є учасниками бойових дій в Афганістані.</t>
    </r>
  </si>
  <si>
    <r>
      <t xml:space="preserve">Завдання 3. </t>
    </r>
    <r>
      <rPr>
        <sz val="10"/>
        <rFont val="Times New Roman"/>
        <family val="1"/>
      </rPr>
      <t>Забезпечити новорічними подарунками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t>
    </r>
  </si>
  <si>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r>
  </si>
  <si>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</si>
  <si>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сім'ям, в яких виховуються діти, хворі на онкологічні та онкогематологічні захворювання (надання матеріальної допомоги для придбання лікарських засобів та виробів медичного призначення);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</si>
  <si>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</si>
  <si>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</si>
  <si>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</si>
  <si>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</si>
  <si>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</si>
  <si>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</si>
  <si>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особам, яким виповнюється 100 і більше років з метою вшанування їх з нагоди Дня народження (надання одноразової грошової допомоги);</t>
  </si>
  <si>
    <t>АТО</t>
  </si>
  <si>
    <t>Милосердя</t>
  </si>
  <si>
    <t>Мета, завдання, КПКВК</t>
  </si>
  <si>
    <t>- Почесним донорам України - мешканцям міста Суми (надання одноразової матеріальної допомоги);</t>
  </si>
  <si>
    <t>- інвалідам війни І групи з числа учасників бойових дій в Афганістані (воїнам-інтернаціоналістам), мешканцям міста Суми (виплата щомісячної грошової допомоги).</t>
  </si>
  <si>
    <t>-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</si>
  <si>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</si>
  <si>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</si>
  <si>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військовослужбовцям, які проходять військову службу за контрактом у Збройних Силах України, мешканцям міста Суми (надання одноразової матеріальної допомоги);</t>
  </si>
  <si>
    <t>КПКВК 1513400 (ДСЗН Сумської міської ради), КПКВК 0313400 (Виконавчий комітет Сумської міської ради)</t>
  </si>
  <si>
    <t>КПКВК 1513202 (ДСЗН Сумської міської ради)</t>
  </si>
  <si>
    <t>КПКВК 1513190 (ДСЗН Сумської міської ради)</t>
  </si>
  <si>
    <t>КПКВК 1513201 (ДСЗН Сумської міської ради)</t>
  </si>
  <si>
    <t>КПКВК 1513038 (ДСЗН Сумської міської ради)</t>
  </si>
  <si>
    <t>КПКВК 1513050 (ДСЗН Сумської міської ради)</t>
  </si>
  <si>
    <t>КПКВК 1011010 (Управління освіти і науки Сумської міської ради)</t>
  </si>
  <si>
    <t>КПКВК 1011020 (Управління освіти і науки Сумської міської ради)</t>
  </si>
  <si>
    <t>КПКВК 1013160 (Управління освіти і науки Сумської міської ради)</t>
  </si>
  <si>
    <t>КПКВК 1011070 (Управління освіти і науки Сумської міської ради)</t>
  </si>
  <si>
    <t>КПКВК 1513104 (ДСЗН Сумської міської ради)</t>
  </si>
  <si>
    <t>КПКВК 1513220 (ДСЗН Сумської міської ради)</t>
  </si>
  <si>
    <t>КПКВК 1513035 (ДСЗН Сумської міської ради)</t>
  </si>
  <si>
    <t>КПКВК 1513033 (ДСЗН Сумської міської ради)</t>
  </si>
  <si>
    <t>КПКВК 1513034 (ДСЗН Сумської міської ради)</t>
  </si>
  <si>
    <t>КПКВК 1513031 (ДСЗН Сумської міської ради)</t>
  </si>
  <si>
    <t>КПКВК 1513037 (ДСЗН Сумської міської ради)</t>
  </si>
  <si>
    <t>КПКВК 1518800 (ДСЗН Сумської міської ради)</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</si>
  <si>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</si>
  <si>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</si>
  <si>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r>
      <t xml:space="preserve">Завдання 1. </t>
    </r>
    <r>
      <rPr>
        <sz val="10"/>
        <rFont val="Times New Roman"/>
        <family val="1"/>
      </rPr>
      <t>Забезпечення інформування мешканців міста Суми про прийняте рішення про призначення (непризначення) житлової субсидії.</t>
    </r>
  </si>
  <si>
    <r>
      <t xml:space="preserve">Завдання 2.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</si>
  <si>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 xml:space="preserve"> - Садовському П.Б. (цільова матеріальна допомога  на проведення операції по трансплантації нирки).</t>
  </si>
  <si>
    <t>- сину померлого Героя Радянського Союзу Батехи Василя Панасовича (надання одноразової матеріальної допомоги на виготовлення, встановлення намогильної споруди на місці його поховання та упорядкування місця поховання);</t>
  </si>
  <si>
    <r>
      <t xml:space="preserve">Завдання 6. </t>
    </r>
    <r>
      <rPr>
        <sz val="10"/>
        <rFont val="Times New Roman"/>
        <family val="1"/>
      </rPr>
      <t>Проведення розрахунків за пільговий проїзд окремих категорій громадян залізничним транспортом приміського сполучення.</t>
    </r>
  </si>
  <si>
    <t>- Качан О.Г. (надання цільової матеріальної допомоги для дороговартісного лікування онкологічного захворювання її сина Качана Олександра Васильовича, 1998 року народження, особи з інвалідністю І групи з дитинства);</t>
  </si>
  <si>
    <t>- особі з інвалідністю ІІІ групи з дитинства з ураженням опорно-рухового апарату Перловій А.О. (надання цільової матеріальної допомоги  для ендопротезування лівого кульшового суглобу).</t>
  </si>
  <si>
    <t>- Скляровій Л.О. (надання цільової матеріальної допомоги для дороговартісного лікування кетогенною дієтою її доньки Склярової Карини, 2004 року народження, дитини з інвалідностю);</t>
  </si>
  <si>
    <t>Підпрограма 9.Соціальна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</si>
  <si>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</si>
  <si>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 забезпечення безкоштовними путівками до позаміського дитячого закладу оздоровлення та відпочинку дітей, батьки яких загинули або отримали поранення при виконанні службового обов’язку під час антитерористичної операції</t>
  </si>
  <si>
    <t>- забезпечення безкоштовними путівками до позаміських дитячих закладів оздоровлення та відпочинку (м. Суми) дітей, батьки яких є учасниками бойових дій в Афганістані</t>
  </si>
  <si>
    <t>- забезпечення безкоштовними путівками до позаміських дитячих закладів оздоровлення та відпочинку  (м. Суми) дітей, батьки яких отримали тілесні ушкодження під час участі у Революції Гідності</t>
  </si>
  <si>
    <t>від ___ липня 2017 року № _____-МР</t>
  </si>
  <si>
    <t>Сумський міський голова</t>
  </si>
  <si>
    <t>О.М.Лисенко</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</si>
</sst>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422]d\ mmmm\ yyyy&quot; р.&quot;"/>
    <numFmt numFmtId="201" formatCode="0.0"/>
    <numFmt numFmtId="202" formatCode="0.000"/>
    <numFmt numFmtId="203" formatCode="#,##0.0"/>
    <numFmt numFmtId="204" formatCode="#,##0.000"/>
    <numFmt numFmtId="205" formatCode="#,##0.0000"/>
  </numFmts>
  <fonts count="52">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12"/>
      <name val="Times New Roman"/>
      <family val="1"/>
    </font>
    <font>
      <sz val="9"/>
      <name val="Times New Roman"/>
      <family val="1"/>
    </font>
    <font>
      <sz val="13"/>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1" fillId="31" borderId="0" applyNumberFormat="0" applyBorder="0" applyAlignment="0" applyProtection="0"/>
  </cellStyleXfs>
  <cellXfs count="90">
    <xf numFmtId="0" fontId="0" fillId="0" borderId="0" xfId="0" applyAlignment="1">
      <alignment/>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0" fontId="1" fillId="0" borderId="10" xfId="0" applyFont="1" applyFill="1" applyBorder="1" applyAlignment="1">
      <alignment horizontal="justify" vertical="center" wrapText="1"/>
    </xf>
    <xf numFmtId="0" fontId="8" fillId="0" borderId="0" xfId="0" applyFont="1" applyFill="1" applyBorder="1" applyAlignment="1">
      <alignment horizontal="left" vertical="top" wrapText="1"/>
    </xf>
    <xf numFmtId="0" fontId="2" fillId="0" borderId="10" xfId="0" applyFont="1" applyFill="1" applyBorder="1" applyAlignment="1">
      <alignment horizontal="justify" vertical="top" wrapText="1"/>
    </xf>
    <xf numFmtId="0" fontId="5" fillId="0" borderId="10" xfId="0" applyFont="1" applyFill="1" applyBorder="1" applyAlignment="1">
      <alignment horizontal="center" vertical="center" wrapText="1"/>
    </xf>
    <xf numFmtId="0" fontId="0" fillId="0" borderId="0" xfId="0" applyFont="1" applyFill="1" applyAlignment="1">
      <alignment/>
    </xf>
    <xf numFmtId="0" fontId="2" fillId="0" borderId="10" xfId="0" applyFont="1" applyFill="1" applyBorder="1" applyAlignment="1">
      <alignment horizontal="center" vertical="center" textRotation="255" wrapText="1"/>
    </xf>
    <xf numFmtId="0" fontId="2" fillId="0" borderId="10" xfId="0" applyFont="1" applyFill="1" applyBorder="1" applyAlignment="1">
      <alignment vertical="top" wrapText="1"/>
    </xf>
    <xf numFmtId="0" fontId="2" fillId="0" borderId="10" xfId="0" applyFont="1" applyFill="1" applyBorder="1" applyAlignment="1">
      <alignment horizontal="justify" wrapText="1"/>
    </xf>
    <xf numFmtId="0" fontId="12" fillId="0" borderId="10" xfId="0" applyFont="1" applyFill="1" applyBorder="1" applyAlignment="1">
      <alignment vertical="top" wrapText="1"/>
    </xf>
    <xf numFmtId="49" fontId="1" fillId="0" borderId="10" xfId="0" applyNumberFormat="1"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2"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0" fillId="0" borderId="0" xfId="0" applyFont="1" applyAlignment="1">
      <alignment/>
    </xf>
    <xf numFmtId="2" fontId="1" fillId="0" borderId="10" xfId="0" applyNumberFormat="1" applyFont="1" applyFill="1" applyBorder="1" applyAlignment="1">
      <alignment horizontal="center" vertical="center"/>
    </xf>
    <xf numFmtId="0" fontId="0" fillId="0" borderId="0" xfId="0" applyFont="1" applyFill="1" applyAlignment="1">
      <alignment horizontal="left"/>
    </xf>
    <xf numFmtId="0" fontId="0" fillId="0" borderId="10" xfId="0" applyFont="1" applyFill="1" applyBorder="1" applyAlignment="1">
      <alignment wrapText="1"/>
    </xf>
    <xf numFmtId="0" fontId="1" fillId="0" borderId="10" xfId="0" applyFont="1" applyFill="1" applyBorder="1" applyAlignment="1">
      <alignment horizontal="justify" vertical="center"/>
    </xf>
    <xf numFmtId="0"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xf>
    <xf numFmtId="0" fontId="0" fillId="0" borderId="0" xfId="0" applyFont="1" applyFill="1" applyBorder="1" applyAlignment="1">
      <alignment/>
    </xf>
    <xf numFmtId="201" fontId="8" fillId="0" borderId="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horizontal="center" wrapText="1"/>
    </xf>
    <xf numFmtId="4" fontId="0" fillId="0" borderId="0" xfId="0" applyNumberFormat="1" applyFont="1" applyFill="1" applyAlignment="1">
      <alignment/>
    </xf>
    <xf numFmtId="0" fontId="14" fillId="0" borderId="0" xfId="0" applyFont="1" applyFill="1" applyAlignment="1">
      <alignment/>
    </xf>
    <xf numFmtId="0" fontId="15" fillId="0" borderId="0" xfId="0" applyFont="1" applyFill="1" applyAlignment="1">
      <alignment/>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7" fillId="0" borderId="0" xfId="0" applyNumberFormat="1" applyFont="1" applyFill="1" applyBorder="1" applyAlignment="1">
      <alignment vertical="center" wrapText="1"/>
    </xf>
    <xf numFmtId="0" fontId="17"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0" fillId="0" borderId="0" xfId="0" applyFill="1" applyAlignment="1">
      <alignment/>
    </xf>
    <xf numFmtId="0" fontId="2" fillId="0" borderId="10" xfId="0" applyNumberFormat="1" applyFont="1" applyFill="1" applyBorder="1" applyAlignment="1">
      <alignment horizontal="justify" vertical="center" wrapText="1"/>
    </xf>
    <xf numFmtId="0" fontId="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4" fontId="0" fillId="0" borderId="0" xfId="0" applyNumberFormat="1" applyFont="1" applyFill="1" applyBorder="1" applyAlignment="1">
      <alignment/>
    </xf>
    <xf numFmtId="0" fontId="14" fillId="0" borderId="0" xfId="0" applyFont="1" applyFill="1" applyBorder="1" applyAlignment="1">
      <alignment horizontal="center" vertical="center" textRotation="180"/>
    </xf>
    <xf numFmtId="0" fontId="0" fillId="0" borderId="0" xfId="0" applyFont="1" applyBorder="1" applyAlignment="1">
      <alignment/>
    </xf>
    <xf numFmtId="0" fontId="0" fillId="0" borderId="0" xfId="0" applyFont="1" applyBorder="1" applyAlignment="1">
      <alignment/>
    </xf>
    <xf numFmtId="49" fontId="2" fillId="0" borderId="10" xfId="0" applyNumberFormat="1" applyFont="1" applyFill="1" applyBorder="1" applyAlignment="1">
      <alignment horizontal="justify" vertical="center"/>
    </xf>
    <xf numFmtId="0" fontId="8" fillId="0" borderId="10" xfId="0" applyFont="1" applyFill="1" applyBorder="1" applyAlignment="1">
      <alignment horizontal="justify" vertical="center"/>
    </xf>
    <xf numFmtId="0" fontId="2" fillId="0" borderId="10" xfId="0"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shrinkToFit="1"/>
    </xf>
    <xf numFmtId="4" fontId="5"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49" fontId="1" fillId="0" borderId="11" xfId="0" applyNumberFormat="1" applyFont="1" applyFill="1" applyBorder="1" applyAlignment="1">
      <alignment horizontal="justify" vertical="center" wrapText="1"/>
    </xf>
    <xf numFmtId="49" fontId="1" fillId="32" borderId="11" xfId="0" applyNumberFormat="1" applyFont="1" applyFill="1" applyBorder="1" applyAlignment="1">
      <alignment horizontal="justify" vertical="center" wrapText="1"/>
    </xf>
    <xf numFmtId="0" fontId="7" fillId="0" borderId="10" xfId="0" applyFont="1" applyFill="1" applyBorder="1" applyAlignment="1">
      <alignment horizontal="left" vertical="top" wrapText="1"/>
    </xf>
    <xf numFmtId="0" fontId="14" fillId="0" borderId="0" xfId="0" applyFont="1" applyFill="1" applyAlignment="1">
      <alignment horizontal="justify"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8" fillId="0" borderId="10" xfId="0" applyFont="1" applyFill="1" applyBorder="1" applyAlignment="1">
      <alignment horizontal="left" vertical="top" wrapText="1"/>
    </xf>
    <xf numFmtId="0" fontId="8" fillId="0" borderId="10" xfId="0" applyFont="1" applyFill="1" applyBorder="1" applyAlignment="1">
      <alignment horizontal="justify" vertical="center"/>
    </xf>
    <xf numFmtId="0" fontId="4" fillId="0" borderId="10" xfId="0" applyFont="1" applyFill="1" applyBorder="1" applyAlignment="1">
      <alignment horizontal="justify" vertical="center" wrapText="1"/>
    </xf>
    <xf numFmtId="0" fontId="4" fillId="0" borderId="10" xfId="0"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201" fontId="8" fillId="0" borderId="0" xfId="0" applyNumberFormat="1" applyFont="1" applyFill="1" applyBorder="1" applyAlignment="1">
      <alignment horizontal="right" vertical="center"/>
    </xf>
    <xf numFmtId="0" fontId="3" fillId="0" borderId="0" xfId="0" applyFont="1" applyFill="1" applyAlignment="1">
      <alignment horizontal="center" vertical="center"/>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4" fillId="0" borderId="10" xfId="0" applyFont="1" applyFill="1" applyBorder="1" applyAlignment="1">
      <alignment vertical="top" wrapText="1"/>
    </xf>
    <xf numFmtId="201" fontId="8" fillId="0" borderId="12" xfId="0" applyNumberFormat="1" applyFont="1" applyFill="1" applyBorder="1" applyAlignment="1">
      <alignment horizontal="right" vertical="center"/>
    </xf>
    <xf numFmtId="0" fontId="7" fillId="0" borderId="10" xfId="0" applyFont="1" applyFill="1" applyBorder="1" applyAlignment="1">
      <alignment horizontal="left" vertical="center" wrapText="1"/>
    </xf>
    <xf numFmtId="0" fontId="14"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3"/>
  <sheetViews>
    <sheetView tabSelected="1" zoomScaleSheetLayoutView="100" workbookViewId="0" topLeftCell="A1">
      <selection activeCell="I2" sqref="I2:K2"/>
    </sheetView>
  </sheetViews>
  <sheetFormatPr defaultColWidth="9.140625" defaultRowHeight="12.75"/>
  <cols>
    <col min="1" max="1" width="50.28125" style="23" customWidth="1"/>
    <col min="2" max="2" width="10.421875" style="23" customWidth="1"/>
    <col min="3" max="3" width="13.421875" style="23" customWidth="1"/>
    <col min="4" max="4" width="13.8515625" style="23" customWidth="1"/>
    <col min="5" max="5" width="12.28125" style="23" customWidth="1"/>
    <col min="6" max="6" width="13.28125" style="11" customWidth="1"/>
    <col min="7" max="7" width="12.57421875" style="11" customWidth="1"/>
    <col min="8" max="8" width="12.00390625" style="11" customWidth="1"/>
    <col min="9" max="10" width="12.7109375" style="11" customWidth="1"/>
    <col min="11" max="11" width="12.00390625" style="11" customWidth="1"/>
    <col min="12" max="12" width="13.28125" style="23" customWidth="1"/>
    <col min="13" max="14" width="9.140625" style="26" customWidth="1"/>
    <col min="15" max="15" width="12.7109375" style="26" bestFit="1" customWidth="1"/>
    <col min="16" max="16384" width="9.140625" style="26" customWidth="1"/>
  </cols>
  <sheetData>
    <row r="1" spans="1:11" s="23" customFormat="1" ht="12.75">
      <c r="A1" s="22"/>
      <c r="B1" s="22"/>
      <c r="C1" s="22"/>
      <c r="D1" s="22"/>
      <c r="E1" s="22"/>
      <c r="F1" s="11"/>
      <c r="G1" s="11"/>
      <c r="H1" s="11"/>
      <c r="I1" s="11"/>
      <c r="J1" s="11"/>
      <c r="K1" s="11"/>
    </row>
    <row r="2" spans="6:12" s="23" customFormat="1" ht="16.5" customHeight="1">
      <c r="F2" s="11"/>
      <c r="G2" s="11"/>
      <c r="H2" s="11"/>
      <c r="I2" s="89" t="s">
        <v>86</v>
      </c>
      <c r="J2" s="89"/>
      <c r="K2" s="89"/>
      <c r="L2" s="49"/>
    </row>
    <row r="3" spans="6:12" s="23" customFormat="1" ht="129" customHeight="1">
      <c r="F3" s="11"/>
      <c r="G3" s="11"/>
      <c r="H3" s="11"/>
      <c r="I3" s="72" t="s">
        <v>138</v>
      </c>
      <c r="J3" s="72"/>
      <c r="K3" s="72"/>
      <c r="L3" s="72"/>
    </row>
    <row r="4" spans="6:12" s="23" customFormat="1" ht="17.25" customHeight="1">
      <c r="F4" s="11"/>
      <c r="G4" s="11"/>
      <c r="H4" s="11"/>
      <c r="I4" s="50" t="s">
        <v>174</v>
      </c>
      <c r="J4" s="51"/>
      <c r="K4" s="51"/>
      <c r="L4" s="52"/>
    </row>
    <row r="5" spans="6:12" s="23" customFormat="1" ht="17.25" customHeight="1">
      <c r="F5" s="11"/>
      <c r="G5" s="11"/>
      <c r="H5" s="11"/>
      <c r="I5" s="50"/>
      <c r="J5" s="51"/>
      <c r="K5" s="51"/>
      <c r="L5" s="52"/>
    </row>
    <row r="6" spans="6:11" s="23" customFormat="1" ht="18" customHeight="1">
      <c r="F6" s="11"/>
      <c r="G6" s="11"/>
      <c r="H6" s="11"/>
      <c r="I6" s="11"/>
      <c r="J6" s="11"/>
      <c r="K6" s="11"/>
    </row>
    <row r="7" spans="1:12" s="23" customFormat="1" ht="18.75" customHeight="1">
      <c r="A7" s="83" t="s">
        <v>51</v>
      </c>
      <c r="B7" s="83"/>
      <c r="C7" s="83"/>
      <c r="D7" s="83"/>
      <c r="E7" s="83"/>
      <c r="F7" s="83"/>
      <c r="G7" s="83"/>
      <c r="H7" s="83"/>
      <c r="I7" s="83"/>
      <c r="J7" s="83"/>
      <c r="K7" s="83"/>
      <c r="L7" s="83"/>
    </row>
    <row r="8" spans="1:12" s="55" customFormat="1" ht="12.75">
      <c r="A8" s="54" t="s">
        <v>16</v>
      </c>
      <c r="F8" s="56"/>
      <c r="G8" s="56"/>
      <c r="H8" s="56"/>
      <c r="I8" s="56"/>
      <c r="J8" s="56"/>
      <c r="K8" s="56"/>
      <c r="L8" s="57" t="s">
        <v>6</v>
      </c>
    </row>
    <row r="9" spans="1:12" s="55" customFormat="1" ht="18.75" customHeight="1">
      <c r="A9" s="84" t="s">
        <v>134</v>
      </c>
      <c r="B9" s="84" t="s">
        <v>42</v>
      </c>
      <c r="C9" s="85" t="s">
        <v>39</v>
      </c>
      <c r="D9" s="85"/>
      <c r="E9" s="85"/>
      <c r="F9" s="85" t="s">
        <v>43</v>
      </c>
      <c r="G9" s="85"/>
      <c r="H9" s="85"/>
      <c r="I9" s="85" t="s">
        <v>40</v>
      </c>
      <c r="J9" s="85"/>
      <c r="K9" s="85"/>
      <c r="L9" s="84" t="s">
        <v>20</v>
      </c>
    </row>
    <row r="10" spans="1:12" s="55" customFormat="1" ht="24.75" customHeight="1">
      <c r="A10" s="84"/>
      <c r="B10" s="84"/>
      <c r="C10" s="84" t="s">
        <v>17</v>
      </c>
      <c r="D10" s="84" t="s">
        <v>0</v>
      </c>
      <c r="E10" s="84"/>
      <c r="F10" s="84" t="s">
        <v>17</v>
      </c>
      <c r="G10" s="84" t="s">
        <v>0</v>
      </c>
      <c r="H10" s="84"/>
      <c r="I10" s="84" t="s">
        <v>17</v>
      </c>
      <c r="J10" s="84" t="s">
        <v>0</v>
      </c>
      <c r="K10" s="84"/>
      <c r="L10" s="84"/>
    </row>
    <row r="11" spans="1:12" s="55" customFormat="1" ht="32.25" customHeight="1">
      <c r="A11" s="84"/>
      <c r="B11" s="84"/>
      <c r="C11" s="84"/>
      <c r="D11" s="1" t="s">
        <v>68</v>
      </c>
      <c r="E11" s="1" t="s">
        <v>67</v>
      </c>
      <c r="F11" s="84"/>
      <c r="G11" s="1" t="s">
        <v>68</v>
      </c>
      <c r="H11" s="1" t="s">
        <v>67</v>
      </c>
      <c r="I11" s="84"/>
      <c r="J11" s="1" t="s">
        <v>68</v>
      </c>
      <c r="K11" s="1" t="s">
        <v>67</v>
      </c>
      <c r="L11" s="84"/>
    </row>
    <row r="12" spans="1:12" s="55" customFormat="1" ht="14.25" customHeight="1">
      <c r="A12" s="12">
        <v>1</v>
      </c>
      <c r="B12" s="12">
        <v>2</v>
      </c>
      <c r="C12" s="12">
        <v>3</v>
      </c>
      <c r="D12" s="12">
        <v>4</v>
      </c>
      <c r="E12" s="12">
        <v>5</v>
      </c>
      <c r="F12" s="12">
        <v>6</v>
      </c>
      <c r="G12" s="12">
        <v>7</v>
      </c>
      <c r="H12" s="12">
        <v>8</v>
      </c>
      <c r="I12" s="12">
        <v>9</v>
      </c>
      <c r="J12" s="2">
        <v>10</v>
      </c>
      <c r="K12" s="2">
        <v>11</v>
      </c>
      <c r="L12" s="2">
        <v>12</v>
      </c>
    </row>
    <row r="13" spans="1:15" s="55" customFormat="1" ht="30.75" customHeight="1">
      <c r="A13" s="13" t="s">
        <v>1</v>
      </c>
      <c r="B13" s="2"/>
      <c r="C13" s="3">
        <f>SUM(C16,C22,C80,C84,C98,C121,C125,C158,C162,C167,C132,C140,C192)</f>
        <v>32921871</v>
      </c>
      <c r="D13" s="3">
        <f>SUM(D16,D22,D80,D84,D98,D121,D125,D158,D162,D167,D132,D140,D192)</f>
        <v>32139871</v>
      </c>
      <c r="E13" s="3">
        <f>SUM(E16,E22,E80,E84,E98,E121,E125,E158,E162,E167)</f>
        <v>747000</v>
      </c>
      <c r="F13" s="3">
        <f aca="true" t="shared" si="0" ref="F13:K13">SUM(F16,F22,F80,F84,F98,F121,F125,F158,F162,F167,F132,F140,F192)</f>
        <v>48153122</v>
      </c>
      <c r="G13" s="3">
        <f t="shared" si="0"/>
        <v>47959870</v>
      </c>
      <c r="H13" s="3">
        <f t="shared" si="0"/>
        <v>154612</v>
      </c>
      <c r="I13" s="3">
        <f t="shared" si="0"/>
        <v>10171192</v>
      </c>
      <c r="J13" s="3">
        <f t="shared" si="0"/>
        <v>9969654</v>
      </c>
      <c r="K13" s="3">
        <f t="shared" si="0"/>
        <v>160000</v>
      </c>
      <c r="L13" s="9"/>
      <c r="O13" s="58"/>
    </row>
    <row r="14" spans="1:12" s="55" customFormat="1" ht="22.5" customHeight="1">
      <c r="A14" s="80" t="s">
        <v>13</v>
      </c>
      <c r="B14" s="80"/>
      <c r="C14" s="80"/>
      <c r="D14" s="80"/>
      <c r="E14" s="80"/>
      <c r="F14" s="80"/>
      <c r="G14" s="80"/>
      <c r="H14" s="80"/>
      <c r="I14" s="80"/>
      <c r="J14" s="80"/>
      <c r="K14" s="80"/>
      <c r="L14" s="80"/>
    </row>
    <row r="15" spans="1:12" s="55" customFormat="1" ht="33" customHeight="1">
      <c r="A15" s="77" t="s">
        <v>14</v>
      </c>
      <c r="B15" s="77"/>
      <c r="C15" s="77"/>
      <c r="D15" s="77"/>
      <c r="E15" s="77"/>
      <c r="F15" s="77"/>
      <c r="G15" s="77"/>
      <c r="H15" s="77"/>
      <c r="I15" s="77"/>
      <c r="J15" s="77"/>
      <c r="K15" s="77"/>
      <c r="L15" s="77"/>
    </row>
    <row r="16" spans="1:12" s="55" customFormat="1" ht="12.75">
      <c r="A16" s="13" t="s">
        <v>2</v>
      </c>
      <c r="B16" s="2"/>
      <c r="C16" s="3">
        <v>35000</v>
      </c>
      <c r="D16" s="3">
        <f>SUM(D17,D18)</f>
        <v>0</v>
      </c>
      <c r="E16" s="3">
        <f aca="true" t="shared" si="1" ref="E16:K16">SUM(E17,E18)</f>
        <v>0</v>
      </c>
      <c r="F16" s="3">
        <f t="shared" si="1"/>
        <v>38640</v>
      </c>
      <c r="G16" s="3">
        <f t="shared" si="1"/>
        <v>0</v>
      </c>
      <c r="H16" s="3">
        <f t="shared" si="1"/>
        <v>0</v>
      </c>
      <c r="I16" s="3">
        <f t="shared" si="1"/>
        <v>41538</v>
      </c>
      <c r="J16" s="3">
        <f t="shared" si="1"/>
        <v>0</v>
      </c>
      <c r="K16" s="3">
        <f t="shared" si="1"/>
        <v>0</v>
      </c>
      <c r="L16" s="9"/>
    </row>
    <row r="17" spans="1:12" s="55" customFormat="1" ht="82.5" customHeight="1">
      <c r="A17" s="9" t="s">
        <v>139</v>
      </c>
      <c r="B17" s="1" t="s">
        <v>9</v>
      </c>
      <c r="C17" s="3">
        <v>0</v>
      </c>
      <c r="D17" s="4">
        <v>0</v>
      </c>
      <c r="E17" s="4">
        <v>0</v>
      </c>
      <c r="F17" s="3">
        <v>0</v>
      </c>
      <c r="G17" s="4">
        <v>0</v>
      </c>
      <c r="H17" s="4">
        <v>0</v>
      </c>
      <c r="I17" s="3">
        <v>0</v>
      </c>
      <c r="J17" s="4">
        <v>0</v>
      </c>
      <c r="K17" s="4">
        <v>0</v>
      </c>
      <c r="L17" s="10" t="s">
        <v>52</v>
      </c>
    </row>
    <row r="18" spans="1:12" s="55" customFormat="1" ht="57.75" customHeight="1">
      <c r="A18" s="14" t="s">
        <v>18</v>
      </c>
      <c r="B18" s="1" t="s">
        <v>10</v>
      </c>
      <c r="C18" s="3">
        <v>35000</v>
      </c>
      <c r="D18" s="4">
        <v>0</v>
      </c>
      <c r="E18" s="4">
        <v>0</v>
      </c>
      <c r="F18" s="3">
        <f>ROUND(C18*1.104,0)</f>
        <v>38640</v>
      </c>
      <c r="G18" s="4">
        <v>0</v>
      </c>
      <c r="H18" s="4">
        <v>0</v>
      </c>
      <c r="I18" s="3">
        <f>ROUND(F18*1.075,0)</f>
        <v>41538</v>
      </c>
      <c r="J18" s="4">
        <v>0</v>
      </c>
      <c r="K18" s="4">
        <v>0</v>
      </c>
      <c r="L18" s="10" t="s">
        <v>53</v>
      </c>
    </row>
    <row r="19" spans="1:12" s="55" customFormat="1" ht="22.5" customHeight="1">
      <c r="A19" s="71" t="s">
        <v>141</v>
      </c>
      <c r="B19" s="71"/>
      <c r="C19" s="71"/>
      <c r="D19" s="71"/>
      <c r="E19" s="71"/>
      <c r="F19" s="71"/>
      <c r="G19" s="71"/>
      <c r="H19" s="71"/>
      <c r="I19" s="71"/>
      <c r="J19" s="71"/>
      <c r="K19" s="71"/>
      <c r="L19" s="71"/>
    </row>
    <row r="20" spans="1:12" s="55" customFormat="1" ht="24" customHeight="1">
      <c r="A20" s="86" t="s">
        <v>15</v>
      </c>
      <c r="B20" s="86"/>
      <c r="C20" s="86"/>
      <c r="D20" s="86"/>
      <c r="E20" s="86"/>
      <c r="F20" s="86"/>
      <c r="G20" s="86"/>
      <c r="H20" s="86"/>
      <c r="I20" s="86"/>
      <c r="J20" s="86"/>
      <c r="K20" s="86"/>
      <c r="L20" s="86"/>
    </row>
    <row r="21" spans="1:12" s="55" customFormat="1" ht="21.75" customHeight="1">
      <c r="A21" s="77" t="s">
        <v>19</v>
      </c>
      <c r="B21" s="77"/>
      <c r="C21" s="77"/>
      <c r="D21" s="77"/>
      <c r="E21" s="77"/>
      <c r="F21" s="77"/>
      <c r="G21" s="77"/>
      <c r="H21" s="77"/>
      <c r="I21" s="77"/>
      <c r="J21" s="77"/>
      <c r="K21" s="77"/>
      <c r="L21" s="77"/>
    </row>
    <row r="22" spans="1:12" s="55" customFormat="1" ht="24" customHeight="1">
      <c r="A22" s="15" t="s">
        <v>63</v>
      </c>
      <c r="B22" s="24"/>
      <c r="C22" s="5">
        <f>E22+D22</f>
        <v>7015216</v>
      </c>
      <c r="D22" s="5">
        <f>D23+D55+D70+D76+D71+D75</f>
        <v>7015216</v>
      </c>
      <c r="E22" s="5">
        <f>E23+E55+E70+E76</f>
        <v>0</v>
      </c>
      <c r="F22" s="5">
        <f>F23+F55+F70+F76+F71+F75</f>
        <v>5908305</v>
      </c>
      <c r="G22" s="5">
        <f>G23+G55+G70+G76+G71+G75</f>
        <v>5908305</v>
      </c>
      <c r="H22" s="5">
        <f>H23+H55+H70+H76</f>
        <v>0</v>
      </c>
      <c r="I22" s="3">
        <f>J22+K22</f>
        <v>5173343</v>
      </c>
      <c r="J22" s="3">
        <f>J23+J55+J70+J76</f>
        <v>5173343</v>
      </c>
      <c r="K22" s="3">
        <f>K23+K55+K70+K76</f>
        <v>0</v>
      </c>
      <c r="L22" s="29"/>
    </row>
    <row r="23" spans="1:12" s="55" customFormat="1" ht="27" customHeight="1">
      <c r="A23" s="9" t="s">
        <v>21</v>
      </c>
      <c r="B23" s="24"/>
      <c r="C23" s="5">
        <f>D23+E23</f>
        <v>6380696</v>
      </c>
      <c r="D23" s="5">
        <f>+D27+D28+D29+D30+D31+D32+D33+D34+D35+D36+D37+D44+D45+D46+D38+D42+D43</f>
        <v>6380696</v>
      </c>
      <c r="E23" s="5">
        <f>+E27+E28+E29+E30+E31+E32+E33+E34+E35+E36+E37+E44+E45+E46</f>
        <v>0</v>
      </c>
      <c r="F23" s="3">
        <f>G23+H23</f>
        <v>5309728</v>
      </c>
      <c r="G23" s="5">
        <f>+G27+G28+G29+G30+G31+G32+G33+G34+G35+G36+G37+G44+G45+G46+G47+G48+G49+G50+G51+G52+G53+G54</f>
        <v>5309728</v>
      </c>
      <c r="H23" s="5">
        <f>+H27+H28+H29+H30+H31+H32+H33+H34+H35+H36+H37+H44+H45+H46</f>
        <v>0</v>
      </c>
      <c r="I23" s="3">
        <f>J23+K23</f>
        <v>4534662</v>
      </c>
      <c r="J23" s="5">
        <f>+J27+J28+J29+J30+J31+J32+J33+J34+J35+J36+J37+J44+J45+J46+J47</f>
        <v>4534662</v>
      </c>
      <c r="K23" s="5">
        <f>+K27+K28+K29+K30+K31+K32+K33+K34+K35+K36+K37+K44+K45+K46</f>
        <v>0</v>
      </c>
      <c r="L23" s="29"/>
    </row>
    <row r="24" spans="1:12" s="55" customFormat="1" ht="12" customHeight="1">
      <c r="A24" s="42"/>
      <c r="B24" s="43"/>
      <c r="C24" s="44"/>
      <c r="D24" s="45"/>
      <c r="E24" s="45"/>
      <c r="F24" s="40"/>
      <c r="G24" s="41"/>
      <c r="H24" s="45"/>
      <c r="I24" s="44"/>
      <c r="J24" s="41"/>
      <c r="K24" s="45"/>
      <c r="L24" s="46"/>
    </row>
    <row r="25" spans="1:15" s="60" customFormat="1" ht="23.25" customHeight="1">
      <c r="A25" s="8"/>
      <c r="B25" s="33"/>
      <c r="C25" s="34"/>
      <c r="D25" s="34"/>
      <c r="E25" s="34"/>
      <c r="F25" s="34"/>
      <c r="G25" s="34"/>
      <c r="H25" s="34"/>
      <c r="I25" s="82" t="s">
        <v>103</v>
      </c>
      <c r="J25" s="82"/>
      <c r="K25" s="82"/>
      <c r="L25" s="82"/>
      <c r="M25" s="33"/>
      <c r="N25" s="59"/>
      <c r="O25" s="33"/>
    </row>
    <row r="26" spans="1:15" s="60" customFormat="1" ht="14.25">
      <c r="A26" s="10">
        <v>1</v>
      </c>
      <c r="B26" s="35">
        <v>2</v>
      </c>
      <c r="C26" s="36">
        <v>3</v>
      </c>
      <c r="D26" s="36">
        <v>4</v>
      </c>
      <c r="E26" s="36">
        <v>5</v>
      </c>
      <c r="F26" s="36">
        <v>6</v>
      </c>
      <c r="G26" s="36">
        <v>7</v>
      </c>
      <c r="H26" s="36">
        <v>8</v>
      </c>
      <c r="I26" s="36">
        <v>9</v>
      </c>
      <c r="J26" s="36">
        <v>10</v>
      </c>
      <c r="K26" s="36">
        <v>11</v>
      </c>
      <c r="L26" s="36">
        <v>12</v>
      </c>
      <c r="M26" s="33"/>
      <c r="N26" s="59"/>
      <c r="O26" s="33"/>
    </row>
    <row r="27" spans="1:12" s="55" customFormat="1" ht="43.5" customHeight="1">
      <c r="A27" s="16" t="s">
        <v>23</v>
      </c>
      <c r="B27" s="1" t="s">
        <v>12</v>
      </c>
      <c r="C27" s="5">
        <f aca="true" t="shared" si="2" ref="C27:C76">D27+E27</f>
        <v>2190000</v>
      </c>
      <c r="D27" s="6">
        <v>2190000</v>
      </c>
      <c r="E27" s="6">
        <v>0</v>
      </c>
      <c r="F27" s="3">
        <f>+G27+H27</f>
        <v>3400000</v>
      </c>
      <c r="G27" s="4">
        <f>1900000+500000+500000+500000</f>
        <v>3400000</v>
      </c>
      <c r="H27" s="6">
        <v>0</v>
      </c>
      <c r="I27" s="5">
        <f>J27+K27</f>
        <v>3627800</v>
      </c>
      <c r="J27" s="4">
        <f>ROUND(G27*1.067,0)</f>
        <v>3627800</v>
      </c>
      <c r="K27" s="6">
        <v>0</v>
      </c>
      <c r="L27" s="10" t="s">
        <v>53</v>
      </c>
    </row>
    <row r="28" spans="1:12" s="55" customFormat="1" ht="39.75" customHeight="1">
      <c r="A28" s="7" t="s">
        <v>5</v>
      </c>
      <c r="B28" s="1" t="s">
        <v>12</v>
      </c>
      <c r="C28" s="5">
        <f t="shared" si="2"/>
        <v>316773</v>
      </c>
      <c r="D28" s="6">
        <v>316773</v>
      </c>
      <c r="E28" s="6">
        <v>0</v>
      </c>
      <c r="F28" s="3">
        <f>+G28+H28</f>
        <v>377874</v>
      </c>
      <c r="G28" s="4">
        <v>377874</v>
      </c>
      <c r="H28" s="6">
        <v>0</v>
      </c>
      <c r="I28" s="5">
        <f>J28+K28</f>
        <v>403192</v>
      </c>
      <c r="J28" s="4">
        <f>ROUND(G28*1.067,0)</f>
        <v>403192</v>
      </c>
      <c r="K28" s="6">
        <v>0</v>
      </c>
      <c r="L28" s="10" t="s">
        <v>53</v>
      </c>
    </row>
    <row r="29" spans="1:12" s="55" customFormat="1" ht="67.5" customHeight="1">
      <c r="A29" s="30" t="s">
        <v>98</v>
      </c>
      <c r="B29" s="1" t="s">
        <v>12</v>
      </c>
      <c r="C29" s="3">
        <f t="shared" si="2"/>
        <v>1087970</v>
      </c>
      <c r="D29" s="4">
        <v>1087970</v>
      </c>
      <c r="E29" s="25">
        <v>0</v>
      </c>
      <c r="F29" s="3">
        <v>0</v>
      </c>
      <c r="G29" s="4">
        <v>0</v>
      </c>
      <c r="H29" s="6">
        <v>0</v>
      </c>
      <c r="I29" s="5">
        <v>0</v>
      </c>
      <c r="J29" s="4">
        <v>0</v>
      </c>
      <c r="K29" s="6">
        <v>0</v>
      </c>
      <c r="L29" s="10" t="s">
        <v>48</v>
      </c>
    </row>
    <row r="30" spans="1:12" s="55" customFormat="1" ht="45" customHeight="1">
      <c r="A30" s="16" t="s">
        <v>73</v>
      </c>
      <c r="B30" s="1" t="s">
        <v>12</v>
      </c>
      <c r="C30" s="3">
        <f t="shared" si="2"/>
        <v>150000</v>
      </c>
      <c r="D30" s="4">
        <v>150000</v>
      </c>
      <c r="E30" s="25">
        <v>0</v>
      </c>
      <c r="F30" s="3">
        <v>0</v>
      </c>
      <c r="G30" s="4">
        <v>0</v>
      </c>
      <c r="H30" s="6">
        <v>0</v>
      </c>
      <c r="I30" s="5">
        <v>0</v>
      </c>
      <c r="J30" s="4">
        <v>0</v>
      </c>
      <c r="K30" s="6">
        <v>0</v>
      </c>
      <c r="L30" s="10" t="s">
        <v>48</v>
      </c>
    </row>
    <row r="31" spans="1:12" s="55" customFormat="1" ht="39.75" customHeight="1">
      <c r="A31" s="16" t="s">
        <v>131</v>
      </c>
      <c r="B31" s="1" t="s">
        <v>12</v>
      </c>
      <c r="C31" s="3">
        <f t="shared" si="2"/>
        <v>4028</v>
      </c>
      <c r="D31" s="4">
        <v>4028</v>
      </c>
      <c r="E31" s="4">
        <v>0</v>
      </c>
      <c r="F31" s="3">
        <f>+G31+H31</f>
        <v>14111</v>
      </c>
      <c r="G31" s="4">
        <f>5520+8591</f>
        <v>14111</v>
      </c>
      <c r="H31" s="6">
        <v>0</v>
      </c>
      <c r="I31" s="5">
        <f aca="true" t="shared" si="3" ref="I31:I49">J31+K31</f>
        <v>15056</v>
      </c>
      <c r="J31" s="4">
        <f>ROUND(G31*1.067,0)</f>
        <v>15056</v>
      </c>
      <c r="K31" s="6">
        <v>0</v>
      </c>
      <c r="L31" s="10" t="s">
        <v>53</v>
      </c>
    </row>
    <row r="32" spans="1:12" s="56" customFormat="1" ht="51" customHeight="1">
      <c r="A32" s="16" t="s">
        <v>74</v>
      </c>
      <c r="B32" s="1" t="s">
        <v>12</v>
      </c>
      <c r="C32" s="3">
        <f t="shared" si="2"/>
        <v>190000</v>
      </c>
      <c r="D32" s="4">
        <f>60000+130000</f>
        <v>190000</v>
      </c>
      <c r="E32" s="4">
        <v>0</v>
      </c>
      <c r="F32" s="3">
        <f>G32+H32</f>
        <v>0</v>
      </c>
      <c r="G32" s="4">
        <v>0</v>
      </c>
      <c r="H32" s="6">
        <v>0</v>
      </c>
      <c r="I32" s="5">
        <f t="shared" si="3"/>
        <v>0</v>
      </c>
      <c r="J32" s="4">
        <v>0</v>
      </c>
      <c r="K32" s="6">
        <v>0</v>
      </c>
      <c r="L32" s="10" t="s">
        <v>48</v>
      </c>
    </row>
    <row r="33" spans="1:12" s="56" customFormat="1" ht="42.75" customHeight="1">
      <c r="A33" s="16" t="s">
        <v>75</v>
      </c>
      <c r="B33" s="1" t="s">
        <v>12</v>
      </c>
      <c r="C33" s="3">
        <f t="shared" si="2"/>
        <v>3680</v>
      </c>
      <c r="D33" s="4">
        <v>3680</v>
      </c>
      <c r="E33" s="4">
        <v>0</v>
      </c>
      <c r="F33" s="3">
        <f>G33+H33</f>
        <v>0</v>
      </c>
      <c r="G33" s="4">
        <v>0</v>
      </c>
      <c r="H33" s="6">
        <v>0</v>
      </c>
      <c r="I33" s="5">
        <f t="shared" si="3"/>
        <v>0</v>
      </c>
      <c r="J33" s="4">
        <v>0</v>
      </c>
      <c r="K33" s="6">
        <v>0</v>
      </c>
      <c r="L33" s="10" t="s">
        <v>48</v>
      </c>
    </row>
    <row r="34" spans="1:12" s="56" customFormat="1" ht="54" customHeight="1">
      <c r="A34" s="7" t="s">
        <v>69</v>
      </c>
      <c r="B34" s="1" t="s">
        <v>12</v>
      </c>
      <c r="C34" s="3">
        <f t="shared" si="2"/>
        <v>348611</v>
      </c>
      <c r="D34" s="4">
        <v>348611</v>
      </c>
      <c r="E34" s="4">
        <v>0</v>
      </c>
      <c r="F34" s="3">
        <f>G34+H34</f>
        <v>0</v>
      </c>
      <c r="G34" s="4">
        <v>0</v>
      </c>
      <c r="H34" s="6">
        <v>0</v>
      </c>
      <c r="I34" s="5">
        <f t="shared" si="3"/>
        <v>0</v>
      </c>
      <c r="J34" s="4">
        <f>ROUND(G34*1.055,0)</f>
        <v>0</v>
      </c>
      <c r="K34" s="6">
        <v>0</v>
      </c>
      <c r="L34" s="10" t="s">
        <v>48</v>
      </c>
    </row>
    <row r="35" spans="1:12" s="56" customFormat="1" ht="64.5" customHeight="1">
      <c r="A35" s="17" t="s">
        <v>76</v>
      </c>
      <c r="B35" s="1" t="s">
        <v>12</v>
      </c>
      <c r="C35" s="3">
        <f t="shared" si="2"/>
        <v>22680</v>
      </c>
      <c r="D35" s="4">
        <v>22680</v>
      </c>
      <c r="E35" s="4">
        <v>0</v>
      </c>
      <c r="F35" s="3">
        <f>G35+H35</f>
        <v>0</v>
      </c>
      <c r="G35" s="4">
        <v>0</v>
      </c>
      <c r="H35" s="6">
        <v>0</v>
      </c>
      <c r="I35" s="5">
        <f t="shared" si="3"/>
        <v>0</v>
      </c>
      <c r="J35" s="4">
        <v>0</v>
      </c>
      <c r="K35" s="6">
        <v>0</v>
      </c>
      <c r="L35" s="10" t="s">
        <v>48</v>
      </c>
    </row>
    <row r="36" spans="1:12" s="56" customFormat="1" ht="68.25" customHeight="1">
      <c r="A36" s="16" t="s">
        <v>77</v>
      </c>
      <c r="B36" s="1" t="s">
        <v>12</v>
      </c>
      <c r="C36" s="3">
        <f t="shared" si="2"/>
        <v>19941</v>
      </c>
      <c r="D36" s="4">
        <v>19941</v>
      </c>
      <c r="E36" s="4">
        <v>0</v>
      </c>
      <c r="F36" s="3">
        <f>G36+H36</f>
        <v>0</v>
      </c>
      <c r="G36" s="4">
        <v>0</v>
      </c>
      <c r="H36" s="6">
        <v>0</v>
      </c>
      <c r="I36" s="5">
        <f t="shared" si="3"/>
        <v>0</v>
      </c>
      <c r="J36" s="4">
        <v>0</v>
      </c>
      <c r="K36" s="6">
        <v>0</v>
      </c>
      <c r="L36" s="10" t="s">
        <v>48</v>
      </c>
    </row>
    <row r="37" spans="1:12" s="56" customFormat="1" ht="105" customHeight="1">
      <c r="A37" s="31" t="s">
        <v>78</v>
      </c>
      <c r="B37" s="1" t="s">
        <v>12</v>
      </c>
      <c r="C37" s="3">
        <f t="shared" si="2"/>
        <v>1149360</v>
      </c>
      <c r="D37" s="4">
        <v>1149360</v>
      </c>
      <c r="E37" s="4">
        <v>0</v>
      </c>
      <c r="F37" s="3">
        <v>0</v>
      </c>
      <c r="G37" s="4">
        <v>0</v>
      </c>
      <c r="H37" s="6">
        <v>0</v>
      </c>
      <c r="I37" s="5">
        <v>0</v>
      </c>
      <c r="J37" s="4">
        <v>0</v>
      </c>
      <c r="K37" s="6">
        <v>0</v>
      </c>
      <c r="L37" s="10" t="s">
        <v>48</v>
      </c>
    </row>
    <row r="38" spans="1:12" s="56" customFormat="1" ht="44.25" customHeight="1">
      <c r="A38" s="31" t="s">
        <v>117</v>
      </c>
      <c r="B38" s="1" t="s">
        <v>12</v>
      </c>
      <c r="C38" s="3">
        <f t="shared" si="2"/>
        <v>375000</v>
      </c>
      <c r="D38" s="4">
        <v>375000</v>
      </c>
      <c r="E38" s="4">
        <v>0</v>
      </c>
      <c r="F38" s="3">
        <v>0</v>
      </c>
      <c r="G38" s="4">
        <v>0</v>
      </c>
      <c r="H38" s="6">
        <v>0</v>
      </c>
      <c r="I38" s="5">
        <v>0</v>
      </c>
      <c r="J38" s="4">
        <v>0</v>
      </c>
      <c r="K38" s="6">
        <v>0</v>
      </c>
      <c r="L38" s="10" t="s">
        <v>48</v>
      </c>
    </row>
    <row r="39" spans="1:12" s="55" customFormat="1" ht="8.25" customHeight="1">
      <c r="A39" s="42"/>
      <c r="B39" s="43"/>
      <c r="C39" s="44"/>
      <c r="D39" s="45"/>
      <c r="E39" s="45"/>
      <c r="F39" s="40"/>
      <c r="G39" s="41"/>
      <c r="H39" s="45"/>
      <c r="I39" s="44"/>
      <c r="J39" s="41"/>
      <c r="K39" s="45"/>
      <c r="L39" s="46"/>
    </row>
    <row r="40" spans="1:15" s="60" customFormat="1" ht="18.75" customHeight="1">
      <c r="A40" s="8"/>
      <c r="B40" s="33"/>
      <c r="C40" s="34"/>
      <c r="D40" s="34"/>
      <c r="E40" s="34"/>
      <c r="F40" s="34"/>
      <c r="G40" s="34"/>
      <c r="H40" s="34"/>
      <c r="I40" s="82" t="s">
        <v>103</v>
      </c>
      <c r="J40" s="82"/>
      <c r="K40" s="82"/>
      <c r="L40" s="82"/>
      <c r="M40" s="33"/>
      <c r="N40" s="59"/>
      <c r="O40" s="33"/>
    </row>
    <row r="41" spans="1:15" s="60" customFormat="1" ht="14.25">
      <c r="A41" s="10">
        <v>1</v>
      </c>
      <c r="B41" s="35">
        <v>2</v>
      </c>
      <c r="C41" s="36">
        <v>3</v>
      </c>
      <c r="D41" s="36">
        <v>4</v>
      </c>
      <c r="E41" s="36">
        <v>5</v>
      </c>
      <c r="F41" s="36">
        <v>6</v>
      </c>
      <c r="G41" s="36">
        <v>7</v>
      </c>
      <c r="H41" s="36">
        <v>8</v>
      </c>
      <c r="I41" s="36">
        <v>9</v>
      </c>
      <c r="J41" s="36">
        <v>10</v>
      </c>
      <c r="K41" s="36">
        <v>11</v>
      </c>
      <c r="L41" s="36">
        <v>12</v>
      </c>
      <c r="M41" s="33"/>
      <c r="N41" s="59"/>
      <c r="O41" s="33"/>
    </row>
    <row r="42" spans="1:12" s="56" customFormat="1" ht="52.5" customHeight="1">
      <c r="A42" s="7" t="s">
        <v>118</v>
      </c>
      <c r="B42" s="1" t="s">
        <v>12</v>
      </c>
      <c r="C42" s="3">
        <f t="shared" si="2"/>
        <v>372653</v>
      </c>
      <c r="D42" s="4">
        <v>372653</v>
      </c>
      <c r="E42" s="4">
        <v>0</v>
      </c>
      <c r="F42" s="3">
        <v>0</v>
      </c>
      <c r="G42" s="4">
        <v>0</v>
      </c>
      <c r="H42" s="6">
        <v>0</v>
      </c>
      <c r="I42" s="5">
        <v>0</v>
      </c>
      <c r="J42" s="4">
        <v>0</v>
      </c>
      <c r="K42" s="6">
        <v>0</v>
      </c>
      <c r="L42" s="10" t="s">
        <v>48</v>
      </c>
    </row>
    <row r="43" spans="1:12" s="56" customFormat="1" ht="36.75" customHeight="1">
      <c r="A43" s="17" t="s">
        <v>119</v>
      </c>
      <c r="B43" s="1" t="s">
        <v>12</v>
      </c>
      <c r="C43" s="3">
        <f t="shared" si="2"/>
        <v>150000</v>
      </c>
      <c r="D43" s="4">
        <v>150000</v>
      </c>
      <c r="E43" s="4">
        <v>0</v>
      </c>
      <c r="F43" s="3">
        <v>0</v>
      </c>
      <c r="G43" s="4">
        <v>0</v>
      </c>
      <c r="H43" s="6">
        <v>0</v>
      </c>
      <c r="I43" s="5">
        <v>0</v>
      </c>
      <c r="J43" s="4">
        <v>0</v>
      </c>
      <c r="K43" s="6">
        <v>0</v>
      </c>
      <c r="L43" s="10" t="s">
        <v>48</v>
      </c>
    </row>
    <row r="44" spans="1:12" s="56" customFormat="1" ht="39" customHeight="1">
      <c r="A44" s="17" t="s">
        <v>54</v>
      </c>
      <c r="B44" s="1" t="s">
        <v>12</v>
      </c>
      <c r="C44" s="3">
        <f t="shared" si="2"/>
        <v>0</v>
      </c>
      <c r="D44" s="4">
        <v>0</v>
      </c>
      <c r="E44" s="4">
        <v>0</v>
      </c>
      <c r="F44" s="3">
        <f aca="true" t="shared" si="4" ref="F44:F55">G44+H44</f>
        <v>17458</v>
      </c>
      <c r="G44" s="4">
        <f>14964+2494</f>
        <v>17458</v>
      </c>
      <c r="H44" s="6">
        <v>0</v>
      </c>
      <c r="I44" s="5">
        <f t="shared" si="3"/>
        <v>18628</v>
      </c>
      <c r="J44" s="4">
        <f>ROUND(G44*1.067,0)</f>
        <v>18628</v>
      </c>
      <c r="K44" s="6">
        <v>0</v>
      </c>
      <c r="L44" s="10" t="s">
        <v>48</v>
      </c>
    </row>
    <row r="45" spans="1:12" s="56" customFormat="1" ht="39" customHeight="1">
      <c r="A45" s="17" t="s">
        <v>70</v>
      </c>
      <c r="B45" s="1" t="s">
        <v>12</v>
      </c>
      <c r="C45" s="3">
        <f t="shared" si="2"/>
        <v>0</v>
      </c>
      <c r="D45" s="4">
        <v>0</v>
      </c>
      <c r="E45" s="4">
        <v>0</v>
      </c>
      <c r="F45" s="3">
        <f t="shared" si="4"/>
        <v>39468</v>
      </c>
      <c r="G45" s="4">
        <v>39468</v>
      </c>
      <c r="H45" s="6">
        <v>0</v>
      </c>
      <c r="I45" s="5">
        <f t="shared" si="3"/>
        <v>42112</v>
      </c>
      <c r="J45" s="4">
        <f>ROUND(G45*1.067,0)</f>
        <v>42112</v>
      </c>
      <c r="K45" s="6">
        <v>0</v>
      </c>
      <c r="L45" s="10" t="s">
        <v>48</v>
      </c>
    </row>
    <row r="46" spans="1:12" s="56" customFormat="1" ht="54" customHeight="1">
      <c r="A46" s="17" t="s">
        <v>124</v>
      </c>
      <c r="B46" s="1" t="s">
        <v>12</v>
      </c>
      <c r="C46" s="3">
        <f t="shared" si="2"/>
        <v>0</v>
      </c>
      <c r="D46" s="4">
        <v>0</v>
      </c>
      <c r="E46" s="4">
        <v>0</v>
      </c>
      <c r="F46" s="3">
        <f t="shared" si="4"/>
        <v>300000</v>
      </c>
      <c r="G46" s="4">
        <v>300000</v>
      </c>
      <c r="H46" s="6">
        <v>0</v>
      </c>
      <c r="I46" s="5">
        <f t="shared" si="3"/>
        <v>320100</v>
      </c>
      <c r="J46" s="4">
        <f>ROUND(G46*1.067,0)</f>
        <v>320100</v>
      </c>
      <c r="K46" s="6">
        <v>0</v>
      </c>
      <c r="L46" s="10" t="s">
        <v>48</v>
      </c>
    </row>
    <row r="47" spans="1:12" s="56" customFormat="1" ht="42.75" customHeight="1">
      <c r="A47" s="17" t="s">
        <v>123</v>
      </c>
      <c r="B47" s="1" t="s">
        <v>12</v>
      </c>
      <c r="C47" s="3">
        <f t="shared" si="2"/>
        <v>0</v>
      </c>
      <c r="D47" s="4">
        <v>0</v>
      </c>
      <c r="E47" s="4">
        <v>0</v>
      </c>
      <c r="F47" s="3">
        <f t="shared" si="4"/>
        <v>101007</v>
      </c>
      <c r="G47" s="4">
        <v>101007</v>
      </c>
      <c r="H47" s="6">
        <v>0</v>
      </c>
      <c r="I47" s="5">
        <f t="shared" si="3"/>
        <v>107774</v>
      </c>
      <c r="J47" s="4">
        <f>ROUND(G47*1.067,0)</f>
        <v>107774</v>
      </c>
      <c r="K47" s="6">
        <v>0</v>
      </c>
      <c r="L47" s="10" t="s">
        <v>48</v>
      </c>
    </row>
    <row r="48" spans="1:12" s="56" customFormat="1" ht="39" customHeight="1">
      <c r="A48" s="17" t="s">
        <v>135</v>
      </c>
      <c r="B48" s="1" t="s">
        <v>12</v>
      </c>
      <c r="C48" s="3">
        <f t="shared" si="2"/>
        <v>0</v>
      </c>
      <c r="D48" s="4">
        <v>0</v>
      </c>
      <c r="E48" s="4">
        <v>0</v>
      </c>
      <c r="F48" s="3">
        <f t="shared" si="4"/>
        <v>349500</v>
      </c>
      <c r="G48" s="4">
        <f>322500+27000</f>
        <v>349500</v>
      </c>
      <c r="H48" s="6">
        <v>0</v>
      </c>
      <c r="I48" s="5">
        <f t="shared" si="3"/>
        <v>0</v>
      </c>
      <c r="J48" s="4">
        <v>0</v>
      </c>
      <c r="K48" s="6">
        <v>0</v>
      </c>
      <c r="L48" s="10" t="s">
        <v>48</v>
      </c>
    </row>
    <row r="49" spans="1:12" s="56" customFormat="1" ht="38.25" customHeight="1">
      <c r="A49" s="17" t="s">
        <v>140</v>
      </c>
      <c r="B49" s="1" t="s">
        <v>12</v>
      </c>
      <c r="C49" s="3">
        <f t="shared" si="2"/>
        <v>0</v>
      </c>
      <c r="D49" s="4">
        <v>0</v>
      </c>
      <c r="E49" s="4">
        <v>0</v>
      </c>
      <c r="F49" s="3">
        <f t="shared" si="4"/>
        <v>198000</v>
      </c>
      <c r="G49" s="4">
        <f>1260000-1062000</f>
        <v>198000</v>
      </c>
      <c r="H49" s="6">
        <v>0</v>
      </c>
      <c r="I49" s="5">
        <f t="shared" si="3"/>
        <v>0</v>
      </c>
      <c r="J49" s="4">
        <v>0</v>
      </c>
      <c r="K49" s="6">
        <v>0</v>
      </c>
      <c r="L49" s="10" t="s">
        <v>48</v>
      </c>
    </row>
    <row r="50" spans="1:12" s="56" customFormat="1" ht="53.25" customHeight="1">
      <c r="A50" s="17" t="s">
        <v>164</v>
      </c>
      <c r="B50" s="1" t="s">
        <v>12</v>
      </c>
      <c r="C50" s="3">
        <f>D50+E50</f>
        <v>0</v>
      </c>
      <c r="D50" s="4">
        <v>0</v>
      </c>
      <c r="E50" s="4">
        <v>0</v>
      </c>
      <c r="F50" s="3">
        <f t="shared" si="4"/>
        <v>42310</v>
      </c>
      <c r="G50" s="4">
        <v>42310</v>
      </c>
      <c r="H50" s="6">
        <v>0</v>
      </c>
      <c r="I50" s="5">
        <f aca="true" t="shared" si="5" ref="I50:I55">J50+K50</f>
        <v>0</v>
      </c>
      <c r="J50" s="4">
        <v>0</v>
      </c>
      <c r="K50" s="6">
        <v>0</v>
      </c>
      <c r="L50" s="10" t="s">
        <v>48</v>
      </c>
    </row>
    <row r="51" spans="1:12" s="56" customFormat="1" ht="37.5" customHeight="1">
      <c r="A51" s="31" t="s">
        <v>163</v>
      </c>
      <c r="B51" s="1" t="s">
        <v>12</v>
      </c>
      <c r="C51" s="3">
        <f>D51+E51</f>
        <v>0</v>
      </c>
      <c r="D51" s="4">
        <v>0</v>
      </c>
      <c r="E51" s="4">
        <v>0</v>
      </c>
      <c r="F51" s="3">
        <f t="shared" si="4"/>
        <v>80000</v>
      </c>
      <c r="G51" s="4">
        <v>80000</v>
      </c>
      <c r="H51" s="6">
        <v>0</v>
      </c>
      <c r="I51" s="5">
        <f t="shared" si="5"/>
        <v>0</v>
      </c>
      <c r="J51" s="4">
        <v>0</v>
      </c>
      <c r="K51" s="6">
        <v>0</v>
      </c>
      <c r="L51" s="10" t="s">
        <v>48</v>
      </c>
    </row>
    <row r="52" spans="1:12" s="56" customFormat="1" ht="51.75" customHeight="1">
      <c r="A52" s="17" t="s">
        <v>166</v>
      </c>
      <c r="B52" s="1" t="s">
        <v>12</v>
      </c>
      <c r="C52" s="3">
        <f>D52+E52</f>
        <v>0</v>
      </c>
      <c r="D52" s="4">
        <v>0</v>
      </c>
      <c r="E52" s="4">
        <v>0</v>
      </c>
      <c r="F52" s="3">
        <f t="shared" si="4"/>
        <v>270000</v>
      </c>
      <c r="G52" s="4">
        <v>270000</v>
      </c>
      <c r="H52" s="6">
        <v>0</v>
      </c>
      <c r="I52" s="5">
        <f t="shared" si="5"/>
        <v>0</v>
      </c>
      <c r="J52" s="4">
        <v>0</v>
      </c>
      <c r="K52" s="6">
        <v>0</v>
      </c>
      <c r="L52" s="10" t="s">
        <v>48</v>
      </c>
    </row>
    <row r="53" spans="1:12" s="56" customFormat="1" ht="54" customHeight="1">
      <c r="A53" s="17" t="s">
        <v>167</v>
      </c>
      <c r="B53" s="1" t="s">
        <v>12</v>
      </c>
      <c r="C53" s="3">
        <f>D53+E53</f>
        <v>0</v>
      </c>
      <c r="D53" s="4">
        <v>0</v>
      </c>
      <c r="E53" s="4">
        <v>0</v>
      </c>
      <c r="F53" s="3">
        <f t="shared" si="4"/>
        <v>45000</v>
      </c>
      <c r="G53" s="4">
        <v>45000</v>
      </c>
      <c r="H53" s="6">
        <v>0</v>
      </c>
      <c r="I53" s="5">
        <f t="shared" si="5"/>
        <v>0</v>
      </c>
      <c r="J53" s="4">
        <v>0</v>
      </c>
      <c r="K53" s="6">
        <v>0</v>
      </c>
      <c r="L53" s="10" t="s">
        <v>48</v>
      </c>
    </row>
    <row r="54" spans="1:12" s="56" customFormat="1" ht="54.75" customHeight="1">
      <c r="A54" s="17" t="s">
        <v>168</v>
      </c>
      <c r="B54" s="1" t="s">
        <v>12</v>
      </c>
      <c r="C54" s="3">
        <f>D54+E54</f>
        <v>0</v>
      </c>
      <c r="D54" s="4">
        <v>0</v>
      </c>
      <c r="E54" s="4">
        <v>0</v>
      </c>
      <c r="F54" s="3">
        <f>G54+H54</f>
        <v>75000</v>
      </c>
      <c r="G54" s="4">
        <v>75000</v>
      </c>
      <c r="H54" s="6">
        <v>0</v>
      </c>
      <c r="I54" s="5">
        <f t="shared" si="5"/>
        <v>0</v>
      </c>
      <c r="J54" s="4">
        <v>0</v>
      </c>
      <c r="K54" s="6">
        <v>0</v>
      </c>
      <c r="L54" s="10" t="s">
        <v>48</v>
      </c>
    </row>
    <row r="55" spans="1:12" s="55" customFormat="1" ht="25.5" customHeight="1">
      <c r="A55" s="14" t="s">
        <v>34</v>
      </c>
      <c r="B55" s="24"/>
      <c r="C55" s="5">
        <f t="shared" si="2"/>
        <v>398333</v>
      </c>
      <c r="D55" s="3">
        <f>+D56+D60+D69+D61+D62+D63+D64+D65+D66+D67+D68</f>
        <v>398333</v>
      </c>
      <c r="E55" s="5">
        <f>E56+E60+E61+E62+E63++E64</f>
        <v>0</v>
      </c>
      <c r="F55" s="3">
        <f t="shared" si="4"/>
        <v>454600</v>
      </c>
      <c r="G55" s="3">
        <f>+G56+G60+G69+G61+G62+G63+G64+G65+G66+G67+G68</f>
        <v>454600</v>
      </c>
      <c r="H55" s="3">
        <f>+H56+H60+H69+H61+H62+H63+H64+H65+H66+H67+H68</f>
        <v>0</v>
      </c>
      <c r="I55" s="3">
        <f t="shared" si="5"/>
        <v>485058</v>
      </c>
      <c r="J55" s="3">
        <f>+J56+J60+J69+J61+J62+J63+J64+J65+J66+J67+J68</f>
        <v>485058</v>
      </c>
      <c r="K55" s="3">
        <f>+K56+K60+K69+K61+K62+K63+K64+K65+K66+K67+K68</f>
        <v>0</v>
      </c>
      <c r="L55" s="29"/>
    </row>
    <row r="56" spans="1:12" s="55" customFormat="1" ht="38.25" customHeight="1">
      <c r="A56" s="17" t="s">
        <v>105</v>
      </c>
      <c r="B56" s="1" t="s">
        <v>12</v>
      </c>
      <c r="C56" s="5">
        <f t="shared" si="2"/>
        <v>0</v>
      </c>
      <c r="D56" s="6">
        <v>0</v>
      </c>
      <c r="E56" s="6">
        <v>0</v>
      </c>
      <c r="F56" s="3">
        <f aca="true" t="shared" si="6" ref="F56:F67">+G56+H56</f>
        <v>8000</v>
      </c>
      <c r="G56" s="4">
        <v>8000</v>
      </c>
      <c r="H56" s="6">
        <v>0</v>
      </c>
      <c r="I56" s="5">
        <f aca="true" t="shared" si="7" ref="I56:I76">J56+K56</f>
        <v>8536</v>
      </c>
      <c r="J56" s="4">
        <f>ROUND(G56*1.067,0)</f>
        <v>8536</v>
      </c>
      <c r="K56" s="6">
        <v>0</v>
      </c>
      <c r="L56" s="10" t="s">
        <v>48</v>
      </c>
    </row>
    <row r="57" spans="1:12" s="55" customFormat="1" ht="12" customHeight="1">
      <c r="A57" s="42"/>
      <c r="B57" s="43"/>
      <c r="C57" s="44"/>
      <c r="D57" s="45"/>
      <c r="E57" s="45"/>
      <c r="F57" s="40"/>
      <c r="G57" s="41"/>
      <c r="H57" s="45"/>
      <c r="I57" s="44"/>
      <c r="J57" s="41"/>
      <c r="K57" s="45"/>
      <c r="L57" s="46"/>
    </row>
    <row r="58" spans="1:15" s="60" customFormat="1" ht="18" customHeight="1">
      <c r="A58" s="8"/>
      <c r="B58" s="33"/>
      <c r="C58" s="34"/>
      <c r="D58" s="34"/>
      <c r="E58" s="34"/>
      <c r="F58" s="34"/>
      <c r="G58" s="34"/>
      <c r="H58" s="34"/>
      <c r="I58" s="82" t="s">
        <v>103</v>
      </c>
      <c r="J58" s="82"/>
      <c r="K58" s="82"/>
      <c r="L58" s="82"/>
      <c r="M58" s="33"/>
      <c r="N58" s="59"/>
      <c r="O58" s="33"/>
    </row>
    <row r="59" spans="1:15" s="60" customFormat="1" ht="14.25">
      <c r="A59" s="10">
        <v>1</v>
      </c>
      <c r="B59" s="35">
        <v>2</v>
      </c>
      <c r="C59" s="36">
        <v>3</v>
      </c>
      <c r="D59" s="36">
        <v>4</v>
      </c>
      <c r="E59" s="36">
        <v>5</v>
      </c>
      <c r="F59" s="36">
        <v>6</v>
      </c>
      <c r="G59" s="36">
        <v>7</v>
      </c>
      <c r="H59" s="36">
        <v>8</v>
      </c>
      <c r="I59" s="36">
        <v>9</v>
      </c>
      <c r="J59" s="36">
        <v>10</v>
      </c>
      <c r="K59" s="36">
        <v>11</v>
      </c>
      <c r="L59" s="36">
        <v>12</v>
      </c>
      <c r="M59" s="33"/>
      <c r="N59" s="59"/>
      <c r="O59" s="33"/>
    </row>
    <row r="60" spans="1:12" s="55" customFormat="1" ht="54" customHeight="1">
      <c r="A60" s="17" t="s">
        <v>35</v>
      </c>
      <c r="B60" s="1" t="s">
        <v>12</v>
      </c>
      <c r="C60" s="5">
        <f t="shared" si="2"/>
        <v>103704</v>
      </c>
      <c r="D60" s="6">
        <v>103704</v>
      </c>
      <c r="E60" s="6">
        <v>0</v>
      </c>
      <c r="F60" s="3">
        <f t="shared" si="6"/>
        <v>119854</v>
      </c>
      <c r="G60" s="4">
        <v>119854</v>
      </c>
      <c r="H60" s="6">
        <v>0</v>
      </c>
      <c r="I60" s="5">
        <f t="shared" si="7"/>
        <v>127884</v>
      </c>
      <c r="J60" s="4">
        <f aca="true" t="shared" si="8" ref="J60:J69">ROUND(G60*1.067,0)</f>
        <v>127884</v>
      </c>
      <c r="K60" s="6">
        <v>0</v>
      </c>
      <c r="L60" s="10" t="s">
        <v>41</v>
      </c>
    </row>
    <row r="61" spans="1:12" s="55" customFormat="1" ht="43.5" customHeight="1">
      <c r="A61" s="17" t="s">
        <v>3</v>
      </c>
      <c r="B61" s="1" t="s">
        <v>12</v>
      </c>
      <c r="C61" s="5">
        <f t="shared" si="2"/>
        <v>22694</v>
      </c>
      <c r="D61" s="6">
        <v>22694</v>
      </c>
      <c r="E61" s="6">
        <v>0</v>
      </c>
      <c r="F61" s="3">
        <f t="shared" si="6"/>
        <v>44030</v>
      </c>
      <c r="G61" s="4">
        <v>44030</v>
      </c>
      <c r="H61" s="6">
        <v>0</v>
      </c>
      <c r="I61" s="5">
        <f t="shared" si="7"/>
        <v>46980</v>
      </c>
      <c r="J61" s="4">
        <f t="shared" si="8"/>
        <v>46980</v>
      </c>
      <c r="K61" s="6">
        <v>0</v>
      </c>
      <c r="L61" s="10" t="s">
        <v>48</v>
      </c>
    </row>
    <row r="62" spans="1:12" s="55" customFormat="1" ht="39.75" customHeight="1">
      <c r="A62" s="7" t="s">
        <v>4</v>
      </c>
      <c r="B62" s="1" t="s">
        <v>12</v>
      </c>
      <c r="C62" s="5">
        <f t="shared" si="2"/>
        <v>177851</v>
      </c>
      <c r="D62" s="6">
        <v>177851</v>
      </c>
      <c r="E62" s="6">
        <v>0</v>
      </c>
      <c r="F62" s="3">
        <f t="shared" si="6"/>
        <v>193878</v>
      </c>
      <c r="G62" s="4">
        <v>193878</v>
      </c>
      <c r="H62" s="6">
        <v>0</v>
      </c>
      <c r="I62" s="5">
        <f t="shared" si="7"/>
        <v>206868</v>
      </c>
      <c r="J62" s="4">
        <f t="shared" si="8"/>
        <v>206868</v>
      </c>
      <c r="K62" s="6">
        <v>0</v>
      </c>
      <c r="L62" s="10" t="s">
        <v>48</v>
      </c>
    </row>
    <row r="63" spans="1:12" s="61" customFormat="1" ht="37.5" customHeight="1">
      <c r="A63" s="16" t="s">
        <v>11</v>
      </c>
      <c r="B63" s="1" t="s">
        <v>12</v>
      </c>
      <c r="C63" s="5">
        <f t="shared" si="2"/>
        <v>30600</v>
      </c>
      <c r="D63" s="6">
        <v>30600</v>
      </c>
      <c r="E63" s="6">
        <v>0</v>
      </c>
      <c r="F63" s="3">
        <f t="shared" si="6"/>
        <v>34200</v>
      </c>
      <c r="G63" s="4">
        <v>34200</v>
      </c>
      <c r="H63" s="6">
        <v>0</v>
      </c>
      <c r="I63" s="5">
        <f t="shared" si="7"/>
        <v>36491</v>
      </c>
      <c r="J63" s="4">
        <f t="shared" si="8"/>
        <v>36491</v>
      </c>
      <c r="K63" s="6">
        <v>0</v>
      </c>
      <c r="L63" s="10" t="s">
        <v>48</v>
      </c>
    </row>
    <row r="64" spans="1:12" s="61" customFormat="1" ht="46.5" customHeight="1">
      <c r="A64" s="17" t="s">
        <v>37</v>
      </c>
      <c r="B64" s="1" t="s">
        <v>12</v>
      </c>
      <c r="C64" s="5">
        <f t="shared" si="2"/>
        <v>5743</v>
      </c>
      <c r="D64" s="6">
        <f>5726+17</f>
        <v>5743</v>
      </c>
      <c r="E64" s="6">
        <v>0</v>
      </c>
      <c r="F64" s="3">
        <f t="shared" si="6"/>
        <v>6638</v>
      </c>
      <c r="G64" s="4">
        <v>6638</v>
      </c>
      <c r="H64" s="6">
        <v>0</v>
      </c>
      <c r="I64" s="5">
        <f t="shared" si="7"/>
        <v>7083</v>
      </c>
      <c r="J64" s="4">
        <f t="shared" si="8"/>
        <v>7083</v>
      </c>
      <c r="K64" s="6">
        <v>0</v>
      </c>
      <c r="L64" s="10" t="s">
        <v>48</v>
      </c>
    </row>
    <row r="65" spans="1:12" s="55" customFormat="1" ht="42" customHeight="1">
      <c r="A65" s="7" t="s">
        <v>79</v>
      </c>
      <c r="B65" s="1" t="s">
        <v>12</v>
      </c>
      <c r="C65" s="5">
        <f t="shared" si="2"/>
        <v>24192</v>
      </c>
      <c r="D65" s="6">
        <v>24192</v>
      </c>
      <c r="E65" s="6">
        <v>0</v>
      </c>
      <c r="F65" s="3">
        <f t="shared" si="6"/>
        <v>0</v>
      </c>
      <c r="G65" s="4">
        <v>0</v>
      </c>
      <c r="H65" s="6">
        <v>0</v>
      </c>
      <c r="I65" s="5">
        <f t="shared" si="7"/>
        <v>0</v>
      </c>
      <c r="J65" s="4">
        <f t="shared" si="8"/>
        <v>0</v>
      </c>
      <c r="K65" s="6">
        <v>0</v>
      </c>
      <c r="L65" s="2" t="s">
        <v>85</v>
      </c>
    </row>
    <row r="66" spans="1:12" s="55" customFormat="1" ht="59.25" customHeight="1">
      <c r="A66" s="17" t="s">
        <v>99</v>
      </c>
      <c r="B66" s="1" t="s">
        <v>12</v>
      </c>
      <c r="C66" s="5">
        <f t="shared" si="2"/>
        <v>10688</v>
      </c>
      <c r="D66" s="6">
        <v>10688</v>
      </c>
      <c r="E66" s="6">
        <v>0</v>
      </c>
      <c r="F66" s="3">
        <f t="shared" si="6"/>
        <v>0</v>
      </c>
      <c r="G66" s="4">
        <v>0</v>
      </c>
      <c r="H66" s="6">
        <v>0</v>
      </c>
      <c r="I66" s="5">
        <f t="shared" si="7"/>
        <v>0</v>
      </c>
      <c r="J66" s="4">
        <f t="shared" si="8"/>
        <v>0</v>
      </c>
      <c r="K66" s="6">
        <v>0</v>
      </c>
      <c r="L66" s="10" t="s">
        <v>41</v>
      </c>
    </row>
    <row r="67" spans="1:12" s="55" customFormat="1" ht="54.75" customHeight="1">
      <c r="A67" s="17" t="s">
        <v>100</v>
      </c>
      <c r="B67" s="1" t="s">
        <v>12</v>
      </c>
      <c r="C67" s="5">
        <f t="shared" si="2"/>
        <v>12000</v>
      </c>
      <c r="D67" s="6">
        <v>12000</v>
      </c>
      <c r="E67" s="6">
        <v>0</v>
      </c>
      <c r="F67" s="3">
        <f t="shared" si="6"/>
        <v>0</v>
      </c>
      <c r="G67" s="4">
        <v>0</v>
      </c>
      <c r="H67" s="6">
        <v>0</v>
      </c>
      <c r="I67" s="5">
        <f t="shared" si="7"/>
        <v>0</v>
      </c>
      <c r="J67" s="4">
        <f t="shared" si="8"/>
        <v>0</v>
      </c>
      <c r="K67" s="6">
        <v>0</v>
      </c>
      <c r="L67" s="10" t="s">
        <v>41</v>
      </c>
    </row>
    <row r="68" spans="1:12" s="55" customFormat="1" ht="55.5" customHeight="1">
      <c r="A68" s="17" t="s">
        <v>125</v>
      </c>
      <c r="B68" s="1" t="s">
        <v>12</v>
      </c>
      <c r="C68" s="5">
        <f t="shared" si="2"/>
        <v>10861</v>
      </c>
      <c r="D68" s="6">
        <v>10861</v>
      </c>
      <c r="E68" s="6">
        <v>0</v>
      </c>
      <c r="F68" s="3">
        <f>G68+H68</f>
        <v>0</v>
      </c>
      <c r="G68" s="4">
        <v>0</v>
      </c>
      <c r="H68" s="6">
        <v>0</v>
      </c>
      <c r="I68" s="5">
        <f t="shared" si="7"/>
        <v>0</v>
      </c>
      <c r="J68" s="4">
        <f t="shared" si="8"/>
        <v>0</v>
      </c>
      <c r="K68" s="6">
        <v>0</v>
      </c>
      <c r="L68" s="10" t="s">
        <v>41</v>
      </c>
    </row>
    <row r="69" spans="1:12" s="55" customFormat="1" ht="53.25" customHeight="1">
      <c r="A69" s="17" t="s">
        <v>55</v>
      </c>
      <c r="B69" s="1" t="s">
        <v>12</v>
      </c>
      <c r="C69" s="5">
        <f>D69+E69</f>
        <v>0</v>
      </c>
      <c r="D69" s="6">
        <v>0</v>
      </c>
      <c r="E69" s="6">
        <v>0</v>
      </c>
      <c r="F69" s="3">
        <f>+G69+H69</f>
        <v>48000</v>
      </c>
      <c r="G69" s="4">
        <v>48000</v>
      </c>
      <c r="H69" s="6">
        <v>0</v>
      </c>
      <c r="I69" s="5">
        <f>J69+K69</f>
        <v>51216</v>
      </c>
      <c r="J69" s="4">
        <f t="shared" si="8"/>
        <v>51216</v>
      </c>
      <c r="K69" s="6">
        <v>0</v>
      </c>
      <c r="L69" s="10" t="s">
        <v>41</v>
      </c>
    </row>
    <row r="70" spans="1:12" s="61" customFormat="1" ht="69" customHeight="1">
      <c r="A70" s="18" t="s">
        <v>56</v>
      </c>
      <c r="B70" s="1" t="s">
        <v>12</v>
      </c>
      <c r="C70" s="5">
        <f t="shared" si="2"/>
        <v>124140</v>
      </c>
      <c r="D70" s="5">
        <v>124140</v>
      </c>
      <c r="E70" s="5">
        <v>0</v>
      </c>
      <c r="F70" s="3">
        <f>+G70+H70</f>
        <v>134600</v>
      </c>
      <c r="G70" s="3">
        <v>134600</v>
      </c>
      <c r="H70" s="5">
        <v>0</v>
      </c>
      <c r="I70" s="5">
        <f t="shared" si="7"/>
        <v>143618</v>
      </c>
      <c r="J70" s="4">
        <f>ROUND(G70*1.067,0)</f>
        <v>143618</v>
      </c>
      <c r="K70" s="5">
        <v>0</v>
      </c>
      <c r="L70" s="10" t="s">
        <v>48</v>
      </c>
    </row>
    <row r="71" spans="1:12" s="55" customFormat="1" ht="107.25" customHeight="1">
      <c r="A71" s="18" t="s">
        <v>101</v>
      </c>
      <c r="B71" s="1" t="s">
        <v>12</v>
      </c>
      <c r="C71" s="5">
        <f t="shared" si="2"/>
        <v>97047</v>
      </c>
      <c r="D71" s="5">
        <v>97047</v>
      </c>
      <c r="E71" s="5">
        <v>0</v>
      </c>
      <c r="F71" s="3">
        <v>0</v>
      </c>
      <c r="G71" s="3">
        <v>0</v>
      </c>
      <c r="H71" s="5">
        <v>0</v>
      </c>
      <c r="I71" s="5">
        <v>0</v>
      </c>
      <c r="J71" s="3">
        <v>0</v>
      </c>
      <c r="K71" s="5">
        <v>0</v>
      </c>
      <c r="L71" s="10" t="s">
        <v>41</v>
      </c>
    </row>
    <row r="72" spans="1:12" s="55" customFormat="1" ht="12" customHeight="1">
      <c r="A72" s="42"/>
      <c r="B72" s="43"/>
      <c r="C72" s="44"/>
      <c r="D72" s="45"/>
      <c r="E72" s="45"/>
      <c r="F72" s="40"/>
      <c r="G72" s="41"/>
      <c r="H72" s="45"/>
      <c r="I72" s="44"/>
      <c r="J72" s="41"/>
      <c r="K72" s="45"/>
      <c r="L72" s="46"/>
    </row>
    <row r="73" spans="1:15" s="60" customFormat="1" ht="17.25" customHeight="1">
      <c r="A73" s="8"/>
      <c r="B73" s="33"/>
      <c r="C73" s="34"/>
      <c r="D73" s="34"/>
      <c r="E73" s="34"/>
      <c r="F73" s="34"/>
      <c r="G73" s="34"/>
      <c r="H73" s="34"/>
      <c r="I73" s="82" t="s">
        <v>103</v>
      </c>
      <c r="J73" s="82"/>
      <c r="K73" s="82"/>
      <c r="L73" s="82"/>
      <c r="M73" s="33"/>
      <c r="N73" s="59"/>
      <c r="O73" s="33"/>
    </row>
    <row r="74" spans="1:15" s="60" customFormat="1" ht="14.25">
      <c r="A74" s="10">
        <v>1</v>
      </c>
      <c r="B74" s="35">
        <v>2</v>
      </c>
      <c r="C74" s="36">
        <v>3</v>
      </c>
      <c r="D74" s="36">
        <v>4</v>
      </c>
      <c r="E74" s="36">
        <v>5</v>
      </c>
      <c r="F74" s="36">
        <v>6</v>
      </c>
      <c r="G74" s="36">
        <v>7</v>
      </c>
      <c r="H74" s="36">
        <v>8</v>
      </c>
      <c r="I74" s="36">
        <v>9</v>
      </c>
      <c r="J74" s="36">
        <v>10</v>
      </c>
      <c r="K74" s="36">
        <v>11</v>
      </c>
      <c r="L74" s="36">
        <v>12</v>
      </c>
      <c r="M74" s="33"/>
      <c r="N74" s="59"/>
      <c r="O74" s="33"/>
    </row>
    <row r="75" spans="1:12" s="55" customFormat="1" ht="52.5" customHeight="1">
      <c r="A75" s="32" t="s">
        <v>87</v>
      </c>
      <c r="B75" s="1" t="s">
        <v>12</v>
      </c>
      <c r="C75" s="5">
        <f t="shared" si="2"/>
        <v>15000</v>
      </c>
      <c r="D75" s="5">
        <v>15000</v>
      </c>
      <c r="E75" s="5">
        <v>0</v>
      </c>
      <c r="F75" s="3">
        <f>+G75+H75</f>
        <v>0</v>
      </c>
      <c r="G75" s="3">
        <v>0</v>
      </c>
      <c r="H75" s="5">
        <v>0</v>
      </c>
      <c r="I75" s="5">
        <f>J75+K75</f>
        <v>0</v>
      </c>
      <c r="J75" s="3">
        <f>ROUND(G75*1.075,0)</f>
        <v>0</v>
      </c>
      <c r="K75" s="5">
        <v>0</v>
      </c>
      <c r="L75" s="10" t="s">
        <v>48</v>
      </c>
    </row>
    <row r="76" spans="1:12" s="61" customFormat="1" ht="41.25" customHeight="1">
      <c r="A76" s="32" t="s">
        <v>88</v>
      </c>
      <c r="B76" s="1" t="s">
        <v>12</v>
      </c>
      <c r="C76" s="5">
        <f t="shared" si="2"/>
        <v>0</v>
      </c>
      <c r="D76" s="5">
        <v>0</v>
      </c>
      <c r="E76" s="5">
        <v>0</v>
      </c>
      <c r="F76" s="3">
        <f>+G76+H76</f>
        <v>9377</v>
      </c>
      <c r="G76" s="3">
        <v>9377</v>
      </c>
      <c r="H76" s="5">
        <v>0</v>
      </c>
      <c r="I76" s="5">
        <f t="shared" si="7"/>
        <v>10005</v>
      </c>
      <c r="J76" s="4">
        <f>ROUND(G76*1.067,0)</f>
        <v>10005</v>
      </c>
      <c r="K76" s="5">
        <v>0</v>
      </c>
      <c r="L76" s="10" t="s">
        <v>48</v>
      </c>
    </row>
    <row r="77" spans="1:12" s="61" customFormat="1" ht="19.5" customHeight="1">
      <c r="A77" s="71" t="s">
        <v>142</v>
      </c>
      <c r="B77" s="71"/>
      <c r="C77" s="71"/>
      <c r="D77" s="71"/>
      <c r="E77" s="71"/>
      <c r="F77" s="71"/>
      <c r="G77" s="71"/>
      <c r="H77" s="71"/>
      <c r="I77" s="71"/>
      <c r="J77" s="71"/>
      <c r="K77" s="71"/>
      <c r="L77" s="71"/>
    </row>
    <row r="78" spans="1:12" s="61" customFormat="1" ht="26.25" customHeight="1">
      <c r="A78" s="79" t="s">
        <v>26</v>
      </c>
      <c r="B78" s="79"/>
      <c r="C78" s="79"/>
      <c r="D78" s="79"/>
      <c r="E78" s="79"/>
      <c r="F78" s="79"/>
      <c r="G78" s="79"/>
      <c r="H78" s="79"/>
      <c r="I78" s="79"/>
      <c r="J78" s="79"/>
      <c r="K78" s="79"/>
      <c r="L78" s="79"/>
    </row>
    <row r="79" spans="1:12" s="61" customFormat="1" ht="24.75" customHeight="1">
      <c r="A79" s="74" t="s">
        <v>27</v>
      </c>
      <c r="B79" s="74"/>
      <c r="C79" s="74"/>
      <c r="D79" s="74"/>
      <c r="E79" s="74"/>
      <c r="F79" s="74"/>
      <c r="G79" s="74"/>
      <c r="H79" s="74"/>
      <c r="I79" s="74"/>
      <c r="J79" s="74"/>
      <c r="K79" s="74"/>
      <c r="L79" s="74"/>
    </row>
    <row r="80" spans="1:12" s="61" customFormat="1" ht="42.75" customHeight="1">
      <c r="A80" s="9" t="s">
        <v>28</v>
      </c>
      <c r="B80" s="1" t="s">
        <v>12</v>
      </c>
      <c r="C80" s="5">
        <f>D80+E80</f>
        <v>831800</v>
      </c>
      <c r="D80" s="6">
        <v>831800</v>
      </c>
      <c r="E80" s="6">
        <v>0</v>
      </c>
      <c r="F80" s="3">
        <f>+G80+H80</f>
        <v>1114010</v>
      </c>
      <c r="G80" s="4">
        <f>1580+1112430</f>
        <v>1114010</v>
      </c>
      <c r="H80" s="6">
        <v>0</v>
      </c>
      <c r="I80" s="5">
        <f>J80+K80</f>
        <v>1188649</v>
      </c>
      <c r="J80" s="4">
        <f>ROUND(G80*1.067,0)</f>
        <v>1188649</v>
      </c>
      <c r="K80" s="6">
        <v>0</v>
      </c>
      <c r="L80" s="10" t="s">
        <v>48</v>
      </c>
    </row>
    <row r="81" spans="1:12" s="61" customFormat="1" ht="24.75" customHeight="1">
      <c r="A81" s="71" t="s">
        <v>143</v>
      </c>
      <c r="B81" s="71"/>
      <c r="C81" s="71"/>
      <c r="D81" s="71"/>
      <c r="E81" s="71"/>
      <c r="F81" s="71"/>
      <c r="G81" s="71"/>
      <c r="H81" s="71"/>
      <c r="I81" s="71"/>
      <c r="J81" s="71"/>
      <c r="K81" s="71"/>
      <c r="L81" s="71"/>
    </row>
    <row r="82" spans="1:12" s="61" customFormat="1" ht="36" customHeight="1">
      <c r="A82" s="80" t="s">
        <v>24</v>
      </c>
      <c r="B82" s="80"/>
      <c r="C82" s="80"/>
      <c r="D82" s="80"/>
      <c r="E82" s="80"/>
      <c r="F82" s="80"/>
      <c r="G82" s="80"/>
      <c r="H82" s="80"/>
      <c r="I82" s="80"/>
      <c r="J82" s="80"/>
      <c r="K82" s="80"/>
      <c r="L82" s="80"/>
    </row>
    <row r="83" spans="1:12" s="61" customFormat="1" ht="33" customHeight="1">
      <c r="A83" s="77" t="s">
        <v>25</v>
      </c>
      <c r="B83" s="77"/>
      <c r="C83" s="77"/>
      <c r="D83" s="77"/>
      <c r="E83" s="77"/>
      <c r="F83" s="77"/>
      <c r="G83" s="77"/>
      <c r="H83" s="77"/>
      <c r="I83" s="77"/>
      <c r="J83" s="77"/>
      <c r="K83" s="77"/>
      <c r="L83" s="77"/>
    </row>
    <row r="84" spans="1:12" s="61" customFormat="1" ht="32.25" customHeight="1">
      <c r="A84" s="19" t="s">
        <v>32</v>
      </c>
      <c r="B84" s="24"/>
      <c r="C84" s="5">
        <f aca="true" t="shared" si="9" ref="C84:C91">D84+E84</f>
        <v>1948082</v>
      </c>
      <c r="D84" s="5">
        <f>D85+D86+D87+D88+D89+D90+D91</f>
        <v>1948082</v>
      </c>
      <c r="E84" s="5">
        <f>SUM(E85,E86,E87,E88,E89)</f>
        <v>0</v>
      </c>
      <c r="F84" s="5">
        <f>G84+H84</f>
        <v>1625288</v>
      </c>
      <c r="G84" s="5">
        <f>G85+G86+G87+G88+G89+G90+G91</f>
        <v>1625288</v>
      </c>
      <c r="H84" s="5">
        <f>SUM(H85,H86,H87,H88,H89)</f>
        <v>0</v>
      </c>
      <c r="I84" s="5">
        <f aca="true" t="shared" si="10" ref="I84:I89">J84+K84</f>
        <v>1734182</v>
      </c>
      <c r="J84" s="5">
        <f>J85+J86+J87+J88+J89+J90+J91</f>
        <v>1734182</v>
      </c>
      <c r="K84" s="5">
        <f>SUM(K85,K86,K87,K88,K89)</f>
        <v>0</v>
      </c>
      <c r="L84" s="29"/>
    </row>
    <row r="85" spans="1:12" s="61" customFormat="1" ht="41.25" customHeight="1">
      <c r="A85" s="16" t="s">
        <v>36</v>
      </c>
      <c r="B85" s="1" t="s">
        <v>12</v>
      </c>
      <c r="C85" s="5">
        <f t="shared" si="9"/>
        <v>11838</v>
      </c>
      <c r="D85" s="6">
        <v>11838</v>
      </c>
      <c r="E85" s="6">
        <v>0</v>
      </c>
      <c r="F85" s="3">
        <f>+G85+H85</f>
        <v>16488</v>
      </c>
      <c r="G85" s="4">
        <v>16488</v>
      </c>
      <c r="H85" s="6">
        <v>0</v>
      </c>
      <c r="I85" s="5">
        <f t="shared" si="10"/>
        <v>17593</v>
      </c>
      <c r="J85" s="4">
        <f aca="true" t="shared" si="11" ref="J85:J91">ROUND(G85*1.067,0)</f>
        <v>17593</v>
      </c>
      <c r="K85" s="6">
        <v>0</v>
      </c>
      <c r="L85" s="10" t="s">
        <v>48</v>
      </c>
    </row>
    <row r="86" spans="1:12" s="61" customFormat="1" ht="39.75" customHeight="1">
      <c r="A86" s="16" t="s">
        <v>104</v>
      </c>
      <c r="B86" s="1" t="s">
        <v>12</v>
      </c>
      <c r="C86" s="5">
        <f t="shared" si="9"/>
        <v>696907</v>
      </c>
      <c r="D86" s="6">
        <v>696907</v>
      </c>
      <c r="E86" s="6">
        <v>0</v>
      </c>
      <c r="F86" s="3">
        <f>+G86+H86</f>
        <v>658499</v>
      </c>
      <c r="G86" s="4">
        <v>658499</v>
      </c>
      <c r="H86" s="6">
        <v>0</v>
      </c>
      <c r="I86" s="5">
        <f t="shared" si="10"/>
        <v>702618</v>
      </c>
      <c r="J86" s="4">
        <f t="shared" si="11"/>
        <v>702618</v>
      </c>
      <c r="K86" s="6">
        <v>0</v>
      </c>
      <c r="L86" s="10" t="s">
        <v>48</v>
      </c>
    </row>
    <row r="87" spans="1:12" s="61" customFormat="1" ht="42" customHeight="1">
      <c r="A87" s="16" t="s">
        <v>102</v>
      </c>
      <c r="B87" s="1" t="s">
        <v>12</v>
      </c>
      <c r="C87" s="5">
        <f t="shared" si="9"/>
        <v>356577</v>
      </c>
      <c r="D87" s="6">
        <v>356577</v>
      </c>
      <c r="E87" s="6">
        <v>0</v>
      </c>
      <c r="F87" s="3">
        <f>+G87+H87</f>
        <v>305997</v>
      </c>
      <c r="G87" s="4">
        <v>305997</v>
      </c>
      <c r="H87" s="6">
        <v>0</v>
      </c>
      <c r="I87" s="5">
        <f t="shared" si="10"/>
        <v>326499</v>
      </c>
      <c r="J87" s="4">
        <f t="shared" si="11"/>
        <v>326499</v>
      </c>
      <c r="K87" s="6">
        <v>0</v>
      </c>
      <c r="L87" s="10" t="s">
        <v>48</v>
      </c>
    </row>
    <row r="88" spans="1:12" s="61" customFormat="1" ht="41.25" customHeight="1">
      <c r="A88" s="16" t="s">
        <v>91</v>
      </c>
      <c r="B88" s="1" t="s">
        <v>12</v>
      </c>
      <c r="C88" s="5">
        <f t="shared" si="9"/>
        <v>166331</v>
      </c>
      <c r="D88" s="6">
        <v>166331</v>
      </c>
      <c r="E88" s="6">
        <v>0</v>
      </c>
      <c r="F88" s="3">
        <f>+G88+H88</f>
        <v>230514</v>
      </c>
      <c r="G88" s="4">
        <v>230514</v>
      </c>
      <c r="H88" s="6">
        <v>0</v>
      </c>
      <c r="I88" s="5">
        <f t="shared" si="10"/>
        <v>245958</v>
      </c>
      <c r="J88" s="4">
        <f t="shared" si="11"/>
        <v>245958</v>
      </c>
      <c r="K88" s="6">
        <v>0</v>
      </c>
      <c r="L88" s="10" t="s">
        <v>48</v>
      </c>
    </row>
    <row r="89" spans="1:12" s="61" customFormat="1" ht="57" customHeight="1">
      <c r="A89" s="17" t="s">
        <v>110</v>
      </c>
      <c r="B89" s="1" t="s">
        <v>12</v>
      </c>
      <c r="C89" s="5">
        <f t="shared" si="9"/>
        <v>527708</v>
      </c>
      <c r="D89" s="6">
        <v>527708</v>
      </c>
      <c r="E89" s="6">
        <v>0</v>
      </c>
      <c r="F89" s="3">
        <f>+G89+H89</f>
        <v>413790</v>
      </c>
      <c r="G89" s="4">
        <v>413790</v>
      </c>
      <c r="H89" s="6">
        <v>0</v>
      </c>
      <c r="I89" s="5">
        <f t="shared" si="10"/>
        <v>441514</v>
      </c>
      <c r="J89" s="4">
        <f t="shared" si="11"/>
        <v>441514</v>
      </c>
      <c r="K89" s="6">
        <v>0</v>
      </c>
      <c r="L89" s="10" t="s">
        <v>48</v>
      </c>
    </row>
    <row r="90" spans="1:12" s="55" customFormat="1" ht="52.5" customHeight="1">
      <c r="A90" s="17" t="s">
        <v>92</v>
      </c>
      <c r="B90" s="1" t="s">
        <v>12</v>
      </c>
      <c r="C90" s="5">
        <f t="shared" si="9"/>
        <v>168197</v>
      </c>
      <c r="D90" s="6">
        <v>168197</v>
      </c>
      <c r="E90" s="6">
        <v>0</v>
      </c>
      <c r="F90" s="3">
        <v>0</v>
      </c>
      <c r="G90" s="4">
        <v>0</v>
      </c>
      <c r="H90" s="6">
        <v>0</v>
      </c>
      <c r="I90" s="5">
        <v>0</v>
      </c>
      <c r="J90" s="4">
        <f t="shared" si="11"/>
        <v>0</v>
      </c>
      <c r="K90" s="6">
        <v>0</v>
      </c>
      <c r="L90" s="10" t="s">
        <v>48</v>
      </c>
    </row>
    <row r="91" spans="1:12" s="55" customFormat="1" ht="41.25" customHeight="1">
      <c r="A91" s="17" t="s">
        <v>80</v>
      </c>
      <c r="B91" s="1" t="s">
        <v>12</v>
      </c>
      <c r="C91" s="5">
        <f t="shared" si="9"/>
        <v>20524</v>
      </c>
      <c r="D91" s="6">
        <v>20524</v>
      </c>
      <c r="E91" s="6">
        <v>0</v>
      </c>
      <c r="F91" s="3">
        <v>0</v>
      </c>
      <c r="G91" s="4">
        <v>0</v>
      </c>
      <c r="H91" s="6">
        <v>0</v>
      </c>
      <c r="I91" s="5">
        <v>0</v>
      </c>
      <c r="J91" s="4">
        <f t="shared" si="11"/>
        <v>0</v>
      </c>
      <c r="K91" s="6">
        <v>0</v>
      </c>
      <c r="L91" s="10" t="s">
        <v>48</v>
      </c>
    </row>
    <row r="92" spans="1:12" s="55" customFormat="1" ht="12" customHeight="1">
      <c r="A92" s="42"/>
      <c r="B92" s="43"/>
      <c r="C92" s="44"/>
      <c r="D92" s="45"/>
      <c r="E92" s="45"/>
      <c r="F92" s="40"/>
      <c r="G92" s="41"/>
      <c r="H92" s="45"/>
      <c r="I92" s="44"/>
      <c r="J92" s="41"/>
      <c r="K92" s="45"/>
      <c r="L92" s="46"/>
    </row>
    <row r="93" spans="1:15" s="60" customFormat="1" ht="17.25" customHeight="1">
      <c r="A93" s="8"/>
      <c r="B93" s="33"/>
      <c r="C93" s="34"/>
      <c r="D93" s="34"/>
      <c r="E93" s="34"/>
      <c r="F93" s="34"/>
      <c r="G93" s="34"/>
      <c r="H93" s="34"/>
      <c r="I93" s="87" t="s">
        <v>103</v>
      </c>
      <c r="J93" s="87"/>
      <c r="K93" s="87"/>
      <c r="L93" s="87"/>
      <c r="M93" s="33"/>
      <c r="N93" s="59"/>
      <c r="O93" s="33"/>
    </row>
    <row r="94" spans="1:15" s="60" customFormat="1" ht="14.25">
      <c r="A94" s="10">
        <v>1</v>
      </c>
      <c r="B94" s="35">
        <v>2</v>
      </c>
      <c r="C94" s="36">
        <v>3</v>
      </c>
      <c r="D94" s="36">
        <v>4</v>
      </c>
      <c r="E94" s="36">
        <v>5</v>
      </c>
      <c r="F94" s="36">
        <v>6</v>
      </c>
      <c r="G94" s="36">
        <v>7</v>
      </c>
      <c r="H94" s="36">
        <v>8</v>
      </c>
      <c r="I94" s="36">
        <v>9</v>
      </c>
      <c r="J94" s="36">
        <v>10</v>
      </c>
      <c r="K94" s="36">
        <v>11</v>
      </c>
      <c r="L94" s="36">
        <v>12</v>
      </c>
      <c r="M94" s="33"/>
      <c r="N94" s="59"/>
      <c r="O94" s="33"/>
    </row>
    <row r="95" spans="1:12" s="61" customFormat="1" ht="23.25" customHeight="1">
      <c r="A95" s="73" t="s">
        <v>144</v>
      </c>
      <c r="B95" s="73"/>
      <c r="C95" s="73"/>
      <c r="D95" s="73"/>
      <c r="E95" s="73"/>
      <c r="F95" s="73"/>
      <c r="G95" s="73"/>
      <c r="H95" s="73"/>
      <c r="I95" s="73"/>
      <c r="J95" s="73"/>
      <c r="K95" s="73"/>
      <c r="L95" s="73"/>
    </row>
    <row r="96" spans="1:12" s="61" customFormat="1" ht="27" customHeight="1">
      <c r="A96" s="76" t="s">
        <v>7</v>
      </c>
      <c r="B96" s="76"/>
      <c r="C96" s="76"/>
      <c r="D96" s="76"/>
      <c r="E96" s="76"/>
      <c r="F96" s="76"/>
      <c r="G96" s="76"/>
      <c r="H96" s="76"/>
      <c r="I96" s="76"/>
      <c r="J96" s="76"/>
      <c r="K96" s="76"/>
      <c r="L96" s="76"/>
    </row>
    <row r="97" spans="1:12" s="61" customFormat="1" ht="23.25" customHeight="1">
      <c r="A97" s="75" t="s">
        <v>8</v>
      </c>
      <c r="B97" s="75"/>
      <c r="C97" s="75"/>
      <c r="D97" s="75"/>
      <c r="E97" s="75"/>
      <c r="F97" s="75"/>
      <c r="G97" s="75"/>
      <c r="H97" s="75"/>
      <c r="I97" s="75"/>
      <c r="J97" s="75"/>
      <c r="K97" s="75"/>
      <c r="L97" s="75"/>
    </row>
    <row r="98" spans="1:12" s="61" customFormat="1" ht="21" customHeight="1">
      <c r="A98" s="20" t="s">
        <v>63</v>
      </c>
      <c r="B98" s="1"/>
      <c r="C98" s="3">
        <f>D98+E98</f>
        <v>1615614</v>
      </c>
      <c r="D98" s="3">
        <f aca="true" t="shared" si="12" ref="D98:K98">D99+D103</f>
        <v>1615614</v>
      </c>
      <c r="E98" s="3">
        <f t="shared" si="12"/>
        <v>0</v>
      </c>
      <c r="F98" s="3">
        <f t="shared" si="12"/>
        <v>609440</v>
      </c>
      <c r="G98" s="3">
        <f t="shared" si="12"/>
        <v>609440</v>
      </c>
      <c r="H98" s="3">
        <f t="shared" si="12"/>
        <v>0</v>
      </c>
      <c r="I98" s="3">
        <f t="shared" si="12"/>
        <v>650271</v>
      </c>
      <c r="J98" s="3">
        <f t="shared" si="12"/>
        <v>650271</v>
      </c>
      <c r="K98" s="3">
        <f t="shared" si="12"/>
        <v>0</v>
      </c>
      <c r="L98" s="10"/>
    </row>
    <row r="99" spans="1:12" s="61" customFormat="1" ht="30" customHeight="1">
      <c r="A99" s="21" t="s">
        <v>38</v>
      </c>
      <c r="B99" s="24"/>
      <c r="C99" s="5">
        <f>D99+E99</f>
        <v>357393</v>
      </c>
      <c r="D99" s="5">
        <f>SUM(D100:D101)+D102</f>
        <v>357393</v>
      </c>
      <c r="E99" s="5">
        <f>SUM(E100:E101)+E102</f>
        <v>0</v>
      </c>
      <c r="F99" s="5">
        <f>G99+H99</f>
        <v>123224</v>
      </c>
      <c r="G99" s="5">
        <f>SUM(G100:G101)+G102</f>
        <v>123224</v>
      </c>
      <c r="H99" s="5">
        <f>SUM(H100:H101)+H102</f>
        <v>0</v>
      </c>
      <c r="I99" s="5">
        <f>J99+K99</f>
        <v>131480</v>
      </c>
      <c r="J99" s="5">
        <f>SUM(J100:J101)+J102</f>
        <v>131480</v>
      </c>
      <c r="K99" s="5">
        <f>SUM(K100:K101)+K102</f>
        <v>0</v>
      </c>
      <c r="L99" s="10"/>
    </row>
    <row r="100" spans="1:12" s="61" customFormat="1" ht="45" customHeight="1">
      <c r="A100" s="17" t="s">
        <v>130</v>
      </c>
      <c r="B100" s="1" t="s">
        <v>12</v>
      </c>
      <c r="C100" s="5">
        <f>D100+E100</f>
        <v>95454</v>
      </c>
      <c r="D100" s="6">
        <v>95454</v>
      </c>
      <c r="E100" s="6">
        <v>0</v>
      </c>
      <c r="F100" s="3">
        <f>+G100+H100</f>
        <v>115225</v>
      </c>
      <c r="G100" s="4">
        <v>115225</v>
      </c>
      <c r="H100" s="6">
        <v>0</v>
      </c>
      <c r="I100" s="5">
        <f>J100+K100</f>
        <v>122945</v>
      </c>
      <c r="J100" s="4">
        <f>ROUND(G100*1.067,0)</f>
        <v>122945</v>
      </c>
      <c r="K100" s="6">
        <v>0</v>
      </c>
      <c r="L100" s="10" t="s">
        <v>48</v>
      </c>
    </row>
    <row r="101" spans="1:12" s="55" customFormat="1" ht="51.75" customHeight="1">
      <c r="A101" s="17" t="s">
        <v>81</v>
      </c>
      <c r="B101" s="1" t="s">
        <v>12</v>
      </c>
      <c r="C101" s="5">
        <f>D101+E101</f>
        <v>246613</v>
      </c>
      <c r="D101" s="6">
        <v>246613</v>
      </c>
      <c r="E101" s="6">
        <v>0</v>
      </c>
      <c r="F101" s="3">
        <f>+G101+H101</f>
        <v>0</v>
      </c>
      <c r="G101" s="4">
        <v>0</v>
      </c>
      <c r="H101" s="6">
        <v>0</v>
      </c>
      <c r="I101" s="5">
        <f>J101+K101</f>
        <v>0</v>
      </c>
      <c r="J101" s="4">
        <f>ROUND(G101*1.067,0)</f>
        <v>0</v>
      </c>
      <c r="K101" s="6">
        <v>0</v>
      </c>
      <c r="L101" s="10" t="s">
        <v>48</v>
      </c>
    </row>
    <row r="102" spans="1:12" s="61" customFormat="1" ht="43.5" customHeight="1">
      <c r="A102" s="17" t="s">
        <v>71</v>
      </c>
      <c r="B102" s="1" t="s">
        <v>12</v>
      </c>
      <c r="C102" s="5">
        <f>D102+E102</f>
        <v>15326</v>
      </c>
      <c r="D102" s="6">
        <v>15326</v>
      </c>
      <c r="E102" s="6">
        <v>0</v>
      </c>
      <c r="F102" s="3">
        <f>+G102+H102</f>
        <v>7999</v>
      </c>
      <c r="G102" s="4">
        <v>7999</v>
      </c>
      <c r="H102" s="6">
        <v>0</v>
      </c>
      <c r="I102" s="5">
        <f>J102+K102</f>
        <v>8535</v>
      </c>
      <c r="J102" s="4">
        <f>ROUND(G102*1.067,0)</f>
        <v>8535</v>
      </c>
      <c r="K102" s="6">
        <v>0</v>
      </c>
      <c r="L102" s="10" t="s">
        <v>48</v>
      </c>
    </row>
    <row r="103" spans="1:12" s="61" customFormat="1" ht="30.75" customHeight="1">
      <c r="A103" s="21" t="s">
        <v>33</v>
      </c>
      <c r="B103" s="1"/>
      <c r="C103" s="5">
        <f>E103+D103</f>
        <v>1258221</v>
      </c>
      <c r="D103" s="5">
        <f>D104+D105+D106+D108+D109+D110+D114+D115+D116+D107</f>
        <v>1258221</v>
      </c>
      <c r="E103" s="5">
        <f>SUM(E104,E105,E106)</f>
        <v>0</v>
      </c>
      <c r="F103" s="5">
        <f>H103+G103</f>
        <v>486216</v>
      </c>
      <c r="G103" s="5">
        <f>G104+G105+G106+G108+G109+G110+G114+G115+G116+G107+G117</f>
        <v>486216</v>
      </c>
      <c r="H103" s="5">
        <f>SUM(H104,H105,H106)</f>
        <v>0</v>
      </c>
      <c r="I103" s="5">
        <f>K103+J103</f>
        <v>518791</v>
      </c>
      <c r="J103" s="5">
        <f>J104+J105+J106+J108+J109+J110+J114+J115+J116+J107+J117</f>
        <v>518791</v>
      </c>
      <c r="K103" s="5">
        <f>SUM(K104,K105,K106)</f>
        <v>0</v>
      </c>
      <c r="L103" s="10"/>
    </row>
    <row r="104" spans="1:12" s="61" customFormat="1" ht="53.25" customHeight="1">
      <c r="A104" s="17" t="s">
        <v>29</v>
      </c>
      <c r="B104" s="1" t="s">
        <v>12</v>
      </c>
      <c r="C104" s="5">
        <f aca="true" t="shared" si="13" ref="C104:C117">D104+E104</f>
        <v>41162</v>
      </c>
      <c r="D104" s="6">
        <f>-6500+47662</f>
        <v>41162</v>
      </c>
      <c r="E104" s="6">
        <v>0</v>
      </c>
      <c r="F104" s="3">
        <f>+G104+H104</f>
        <v>28499</v>
      </c>
      <c r="G104" s="4">
        <v>28499</v>
      </c>
      <c r="H104" s="6">
        <v>0</v>
      </c>
      <c r="I104" s="5">
        <f aca="true" t="shared" si="14" ref="I104:I117">J104+K104</f>
        <v>30408</v>
      </c>
      <c r="J104" s="4">
        <f>ROUND(G104*1.067,0)</f>
        <v>30408</v>
      </c>
      <c r="K104" s="6">
        <v>0</v>
      </c>
      <c r="L104" s="10" t="s">
        <v>48</v>
      </c>
    </row>
    <row r="105" spans="1:12" s="61" customFormat="1" ht="38.25" customHeight="1">
      <c r="A105" s="16" t="s">
        <v>22</v>
      </c>
      <c r="B105" s="1" t="s">
        <v>12</v>
      </c>
      <c r="C105" s="5">
        <f t="shared" si="13"/>
        <v>82350</v>
      </c>
      <c r="D105" s="6">
        <f>2886+79225+239</f>
        <v>82350</v>
      </c>
      <c r="E105" s="6">
        <v>0</v>
      </c>
      <c r="F105" s="3">
        <f>+G105+H105</f>
        <v>95156</v>
      </c>
      <c r="G105" s="4">
        <v>95156</v>
      </c>
      <c r="H105" s="6">
        <v>0</v>
      </c>
      <c r="I105" s="5">
        <f t="shared" si="14"/>
        <v>101531</v>
      </c>
      <c r="J105" s="4">
        <f>ROUND(G105*1.067,0)</f>
        <v>101531</v>
      </c>
      <c r="K105" s="6">
        <v>0</v>
      </c>
      <c r="L105" s="10" t="s">
        <v>48</v>
      </c>
    </row>
    <row r="106" spans="1:12" s="61" customFormat="1" ht="40.5" customHeight="1">
      <c r="A106" s="17" t="s">
        <v>57</v>
      </c>
      <c r="B106" s="1" t="s">
        <v>12</v>
      </c>
      <c r="C106" s="5">
        <f t="shared" si="13"/>
        <v>53555</v>
      </c>
      <c r="D106" s="6">
        <f>-12737+66292</f>
        <v>53555</v>
      </c>
      <c r="E106" s="6">
        <v>0</v>
      </c>
      <c r="F106" s="3">
        <f>+G106+H106</f>
        <v>106375</v>
      </c>
      <c r="G106" s="4">
        <v>106375</v>
      </c>
      <c r="H106" s="6">
        <v>0</v>
      </c>
      <c r="I106" s="5">
        <f t="shared" si="14"/>
        <v>113502</v>
      </c>
      <c r="J106" s="4">
        <f>ROUND(G106*1.067,0)</f>
        <v>113502</v>
      </c>
      <c r="K106" s="6">
        <v>0</v>
      </c>
      <c r="L106" s="10" t="s">
        <v>48</v>
      </c>
    </row>
    <row r="107" spans="1:12" s="55" customFormat="1" ht="52.5" customHeight="1">
      <c r="A107" s="17" t="s">
        <v>93</v>
      </c>
      <c r="B107" s="1" t="s">
        <v>12</v>
      </c>
      <c r="C107" s="5">
        <f t="shared" si="13"/>
        <v>396458</v>
      </c>
      <c r="D107" s="6">
        <f>395170+1288</f>
        <v>396458</v>
      </c>
      <c r="E107" s="6">
        <v>0</v>
      </c>
      <c r="F107" s="3">
        <f>+G107+H107</f>
        <v>0</v>
      </c>
      <c r="G107" s="4">
        <v>0</v>
      </c>
      <c r="H107" s="6">
        <v>0</v>
      </c>
      <c r="I107" s="5">
        <f t="shared" si="14"/>
        <v>0</v>
      </c>
      <c r="J107" s="4">
        <f>ROUND(G107*1.067,0)</f>
        <v>0</v>
      </c>
      <c r="K107" s="6">
        <v>0</v>
      </c>
      <c r="L107" s="10" t="s">
        <v>48</v>
      </c>
    </row>
    <row r="108" spans="1:12" s="61" customFormat="1" ht="55.5" customHeight="1">
      <c r="A108" s="16" t="s">
        <v>94</v>
      </c>
      <c r="B108" s="1" t="s">
        <v>12</v>
      </c>
      <c r="C108" s="5">
        <f t="shared" si="13"/>
        <v>298341</v>
      </c>
      <c r="D108" s="6">
        <v>298341</v>
      </c>
      <c r="E108" s="6">
        <v>0</v>
      </c>
      <c r="F108" s="3">
        <f>+G108+H108</f>
        <v>183015</v>
      </c>
      <c r="G108" s="4">
        <f>221100-38085</f>
        <v>183015</v>
      </c>
      <c r="H108" s="6">
        <v>0</v>
      </c>
      <c r="I108" s="5">
        <f t="shared" si="14"/>
        <v>195277</v>
      </c>
      <c r="J108" s="4">
        <f aca="true" t="shared" si="15" ref="J108:J117">ROUND(G108*1.067,0)</f>
        <v>195277</v>
      </c>
      <c r="K108" s="6">
        <v>0</v>
      </c>
      <c r="L108" s="10" t="s">
        <v>48</v>
      </c>
    </row>
    <row r="109" spans="1:12" s="56" customFormat="1" ht="52.5" customHeight="1">
      <c r="A109" s="17" t="s">
        <v>95</v>
      </c>
      <c r="B109" s="1" t="s">
        <v>12</v>
      </c>
      <c r="C109" s="3">
        <f t="shared" si="13"/>
        <v>34000</v>
      </c>
      <c r="D109" s="4">
        <v>34000</v>
      </c>
      <c r="E109" s="4">
        <v>0</v>
      </c>
      <c r="F109" s="3">
        <f aca="true" t="shared" si="16" ref="F109:F117">+G109+H109</f>
        <v>0</v>
      </c>
      <c r="G109" s="4">
        <v>0</v>
      </c>
      <c r="H109" s="6">
        <v>0</v>
      </c>
      <c r="I109" s="5">
        <f t="shared" si="14"/>
        <v>0</v>
      </c>
      <c r="J109" s="4">
        <f t="shared" si="15"/>
        <v>0</v>
      </c>
      <c r="K109" s="6">
        <v>0</v>
      </c>
      <c r="L109" s="10" t="s">
        <v>48</v>
      </c>
    </row>
    <row r="110" spans="1:12" s="55" customFormat="1" ht="53.25" customHeight="1">
      <c r="A110" s="16" t="s">
        <v>96</v>
      </c>
      <c r="B110" s="1" t="s">
        <v>12</v>
      </c>
      <c r="C110" s="5">
        <f t="shared" si="13"/>
        <v>165600</v>
      </c>
      <c r="D110" s="6">
        <v>165600</v>
      </c>
      <c r="E110" s="6">
        <v>0</v>
      </c>
      <c r="F110" s="3">
        <f t="shared" si="16"/>
        <v>0</v>
      </c>
      <c r="G110" s="4">
        <v>0</v>
      </c>
      <c r="H110" s="6">
        <v>0</v>
      </c>
      <c r="I110" s="5">
        <f t="shared" si="14"/>
        <v>0</v>
      </c>
      <c r="J110" s="4">
        <f t="shared" si="15"/>
        <v>0</v>
      </c>
      <c r="K110" s="6">
        <v>0</v>
      </c>
      <c r="L110" s="10" t="s">
        <v>48</v>
      </c>
    </row>
    <row r="111" spans="1:12" s="55" customFormat="1" ht="12" customHeight="1">
      <c r="A111" s="42"/>
      <c r="B111" s="43"/>
      <c r="C111" s="44"/>
      <c r="D111" s="45"/>
      <c r="E111" s="45"/>
      <c r="F111" s="40"/>
      <c r="G111" s="41"/>
      <c r="H111" s="45"/>
      <c r="I111" s="44"/>
      <c r="J111" s="41"/>
      <c r="K111" s="45"/>
      <c r="L111" s="46"/>
    </row>
    <row r="112" spans="1:15" s="60" customFormat="1" ht="17.25" customHeight="1">
      <c r="A112" s="8"/>
      <c r="B112" s="33"/>
      <c r="C112" s="34"/>
      <c r="D112" s="34"/>
      <c r="E112" s="34"/>
      <c r="F112" s="34"/>
      <c r="G112" s="34"/>
      <c r="H112" s="34"/>
      <c r="I112" s="82" t="s">
        <v>103</v>
      </c>
      <c r="J112" s="82"/>
      <c r="K112" s="82"/>
      <c r="L112" s="82"/>
      <c r="M112" s="33"/>
      <c r="N112" s="59"/>
      <c r="O112" s="33"/>
    </row>
    <row r="113" spans="1:15" s="60" customFormat="1" ht="14.25">
      <c r="A113" s="10">
        <v>1</v>
      </c>
      <c r="B113" s="35">
        <v>2</v>
      </c>
      <c r="C113" s="36">
        <v>3</v>
      </c>
      <c r="D113" s="36">
        <v>4</v>
      </c>
      <c r="E113" s="36">
        <v>5</v>
      </c>
      <c r="F113" s="36">
        <v>6</v>
      </c>
      <c r="G113" s="36">
        <v>7</v>
      </c>
      <c r="H113" s="36">
        <v>8</v>
      </c>
      <c r="I113" s="36">
        <v>9</v>
      </c>
      <c r="J113" s="36">
        <v>10</v>
      </c>
      <c r="K113" s="36">
        <v>11</v>
      </c>
      <c r="L113" s="36">
        <v>12</v>
      </c>
      <c r="M113" s="33"/>
      <c r="N113" s="59"/>
      <c r="O113" s="33"/>
    </row>
    <row r="114" spans="1:12" s="55" customFormat="1" ht="125.25" customHeight="1">
      <c r="A114" s="31" t="s">
        <v>82</v>
      </c>
      <c r="B114" s="1" t="s">
        <v>12</v>
      </c>
      <c r="C114" s="5">
        <f t="shared" si="13"/>
        <v>54755</v>
      </c>
      <c r="D114" s="6">
        <v>54755</v>
      </c>
      <c r="E114" s="6">
        <v>0</v>
      </c>
      <c r="F114" s="3">
        <f t="shared" si="16"/>
        <v>0</v>
      </c>
      <c r="G114" s="4">
        <v>0</v>
      </c>
      <c r="H114" s="6">
        <v>0</v>
      </c>
      <c r="I114" s="5">
        <f t="shared" si="14"/>
        <v>0</v>
      </c>
      <c r="J114" s="4">
        <f t="shared" si="15"/>
        <v>0</v>
      </c>
      <c r="K114" s="6">
        <v>0</v>
      </c>
      <c r="L114" s="10" t="s">
        <v>48</v>
      </c>
    </row>
    <row r="115" spans="1:12" s="55" customFormat="1" ht="58.5" customHeight="1">
      <c r="A115" s="17" t="s">
        <v>97</v>
      </c>
      <c r="B115" s="1" t="s">
        <v>12</v>
      </c>
      <c r="C115" s="5">
        <f t="shared" si="13"/>
        <v>100000</v>
      </c>
      <c r="D115" s="6">
        <v>100000</v>
      </c>
      <c r="E115" s="6">
        <v>0</v>
      </c>
      <c r="F115" s="3">
        <f t="shared" si="16"/>
        <v>0</v>
      </c>
      <c r="G115" s="4">
        <v>0</v>
      </c>
      <c r="H115" s="6">
        <v>0</v>
      </c>
      <c r="I115" s="5">
        <f t="shared" si="14"/>
        <v>0</v>
      </c>
      <c r="J115" s="4">
        <f t="shared" si="15"/>
        <v>0</v>
      </c>
      <c r="K115" s="6">
        <v>0</v>
      </c>
      <c r="L115" s="10" t="s">
        <v>48</v>
      </c>
    </row>
    <row r="116" spans="1:12" s="55" customFormat="1" ht="59.25" customHeight="1">
      <c r="A116" s="17" t="s">
        <v>137</v>
      </c>
      <c r="B116" s="1" t="s">
        <v>12</v>
      </c>
      <c r="C116" s="5">
        <f t="shared" si="13"/>
        <v>32000</v>
      </c>
      <c r="D116" s="6">
        <v>32000</v>
      </c>
      <c r="E116" s="6">
        <v>0</v>
      </c>
      <c r="F116" s="3">
        <f t="shared" si="16"/>
        <v>0</v>
      </c>
      <c r="G116" s="4">
        <v>0</v>
      </c>
      <c r="H116" s="6">
        <v>0</v>
      </c>
      <c r="I116" s="5">
        <f t="shared" si="14"/>
        <v>0</v>
      </c>
      <c r="J116" s="4">
        <f t="shared" si="15"/>
        <v>0</v>
      </c>
      <c r="K116" s="6">
        <v>0</v>
      </c>
      <c r="L116" s="10" t="s">
        <v>48</v>
      </c>
    </row>
    <row r="117" spans="1:12" s="55" customFormat="1" ht="48.75" customHeight="1">
      <c r="A117" s="17" t="s">
        <v>136</v>
      </c>
      <c r="B117" s="1" t="s">
        <v>12</v>
      </c>
      <c r="C117" s="5">
        <f t="shared" si="13"/>
        <v>0</v>
      </c>
      <c r="D117" s="6">
        <v>0</v>
      </c>
      <c r="E117" s="6">
        <v>0</v>
      </c>
      <c r="F117" s="3">
        <f t="shared" si="16"/>
        <v>73171</v>
      </c>
      <c r="G117" s="4">
        <v>73171</v>
      </c>
      <c r="H117" s="6">
        <v>0</v>
      </c>
      <c r="I117" s="5">
        <f t="shared" si="14"/>
        <v>78073</v>
      </c>
      <c r="J117" s="4">
        <f t="shared" si="15"/>
        <v>78073</v>
      </c>
      <c r="K117" s="6">
        <v>0</v>
      </c>
      <c r="L117" s="10" t="s">
        <v>48</v>
      </c>
    </row>
    <row r="118" spans="1:12" s="61" customFormat="1" ht="21.75" customHeight="1">
      <c r="A118" s="71" t="s">
        <v>145</v>
      </c>
      <c r="B118" s="71"/>
      <c r="C118" s="71"/>
      <c r="D118" s="71"/>
      <c r="E118" s="71"/>
      <c r="F118" s="71"/>
      <c r="G118" s="71"/>
      <c r="H118" s="71"/>
      <c r="I118" s="71"/>
      <c r="J118" s="71"/>
      <c r="K118" s="71"/>
      <c r="L118" s="71"/>
    </row>
    <row r="119" spans="1:12" s="61" customFormat="1" ht="22.5" customHeight="1">
      <c r="A119" s="80" t="s">
        <v>46</v>
      </c>
      <c r="B119" s="80"/>
      <c r="C119" s="80"/>
      <c r="D119" s="80"/>
      <c r="E119" s="80"/>
      <c r="F119" s="80"/>
      <c r="G119" s="80"/>
      <c r="H119" s="80"/>
      <c r="I119" s="80"/>
      <c r="J119" s="80"/>
      <c r="K119" s="80"/>
      <c r="L119" s="80"/>
    </row>
    <row r="120" spans="1:12" s="61" customFormat="1" ht="23.25" customHeight="1">
      <c r="A120" s="75" t="s">
        <v>30</v>
      </c>
      <c r="B120" s="75"/>
      <c r="C120" s="75"/>
      <c r="D120" s="75"/>
      <c r="E120" s="75"/>
      <c r="F120" s="75"/>
      <c r="G120" s="75"/>
      <c r="H120" s="75"/>
      <c r="I120" s="75"/>
      <c r="J120" s="75"/>
      <c r="K120" s="75"/>
      <c r="L120" s="75"/>
    </row>
    <row r="121" spans="1:12" s="61" customFormat="1" ht="51.75" customHeight="1">
      <c r="A121" s="9" t="s">
        <v>31</v>
      </c>
      <c r="B121" s="1" t="s">
        <v>12</v>
      </c>
      <c r="C121" s="5">
        <f>D121+E121</f>
        <v>256500</v>
      </c>
      <c r="D121" s="5">
        <v>256500</v>
      </c>
      <c r="E121" s="5">
        <v>0</v>
      </c>
      <c r="F121" s="3">
        <f>+G121+H121</f>
        <v>234900</v>
      </c>
      <c r="G121" s="3">
        <v>234900</v>
      </c>
      <c r="H121" s="3">
        <f>ROUND(E121*1.104,0)</f>
        <v>0</v>
      </c>
      <c r="I121" s="5">
        <f>J121+K121</f>
        <v>250638</v>
      </c>
      <c r="J121" s="3">
        <f>ROUND(G121*1.067,0)</f>
        <v>250638</v>
      </c>
      <c r="K121" s="5">
        <v>0</v>
      </c>
      <c r="L121" s="10" t="s">
        <v>48</v>
      </c>
    </row>
    <row r="122" spans="1:12" s="61" customFormat="1" ht="21" customHeight="1">
      <c r="A122" s="71" t="s">
        <v>146</v>
      </c>
      <c r="B122" s="71"/>
      <c r="C122" s="71"/>
      <c r="D122" s="71"/>
      <c r="E122" s="71"/>
      <c r="F122" s="71"/>
      <c r="G122" s="71"/>
      <c r="H122" s="71"/>
      <c r="I122" s="71"/>
      <c r="J122" s="71"/>
      <c r="K122" s="71"/>
      <c r="L122" s="71"/>
    </row>
    <row r="123" spans="1:12" s="61" customFormat="1" ht="25.5" customHeight="1">
      <c r="A123" s="76" t="s">
        <v>47</v>
      </c>
      <c r="B123" s="76"/>
      <c r="C123" s="76"/>
      <c r="D123" s="76"/>
      <c r="E123" s="76"/>
      <c r="F123" s="76"/>
      <c r="G123" s="76"/>
      <c r="H123" s="76"/>
      <c r="I123" s="76"/>
      <c r="J123" s="76"/>
      <c r="K123" s="76"/>
      <c r="L123" s="76"/>
    </row>
    <row r="124" spans="1:12" s="61" customFormat="1" ht="25.5" customHeight="1">
      <c r="A124" s="75" t="s">
        <v>44</v>
      </c>
      <c r="B124" s="75"/>
      <c r="C124" s="75"/>
      <c r="D124" s="75"/>
      <c r="E124" s="75"/>
      <c r="F124" s="75"/>
      <c r="G124" s="75"/>
      <c r="H124" s="75"/>
      <c r="I124" s="75"/>
      <c r="J124" s="75"/>
      <c r="K124" s="75"/>
      <c r="L124" s="75"/>
    </row>
    <row r="125" spans="1:12" s="61" customFormat="1" ht="46.5" customHeight="1">
      <c r="A125" s="18" t="s">
        <v>45</v>
      </c>
      <c r="B125" s="1" t="s">
        <v>12</v>
      </c>
      <c r="C125" s="5">
        <f>D125+E125</f>
        <v>500000</v>
      </c>
      <c r="D125" s="5">
        <f>250000+250000</f>
        <v>500000</v>
      </c>
      <c r="E125" s="5">
        <v>0</v>
      </c>
      <c r="F125" s="3">
        <f>+G125+H125</f>
        <v>540500</v>
      </c>
      <c r="G125" s="3">
        <v>540500</v>
      </c>
      <c r="H125" s="3">
        <f>ROUND(E125*1.104,0)</f>
        <v>0</v>
      </c>
      <c r="I125" s="5">
        <f>J125+K125</f>
        <v>576714</v>
      </c>
      <c r="J125" s="3">
        <f>ROUND(G125*1.067,0)</f>
        <v>576714</v>
      </c>
      <c r="K125" s="5">
        <v>0</v>
      </c>
      <c r="L125" s="10" t="s">
        <v>48</v>
      </c>
    </row>
    <row r="126" spans="1:12" s="55" customFormat="1" ht="24" customHeight="1">
      <c r="A126" s="71" t="s">
        <v>147</v>
      </c>
      <c r="B126" s="71"/>
      <c r="C126" s="71"/>
      <c r="D126" s="71"/>
      <c r="E126" s="71"/>
      <c r="F126" s="71"/>
      <c r="G126" s="71"/>
      <c r="H126" s="71"/>
      <c r="I126" s="71"/>
      <c r="J126" s="71"/>
      <c r="K126" s="71"/>
      <c r="L126" s="71"/>
    </row>
    <row r="127" spans="1:12" s="55" customFormat="1" ht="37.5" customHeight="1">
      <c r="A127" s="80" t="s">
        <v>111</v>
      </c>
      <c r="B127" s="80"/>
      <c r="C127" s="80"/>
      <c r="D127" s="80"/>
      <c r="E127" s="80"/>
      <c r="F127" s="80"/>
      <c r="G127" s="80"/>
      <c r="H127" s="80"/>
      <c r="I127" s="80"/>
      <c r="J127" s="80"/>
      <c r="K127" s="80"/>
      <c r="L127" s="80"/>
    </row>
    <row r="128" spans="1:12" s="55" customFormat="1" ht="39.75" customHeight="1">
      <c r="A128" s="75" t="s">
        <v>112</v>
      </c>
      <c r="B128" s="75"/>
      <c r="C128" s="75"/>
      <c r="D128" s="75"/>
      <c r="E128" s="75"/>
      <c r="F128" s="75"/>
      <c r="G128" s="75"/>
      <c r="H128" s="75"/>
      <c r="I128" s="75"/>
      <c r="J128" s="75"/>
      <c r="K128" s="75"/>
      <c r="L128" s="75"/>
    </row>
    <row r="129" spans="1:12" s="55" customFormat="1" ht="12" customHeight="1">
      <c r="A129" s="42"/>
      <c r="B129" s="43"/>
      <c r="C129" s="44"/>
      <c r="D129" s="45"/>
      <c r="E129" s="45"/>
      <c r="F129" s="40"/>
      <c r="G129" s="41"/>
      <c r="H129" s="45"/>
      <c r="I129" s="44"/>
      <c r="J129" s="41"/>
      <c r="K129" s="45"/>
      <c r="L129" s="46"/>
    </row>
    <row r="130" spans="1:15" s="60" customFormat="1" ht="17.25" customHeight="1">
      <c r="A130" s="8"/>
      <c r="B130" s="33"/>
      <c r="C130" s="34"/>
      <c r="D130" s="34"/>
      <c r="E130" s="34"/>
      <c r="F130" s="34"/>
      <c r="G130" s="34"/>
      <c r="H130" s="34"/>
      <c r="I130" s="82" t="s">
        <v>103</v>
      </c>
      <c r="J130" s="82"/>
      <c r="K130" s="82"/>
      <c r="L130" s="82"/>
      <c r="M130" s="33"/>
      <c r="N130" s="59"/>
      <c r="O130" s="33"/>
    </row>
    <row r="131" spans="1:15" s="60" customFormat="1" ht="14.25">
      <c r="A131" s="10">
        <v>1</v>
      </c>
      <c r="B131" s="35">
        <v>2</v>
      </c>
      <c r="C131" s="36">
        <v>3</v>
      </c>
      <c r="D131" s="36">
        <v>4</v>
      </c>
      <c r="E131" s="36">
        <v>5</v>
      </c>
      <c r="F131" s="36">
        <v>6</v>
      </c>
      <c r="G131" s="36">
        <v>7</v>
      </c>
      <c r="H131" s="36">
        <v>8</v>
      </c>
      <c r="I131" s="36">
        <v>9</v>
      </c>
      <c r="J131" s="36">
        <v>10</v>
      </c>
      <c r="K131" s="36">
        <v>11</v>
      </c>
      <c r="L131" s="36">
        <v>12</v>
      </c>
      <c r="M131" s="33"/>
      <c r="N131" s="59"/>
      <c r="O131" s="33"/>
    </row>
    <row r="132" spans="1:12" s="55" customFormat="1" ht="20.25" customHeight="1">
      <c r="A132" s="13" t="s">
        <v>2</v>
      </c>
      <c r="B132" s="2"/>
      <c r="C132" s="3">
        <f aca="true" t="shared" si="17" ref="C132:C137">D132+E132</f>
        <v>768092</v>
      </c>
      <c r="D132" s="3">
        <f>D133+D134+D135+D136+D137</f>
        <v>768092</v>
      </c>
      <c r="E132" s="3">
        <f>E133+E134</f>
        <v>0</v>
      </c>
      <c r="F132" s="5">
        <f>H132+G132</f>
        <v>48384</v>
      </c>
      <c r="G132" s="5">
        <f>+SUM(G133,G135,G136,G134)</f>
        <v>48384</v>
      </c>
      <c r="H132" s="3">
        <v>0</v>
      </c>
      <c r="I132" s="5">
        <f>+SUM(I133,I134)</f>
        <v>0</v>
      </c>
      <c r="J132" s="5">
        <f>+SUM(J133,J134)</f>
        <v>0</v>
      </c>
      <c r="K132" s="3">
        <v>0</v>
      </c>
      <c r="L132" s="9"/>
    </row>
    <row r="133" spans="1:12" s="55" customFormat="1" ht="65.25" customHeight="1">
      <c r="A133" s="21" t="s">
        <v>89</v>
      </c>
      <c r="B133" s="1" t="s">
        <v>12</v>
      </c>
      <c r="C133" s="5">
        <f t="shared" si="17"/>
        <v>114761</v>
      </c>
      <c r="D133" s="6">
        <f>66528+48233</f>
        <v>114761</v>
      </c>
      <c r="E133" s="6">
        <v>0</v>
      </c>
      <c r="F133" s="3">
        <v>0</v>
      </c>
      <c r="G133" s="4">
        <v>0</v>
      </c>
      <c r="H133" s="4">
        <v>0</v>
      </c>
      <c r="I133" s="5">
        <v>0</v>
      </c>
      <c r="J133" s="4">
        <v>0</v>
      </c>
      <c r="K133" s="6">
        <v>0</v>
      </c>
      <c r="L133" s="2" t="s">
        <v>83</v>
      </c>
    </row>
    <row r="134" spans="1:12" s="55" customFormat="1" ht="66.75" customHeight="1">
      <c r="A134" s="21" t="s">
        <v>90</v>
      </c>
      <c r="B134" s="1" t="s">
        <v>12</v>
      </c>
      <c r="C134" s="5">
        <f t="shared" si="17"/>
        <v>625968</v>
      </c>
      <c r="D134" s="6">
        <f>317520+308448</f>
        <v>625968</v>
      </c>
      <c r="E134" s="27">
        <v>0</v>
      </c>
      <c r="F134" s="3">
        <v>0</v>
      </c>
      <c r="G134" s="4">
        <v>0</v>
      </c>
      <c r="H134" s="4">
        <v>0</v>
      </c>
      <c r="I134" s="5">
        <v>0</v>
      </c>
      <c r="J134" s="4">
        <v>0</v>
      </c>
      <c r="K134" s="6">
        <v>0</v>
      </c>
      <c r="L134" s="2" t="s">
        <v>83</v>
      </c>
    </row>
    <row r="135" spans="1:12" s="55" customFormat="1" ht="55.5" customHeight="1">
      <c r="A135" s="21" t="s">
        <v>113</v>
      </c>
      <c r="B135" s="1" t="s">
        <v>12</v>
      </c>
      <c r="C135" s="5">
        <f t="shared" si="17"/>
        <v>291</v>
      </c>
      <c r="D135" s="6">
        <v>291</v>
      </c>
      <c r="E135" s="27">
        <v>0</v>
      </c>
      <c r="F135" s="3">
        <f>G135+H135</f>
        <v>9828</v>
      </c>
      <c r="G135" s="4">
        <v>9828</v>
      </c>
      <c r="H135" s="4">
        <v>0</v>
      </c>
      <c r="I135" s="5">
        <v>0</v>
      </c>
      <c r="J135" s="4">
        <v>0</v>
      </c>
      <c r="K135" s="6">
        <v>0</v>
      </c>
      <c r="L135" s="2" t="s">
        <v>83</v>
      </c>
    </row>
    <row r="136" spans="1:12" s="55" customFormat="1" ht="56.25" customHeight="1">
      <c r="A136" s="21" t="s">
        <v>114</v>
      </c>
      <c r="B136" s="1" t="s">
        <v>12</v>
      </c>
      <c r="C136" s="5">
        <f t="shared" si="17"/>
        <v>792</v>
      </c>
      <c r="D136" s="6">
        <v>792</v>
      </c>
      <c r="E136" s="27">
        <v>0</v>
      </c>
      <c r="F136" s="3">
        <f>G136+H136</f>
        <v>38556</v>
      </c>
      <c r="G136" s="4">
        <v>38556</v>
      </c>
      <c r="H136" s="4">
        <v>0</v>
      </c>
      <c r="I136" s="5">
        <v>0</v>
      </c>
      <c r="J136" s="4">
        <v>0</v>
      </c>
      <c r="K136" s="6">
        <v>0</v>
      </c>
      <c r="L136" s="2" t="s">
        <v>83</v>
      </c>
    </row>
    <row r="137" spans="1:12" s="55" customFormat="1" ht="81" customHeight="1">
      <c r="A137" s="53" t="s">
        <v>120</v>
      </c>
      <c r="B137" s="1" t="s">
        <v>12</v>
      </c>
      <c r="C137" s="5">
        <f t="shared" si="17"/>
        <v>26280</v>
      </c>
      <c r="D137" s="6">
        <v>26280</v>
      </c>
      <c r="E137" s="27">
        <v>0</v>
      </c>
      <c r="F137" s="3">
        <f>G137+H137</f>
        <v>0</v>
      </c>
      <c r="G137" s="4">
        <v>0</v>
      </c>
      <c r="H137" s="4">
        <v>0</v>
      </c>
      <c r="I137" s="5">
        <v>0</v>
      </c>
      <c r="J137" s="4">
        <v>0</v>
      </c>
      <c r="K137" s="6">
        <v>0</v>
      </c>
      <c r="L137" s="2" t="s">
        <v>83</v>
      </c>
    </row>
    <row r="138" spans="1:12" s="55" customFormat="1" ht="34.5" customHeight="1">
      <c r="A138" s="80" t="s">
        <v>169</v>
      </c>
      <c r="B138" s="80"/>
      <c r="C138" s="80"/>
      <c r="D138" s="80"/>
      <c r="E138" s="80"/>
      <c r="F138" s="80"/>
      <c r="G138" s="80"/>
      <c r="H138" s="80"/>
      <c r="I138" s="80"/>
      <c r="J138" s="80"/>
      <c r="K138" s="80"/>
      <c r="L138" s="80"/>
    </row>
    <row r="139" spans="1:12" s="55" customFormat="1" ht="27.75" customHeight="1">
      <c r="A139" s="75" t="s">
        <v>170</v>
      </c>
      <c r="B139" s="75"/>
      <c r="C139" s="75"/>
      <c r="D139" s="75"/>
      <c r="E139" s="75"/>
      <c r="F139" s="75"/>
      <c r="G139" s="75"/>
      <c r="H139" s="75"/>
      <c r="I139" s="75"/>
      <c r="J139" s="75"/>
      <c r="K139" s="75"/>
      <c r="L139" s="75"/>
    </row>
    <row r="140" spans="1:12" s="55" customFormat="1" ht="18.75" customHeight="1">
      <c r="A140" s="47" t="s">
        <v>63</v>
      </c>
      <c r="B140" s="2"/>
      <c r="C140" s="3">
        <f>D140+E140</f>
        <v>963540</v>
      </c>
      <c r="D140" s="3">
        <f>D142+D143+D144+D149+D154</f>
        <v>963540</v>
      </c>
      <c r="E140" s="3">
        <v>0</v>
      </c>
      <c r="F140" s="5">
        <f>H140+G140</f>
        <v>140770</v>
      </c>
      <c r="G140" s="5">
        <f>+SUM(G142,G143,G149)</f>
        <v>140770</v>
      </c>
      <c r="H140" s="3">
        <v>0</v>
      </c>
      <c r="I140" s="5">
        <f>+SUM(I142,I149)</f>
        <v>0</v>
      </c>
      <c r="J140" s="5">
        <f>+SUM(J142,J149)</f>
        <v>0</v>
      </c>
      <c r="K140" s="3">
        <v>0</v>
      </c>
      <c r="L140" s="9"/>
    </row>
    <row r="141" spans="1:12" s="55" customFormat="1" ht="16.5">
      <c r="A141" s="71" t="s">
        <v>148</v>
      </c>
      <c r="B141" s="71"/>
      <c r="C141" s="71"/>
      <c r="D141" s="71"/>
      <c r="E141" s="71"/>
      <c r="F141" s="71"/>
      <c r="G141" s="71"/>
      <c r="H141" s="71"/>
      <c r="I141" s="71"/>
      <c r="J141" s="71"/>
      <c r="K141" s="71"/>
      <c r="L141" s="71"/>
    </row>
    <row r="142" spans="1:12" s="55" customFormat="1" ht="68.25" customHeight="1">
      <c r="A142" s="21" t="s">
        <v>109</v>
      </c>
      <c r="B142" s="1" t="s">
        <v>12</v>
      </c>
      <c r="C142" s="5">
        <f>D142+E142</f>
        <v>808500</v>
      </c>
      <c r="D142" s="6">
        <f>247500+330000+231000</f>
        <v>808500</v>
      </c>
      <c r="E142" s="6">
        <v>0</v>
      </c>
      <c r="F142" s="3">
        <f>G142+H142</f>
        <v>0</v>
      </c>
      <c r="G142" s="4">
        <v>0</v>
      </c>
      <c r="H142" s="4">
        <v>0</v>
      </c>
      <c r="I142" s="5">
        <v>0</v>
      </c>
      <c r="J142" s="4">
        <v>0</v>
      </c>
      <c r="K142" s="6">
        <v>0</v>
      </c>
      <c r="L142" s="2" t="s">
        <v>83</v>
      </c>
    </row>
    <row r="143" spans="1:12" s="55" customFormat="1" ht="55.5" customHeight="1">
      <c r="A143" s="21" t="s">
        <v>115</v>
      </c>
      <c r="B143" s="1" t="s">
        <v>12</v>
      </c>
      <c r="C143" s="5">
        <f>D143+E143</f>
        <v>5320</v>
      </c>
      <c r="D143" s="6">
        <v>5320</v>
      </c>
      <c r="E143" s="6">
        <v>0</v>
      </c>
      <c r="F143" s="3">
        <f>G143+H143</f>
        <v>61250</v>
      </c>
      <c r="G143" s="4">
        <v>61250</v>
      </c>
      <c r="H143" s="4">
        <v>0</v>
      </c>
      <c r="I143" s="5">
        <v>0</v>
      </c>
      <c r="J143" s="4">
        <v>0</v>
      </c>
      <c r="K143" s="6">
        <v>0</v>
      </c>
      <c r="L143" s="2" t="s">
        <v>83</v>
      </c>
    </row>
    <row r="144" spans="1:12" s="55" customFormat="1" ht="75" customHeight="1">
      <c r="A144" s="21" t="s">
        <v>121</v>
      </c>
      <c r="B144" s="1" t="s">
        <v>12</v>
      </c>
      <c r="C144" s="5">
        <f>D144+E144</f>
        <v>61740</v>
      </c>
      <c r="D144" s="6">
        <v>61740</v>
      </c>
      <c r="E144" s="6">
        <v>0</v>
      </c>
      <c r="F144" s="3">
        <f>G144+H144</f>
        <v>0</v>
      </c>
      <c r="G144" s="4">
        <v>0</v>
      </c>
      <c r="H144" s="4">
        <v>0</v>
      </c>
      <c r="I144" s="5">
        <v>0</v>
      </c>
      <c r="J144" s="4">
        <v>0</v>
      </c>
      <c r="K144" s="6">
        <v>0</v>
      </c>
      <c r="L144" s="2" t="s">
        <v>83</v>
      </c>
    </row>
    <row r="145" spans="1:12" s="55" customFormat="1" ht="12" customHeight="1">
      <c r="A145" s="42"/>
      <c r="B145" s="43"/>
      <c r="C145" s="44"/>
      <c r="D145" s="45"/>
      <c r="E145" s="45"/>
      <c r="F145" s="40"/>
      <c r="G145" s="41"/>
      <c r="H145" s="45"/>
      <c r="I145" s="44"/>
      <c r="J145" s="41"/>
      <c r="K145" s="45"/>
      <c r="L145" s="46"/>
    </row>
    <row r="146" spans="1:15" s="60" customFormat="1" ht="17.25" customHeight="1">
      <c r="A146" s="8"/>
      <c r="B146" s="33"/>
      <c r="C146" s="34"/>
      <c r="D146" s="34"/>
      <c r="E146" s="34"/>
      <c r="F146" s="34"/>
      <c r="G146" s="34"/>
      <c r="H146" s="34"/>
      <c r="I146" s="82" t="s">
        <v>103</v>
      </c>
      <c r="J146" s="82"/>
      <c r="K146" s="82"/>
      <c r="L146" s="82"/>
      <c r="M146" s="33"/>
      <c r="N146" s="59"/>
      <c r="O146" s="33"/>
    </row>
    <row r="147" spans="1:15" s="60" customFormat="1" ht="14.25">
      <c r="A147" s="10">
        <v>1</v>
      </c>
      <c r="B147" s="35">
        <v>2</v>
      </c>
      <c r="C147" s="36">
        <v>3</v>
      </c>
      <c r="D147" s="36">
        <v>4</v>
      </c>
      <c r="E147" s="36">
        <v>5</v>
      </c>
      <c r="F147" s="36">
        <v>6</v>
      </c>
      <c r="G147" s="36">
        <v>7</v>
      </c>
      <c r="H147" s="36">
        <v>8</v>
      </c>
      <c r="I147" s="36">
        <v>9</v>
      </c>
      <c r="J147" s="36">
        <v>10</v>
      </c>
      <c r="K147" s="36">
        <v>11</v>
      </c>
      <c r="L147" s="36">
        <v>12</v>
      </c>
      <c r="M147" s="33"/>
      <c r="N147" s="59"/>
      <c r="O147" s="33"/>
    </row>
    <row r="148" spans="1:12" s="55" customFormat="1" ht="16.5">
      <c r="A148" s="71" t="s">
        <v>149</v>
      </c>
      <c r="B148" s="71"/>
      <c r="C148" s="71"/>
      <c r="D148" s="71"/>
      <c r="E148" s="71"/>
      <c r="F148" s="71"/>
      <c r="G148" s="71"/>
      <c r="H148" s="71"/>
      <c r="I148" s="71"/>
      <c r="J148" s="71"/>
      <c r="K148" s="71"/>
      <c r="L148" s="71"/>
    </row>
    <row r="149" spans="1:12" s="55" customFormat="1" ht="41.25" customHeight="1">
      <c r="A149" s="19" t="s">
        <v>129</v>
      </c>
      <c r="B149" s="1"/>
      <c r="C149" s="5">
        <f>D149+E149</f>
        <v>87500</v>
      </c>
      <c r="D149" s="6">
        <f>+D150+D151+D152</f>
        <v>87500</v>
      </c>
      <c r="E149" s="6">
        <v>0</v>
      </c>
      <c r="F149" s="3">
        <f>+G149+H149</f>
        <v>79520</v>
      </c>
      <c r="G149" s="6">
        <f>+G150+G151+G152</f>
        <v>79520</v>
      </c>
      <c r="H149" s="4">
        <v>0</v>
      </c>
      <c r="I149" s="5">
        <f>+J149+K149</f>
        <v>0</v>
      </c>
      <c r="J149" s="6">
        <f>+J150+J151+J152</f>
        <v>0</v>
      </c>
      <c r="K149" s="6">
        <v>0</v>
      </c>
      <c r="L149" s="2"/>
    </row>
    <row r="150" spans="1:12" s="55" customFormat="1" ht="53.25" customHeight="1">
      <c r="A150" s="69" t="s">
        <v>171</v>
      </c>
      <c r="B150" s="1" t="s">
        <v>12</v>
      </c>
      <c r="C150" s="5">
        <f>+D150+E150</f>
        <v>87500</v>
      </c>
      <c r="D150" s="6">
        <v>87500</v>
      </c>
      <c r="E150" s="6">
        <v>0</v>
      </c>
      <c r="F150" s="3">
        <f>+G150+H150</f>
        <v>0</v>
      </c>
      <c r="G150" s="4">
        <v>0</v>
      </c>
      <c r="H150" s="4">
        <v>0</v>
      </c>
      <c r="I150" s="5">
        <f>+J150+K150</f>
        <v>0</v>
      </c>
      <c r="J150" s="4">
        <v>0</v>
      </c>
      <c r="K150" s="6">
        <v>0</v>
      </c>
      <c r="L150" s="2" t="s">
        <v>83</v>
      </c>
    </row>
    <row r="151" spans="1:12" s="55" customFormat="1" ht="53.25" customHeight="1">
      <c r="A151" s="70" t="s">
        <v>172</v>
      </c>
      <c r="B151" s="1" t="s">
        <v>12</v>
      </c>
      <c r="C151" s="5">
        <f>+D151+E151</f>
        <v>0</v>
      </c>
      <c r="D151" s="6">
        <v>0</v>
      </c>
      <c r="E151" s="6">
        <v>0</v>
      </c>
      <c r="F151" s="3">
        <f>+G151+H151</f>
        <v>74550</v>
      </c>
      <c r="G151" s="4">
        <v>74550</v>
      </c>
      <c r="H151" s="4">
        <v>0</v>
      </c>
      <c r="I151" s="5">
        <f>+J151+K151</f>
        <v>0</v>
      </c>
      <c r="J151" s="4">
        <v>0</v>
      </c>
      <c r="K151" s="6">
        <v>0</v>
      </c>
      <c r="L151" s="2" t="s">
        <v>83</v>
      </c>
    </row>
    <row r="152" spans="1:12" s="55" customFormat="1" ht="53.25" customHeight="1">
      <c r="A152" s="70" t="s">
        <v>173</v>
      </c>
      <c r="B152" s="1" t="s">
        <v>12</v>
      </c>
      <c r="C152" s="5">
        <f>+D152+E152</f>
        <v>0</v>
      </c>
      <c r="D152" s="6">
        <v>0</v>
      </c>
      <c r="E152" s="6">
        <v>0</v>
      </c>
      <c r="F152" s="3">
        <f>+G152+H152</f>
        <v>4970</v>
      </c>
      <c r="G152" s="4">
        <v>4970</v>
      </c>
      <c r="H152" s="4">
        <v>0</v>
      </c>
      <c r="I152" s="5">
        <f>+J152+K152</f>
        <v>0</v>
      </c>
      <c r="J152" s="4">
        <v>0</v>
      </c>
      <c r="K152" s="6">
        <v>0</v>
      </c>
      <c r="L152" s="2" t="s">
        <v>83</v>
      </c>
    </row>
    <row r="153" spans="1:12" s="55" customFormat="1" ht="20.25" customHeight="1">
      <c r="A153" s="88" t="s">
        <v>150</v>
      </c>
      <c r="B153" s="88"/>
      <c r="C153" s="88"/>
      <c r="D153" s="88"/>
      <c r="E153" s="88"/>
      <c r="F153" s="88"/>
      <c r="G153" s="88"/>
      <c r="H153" s="88"/>
      <c r="I153" s="88"/>
      <c r="J153" s="88"/>
      <c r="K153" s="88"/>
      <c r="L153" s="88"/>
    </row>
    <row r="154" spans="1:12" s="55" customFormat="1" ht="78.75" customHeight="1">
      <c r="A154" s="31" t="s">
        <v>122</v>
      </c>
      <c r="B154" s="1" t="s">
        <v>12</v>
      </c>
      <c r="C154" s="5">
        <f>D154+E154</f>
        <v>480</v>
      </c>
      <c r="D154" s="6">
        <v>480</v>
      </c>
      <c r="E154" s="6">
        <v>0</v>
      </c>
      <c r="F154" s="3">
        <f>G154+H154</f>
        <v>0</v>
      </c>
      <c r="G154" s="4">
        <v>0</v>
      </c>
      <c r="H154" s="4">
        <v>0</v>
      </c>
      <c r="I154" s="5">
        <f>J154+K154</f>
        <v>0</v>
      </c>
      <c r="J154" s="4">
        <v>0</v>
      </c>
      <c r="K154" s="6">
        <v>0</v>
      </c>
      <c r="L154" s="2" t="s">
        <v>83</v>
      </c>
    </row>
    <row r="155" spans="1:12" s="61" customFormat="1" ht="18" customHeight="1">
      <c r="A155" s="71" t="s">
        <v>151</v>
      </c>
      <c r="B155" s="71"/>
      <c r="C155" s="71"/>
      <c r="D155" s="71"/>
      <c r="E155" s="71"/>
      <c r="F155" s="71"/>
      <c r="G155" s="71"/>
      <c r="H155" s="71"/>
      <c r="I155" s="71"/>
      <c r="J155" s="71"/>
      <c r="K155" s="71"/>
      <c r="L155" s="71"/>
    </row>
    <row r="156" spans="1:12" s="61" customFormat="1" ht="33.75" customHeight="1">
      <c r="A156" s="80" t="s">
        <v>126</v>
      </c>
      <c r="B156" s="80"/>
      <c r="C156" s="80"/>
      <c r="D156" s="80"/>
      <c r="E156" s="80"/>
      <c r="F156" s="80"/>
      <c r="G156" s="80"/>
      <c r="H156" s="80"/>
      <c r="I156" s="80"/>
      <c r="J156" s="80"/>
      <c r="K156" s="80"/>
      <c r="L156" s="80"/>
    </row>
    <row r="157" spans="1:12" s="61" customFormat="1" ht="32.25" customHeight="1">
      <c r="A157" s="74" t="s">
        <v>127</v>
      </c>
      <c r="B157" s="74"/>
      <c r="C157" s="74"/>
      <c r="D157" s="74"/>
      <c r="E157" s="74"/>
      <c r="F157" s="74"/>
      <c r="G157" s="74"/>
      <c r="H157" s="74"/>
      <c r="I157" s="74"/>
      <c r="J157" s="74"/>
      <c r="K157" s="74"/>
      <c r="L157" s="74"/>
    </row>
    <row r="158" spans="1:12" s="61" customFormat="1" ht="40.5" customHeight="1">
      <c r="A158" s="62" t="s">
        <v>128</v>
      </c>
      <c r="B158" s="1" t="s">
        <v>12</v>
      </c>
      <c r="C158" s="5">
        <f>D158+E158</f>
        <v>1007900</v>
      </c>
      <c r="D158" s="5">
        <v>260900</v>
      </c>
      <c r="E158" s="5">
        <v>747000</v>
      </c>
      <c r="F158" s="5">
        <f>G158+H158</f>
        <v>211000</v>
      </c>
      <c r="G158" s="5">
        <v>211000</v>
      </c>
      <c r="H158" s="5">
        <v>0</v>
      </c>
      <c r="I158" s="5">
        <f>J158+K158</f>
        <v>225137</v>
      </c>
      <c r="J158" s="3">
        <f>ROUND(G158*1.067,0)</f>
        <v>225137</v>
      </c>
      <c r="K158" s="5">
        <v>0</v>
      </c>
      <c r="L158" s="10" t="s">
        <v>48</v>
      </c>
    </row>
    <row r="159" spans="1:12" s="61" customFormat="1" ht="18" customHeight="1">
      <c r="A159" s="71" t="s">
        <v>152</v>
      </c>
      <c r="B159" s="71"/>
      <c r="C159" s="71"/>
      <c r="D159" s="71"/>
      <c r="E159" s="71"/>
      <c r="F159" s="71"/>
      <c r="G159" s="71"/>
      <c r="H159" s="71"/>
      <c r="I159" s="71"/>
      <c r="J159" s="71"/>
      <c r="K159" s="71"/>
      <c r="L159" s="71"/>
    </row>
    <row r="160" spans="1:12" s="55" customFormat="1" ht="20.25" customHeight="1">
      <c r="A160" s="79" t="s">
        <v>159</v>
      </c>
      <c r="B160" s="79"/>
      <c r="C160" s="79"/>
      <c r="D160" s="79"/>
      <c r="E160" s="79"/>
      <c r="F160" s="79"/>
      <c r="G160" s="79"/>
      <c r="H160" s="79"/>
      <c r="I160" s="79"/>
      <c r="J160" s="79"/>
      <c r="K160" s="79"/>
      <c r="L160" s="79"/>
    </row>
    <row r="161" spans="1:12" s="55" customFormat="1" ht="23.25" customHeight="1">
      <c r="A161" s="78" t="s">
        <v>160</v>
      </c>
      <c r="B161" s="78"/>
      <c r="C161" s="78"/>
      <c r="D161" s="78"/>
      <c r="E161" s="78"/>
      <c r="F161" s="78"/>
      <c r="G161" s="78"/>
      <c r="H161" s="78"/>
      <c r="I161" s="78"/>
      <c r="J161" s="78"/>
      <c r="K161" s="78"/>
      <c r="L161" s="78"/>
    </row>
    <row r="162" spans="1:12" s="61" customFormat="1" ht="21.75" customHeight="1">
      <c r="A162" s="20" t="s">
        <v>63</v>
      </c>
      <c r="B162" s="63"/>
      <c r="C162" s="5">
        <f>D162+E162</f>
        <v>57157</v>
      </c>
      <c r="D162" s="5">
        <f>D163+D164</f>
        <v>57157</v>
      </c>
      <c r="E162" s="5">
        <f>E163+E164</f>
        <v>0</v>
      </c>
      <c r="F162" s="5">
        <f>G162+H162</f>
        <v>160000</v>
      </c>
      <c r="G162" s="5">
        <f>G163+G164</f>
        <v>160000</v>
      </c>
      <c r="H162" s="64">
        <v>0</v>
      </c>
      <c r="I162" s="5">
        <f>J162+K162</f>
        <v>170720</v>
      </c>
      <c r="J162" s="5">
        <f>J163+J164</f>
        <v>170720</v>
      </c>
      <c r="K162" s="5">
        <f>K163+K164</f>
        <v>0</v>
      </c>
      <c r="L162" s="63"/>
    </row>
    <row r="163" spans="1:12" s="61" customFormat="1" ht="42" customHeight="1">
      <c r="A163" s="18" t="s">
        <v>161</v>
      </c>
      <c r="B163" s="1" t="s">
        <v>12</v>
      </c>
      <c r="C163" s="5">
        <f>D163+E163</f>
        <v>57157</v>
      </c>
      <c r="D163" s="6">
        <v>57157</v>
      </c>
      <c r="E163" s="6">
        <v>0</v>
      </c>
      <c r="F163" s="5">
        <f>G163+H163</f>
        <v>90000</v>
      </c>
      <c r="G163" s="6">
        <v>90000</v>
      </c>
      <c r="H163" s="6">
        <v>0</v>
      </c>
      <c r="I163" s="5">
        <f>J163+K163</f>
        <v>96030</v>
      </c>
      <c r="J163" s="4">
        <f>ROUND(G163*1.067,0)</f>
        <v>96030</v>
      </c>
      <c r="K163" s="6">
        <v>0</v>
      </c>
      <c r="L163" s="10" t="s">
        <v>48</v>
      </c>
    </row>
    <row r="164" spans="1:12" s="61" customFormat="1" ht="43.5" customHeight="1">
      <c r="A164" s="18" t="s">
        <v>162</v>
      </c>
      <c r="B164" s="1" t="s">
        <v>12</v>
      </c>
      <c r="C164" s="5">
        <f>D164+E164</f>
        <v>0</v>
      </c>
      <c r="D164" s="6">
        <v>0</v>
      </c>
      <c r="E164" s="6">
        <v>0</v>
      </c>
      <c r="F164" s="5">
        <f>G164+H164</f>
        <v>70000</v>
      </c>
      <c r="G164" s="6">
        <v>70000</v>
      </c>
      <c r="H164" s="6">
        <v>0</v>
      </c>
      <c r="I164" s="5">
        <f>J164+K164</f>
        <v>74690</v>
      </c>
      <c r="J164" s="4">
        <f>ROUND(G164*1.067,0)</f>
        <v>74690</v>
      </c>
      <c r="K164" s="6">
        <v>0</v>
      </c>
      <c r="L164" s="10" t="s">
        <v>48</v>
      </c>
    </row>
    <row r="165" spans="1:12" s="61" customFormat="1" ht="18" customHeight="1">
      <c r="A165" s="80" t="s">
        <v>50</v>
      </c>
      <c r="B165" s="80"/>
      <c r="C165" s="80"/>
      <c r="D165" s="80"/>
      <c r="E165" s="80"/>
      <c r="F165" s="80"/>
      <c r="G165" s="80"/>
      <c r="H165" s="80"/>
      <c r="I165" s="80"/>
      <c r="J165" s="80"/>
      <c r="K165" s="80"/>
      <c r="L165" s="80"/>
    </row>
    <row r="166" spans="1:12" s="61" customFormat="1" ht="33.75" customHeight="1">
      <c r="A166" s="75" t="s">
        <v>106</v>
      </c>
      <c r="B166" s="75"/>
      <c r="C166" s="75"/>
      <c r="D166" s="75"/>
      <c r="E166" s="75"/>
      <c r="F166" s="75"/>
      <c r="G166" s="75"/>
      <c r="H166" s="75"/>
      <c r="I166" s="75"/>
      <c r="J166" s="75"/>
      <c r="K166" s="75"/>
      <c r="L166" s="75"/>
    </row>
    <row r="167" spans="1:12" s="61" customFormat="1" ht="23.25" customHeight="1">
      <c r="A167" s="20" t="s">
        <v>63</v>
      </c>
      <c r="B167" s="2"/>
      <c r="C167" s="3">
        <f>D167+E167</f>
        <v>16477514</v>
      </c>
      <c r="D167" s="3">
        <f>D171+D174+D176+D178+D180+D185</f>
        <v>16477514</v>
      </c>
      <c r="E167" s="3">
        <v>0</v>
      </c>
      <c r="F167" s="5">
        <f>G167+H167</f>
        <v>37521885</v>
      </c>
      <c r="G167" s="3">
        <f>G171+G174+G176+G178+G180+G185</f>
        <v>37367273</v>
      </c>
      <c r="H167" s="3">
        <f>H171+H174+H176+H178+H180</f>
        <v>154612</v>
      </c>
      <c r="I167" s="5">
        <f>K167+J167</f>
        <v>160000</v>
      </c>
      <c r="J167" s="3">
        <f>J171+J174+J176+J178+J180</f>
        <v>0</v>
      </c>
      <c r="K167" s="3">
        <f>K171+K174+K176+K178+K180</f>
        <v>160000</v>
      </c>
      <c r="L167" s="9"/>
    </row>
    <row r="168" spans="1:15" s="60" customFormat="1" ht="17.25" customHeight="1">
      <c r="A168" s="8"/>
      <c r="B168" s="33"/>
      <c r="C168" s="34"/>
      <c r="D168" s="34"/>
      <c r="E168" s="34"/>
      <c r="F168" s="34"/>
      <c r="G168" s="34"/>
      <c r="H168" s="34"/>
      <c r="I168" s="82" t="s">
        <v>103</v>
      </c>
      <c r="J168" s="82"/>
      <c r="K168" s="82"/>
      <c r="L168" s="82"/>
      <c r="M168" s="33"/>
      <c r="N168" s="59"/>
      <c r="O168" s="33"/>
    </row>
    <row r="169" spans="1:15" s="60" customFormat="1" ht="14.25">
      <c r="A169" s="10">
        <v>1</v>
      </c>
      <c r="B169" s="35">
        <v>2</v>
      </c>
      <c r="C169" s="36">
        <v>3</v>
      </c>
      <c r="D169" s="36">
        <v>4</v>
      </c>
      <c r="E169" s="36">
        <v>5</v>
      </c>
      <c r="F169" s="36">
        <v>6</v>
      </c>
      <c r="G169" s="36">
        <v>7</v>
      </c>
      <c r="H169" s="36">
        <v>8</v>
      </c>
      <c r="I169" s="36">
        <v>9</v>
      </c>
      <c r="J169" s="36">
        <v>10</v>
      </c>
      <c r="K169" s="36">
        <v>11</v>
      </c>
      <c r="L169" s="36">
        <v>12</v>
      </c>
      <c r="M169" s="33"/>
      <c r="N169" s="59"/>
      <c r="O169" s="33"/>
    </row>
    <row r="170" spans="1:12" s="61" customFormat="1" ht="21.75" customHeight="1">
      <c r="A170" s="73" t="s">
        <v>153</v>
      </c>
      <c r="B170" s="73"/>
      <c r="C170" s="73"/>
      <c r="D170" s="73"/>
      <c r="E170" s="73"/>
      <c r="F170" s="73"/>
      <c r="G170" s="73"/>
      <c r="H170" s="73"/>
      <c r="I170" s="73"/>
      <c r="J170" s="73"/>
      <c r="K170" s="73"/>
      <c r="L170" s="73"/>
    </row>
    <row r="171" spans="1:12" s="61" customFormat="1" ht="45.75" customHeight="1">
      <c r="A171" s="18" t="s">
        <v>72</v>
      </c>
      <c r="B171" s="1" t="s">
        <v>12</v>
      </c>
      <c r="C171" s="5">
        <f>D171+E171</f>
        <v>3624570</v>
      </c>
      <c r="D171" s="65">
        <v>3624570</v>
      </c>
      <c r="E171" s="3">
        <v>0</v>
      </c>
      <c r="F171" s="3">
        <f>G171+H171</f>
        <v>8980337</v>
      </c>
      <c r="G171" s="4">
        <f>3427694+5552643</f>
        <v>8980337</v>
      </c>
      <c r="H171" s="4">
        <v>0</v>
      </c>
      <c r="I171" s="5">
        <v>0</v>
      </c>
      <c r="J171" s="4">
        <v>0</v>
      </c>
      <c r="K171" s="6">
        <v>0</v>
      </c>
      <c r="L171" s="10" t="s">
        <v>48</v>
      </c>
    </row>
    <row r="172" spans="1:12" s="55" customFormat="1" ht="12" customHeight="1">
      <c r="A172" s="42"/>
      <c r="B172" s="43"/>
      <c r="C172" s="44"/>
      <c r="D172" s="45"/>
      <c r="E172" s="45"/>
      <c r="F172" s="40"/>
      <c r="G172" s="41"/>
      <c r="H172" s="45"/>
      <c r="I172" s="44"/>
      <c r="J172" s="41"/>
      <c r="K172" s="45"/>
      <c r="L172" s="46"/>
    </row>
    <row r="173" spans="1:12" s="61" customFormat="1" ht="21.75" customHeight="1">
      <c r="A173" s="73" t="s">
        <v>145</v>
      </c>
      <c r="B173" s="73"/>
      <c r="C173" s="73"/>
      <c r="D173" s="73"/>
      <c r="E173" s="73"/>
      <c r="F173" s="73"/>
      <c r="G173" s="73"/>
      <c r="H173" s="73"/>
      <c r="I173" s="73"/>
      <c r="J173" s="73"/>
      <c r="K173" s="73"/>
      <c r="L173" s="73"/>
    </row>
    <row r="174" spans="1:12" s="61" customFormat="1" ht="43.5" customHeight="1">
      <c r="A174" s="18" t="s">
        <v>58</v>
      </c>
      <c r="B174" s="1" t="s">
        <v>12</v>
      </c>
      <c r="C174" s="5">
        <f>D174+E174</f>
        <v>9714663</v>
      </c>
      <c r="D174" s="6">
        <f>9583246+131417</f>
        <v>9714663</v>
      </c>
      <c r="E174" s="5">
        <v>0</v>
      </c>
      <c r="F174" s="5">
        <f>G174+H174</f>
        <v>24964613</v>
      </c>
      <c r="G174" s="4">
        <f>16020644+8943969</f>
        <v>24964613</v>
      </c>
      <c r="H174" s="4">
        <v>0</v>
      </c>
      <c r="I174" s="5">
        <f>J174+K174</f>
        <v>0</v>
      </c>
      <c r="J174" s="4">
        <v>0</v>
      </c>
      <c r="K174" s="4">
        <v>0</v>
      </c>
      <c r="L174" s="10" t="s">
        <v>48</v>
      </c>
    </row>
    <row r="175" spans="1:12" s="61" customFormat="1" ht="21" customHeight="1">
      <c r="A175" s="73" t="s">
        <v>154</v>
      </c>
      <c r="B175" s="73"/>
      <c r="C175" s="73"/>
      <c r="D175" s="73"/>
      <c r="E175" s="73"/>
      <c r="F175" s="73"/>
      <c r="G175" s="73"/>
      <c r="H175" s="73"/>
      <c r="I175" s="73"/>
      <c r="J175" s="73"/>
      <c r="K175" s="73"/>
      <c r="L175" s="73"/>
    </row>
    <row r="176" spans="1:12" s="61" customFormat="1" ht="43.5" customHeight="1">
      <c r="A176" s="21" t="s">
        <v>59</v>
      </c>
      <c r="B176" s="1" t="s">
        <v>12</v>
      </c>
      <c r="C176" s="5">
        <f>D176+E176</f>
        <v>94003</v>
      </c>
      <c r="D176" s="5">
        <v>94003</v>
      </c>
      <c r="E176" s="5">
        <v>0</v>
      </c>
      <c r="F176" s="3">
        <f>G176+H176</f>
        <v>74666</v>
      </c>
      <c r="G176" s="4">
        <v>74666</v>
      </c>
      <c r="H176" s="4">
        <v>0</v>
      </c>
      <c r="I176" s="5">
        <v>0</v>
      </c>
      <c r="J176" s="4">
        <v>0</v>
      </c>
      <c r="K176" s="6">
        <v>0</v>
      </c>
      <c r="L176" s="10" t="s">
        <v>48</v>
      </c>
    </row>
    <row r="177" spans="1:12" s="61" customFormat="1" ht="21" customHeight="1">
      <c r="A177" s="73" t="s">
        <v>155</v>
      </c>
      <c r="B177" s="73"/>
      <c r="C177" s="73"/>
      <c r="D177" s="73"/>
      <c r="E177" s="73"/>
      <c r="F177" s="73"/>
      <c r="G177" s="73"/>
      <c r="H177" s="73"/>
      <c r="I177" s="73"/>
      <c r="J177" s="73"/>
      <c r="K177" s="73"/>
      <c r="L177" s="73"/>
    </row>
    <row r="178" spans="1:12" s="61" customFormat="1" ht="42" customHeight="1">
      <c r="A178" s="21" t="s">
        <v>49</v>
      </c>
      <c r="B178" s="1" t="s">
        <v>12</v>
      </c>
      <c r="C178" s="5">
        <f>D178+E178</f>
        <v>1439932</v>
      </c>
      <c r="D178" s="5">
        <v>1439932</v>
      </c>
      <c r="E178" s="5">
        <v>0</v>
      </c>
      <c r="F178" s="3">
        <f>G178+H178</f>
        <v>1577457</v>
      </c>
      <c r="G178" s="4">
        <f>1562305+15152</f>
        <v>1577457</v>
      </c>
      <c r="H178" s="4">
        <v>0</v>
      </c>
      <c r="I178" s="5">
        <v>0</v>
      </c>
      <c r="J178" s="3">
        <v>0</v>
      </c>
      <c r="K178" s="5">
        <v>0</v>
      </c>
      <c r="L178" s="10" t="s">
        <v>48</v>
      </c>
    </row>
    <row r="179" spans="1:12" s="61" customFormat="1" ht="18" customHeight="1">
      <c r="A179" s="73" t="s">
        <v>156</v>
      </c>
      <c r="B179" s="73"/>
      <c r="C179" s="73"/>
      <c r="D179" s="73"/>
      <c r="E179" s="73"/>
      <c r="F179" s="73"/>
      <c r="G179" s="73"/>
      <c r="H179" s="73"/>
      <c r="I179" s="73"/>
      <c r="J179" s="73"/>
      <c r="K179" s="73"/>
      <c r="L179" s="73"/>
    </row>
    <row r="180" spans="1:12" s="61" customFormat="1" ht="137.25" customHeight="1">
      <c r="A180" s="66" t="s">
        <v>116</v>
      </c>
      <c r="B180" s="7"/>
      <c r="C180" s="5">
        <f>D180+E180</f>
        <v>254346</v>
      </c>
      <c r="D180" s="5">
        <f>+D181+D182+D183</f>
        <v>254346</v>
      </c>
      <c r="E180" s="5">
        <f>E181+E182+E183</f>
        <v>0</v>
      </c>
      <c r="F180" s="3">
        <f>G180+H180</f>
        <v>424812</v>
      </c>
      <c r="G180" s="5">
        <f>+G181+G182+G15</f>
        <v>270200</v>
      </c>
      <c r="H180" s="5">
        <f>+H181+H182+H183</f>
        <v>154612</v>
      </c>
      <c r="I180" s="5">
        <f>J180+K180</f>
        <v>160000</v>
      </c>
      <c r="J180" s="3">
        <f>J181+J182+J183</f>
        <v>0</v>
      </c>
      <c r="K180" s="3">
        <f>K181+K182+K183</f>
        <v>160000</v>
      </c>
      <c r="L180" s="10" t="s">
        <v>48</v>
      </c>
    </row>
    <row r="181" spans="1:12" s="61" customFormat="1" ht="41.25" customHeight="1">
      <c r="A181" s="7" t="s">
        <v>60</v>
      </c>
      <c r="B181" s="1" t="s">
        <v>12</v>
      </c>
      <c r="C181" s="5">
        <f>D181+E181</f>
        <v>28775</v>
      </c>
      <c r="D181" s="6">
        <v>28775</v>
      </c>
      <c r="E181" s="6">
        <v>0</v>
      </c>
      <c r="F181" s="3">
        <f>+G181+H181</f>
        <v>26400</v>
      </c>
      <c r="G181" s="4">
        <v>26400</v>
      </c>
      <c r="H181" s="4">
        <f>ROUND(E181*1.104,0)</f>
        <v>0</v>
      </c>
      <c r="I181" s="5">
        <f>J181+K181</f>
        <v>0</v>
      </c>
      <c r="J181" s="4">
        <v>0</v>
      </c>
      <c r="K181" s="6">
        <v>0</v>
      </c>
      <c r="L181" s="10" t="s">
        <v>48</v>
      </c>
    </row>
    <row r="182" spans="1:12" s="61" customFormat="1" ht="39.75" customHeight="1">
      <c r="A182" s="7" t="s">
        <v>61</v>
      </c>
      <c r="B182" s="1" t="s">
        <v>12</v>
      </c>
      <c r="C182" s="5">
        <f>D182+E182</f>
        <v>225571</v>
      </c>
      <c r="D182" s="6">
        <v>225571</v>
      </c>
      <c r="E182" s="6">
        <v>0</v>
      </c>
      <c r="F182" s="3">
        <f>+G182+H182</f>
        <v>243800</v>
      </c>
      <c r="G182" s="4">
        <v>243800</v>
      </c>
      <c r="H182" s="4">
        <v>0</v>
      </c>
      <c r="I182" s="5">
        <v>0</v>
      </c>
      <c r="J182" s="4">
        <v>0</v>
      </c>
      <c r="K182" s="6">
        <v>0</v>
      </c>
      <c r="L182" s="10" t="s">
        <v>48</v>
      </c>
    </row>
    <row r="183" spans="1:12" s="61" customFormat="1" ht="36.75" customHeight="1">
      <c r="A183" s="17" t="s">
        <v>62</v>
      </c>
      <c r="B183" s="1" t="s">
        <v>12</v>
      </c>
      <c r="C183" s="5">
        <f>D183+E183</f>
        <v>0</v>
      </c>
      <c r="D183" s="6">
        <v>0</v>
      </c>
      <c r="E183" s="6">
        <v>0</v>
      </c>
      <c r="F183" s="3">
        <f>+G183+H183</f>
        <v>154612</v>
      </c>
      <c r="G183" s="4">
        <v>0</v>
      </c>
      <c r="H183" s="4">
        <f>150000+4612</f>
        <v>154612</v>
      </c>
      <c r="I183" s="5">
        <f>J183+K183</f>
        <v>160000</v>
      </c>
      <c r="J183" s="4">
        <v>0</v>
      </c>
      <c r="K183" s="4">
        <v>160000</v>
      </c>
      <c r="L183" s="10" t="s">
        <v>48</v>
      </c>
    </row>
    <row r="184" spans="1:13" s="61" customFormat="1" ht="17.25" customHeight="1">
      <c r="A184" s="81" t="s">
        <v>157</v>
      </c>
      <c r="B184" s="81"/>
      <c r="C184" s="81"/>
      <c r="D184" s="81"/>
      <c r="E184" s="81"/>
      <c r="F184" s="81"/>
      <c r="G184" s="81"/>
      <c r="H184" s="81"/>
      <c r="I184" s="81"/>
      <c r="J184" s="81"/>
      <c r="K184" s="81"/>
      <c r="L184" s="81"/>
      <c r="M184" s="48"/>
    </row>
    <row r="185" spans="1:12" s="61" customFormat="1" ht="41.25" customHeight="1">
      <c r="A185" s="18" t="s">
        <v>165</v>
      </c>
      <c r="B185" s="1" t="s">
        <v>12</v>
      </c>
      <c r="C185" s="5">
        <f>D185+E185</f>
        <v>1350000</v>
      </c>
      <c r="D185" s="6">
        <v>1350000</v>
      </c>
      <c r="E185" s="6">
        <v>0</v>
      </c>
      <c r="F185" s="3">
        <f>G185+H185</f>
        <v>1500000</v>
      </c>
      <c r="G185" s="4">
        <v>1500000</v>
      </c>
      <c r="H185" s="4">
        <v>0</v>
      </c>
      <c r="I185" s="5">
        <f>J185+K185</f>
        <v>0</v>
      </c>
      <c r="J185" s="4">
        <v>0</v>
      </c>
      <c r="K185" s="4">
        <v>0</v>
      </c>
      <c r="L185" s="10" t="s">
        <v>48</v>
      </c>
    </row>
    <row r="186" spans="1:12" s="61" customFormat="1" ht="18" customHeight="1">
      <c r="A186" s="73" t="s">
        <v>158</v>
      </c>
      <c r="B186" s="73"/>
      <c r="C186" s="73"/>
      <c r="D186" s="73"/>
      <c r="E186" s="73"/>
      <c r="F186" s="73"/>
      <c r="G186" s="73"/>
      <c r="H186" s="73"/>
      <c r="I186" s="73"/>
      <c r="J186" s="73"/>
      <c r="K186" s="73"/>
      <c r="L186" s="73"/>
    </row>
    <row r="187" spans="1:12" s="61" customFormat="1" ht="37.5" customHeight="1">
      <c r="A187" s="79" t="s">
        <v>64</v>
      </c>
      <c r="B187" s="79"/>
      <c r="C187" s="79"/>
      <c r="D187" s="79"/>
      <c r="E187" s="79"/>
      <c r="F187" s="79"/>
      <c r="G187" s="79"/>
      <c r="H187" s="79"/>
      <c r="I187" s="79"/>
      <c r="J187" s="79"/>
      <c r="K187" s="79"/>
      <c r="L187" s="79"/>
    </row>
    <row r="188" spans="1:12" s="61" customFormat="1" ht="32.25" customHeight="1">
      <c r="A188" s="78" t="s">
        <v>65</v>
      </c>
      <c r="B188" s="78"/>
      <c r="C188" s="78"/>
      <c r="D188" s="78"/>
      <c r="E188" s="78"/>
      <c r="F188" s="78"/>
      <c r="G188" s="78"/>
      <c r="H188" s="78"/>
      <c r="I188" s="78"/>
      <c r="J188" s="78"/>
      <c r="K188" s="78"/>
      <c r="L188" s="78"/>
    </row>
    <row r="189" spans="1:12" s="55" customFormat="1" ht="12" customHeight="1">
      <c r="A189" s="42"/>
      <c r="B189" s="43"/>
      <c r="C189" s="44"/>
      <c r="D189" s="45"/>
      <c r="E189" s="45"/>
      <c r="F189" s="40"/>
      <c r="G189" s="41"/>
      <c r="H189" s="45"/>
      <c r="I189" s="44"/>
      <c r="J189" s="41"/>
      <c r="K189" s="45"/>
      <c r="L189" s="46"/>
    </row>
    <row r="190" spans="1:15" s="60" customFormat="1" ht="17.25" customHeight="1">
      <c r="A190" s="8"/>
      <c r="B190" s="33"/>
      <c r="C190" s="34"/>
      <c r="D190" s="34"/>
      <c r="E190" s="34"/>
      <c r="F190" s="34"/>
      <c r="G190" s="34"/>
      <c r="H190" s="34"/>
      <c r="I190" s="82" t="s">
        <v>103</v>
      </c>
      <c r="J190" s="82"/>
      <c r="K190" s="82"/>
      <c r="L190" s="82"/>
      <c r="M190" s="33"/>
      <c r="N190" s="59"/>
      <c r="O190" s="33"/>
    </row>
    <row r="191" spans="1:15" s="60" customFormat="1" ht="14.25">
      <c r="A191" s="10">
        <v>1</v>
      </c>
      <c r="B191" s="35">
        <v>2</v>
      </c>
      <c r="C191" s="36">
        <v>3</v>
      </c>
      <c r="D191" s="36">
        <v>4</v>
      </c>
      <c r="E191" s="36">
        <v>5</v>
      </c>
      <c r="F191" s="36">
        <v>6</v>
      </c>
      <c r="G191" s="36">
        <v>7</v>
      </c>
      <c r="H191" s="36">
        <v>8</v>
      </c>
      <c r="I191" s="36">
        <v>9</v>
      </c>
      <c r="J191" s="36">
        <v>10</v>
      </c>
      <c r="K191" s="36">
        <v>11</v>
      </c>
      <c r="L191" s="36">
        <v>12</v>
      </c>
      <c r="M191" s="33"/>
      <c r="N191" s="59"/>
      <c r="O191" s="33"/>
    </row>
    <row r="192" spans="1:12" s="55" customFormat="1" ht="18.75" customHeight="1">
      <c r="A192" s="13" t="s">
        <v>2</v>
      </c>
      <c r="B192" s="63"/>
      <c r="C192" s="67">
        <f>D192+E192</f>
        <v>1445456</v>
      </c>
      <c r="D192" s="68">
        <f>D193+D194</f>
        <v>1445456</v>
      </c>
      <c r="E192" s="68">
        <f>E193+E194</f>
        <v>0</v>
      </c>
      <c r="F192" s="67">
        <f>G192+H192</f>
        <v>0</v>
      </c>
      <c r="G192" s="68">
        <f>G193+G194</f>
        <v>0</v>
      </c>
      <c r="H192" s="68">
        <v>0</v>
      </c>
      <c r="I192" s="67">
        <v>0</v>
      </c>
      <c r="J192" s="68">
        <v>0</v>
      </c>
      <c r="K192" s="68">
        <f>K193+K194</f>
        <v>0</v>
      </c>
      <c r="L192" s="68">
        <v>0</v>
      </c>
    </row>
    <row r="193" spans="1:12" s="61" customFormat="1" ht="64.5" customHeight="1">
      <c r="A193" s="18" t="s">
        <v>66</v>
      </c>
      <c r="B193" s="1" t="s">
        <v>12</v>
      </c>
      <c r="C193" s="5">
        <f>D193+E193</f>
        <v>220430</v>
      </c>
      <c r="D193" s="6">
        <v>220430</v>
      </c>
      <c r="E193" s="6">
        <v>0</v>
      </c>
      <c r="F193" s="5">
        <f>G193+H193</f>
        <v>0</v>
      </c>
      <c r="G193" s="6">
        <v>0</v>
      </c>
      <c r="H193" s="6">
        <v>0</v>
      </c>
      <c r="I193" s="5">
        <f>J193+K193</f>
        <v>0</v>
      </c>
      <c r="J193" s="6">
        <v>0</v>
      </c>
      <c r="K193" s="6">
        <v>0</v>
      </c>
      <c r="L193" s="10" t="s">
        <v>48</v>
      </c>
    </row>
    <row r="194" spans="1:12" s="55" customFormat="1" ht="93.75" customHeight="1">
      <c r="A194" s="21" t="s">
        <v>84</v>
      </c>
      <c r="B194" s="1" t="s">
        <v>12</v>
      </c>
      <c r="C194" s="5">
        <f>D194+E194</f>
        <v>1225026</v>
      </c>
      <c r="D194" s="6">
        <v>1225026</v>
      </c>
      <c r="E194" s="6">
        <v>0</v>
      </c>
      <c r="F194" s="3">
        <f>+G194+H194</f>
        <v>0</v>
      </c>
      <c r="G194" s="4">
        <v>0</v>
      </c>
      <c r="H194" s="6">
        <v>0</v>
      </c>
      <c r="I194" s="5">
        <f>J194+K194</f>
        <v>0</v>
      </c>
      <c r="J194" s="4">
        <f>ROUND(G194*1.075,0)</f>
        <v>0</v>
      </c>
      <c r="K194" s="6">
        <v>0</v>
      </c>
      <c r="L194" s="10" t="s">
        <v>48</v>
      </c>
    </row>
    <row r="195" ht="15.75" customHeight="1">
      <c r="D195" s="28"/>
    </row>
    <row r="196" spans="1:8" ht="17.25" customHeight="1">
      <c r="A196" s="38" t="s">
        <v>175</v>
      </c>
      <c r="B196" s="38"/>
      <c r="C196" s="38"/>
      <c r="D196" s="38"/>
      <c r="E196" s="38"/>
      <c r="F196" s="38"/>
      <c r="G196" s="38"/>
      <c r="H196" s="38" t="s">
        <v>176</v>
      </c>
    </row>
    <row r="197" spans="1:8" ht="12.75" customHeight="1">
      <c r="A197" s="38"/>
      <c r="B197" s="38"/>
      <c r="C197" s="38"/>
      <c r="D197" s="38"/>
      <c r="E197" s="38"/>
      <c r="F197" s="38"/>
      <c r="G197" s="38"/>
      <c r="H197" s="38"/>
    </row>
    <row r="198" spans="1:8" ht="18.75">
      <c r="A198" s="39" t="s">
        <v>107</v>
      </c>
      <c r="B198" s="38"/>
      <c r="C198" s="38"/>
      <c r="D198" s="38"/>
      <c r="E198" s="38"/>
      <c r="F198" s="38"/>
      <c r="G198" s="38"/>
      <c r="H198" s="38"/>
    </row>
    <row r="199" spans="1:8" ht="21" customHeight="1">
      <c r="A199" s="39" t="s">
        <v>108</v>
      </c>
      <c r="B199" s="38"/>
      <c r="C199" s="38"/>
      <c r="D199" s="38"/>
      <c r="E199" s="38"/>
      <c r="F199" s="38"/>
      <c r="G199" s="38"/>
      <c r="H199" s="38"/>
    </row>
    <row r="201" spans="2:3" ht="12.75">
      <c r="B201" s="11" t="s">
        <v>132</v>
      </c>
      <c r="C201" s="37">
        <f>C13-C18-C27-C28-C31-C34-C38-C42-C43-C60-C61-C62-C63-C64-C66-C67-C68-C70-C75-C80-C85-C86-C87-C88-C89-C100-C102-C104-C105-C106-C108-C121-C125-C158-C163-C167-C193-C135-C136-C143</f>
        <v>6913272</v>
      </c>
    </row>
    <row r="202" ht="12.75">
      <c r="C202" s="37"/>
    </row>
    <row r="203" spans="2:3" ht="12.75">
      <c r="B203" s="11" t="s">
        <v>133</v>
      </c>
      <c r="C203" s="37">
        <f>C13-C201</f>
        <v>26008599</v>
      </c>
    </row>
  </sheetData>
  <sheetProtection/>
  <mergeCells count="70">
    <mergeCell ref="I146:L146"/>
    <mergeCell ref="I168:L168"/>
    <mergeCell ref="I190:L190"/>
    <mergeCell ref="I73:L73"/>
    <mergeCell ref="I93:L93"/>
    <mergeCell ref="I112:L112"/>
    <mergeCell ref="I130:L130"/>
    <mergeCell ref="A153:L153"/>
    <mergeCell ref="A148:L148"/>
    <mergeCell ref="A120:L120"/>
    <mergeCell ref="A15:L15"/>
    <mergeCell ref="I9:K9"/>
    <mergeCell ref="I10:I11"/>
    <mergeCell ref="A97:L97"/>
    <mergeCell ref="A78:L78"/>
    <mergeCell ref="A19:L19"/>
    <mergeCell ref="D10:E10"/>
    <mergeCell ref="A20:L20"/>
    <mergeCell ref="I40:L40"/>
    <mergeCell ref="A77:L77"/>
    <mergeCell ref="A7:L7"/>
    <mergeCell ref="A9:A11"/>
    <mergeCell ref="B9:B11"/>
    <mergeCell ref="C9:E9"/>
    <mergeCell ref="F9:H9"/>
    <mergeCell ref="L9:L11"/>
    <mergeCell ref="C10:C11"/>
    <mergeCell ref="G10:H10"/>
    <mergeCell ref="J10:K10"/>
    <mergeCell ref="F10:F11"/>
    <mergeCell ref="A119:L119"/>
    <mergeCell ref="A141:L141"/>
    <mergeCell ref="A128:L128"/>
    <mergeCell ref="A118:L118"/>
    <mergeCell ref="A122:L122"/>
    <mergeCell ref="A14:L14"/>
    <mergeCell ref="A126:L126"/>
    <mergeCell ref="A127:L127"/>
    <mergeCell ref="A83:L83"/>
    <mergeCell ref="I25:L25"/>
    <mergeCell ref="I58:L58"/>
    <mergeCell ref="A173:L173"/>
    <mergeCell ref="A79:L79"/>
    <mergeCell ref="A170:L170"/>
    <mergeCell ref="A95:L95"/>
    <mergeCell ref="A82:L82"/>
    <mergeCell ref="A139:L139"/>
    <mergeCell ref="A156:L156"/>
    <mergeCell ref="A81:L81"/>
    <mergeCell ref="A138:L138"/>
    <mergeCell ref="A188:L188"/>
    <mergeCell ref="A160:L160"/>
    <mergeCell ref="A161:L161"/>
    <mergeCell ref="A165:L165"/>
    <mergeCell ref="A166:L166"/>
    <mergeCell ref="A177:L177"/>
    <mergeCell ref="A186:L186"/>
    <mergeCell ref="A184:L184"/>
    <mergeCell ref="A187:L187"/>
    <mergeCell ref="A175:L175"/>
    <mergeCell ref="A155:L155"/>
    <mergeCell ref="I2:K2"/>
    <mergeCell ref="I3:L3"/>
    <mergeCell ref="A179:L179"/>
    <mergeCell ref="A157:L157"/>
    <mergeCell ref="A159:L159"/>
    <mergeCell ref="A124:L124"/>
    <mergeCell ref="A96:L96"/>
    <mergeCell ref="A123:L123"/>
    <mergeCell ref="A21:L21"/>
  </mergeCells>
  <printOptions/>
  <pageMargins left="0.7874015748031497" right="0.23" top="1.03" bottom="0.53" header="0.5118110236220472" footer="0.5118110236220472"/>
  <pageSetup horizontalDpi="600" verticalDpi="600" orientation="landscape" paperSize="9" scale="67" r:id="rId1"/>
  <rowBreaks count="10" manualBreakCount="10">
    <brk id="24" max="11" man="1"/>
    <brk id="38" max="11" man="1"/>
    <brk id="56" max="11" man="1"/>
    <brk id="72" max="11" man="1"/>
    <brk id="92" max="11" man="1"/>
    <brk id="111" max="11" man="1"/>
    <brk id="129" max="11" man="1"/>
    <brk id="145" max="11" man="1"/>
    <brk id="167" max="11" man="1"/>
    <brk id="18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2017-06-22T14:40:35Z</cp:lastPrinted>
  <dcterms:created xsi:type="dcterms:W3CDTF">1996-10-08T23:32:33Z</dcterms:created>
  <dcterms:modified xsi:type="dcterms:W3CDTF">2017-07-17T10:28:38Z</dcterms:modified>
  <cp:category/>
  <cp:version/>
  <cp:contentType/>
  <cp:contentStatus/>
</cp:coreProperties>
</file>