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ЮЛИЯ 2\Інвестпрограма 2018\"/>
    </mc:Choice>
  </mc:AlternateContent>
  <bookViews>
    <workbookView xWindow="0" yWindow="0" windowWidth="28800" windowHeight="12330"/>
  </bookViews>
  <sheets>
    <sheet name="приклад" sheetId="1" r:id="rId1"/>
  </sheets>
  <calcPr calcId="162913"/>
</workbook>
</file>

<file path=xl/calcChain.xml><?xml version="1.0" encoding="utf-8"?>
<calcChain xmlns="http://schemas.openxmlformats.org/spreadsheetml/2006/main">
  <c r="E3" i="1" l="1"/>
  <c r="E18" i="1"/>
  <c r="F18" i="1"/>
  <c r="E19" i="1"/>
  <c r="F19" i="1"/>
  <c r="E20" i="1"/>
  <c r="F20" i="1"/>
  <c r="E21" i="1"/>
  <c r="F21" i="1"/>
  <c r="E22" i="1"/>
  <c r="F22" i="1"/>
  <c r="G4" i="1"/>
  <c r="F17" i="1"/>
  <c r="E17" i="1"/>
  <c r="F16" i="1"/>
  <c r="E16" i="1"/>
  <c r="F15" i="1"/>
  <c r="E15" i="1"/>
  <c r="F14" i="1"/>
  <c r="E14" i="1"/>
  <c r="F13" i="1"/>
  <c r="E13" i="1"/>
  <c r="I3" i="1"/>
  <c r="J19" i="1"/>
  <c r="J21" i="1"/>
  <c r="J18" i="1"/>
  <c r="J20" i="1"/>
  <c r="J22" i="1"/>
  <c r="J16" i="1"/>
  <c r="J14" i="1"/>
  <c r="J13" i="1"/>
  <c r="J17" i="1"/>
  <c r="J15" i="1"/>
  <c r="E5" i="1"/>
  <c r="E8" i="1"/>
  <c r="E4" i="1"/>
  <c r="F4" i="1"/>
  <c r="K4" i="1"/>
  <c r="F5" i="1"/>
  <c r="G5" i="1"/>
  <c r="G6" i="1" s="1"/>
  <c r="J5" i="1"/>
  <c r="E6" i="1"/>
  <c r="F6" i="1"/>
  <c r="J6" i="1"/>
  <c r="E7" i="1"/>
  <c r="F7" i="1"/>
  <c r="J7" i="1"/>
  <c r="F8" i="1"/>
  <c r="J8" i="1"/>
  <c r="E9" i="1"/>
  <c r="F9" i="1"/>
  <c r="J9" i="1"/>
  <c r="E10" i="1"/>
  <c r="F10" i="1"/>
  <c r="J10" i="1"/>
  <c r="E11" i="1"/>
  <c r="F11" i="1"/>
  <c r="J11" i="1"/>
  <c r="E12" i="1"/>
  <c r="F12" i="1"/>
  <c r="J12" i="1"/>
  <c r="K5" i="1"/>
  <c r="G7" i="1" l="1"/>
  <c r="G8" i="1" s="1"/>
  <c r="K6" i="1"/>
  <c r="K7" i="1"/>
  <c r="H6" i="1"/>
  <c r="G9" i="1" l="1"/>
  <c r="K8" i="1"/>
  <c r="G10" i="1" l="1"/>
  <c r="K9" i="1"/>
  <c r="G11" i="1" l="1"/>
  <c r="K10" i="1"/>
  <c r="G12" i="1" l="1"/>
  <c r="K11" i="1"/>
  <c r="G13" i="1" l="1"/>
  <c r="K12" i="1"/>
  <c r="K13" i="1" l="1"/>
  <c r="G14" i="1"/>
  <c r="G15" i="1" l="1"/>
  <c r="K14" i="1"/>
  <c r="G16" i="1" l="1"/>
  <c r="K15" i="1"/>
  <c r="G17" i="1" l="1"/>
  <c r="K16" i="1"/>
  <c r="G18" i="1" l="1"/>
  <c r="K17" i="1"/>
  <c r="G19" i="1" l="1"/>
  <c r="K18" i="1"/>
  <c r="G20" i="1" l="1"/>
  <c r="K19" i="1"/>
  <c r="K20" i="1" l="1"/>
  <c r="G21" i="1"/>
  <c r="G22" i="1" l="1"/>
  <c r="K22" i="1" s="1"/>
  <c r="K21" i="1"/>
</calcChain>
</file>

<file path=xl/sharedStrings.xml><?xml version="1.0" encoding="utf-8"?>
<sst xmlns="http://schemas.openxmlformats.org/spreadsheetml/2006/main" count="11" uniqueCount="11">
  <si>
    <t>Індекс прибутковості</t>
  </si>
  <si>
    <t>Внутрішня норма доходності</t>
  </si>
  <si>
    <t>Дисконт. період окупності</t>
  </si>
  <si>
    <t>Сумарний дисконт. річний ЕЕ</t>
  </si>
  <si>
    <t>Дисконт. річний ЕЕ</t>
  </si>
  <si>
    <t>Чиста приведена вартість</t>
  </si>
  <si>
    <t xml:space="preserve">Річний ЕЕ (після впровадження) </t>
  </si>
  <si>
    <t>Роки</t>
  </si>
  <si>
    <t xml:space="preserve">Оцінка економічної ефективності Інвестиційної програми на 2018 рік                                                                                      </t>
  </si>
  <si>
    <t>Інвестиційні витрати   за всі роки)</t>
  </si>
  <si>
    <t>Ставка дисконтування (стала величина)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</si>
</sst>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7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9" fontId="6" fillId="4" borderId="2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70" workbookViewId="0">
      <selection activeCell="D2" sqref="D2"/>
    </sheetView>
  </sheetViews>
  <sheetFormatPr defaultRowHeight="15" x14ac:dyDescent="0.25"/>
  <cols>
    <col min="2" max="2" width="14.42578125" customWidth="1"/>
    <col min="3" max="3" width="17" customWidth="1"/>
    <col min="4" max="4" width="16.85546875" customWidth="1"/>
    <col min="5" max="5" width="16.28515625" customWidth="1"/>
    <col min="6" max="6" width="12.85546875" customWidth="1"/>
    <col min="7" max="7" width="14.5703125" customWidth="1"/>
    <col min="8" max="8" width="13.28515625" customWidth="1"/>
    <col min="9" max="9" width="27" hidden="1" customWidth="1"/>
    <col min="10" max="10" width="12.28515625" customWidth="1"/>
    <col min="11" max="11" width="16.140625" customWidth="1"/>
    <col min="13" max="13" width="56.42578125" customWidth="1"/>
    <col min="14" max="14" width="22.42578125" customWidth="1"/>
  </cols>
  <sheetData>
    <row r="1" spans="1:15" ht="54.75" customHeight="1" thickBot="1" x14ac:dyDescent="0.3">
      <c r="A1" s="58" t="s">
        <v>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78" customHeight="1" thickBot="1" x14ac:dyDescent="0.3">
      <c r="A2" s="54" t="s">
        <v>7</v>
      </c>
      <c r="B2" s="55" t="s">
        <v>9</v>
      </c>
      <c r="C2" s="55" t="s">
        <v>6</v>
      </c>
      <c r="D2" s="55" t="s">
        <v>10</v>
      </c>
      <c r="E2" s="55" t="s">
        <v>5</v>
      </c>
      <c r="F2" s="55" t="s">
        <v>4</v>
      </c>
      <c r="G2" s="55" t="s">
        <v>3</v>
      </c>
      <c r="H2" s="55" t="s">
        <v>2</v>
      </c>
      <c r="I2" s="56"/>
      <c r="J2" s="55" t="s">
        <v>1</v>
      </c>
      <c r="K2" s="57" t="s">
        <v>0</v>
      </c>
    </row>
    <row r="3" spans="1:15" ht="24" thickBot="1" x14ac:dyDescent="0.4">
      <c r="A3" s="10">
        <v>1</v>
      </c>
      <c r="B3" s="37">
        <v>10821.5</v>
      </c>
      <c r="C3" s="37">
        <v>3483.93</v>
      </c>
      <c r="D3" s="9">
        <v>0.3</v>
      </c>
      <c r="E3" s="8">
        <f>B3/(1+D3)</f>
        <v>8324.2307692307695</v>
      </c>
      <c r="F3" s="7"/>
      <c r="G3" s="7"/>
      <c r="H3" s="7"/>
      <c r="I3" s="3">
        <f>-B3</f>
        <v>-10821.5</v>
      </c>
      <c r="J3" s="7"/>
      <c r="K3" s="6"/>
      <c r="M3" s="20"/>
      <c r="N3" s="20"/>
      <c r="O3" s="20"/>
    </row>
    <row r="4" spans="1:15" ht="24" thickBot="1" x14ac:dyDescent="0.4">
      <c r="A4" s="5">
        <v>2</v>
      </c>
      <c r="B4" s="3"/>
      <c r="C4" s="3"/>
      <c r="D4" s="3"/>
      <c r="E4" s="4">
        <f>-B3/(1+D3)^1+C3/(1+D3)</f>
        <v>-5644.2846153846158</v>
      </c>
      <c r="F4" s="4">
        <f>C3/( 1+D3)^1</f>
        <v>2679.9461538461537</v>
      </c>
      <c r="G4" s="4">
        <f>C3/( 1+D3)^1</f>
        <v>2679.9461538461537</v>
      </c>
      <c r="H4" s="3"/>
      <c r="I4" s="37">
        <v>4489.3</v>
      </c>
      <c r="J4" s="2">
        <v>-0.49</v>
      </c>
      <c r="K4" s="1">
        <f>G4/E3</f>
        <v>0.32194520168183705</v>
      </c>
      <c r="M4" s="31"/>
      <c r="N4" s="32"/>
      <c r="O4" s="20"/>
    </row>
    <row r="5" spans="1:15" ht="24" thickBot="1" x14ac:dyDescent="0.4">
      <c r="A5" s="21">
        <v>3</v>
      </c>
      <c r="B5" s="38"/>
      <c r="C5" s="38"/>
      <c r="D5" s="38"/>
      <c r="E5" s="23">
        <f>-B3/(1+D3)^1+C3/(1+D3)+C3/( 1+D3)^2</f>
        <v>-3582.7875739644978</v>
      </c>
      <c r="F5" s="23">
        <f>C3/(1+D3)^2</f>
        <v>2061.497041420118</v>
      </c>
      <c r="G5" s="23">
        <f t="shared" ref="G5:G22" si="0">G4+F5</f>
        <v>4741.4431952662717</v>
      </c>
      <c r="H5" s="39"/>
      <c r="I5" s="37">
        <v>4489.3</v>
      </c>
      <c r="J5" s="40">
        <f>IRR(I3:I5)</f>
        <v>-0.11591019608895614</v>
      </c>
      <c r="K5" s="41">
        <f>G5/E3</f>
        <v>0.5695953568217117</v>
      </c>
      <c r="M5" s="31"/>
      <c r="N5" s="33"/>
      <c r="O5" s="20"/>
    </row>
    <row r="6" spans="1:15" ht="24" thickBot="1" x14ac:dyDescent="0.4">
      <c r="A6" s="42">
        <v>4</v>
      </c>
      <c r="B6" s="43"/>
      <c r="C6" s="43"/>
      <c r="D6" s="43"/>
      <c r="E6" s="44">
        <f>-B3/(1+D3)^1+C3/(1+D3)+C3/( 1+D3)^2+C3/(1+D3)^3</f>
        <v>-1997.0206190259457</v>
      </c>
      <c r="F6" s="44">
        <f>C3/(1+D3)^3</f>
        <v>1585.7669549385521</v>
      </c>
      <c r="G6" s="44">
        <f t="shared" si="0"/>
        <v>6327.2101502048235</v>
      </c>
      <c r="H6" s="45">
        <f>(1-(G6-E3)/F6)+3</f>
        <v>5.2593405435815317</v>
      </c>
      <c r="I6" s="46">
        <v>4489.3</v>
      </c>
      <c r="J6" s="47">
        <f>IRR(I3:I6)</f>
        <v>0.11790380903792008</v>
      </c>
      <c r="K6" s="48">
        <f>G6/E3</f>
        <v>0.76009547616007678</v>
      </c>
      <c r="M6" s="31"/>
      <c r="N6" s="34"/>
      <c r="O6" s="20"/>
    </row>
    <row r="7" spans="1:15" ht="24" thickBot="1" x14ac:dyDescent="0.4">
      <c r="A7" s="21">
        <v>5</v>
      </c>
      <c r="B7" s="22"/>
      <c r="C7" s="22"/>
      <c r="D7" s="22"/>
      <c r="E7" s="23">
        <f>-B3/(1+D3)^1+C3/(1+D3)+ C3/(1+D3)^2+C3/(1+D3)^3+ C3/(1+D3)^4</f>
        <v>-777.1998844578286</v>
      </c>
      <c r="F7" s="23">
        <f>C3/(1+D3)^4</f>
        <v>1219.8207345681171</v>
      </c>
      <c r="G7" s="23">
        <f t="shared" si="0"/>
        <v>7547.0308847729411</v>
      </c>
      <c r="H7" s="36"/>
      <c r="I7" s="37">
        <v>4489.3</v>
      </c>
      <c r="J7" s="24">
        <f>IRR(I3:I7)</f>
        <v>0.23856459830442733</v>
      </c>
      <c r="K7" s="25">
        <f>G7/E3</f>
        <v>0.90663402949728067</v>
      </c>
      <c r="M7" s="31"/>
      <c r="N7" s="32"/>
      <c r="O7" s="20"/>
    </row>
    <row r="8" spans="1:15" ht="19.5" thickBot="1" x14ac:dyDescent="0.35">
      <c r="A8" s="21">
        <v>6</v>
      </c>
      <c r="B8" s="22"/>
      <c r="C8" s="22"/>
      <c r="D8" s="22"/>
      <c r="E8" s="23">
        <f>-B3/(1+D3)^1+C3/(1+D3)+ C3/(1+D3)^2+C3/(1+D3)^3+C3/(1+D3)^4+C3/(1+D3)^5</f>
        <v>161.12375751764603</v>
      </c>
      <c r="F8" s="23">
        <f>C3/(1+D3)^5</f>
        <v>938.32364197547463</v>
      </c>
      <c r="G8" s="23">
        <f t="shared" si="0"/>
        <v>8485.3545267484151</v>
      </c>
      <c r="H8" s="22"/>
      <c r="I8" s="37">
        <v>4489.3</v>
      </c>
      <c r="J8" s="24">
        <f>IRR(I3:I8)</f>
        <v>0.30541861670125869</v>
      </c>
      <c r="K8" s="25">
        <f>G8/E3</f>
        <v>1.019355993602822</v>
      </c>
    </row>
    <row r="9" spans="1:15" s="11" customFormat="1" ht="19.5" thickBot="1" x14ac:dyDescent="0.35">
      <c r="A9" s="12">
        <v>7</v>
      </c>
      <c r="B9" s="13"/>
      <c r="C9" s="13"/>
      <c r="D9" s="13"/>
      <c r="E9" s="14">
        <f>-B3/(1+D3)^1+C3/(1+D3)+ C3/(1+D3)^2+C3/(1+D3)^3+ C3/(1+D3)^4+C3/(1+D3)^5+C3/(1+D3)^6</f>
        <v>882.91117442185725</v>
      </c>
      <c r="F9" s="14">
        <f>C3/(1+D3)^6</f>
        <v>721.78741690421123</v>
      </c>
      <c r="G9" s="14">
        <f t="shared" si="0"/>
        <v>9207.1419436526267</v>
      </c>
      <c r="H9" s="13"/>
      <c r="I9" s="37">
        <v>4489.3</v>
      </c>
      <c r="J9" s="16">
        <f>IRR(I3:I9)</f>
        <v>0.34467397785731158</v>
      </c>
      <c r="K9" s="17">
        <f>G9/E3</f>
        <v>1.106065196760931</v>
      </c>
    </row>
    <row r="10" spans="1:15" s="35" customFormat="1" ht="19.5" thickBot="1" x14ac:dyDescent="0.35">
      <c r="A10" s="12">
        <v>8</v>
      </c>
      <c r="B10" s="13"/>
      <c r="C10" s="13"/>
      <c r="D10" s="13"/>
      <c r="E10" s="14">
        <f>-B3/(1+D3)^1+C3/(1+D3)+ C3/(1+D3)^2+C3/(1+D3)^3+ C3/(1+D3)^4+C3/(1+D3)^5+C3/(1+D3)^6+C3/(1+D3)^7</f>
        <v>1438.1322643481735</v>
      </c>
      <c r="F10" s="14">
        <f>C3/(1+D3)^7</f>
        <v>555.22108992631627</v>
      </c>
      <c r="G10" s="14">
        <f>G9+F10</f>
        <v>9762.3630335789421</v>
      </c>
      <c r="H10" s="15"/>
      <c r="I10" s="37">
        <v>4489.3</v>
      </c>
      <c r="J10" s="16">
        <f>IRR(I3:I10)</f>
        <v>0.36876101509970294</v>
      </c>
      <c r="K10" s="17">
        <f>G10/E3</f>
        <v>1.17276458380563</v>
      </c>
    </row>
    <row r="11" spans="1:15" s="19" customFormat="1" ht="19.5" thickBot="1" x14ac:dyDescent="0.35">
      <c r="A11" s="12">
        <v>9</v>
      </c>
      <c r="B11" s="13"/>
      <c r="C11" s="13"/>
      <c r="D11" s="13"/>
      <c r="E11" s="14">
        <f>-B3/(1+D3)^1+C3/(1+D3)+ C3/(1+D3)^2+C3/(1+D3)^3+ C3/(1+D3)^4+C3/(1+D3)^5+C3/(1+D3)^6+C3/(1+D3)^7+C3/(1+D3)^8</f>
        <v>1865.22541044534</v>
      </c>
      <c r="F11" s="14">
        <f>C3/(1+D3)^8</f>
        <v>427.09314609716637</v>
      </c>
      <c r="G11" s="14">
        <f t="shared" si="0"/>
        <v>10189.456179676108</v>
      </c>
      <c r="H11" s="15"/>
      <c r="I11" s="37">
        <v>4489.3</v>
      </c>
      <c r="J11" s="16">
        <f>IRR(I3:I11)</f>
        <v>0.3840391897154436</v>
      </c>
      <c r="K11" s="17">
        <f>G11/E3</f>
        <v>1.2240718046092445</v>
      </c>
      <c r="L11" s="18"/>
    </row>
    <row r="12" spans="1:15" ht="19.5" thickBot="1" x14ac:dyDescent="0.35">
      <c r="A12" s="5">
        <v>10</v>
      </c>
      <c r="B12" s="3"/>
      <c r="C12" s="3"/>
      <c r="D12" s="3"/>
      <c r="E12" s="4">
        <f>-B3/(1+D3)^1+C3/(1+D3)+C3/(1+D3)^2+C3/(1+D3)^3+C3/(1+D3)^4+C3/(1+D3)^5+C3/(1+D3)^6+C3/(1+D3)^7+C3/(1+D3)^8+C3/(1+D3)^9</f>
        <v>2193.7585997508527</v>
      </c>
      <c r="F12" s="4">
        <f>C3/(1+D3)^9</f>
        <v>328.53318930551262</v>
      </c>
      <c r="G12" s="4">
        <f t="shared" si="0"/>
        <v>10517.98936898162</v>
      </c>
      <c r="H12" s="3"/>
      <c r="I12" s="37">
        <v>4489.3</v>
      </c>
      <c r="J12" s="2">
        <f>IRR(I3:I12)</f>
        <v>0.39397675424915257</v>
      </c>
      <c r="K12" s="1">
        <f>G12/E3</f>
        <v>1.2635388975351018</v>
      </c>
    </row>
    <row r="13" spans="1:15" ht="19.5" thickBot="1" x14ac:dyDescent="0.35">
      <c r="A13" s="5">
        <v>11</v>
      </c>
      <c r="B13" s="3"/>
      <c r="C13" s="3"/>
      <c r="D13" s="3"/>
      <c r="E13" s="4">
        <f>-B3/(1+D3)^1+C3/(1+D3)+ C3/(1+D3)^2+C3/(1+D3)^3+ C3/(1+D3)^4+C3/(1+D3)^5+C3/(1+D3)^6+C3/(1+D3)^7+C3/(1+D3)^8+C3/(1+D3)^9+C3/(1+D3)^10</f>
        <v>2446.47643767817</v>
      </c>
      <c r="F13" s="4">
        <f>C3/(1+D3)^10</f>
        <v>252.71783792731736</v>
      </c>
      <c r="G13" s="4">
        <f t="shared" si="0"/>
        <v>10770.707206908937</v>
      </c>
      <c r="H13" s="3"/>
      <c r="I13" s="37">
        <v>4489.3</v>
      </c>
      <c r="J13" s="2">
        <f>IRR(I3:I13)</f>
        <v>0.40056587204435146</v>
      </c>
      <c r="K13" s="1">
        <f>G13/E3</f>
        <v>1.2938981997857615</v>
      </c>
    </row>
    <row r="14" spans="1:15" ht="19.5" thickBot="1" x14ac:dyDescent="0.35">
      <c r="A14" s="5">
        <v>12</v>
      </c>
      <c r="B14" s="3"/>
      <c r="C14" s="3"/>
      <c r="D14" s="3"/>
      <c r="E14" s="4">
        <f>-B3/(1+D3)^1+C3/(1+D3)+ C3/(1+D3)^2+C3/(1+D3)^3+ C3/(1+D3)^4+C3/(1+D3)^5+C3/(1+D3)^6+C3/(1+D3)^7+C3/(1+D3)^8+C3/(1+D3)^9+C3/(1+D3)^10+C3/(1+D3)^11</f>
        <v>2640.874774545337</v>
      </c>
      <c r="F14" s="4">
        <f>C3/(1+D3)^11</f>
        <v>194.39833686716719</v>
      </c>
      <c r="G14" s="4">
        <f t="shared" si="0"/>
        <v>10965.105543776104</v>
      </c>
      <c r="H14" s="3"/>
      <c r="I14" s="37">
        <v>4489.3</v>
      </c>
      <c r="J14" s="2">
        <f>IRR(I3:I14)</f>
        <v>0.40499969492235155</v>
      </c>
      <c r="K14" s="1">
        <f>G14/E3</f>
        <v>1.3172515092093458</v>
      </c>
    </row>
    <row r="15" spans="1:15" ht="19.5" thickBot="1" x14ac:dyDescent="0.35">
      <c r="A15" s="5">
        <v>13</v>
      </c>
      <c r="B15" s="3"/>
      <c r="C15" s="3"/>
      <c r="D15" s="3"/>
      <c r="E15" s="3">
        <f>-B3/(1+D3)^1+C3/(1+D3)+ C3/(1+D3)^2+C3/(1+D3)^3+ C3/(1+D3)^4+C3/(1+D3)^5+C3/(1+D3)^6+C3/(1+D3)^7+C3/(1+D3)^8+C3/(1+D3)^9+C3/(1+D3)^10+C3/(1+D3)^11+C3/(1+D3)^12</f>
        <v>2790.4119567508501</v>
      </c>
      <c r="F15" s="4">
        <f>C3/(1+D3)^12</f>
        <v>149.5371822055132</v>
      </c>
      <c r="G15" s="4">
        <f t="shared" si="0"/>
        <v>11114.642725981617</v>
      </c>
      <c r="H15" s="3"/>
      <c r="I15" s="37">
        <v>4489.3</v>
      </c>
      <c r="J15" s="2">
        <f>IRR(I3:I15)</f>
        <v>0.40801732234578059</v>
      </c>
      <c r="K15" s="1">
        <f>G15/E3</f>
        <v>1.3352155933813337</v>
      </c>
    </row>
    <row r="16" spans="1:15" ht="19.5" thickBot="1" x14ac:dyDescent="0.35">
      <c r="A16" s="5">
        <v>14</v>
      </c>
      <c r="B16" s="3"/>
      <c r="C16" s="3"/>
      <c r="D16" s="3"/>
      <c r="E16" s="4">
        <f>-B3/(1+D3)^1+C3/(1+D3)+C3/(1+D3)^2+C3/(1+D3)^3+ C3/(1+D3)^4+C3/(1+D3)^5+C3/(1+D3)^6+C3/(1+D3)^7+C3/(1+D3)^8+C3/(1+D3)^9+C3/(1+D3)^10+C3/(1+D3)^11+C3/(1+D3)^12+C3/(1+D3)^13</f>
        <v>2905.4405584473989</v>
      </c>
      <c r="F16" s="4">
        <f>C3/(1+D3)^13</f>
        <v>115.02860169654862</v>
      </c>
      <c r="G16" s="4">
        <f t="shared" si="0"/>
        <v>11229.671327678167</v>
      </c>
      <c r="H16" s="3"/>
      <c r="I16" s="37">
        <v>4489.3</v>
      </c>
      <c r="J16" s="2">
        <f>IRR(I3:I16)</f>
        <v>0.41008920580365604</v>
      </c>
      <c r="K16" s="1">
        <f>G16/E3</f>
        <v>1.3490341196674782</v>
      </c>
    </row>
    <row r="17" spans="1:11" ht="19.5" thickBot="1" x14ac:dyDescent="0.35">
      <c r="A17" s="5">
        <v>15</v>
      </c>
      <c r="B17" s="3"/>
      <c r="C17" s="3"/>
      <c r="D17" s="3"/>
      <c r="E17" s="4">
        <f>-B3/(1+D3)^1+C3/(1+D3)+ C3/(1+D3)^2+C3/(1+D3)^3+ C3/(1+D3)^4+C3/(1+D3)^5+C3/(1+D3)^6+C3/(1+D3)^7+C3/(1+D3)^8+C3/(1+D3)^9+C3/(1+D3)^10+C3/(1+D3)^11+C3/(1+D3)^12+C3/(1+D3)^13+C3/(1+D3)^14</f>
        <v>2993.9240982139745</v>
      </c>
      <c r="F17" s="4">
        <f>C3/(1+D3)^14</f>
        <v>88.483539766575859</v>
      </c>
      <c r="G17" s="4">
        <f t="shared" si="0"/>
        <v>11318.154867444742</v>
      </c>
      <c r="H17" s="3"/>
      <c r="I17" s="37">
        <v>4489.3</v>
      </c>
      <c r="J17" s="2">
        <f>IRR(I3:I17)</f>
        <v>0.41152142949580783</v>
      </c>
      <c r="K17" s="1">
        <f>G17/E3</f>
        <v>1.3596637552722048</v>
      </c>
    </row>
    <row r="18" spans="1:11" ht="19.5" thickBot="1" x14ac:dyDescent="0.35">
      <c r="A18" s="5">
        <v>16</v>
      </c>
      <c r="B18" s="3"/>
      <c r="C18" s="3"/>
      <c r="D18" s="3"/>
      <c r="E18" s="4">
        <f>-B3/(1+D3)^1+C3/(1+D3)+C3/(1+D3)^2+C3/(1+D3)^3+C3/(1+D3)^4+C3/(1+D3)^5+C3/(1+D3)^6+C3/(1+D3)^7+C3/(1+D3)^8+C3/(1+D3)^9+C3/(1+D3)^10+C3/(1+D3)^11+C3/(1+D3)^12+C3/(1+D3)^13+C3/(1+D3)^14+C3/(1+D3)^15</f>
        <v>3061.9883595728788</v>
      </c>
      <c r="F18" s="4">
        <f>C3/(1+D3)^15</f>
        <v>68.064261358904503</v>
      </c>
      <c r="G18" s="4">
        <f t="shared" si="0"/>
        <v>11386.219128803647</v>
      </c>
      <c r="H18" s="3"/>
      <c r="I18" s="37">
        <v>4489.3</v>
      </c>
      <c r="J18" s="2">
        <f>IRR(I3:I18)</f>
        <v>0.41251667660284297</v>
      </c>
      <c r="K18" s="1">
        <f>G18/E3</f>
        <v>1.3678403980450713</v>
      </c>
    </row>
    <row r="19" spans="1:11" ht="19.5" thickBot="1" x14ac:dyDescent="0.35">
      <c r="A19" s="5">
        <v>17</v>
      </c>
      <c r="B19" s="3"/>
      <c r="C19" s="3"/>
      <c r="D19" s="3"/>
      <c r="E19" s="4">
        <f>-B3/(1+D3)^1+C3/(1+D3)+ C3/(1+D3)^2+C3/(1+D3)^3+ C3/(1+D3)^4+C3/(1+D3)^5+C3/(1+D3)^6+C3/(1+D3)^7+C3/(1+D3)^8+C3/(1+D3)^9+C3/(1+D3)^10+C3/(1+D3)^11+C3/(1+D3)^12+C3/(1+D3)^13+C3/(1+D3)^14+C3/(1+D3)^15+C3/(1+D3)^16</f>
        <v>3114.3454836951132</v>
      </c>
      <c r="F19" s="4">
        <f>C3/(1+D3)^16</f>
        <v>52.357124122234232</v>
      </c>
      <c r="G19" s="4">
        <f t="shared" si="0"/>
        <v>11438.576252925881</v>
      </c>
      <c r="H19" s="3"/>
      <c r="I19" s="37">
        <v>4489.3</v>
      </c>
      <c r="J19" s="2">
        <f>IRR(I3:I19)</f>
        <v>0.41321106801707086</v>
      </c>
      <c r="K19" s="1">
        <f>G19/E3</f>
        <v>1.3741301232549687</v>
      </c>
    </row>
    <row r="20" spans="1:11" ht="19.5" thickBot="1" x14ac:dyDescent="0.35">
      <c r="A20" s="5">
        <v>18</v>
      </c>
      <c r="B20" s="3"/>
      <c r="C20" s="3"/>
      <c r="D20" s="3"/>
      <c r="E20" s="4">
        <f>-B3/(1+D3)^1+C3/(1+D3)+ C3/(1+D3)^2+C3/(1+D3)^3+ C3/(1+D3)^4+C3/(1+D3)^5+C3/(1+D3)^6+C3/(1+D3)^7+C3/(1+D3)^8+C3/(1+D3)^9+C3/(1+D3)^10+C3/(1+D3)^11+C3/(1+D3)^12+C3/(1+D3)^13+C3/(1+D3)^14+C3/(1+D3)^15+C3/(1+D3)^16+C3/(1+D3)^17</f>
        <v>3154.6201945583703</v>
      </c>
      <c r="F20" s="4">
        <f>C3/(1+D3)^17</f>
        <v>40.274710863257106</v>
      </c>
      <c r="G20" s="4">
        <f t="shared" si="0"/>
        <v>11478.850963789138</v>
      </c>
      <c r="H20" s="3"/>
      <c r="I20" s="37">
        <v>4489.3</v>
      </c>
      <c r="J20" s="2">
        <f>IRR(I3:I20)</f>
        <v>0.4136970567958127</v>
      </c>
      <c r="K20" s="1">
        <f>G20/E3</f>
        <v>1.3789683734164284</v>
      </c>
    </row>
    <row r="21" spans="1:11" ht="19.5" thickBot="1" x14ac:dyDescent="0.35">
      <c r="A21" s="26">
        <v>19</v>
      </c>
      <c r="B21" s="27"/>
      <c r="C21" s="27"/>
      <c r="D21" s="27"/>
      <c r="E21" s="28">
        <f>-B3/(1+D3)^1+C3/(1+D3)+ C3/(1+D3)^2+C3/(1+D3)^3+C3/(1+D3)^4+C3/(1+D3)^5+C3/(1+D3)^6+C3/(1+D3)^7+C3/(1+D3)^8+C3/(1+D3)^9+C3/(1+D3)^10+C3/(1+D3)^11+C3/(1+D3)^12+C3/(1+D3)^13+C3/(1+D3)^14+C3/(1+D3)^15+C3/(1+D3)^16+C3/(1+D3)^17+C3/(1+D3)^18</f>
        <v>3185.6007413762604</v>
      </c>
      <c r="F21" s="28">
        <f>C3/(1+D3)^18</f>
        <v>30.980546817890076</v>
      </c>
      <c r="G21" s="28">
        <f t="shared" si="0"/>
        <v>11509.831510607028</v>
      </c>
      <c r="H21" s="27"/>
      <c r="I21" s="37">
        <v>4489.3</v>
      </c>
      <c r="J21" s="29">
        <f>IRR(I3:I21)</f>
        <v>0.41403800027634374</v>
      </c>
      <c r="K21" s="30">
        <f>G21/E3</f>
        <v>1.3826901043098587</v>
      </c>
    </row>
    <row r="22" spans="1:11" ht="18.75" x14ac:dyDescent="0.3">
      <c r="A22" s="50">
        <v>20</v>
      </c>
      <c r="B22" s="50"/>
      <c r="C22" s="50"/>
      <c r="D22" s="50"/>
      <c r="E22" s="49">
        <f>-B3/(1+D3)^1+C3/(1+D3)+ C3/(1+D3)^2+C3/(1+D3)^3+ C3/(1+D3)^4+C3/(1+D3)^5+C3/(1+D3)^6+C3/(1+D3)^7+C3/(1+D3)^8+C3/(1+D3)^9+C3/(1+D3)^10+C3/(1+D3)^11+C3/(1+D3)^12+C3/(1+D3)^13+C3/(1+D3)^14+C3/(1+D3)^15+C3/(1+D3)^16+C3/(1+D3)^17+C3/(1+D3)^18+C3/(1+D3)^19</f>
        <v>3209.4319312361758</v>
      </c>
      <c r="F22" s="49">
        <f>C3/(1+D3)^19</f>
        <v>23.831189859915437</v>
      </c>
      <c r="G22" s="49">
        <f t="shared" si="0"/>
        <v>11533.662700466943</v>
      </c>
      <c r="H22" s="51"/>
      <c r="I22" s="52">
        <v>4489.3</v>
      </c>
      <c r="J22" s="53">
        <f>IRR(I3:I22)</f>
        <v>0.41427762375533561</v>
      </c>
      <c r="K22" s="49">
        <f>G22/E3</f>
        <v>1.385552974227882</v>
      </c>
    </row>
  </sheetData>
  <mergeCells count="1">
    <mergeCell ref="A1:K1"/>
  </mergeCells>
  <phoneticPr fontId="0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приклад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І. Луценко</dc:creator>
  <cp:lastModifiedBy>Пользователь Windows</cp:lastModifiedBy>
  <cp:lastPrinted>2017-08-07T12:07:34Z</cp:lastPrinted>
  <dcterms:created xsi:type="dcterms:W3CDTF">2013-09-19T08:37:06Z</dcterms:created>
  <dcterms:modified xsi:type="dcterms:W3CDTF">2017-08-07T12:08:50Z</dcterms:modified>
</cp:coreProperties>
</file>