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'ОСНОВНЕ'!$A$1:$L$240</definedName>
  </definedNames>
  <calcPr fullCalcOnLoad="1"/>
</workbook>
</file>

<file path=xl/sharedStrings.xml><?xml version="1.0" encoding="utf-8"?>
<sst xmlns="http://schemas.openxmlformats.org/spreadsheetml/2006/main" count="478" uniqueCount="208">
  <si>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</si>
  <si>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</si>
  <si>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</si>
  <si>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</si>
  <si>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</si>
  <si>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</si>
  <si>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</si>
  <si>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</si>
  <si>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</si>
  <si>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</si>
  <si>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</si>
  <si>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</si>
  <si>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</si>
  <si>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</si>
  <si>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</si>
  <si>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</si>
  <si>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</si>
  <si>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</si>
  <si>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</si>
  <si>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</si>
  <si>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</si>
  <si>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</si>
  <si>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</si>
  <si>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</si>
  <si>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</si>
  <si>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</si>
  <si>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</si>
  <si>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</si>
  <si>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</si>
  <si>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</si>
  <si>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</si>
  <si>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</si>
  <si>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</si>
  <si>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</si>
  <si>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</si>
  <si>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</si>
  <si>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</si>
  <si>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</si>
  <si>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</si>
  <si>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</si>
  <si>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</si>
  <si>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</si>
  <si>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</si>
  <si>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</si>
  <si>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</si>
  <si>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</si>
  <si>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</si>
  <si>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</si>
  <si>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</si>
  <si>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</si>
  <si>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</si>
  <si>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</si>
  <si>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</si>
  <si>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</si>
  <si>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</si>
  <si>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</si>
  <si>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</si>
  <si>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</si>
  <si>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</si>
  <si>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</si>
  <si>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</si>
  <si>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</si>
  <si>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</si>
  <si>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</si>
  <si>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</si>
  <si>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</si>
  <si>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</si>
  <si>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</si>
  <si>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</si>
  <si>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</si>
  <si>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</si>
  <si>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</si>
  <si>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</si>
  <si>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</si>
  <si>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</si>
  <si>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</si>
  <si>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</si>
  <si>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</si>
  <si>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</si>
  <si>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</si>
  <si>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</si>
  <si>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</si>
  <si>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</si>
  <si>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</si>
  <si>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</si>
  <si>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</si>
  <si>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</si>
  <si>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</si>
  <si>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</si>
  <si>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</si>
  <si>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</si>
  <si>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</si>
  <si>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</si>
  <si>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</si>
  <si>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</si>
  <si>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</si>
  <si>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</si>
  <si>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</si>
  <si>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</si>
  <si>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</si>
  <si>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</si>
  <si>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</si>
  <si>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</si>
  <si>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</si>
  <si>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</si>
  <si>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</si>
  <si>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</si>
  <si>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</si>
  <si>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</si>
  <si>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</si>
  <si>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</si>
  <si>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</si>
  <si>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</si>
  <si>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</si>
  <si>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</si>
  <si>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</si>
  <si>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</si>
  <si>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</si>
  <si>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</si>
  <si>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</si>
  <si>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</si>
  <si>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</si>
  <si>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</si>
  <si>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</si>
  <si>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</si>
  <si>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</si>
  <si>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</si>
  <si>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</si>
  <si>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</si>
  <si>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</si>
  <si>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</si>
  <si>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</si>
  <si>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</si>
  <si>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</si>
  <si>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</si>
  <si>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</si>
  <si>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</si>
  <si>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</si>
  <si>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</si>
  <si>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</si>
  <si>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</si>
  <si>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</si>
  <si>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</si>
  <si>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</si>
  <si>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</si>
  <si>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</si>
  <si>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</si>
  <si>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</si>
  <si>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</si>
  <si>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</si>
  <si>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</si>
  <si>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</si>
  <si>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</si>
  <si>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</si>
  <si>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</si>
  <si>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</si>
  <si>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</si>
  <si>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</si>
  <si>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</si>
  <si>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</si>
  <si>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</si>
  <si>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</si>
  <si>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</si>
  <si>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</si>
  <si>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</si>
  <si>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</si>
  <si>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</si>
  <si>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</si>
  <si>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</si>
  <si>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</si>
  <si>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</si>
  <si>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</si>
  <si>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Виконавець: Масік Т.О.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</si>
  <si>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</si>
  <si>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</si>
  <si>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</si>
  <si>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</si>
  <si>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</si>
  <si>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</si>
  <si>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</si>
  <si>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</si>
  <si>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</si>
  <si>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</si>
  <si>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</si>
  <si>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</si>
  <si>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</si>
  <si>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</si>
  <si>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</si>
  <si>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</si>
  <si>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</si>
  <si>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</si>
  <si>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</si>
  <si>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</si>
  <si>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</si>
  <si>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</si>
  <si>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</si>
  <si>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</si>
  <si>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</si>
  <si>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</si>
  <si>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</si>
  <si>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</si>
  <si>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</si>
  <si>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</si>
  <si>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</si>
  <si>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від ____ серпня 2018 року № _______-МР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</si>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</sst>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209" fontId="8" fillId="0" borderId="12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view="pageBreakPreview" zoomScaleSheetLayoutView="100" workbookViewId="0" topLeftCell="A190">
      <selection activeCell="O94" sqref="O94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83" t="s">
        <v>111</v>
      </c>
      <c r="J2" s="83"/>
      <c r="K2" s="83"/>
      <c r="L2" s="83"/>
    </row>
    <row r="3" spans="1:12" ht="129" customHeight="1">
      <c r="A3" s="3"/>
      <c r="B3" s="3"/>
      <c r="C3" s="3"/>
      <c r="D3" s="3"/>
      <c r="E3" s="3"/>
      <c r="F3" s="3"/>
      <c r="I3" s="90" t="s">
        <v>112</v>
      </c>
      <c r="J3" s="90"/>
      <c r="K3" s="90"/>
      <c r="L3" s="90"/>
    </row>
    <row r="4" spans="9:12" ht="23.25" customHeight="1">
      <c r="I4" s="1" t="s">
        <v>204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98" t="s">
        <v>39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99" t="s">
        <v>90</v>
      </c>
      <c r="B9" s="99" t="s">
        <v>32</v>
      </c>
      <c r="C9" s="100" t="s">
        <v>30</v>
      </c>
      <c r="D9" s="100"/>
      <c r="E9" s="100"/>
      <c r="F9" s="100" t="s">
        <v>173</v>
      </c>
      <c r="G9" s="100"/>
      <c r="H9" s="100"/>
      <c r="I9" s="100" t="s">
        <v>207</v>
      </c>
      <c r="J9" s="100"/>
      <c r="K9" s="100"/>
      <c r="L9" s="99" t="s">
        <v>18</v>
      </c>
    </row>
    <row r="10" spans="1:12" s="15" customFormat="1" ht="24.75" customHeight="1">
      <c r="A10" s="99"/>
      <c r="B10" s="99"/>
      <c r="C10" s="99" t="s">
        <v>15</v>
      </c>
      <c r="D10" s="99" t="s">
        <v>0</v>
      </c>
      <c r="E10" s="99"/>
      <c r="F10" s="99" t="s">
        <v>15</v>
      </c>
      <c r="G10" s="99" t="s">
        <v>0</v>
      </c>
      <c r="H10" s="99"/>
      <c r="I10" s="99" t="s">
        <v>15</v>
      </c>
      <c r="J10" s="99" t="s">
        <v>0</v>
      </c>
      <c r="K10" s="99"/>
      <c r="L10" s="99"/>
    </row>
    <row r="11" spans="1:12" s="15" customFormat="1" ht="32.25" customHeight="1">
      <c r="A11" s="99"/>
      <c r="B11" s="99"/>
      <c r="C11" s="99"/>
      <c r="D11" s="5" t="s">
        <v>51</v>
      </c>
      <c r="E11" s="5" t="s">
        <v>50</v>
      </c>
      <c r="F11" s="99"/>
      <c r="G11" s="5" t="s">
        <v>51</v>
      </c>
      <c r="H11" s="5" t="s">
        <v>50</v>
      </c>
      <c r="I11" s="99"/>
      <c r="J11" s="5" t="s">
        <v>51</v>
      </c>
      <c r="K11" s="5" t="s">
        <v>50</v>
      </c>
      <c r="L11" s="99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SUM(C16,C22,C101,C105,C119,C143,C148,C200,C204,C212,C155,C175,C233)</f>
        <v>32921871</v>
      </c>
      <c r="D13" s="6">
        <f>SUM(D16,D22,D101,D105,D119,D143,D148,D200,D204,D212,D155,D175,D233)</f>
        <v>32139871</v>
      </c>
      <c r="E13" s="6">
        <f>SUM(E16,E22,E101,E105,E119,E143,E148,E200,E204,E212)</f>
        <v>747000</v>
      </c>
      <c r="F13" s="6">
        <f aca="true" t="shared" si="0" ref="F13:K13">SUM(F16,F22,F101,F105,F119,F143,F148,F200,F204,F212,F155,F175,F233)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72999168</v>
      </c>
      <c r="J13" s="6">
        <f t="shared" si="0"/>
        <v>72668823</v>
      </c>
      <c r="K13" s="6">
        <f t="shared" si="0"/>
        <v>289000</v>
      </c>
      <c r="L13" s="24"/>
      <c r="O13" s="26"/>
    </row>
    <row r="14" spans="1:12" s="15" customFormat="1" ht="22.5" customHeight="1">
      <c r="A14" s="87" t="s">
        <v>12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s="15" customFormat="1" ht="33" customHeight="1">
      <c r="A15" s="92" t="s">
        <v>190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6" t="s">
        <v>155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15" customFormat="1" ht="24" customHeight="1">
      <c r="A20" s="102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s="15" customFormat="1" ht="21.75" customHeight="1">
      <c r="A21" s="92" t="s">
        <v>17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D23+D72+D90+D96+D94+D95</f>
        <v>7015216</v>
      </c>
      <c r="E22" s="9">
        <f>E23+E72+E90+E96</f>
        <v>0</v>
      </c>
      <c r="F22" s="9">
        <f>+G22</f>
        <v>7361800</v>
      </c>
      <c r="G22" s="9">
        <f>G23+G72+G90+G96+G94+G95+G97</f>
        <v>7361800</v>
      </c>
      <c r="H22" s="9">
        <f>H23+H72+H90+H96</f>
        <v>0</v>
      </c>
      <c r="I22" s="6">
        <f>J22+K22</f>
        <v>12074605</v>
      </c>
      <c r="J22" s="6">
        <f>J23+J72+J90+J96+J97</f>
        <v>11999605</v>
      </c>
      <c r="K22" s="6">
        <f>K23+K72+K90+K96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11107519</v>
      </c>
      <c r="J23" s="9">
        <f>+J27+J28+J29+J30+J31+J32+J33+J34+J35+J36+J37+J44+J45+J46+J47+J48+J49+J56+J60+J61+J62+J63+J64+J65+J66+J67+J68+J69+J70+J71</f>
        <v>11107519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81" t="s">
        <v>113</v>
      </c>
      <c r="J25" s="81"/>
      <c r="K25" s="81"/>
      <c r="L25" s="81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96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191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192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81" t="s">
        <v>113</v>
      </c>
      <c r="J40" s="81"/>
      <c r="K40" s="81"/>
      <c r="L40" s="81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t="shared" si="2"/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193</v>
      </c>
      <c r="B43" s="5" t="s">
        <v>11</v>
      </c>
      <c r="C43" s="6">
        <f t="shared" si="2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2"/>
        <v>0</v>
      </c>
      <c r="D44" s="7">
        <v>0</v>
      </c>
      <c r="E44" s="7">
        <v>0</v>
      </c>
      <c r="F44" s="6">
        <f aca="true" t="shared" si="4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2"/>
        <v>0</v>
      </c>
      <c r="D45" s="7">
        <v>0</v>
      </c>
      <c r="E45" s="7">
        <v>0</v>
      </c>
      <c r="F45" s="6">
        <f t="shared" si="4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37</v>
      </c>
    </row>
    <row r="46" spans="1:12" s="25" customFormat="1" ht="54" customHeight="1">
      <c r="A46" s="4" t="s">
        <v>103</v>
      </c>
      <c r="B46" s="5" t="s">
        <v>11</v>
      </c>
      <c r="C46" s="6">
        <f t="shared" si="2"/>
        <v>0</v>
      </c>
      <c r="D46" s="7">
        <v>0</v>
      </c>
      <c r="E46" s="7">
        <v>0</v>
      </c>
      <c r="F46" s="6">
        <f t="shared" si="4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2"/>
        <v>0</v>
      </c>
      <c r="D47" s="7">
        <v>0</v>
      </c>
      <c r="E47" s="7">
        <v>0</v>
      </c>
      <c r="F47" s="6">
        <f t="shared" si="4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2"/>
        <v>0</v>
      </c>
      <c r="D48" s="7">
        <v>0</v>
      </c>
      <c r="E48" s="7">
        <v>0</v>
      </c>
      <c r="F48" s="6">
        <f t="shared" si="4"/>
        <v>352500</v>
      </c>
      <c r="G48" s="7">
        <v>352500</v>
      </c>
      <c r="H48" s="8">
        <v>0</v>
      </c>
      <c r="I48" s="9">
        <f t="shared" si="3"/>
        <v>525119</v>
      </c>
      <c r="J48" s="7">
        <f>350119+175000</f>
        <v>525119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2"/>
        <v>0</v>
      </c>
      <c r="D49" s="7">
        <v>0</v>
      </c>
      <c r="E49" s="7">
        <v>0</v>
      </c>
      <c r="F49" s="6">
        <f t="shared" si="4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53.25" customHeight="1">
      <c r="A50" s="4" t="s">
        <v>99</v>
      </c>
      <c r="B50" s="5" t="s">
        <v>11</v>
      </c>
      <c r="C50" s="6">
        <f aca="true" t="shared" si="5" ref="C50:C60">D50+E50</f>
        <v>0</v>
      </c>
      <c r="D50" s="7">
        <v>0</v>
      </c>
      <c r="E50" s="7">
        <v>0</v>
      </c>
      <c r="F50" s="6">
        <f t="shared" si="4"/>
        <v>42310</v>
      </c>
      <c r="G50" s="7">
        <v>42310</v>
      </c>
      <c r="H50" s="8">
        <v>0</v>
      </c>
      <c r="I50" s="9">
        <f aca="true" t="shared" si="6" ref="I50:I72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5"/>
        <v>0</v>
      </c>
      <c r="D51" s="7">
        <v>0</v>
      </c>
      <c r="E51" s="7">
        <v>0</v>
      </c>
      <c r="F51" s="6">
        <f t="shared" si="4"/>
        <v>80000</v>
      </c>
      <c r="G51" s="7">
        <v>80000</v>
      </c>
      <c r="H51" s="8">
        <v>0</v>
      </c>
      <c r="I51" s="9">
        <f t="shared" si="6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5"/>
        <v>0</v>
      </c>
      <c r="D52" s="7">
        <v>0</v>
      </c>
      <c r="E52" s="7">
        <v>0</v>
      </c>
      <c r="F52" s="6">
        <f t="shared" si="4"/>
        <v>270000</v>
      </c>
      <c r="G52" s="7">
        <v>270000</v>
      </c>
      <c r="H52" s="8">
        <v>0</v>
      </c>
      <c r="I52" s="9">
        <f t="shared" si="6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5"/>
        <v>0</v>
      </c>
      <c r="D53" s="7">
        <v>0</v>
      </c>
      <c r="E53" s="7">
        <v>0</v>
      </c>
      <c r="F53" s="6">
        <f t="shared" si="4"/>
        <v>45000</v>
      </c>
      <c r="G53" s="7">
        <v>45000</v>
      </c>
      <c r="H53" s="8">
        <v>0</v>
      </c>
      <c r="I53" s="9">
        <f t="shared" si="6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5"/>
        <v>0</v>
      </c>
      <c r="D54" s="7">
        <v>0</v>
      </c>
      <c r="E54" s="7">
        <v>0</v>
      </c>
      <c r="F54" s="6">
        <f t="shared" si="4"/>
        <v>75000</v>
      </c>
      <c r="G54" s="7">
        <v>75000</v>
      </c>
      <c r="H54" s="8">
        <v>0</v>
      </c>
      <c r="I54" s="9">
        <f t="shared" si="6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5"/>
        <v>0</v>
      </c>
      <c r="D55" s="7">
        <v>0</v>
      </c>
      <c r="E55" s="7">
        <v>0</v>
      </c>
      <c r="F55" s="6">
        <f t="shared" si="4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170</v>
      </c>
      <c r="B56" s="5" t="s">
        <v>11</v>
      </c>
      <c r="C56" s="6">
        <f t="shared" si="5"/>
        <v>0</v>
      </c>
      <c r="D56" s="7">
        <v>0</v>
      </c>
      <c r="E56" s="7">
        <v>0</v>
      </c>
      <c r="F56" s="6">
        <f t="shared" si="4"/>
        <v>0</v>
      </c>
      <c r="G56" s="7">
        <v>0</v>
      </c>
      <c r="H56" s="8">
        <v>0</v>
      </c>
      <c r="I56" s="9">
        <f t="shared" si="6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81" t="s">
        <v>113</v>
      </c>
      <c r="J58" s="81"/>
      <c r="K58" s="81"/>
      <c r="L58" s="81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171</v>
      </c>
      <c r="B60" s="5" t="s">
        <v>11</v>
      </c>
      <c r="C60" s="6">
        <f t="shared" si="5"/>
        <v>0</v>
      </c>
      <c r="D60" s="7">
        <v>0</v>
      </c>
      <c r="E60" s="7">
        <v>0</v>
      </c>
      <c r="F60" s="6">
        <f aca="true" t="shared" si="7" ref="F60:F66">G60+H60</f>
        <v>0</v>
      </c>
      <c r="G60" s="7">
        <v>0</v>
      </c>
      <c r="H60" s="8">
        <v>0</v>
      </c>
      <c r="I60" s="9">
        <f t="shared" si="6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175</v>
      </c>
      <c r="B61" s="5" t="s">
        <v>11</v>
      </c>
      <c r="C61" s="6">
        <f aca="true" t="shared" si="8" ref="C61:C66">D61+E61</f>
        <v>0</v>
      </c>
      <c r="D61" s="7">
        <v>0</v>
      </c>
      <c r="E61" s="7">
        <v>0</v>
      </c>
      <c r="F61" s="6">
        <f t="shared" si="7"/>
        <v>0</v>
      </c>
      <c r="G61" s="7">
        <v>0</v>
      </c>
      <c r="H61" s="8">
        <v>0</v>
      </c>
      <c r="I61" s="9">
        <f t="shared" si="6"/>
        <v>674198</v>
      </c>
      <c r="J61" s="7">
        <v>674198</v>
      </c>
      <c r="K61" s="8">
        <v>0</v>
      </c>
      <c r="L61" s="10" t="s">
        <v>37</v>
      </c>
    </row>
    <row r="62" spans="1:12" s="15" customFormat="1" ht="43.5" customHeight="1">
      <c r="A62" s="4" t="s">
        <v>177</v>
      </c>
      <c r="B62" s="5" t="s">
        <v>11</v>
      </c>
      <c r="C62" s="6">
        <f t="shared" si="8"/>
        <v>0</v>
      </c>
      <c r="D62" s="7">
        <v>0</v>
      </c>
      <c r="E62" s="7">
        <v>0</v>
      </c>
      <c r="F62" s="6">
        <f t="shared" si="7"/>
        <v>0</v>
      </c>
      <c r="G62" s="7">
        <v>0</v>
      </c>
      <c r="H62" s="8">
        <v>0</v>
      </c>
      <c r="I62" s="9">
        <f t="shared" si="6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179</v>
      </c>
      <c r="B63" s="5" t="s">
        <v>11</v>
      </c>
      <c r="C63" s="6">
        <f t="shared" si="8"/>
        <v>0</v>
      </c>
      <c r="D63" s="7">
        <v>0</v>
      </c>
      <c r="E63" s="7">
        <v>0</v>
      </c>
      <c r="F63" s="6">
        <f t="shared" si="7"/>
        <v>0</v>
      </c>
      <c r="G63" s="7">
        <v>0</v>
      </c>
      <c r="H63" s="8">
        <v>0</v>
      </c>
      <c r="I63" s="9">
        <f t="shared" si="6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178</v>
      </c>
      <c r="B64" s="5" t="s">
        <v>11</v>
      </c>
      <c r="C64" s="6">
        <f t="shared" si="8"/>
        <v>0</v>
      </c>
      <c r="D64" s="7">
        <v>0</v>
      </c>
      <c r="E64" s="7">
        <v>0</v>
      </c>
      <c r="F64" s="6">
        <f t="shared" si="7"/>
        <v>0</v>
      </c>
      <c r="G64" s="7">
        <v>0</v>
      </c>
      <c r="H64" s="8">
        <v>0</v>
      </c>
      <c r="I64" s="9">
        <f t="shared" si="6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199</v>
      </c>
      <c r="B65" s="5" t="s">
        <v>11</v>
      </c>
      <c r="C65" s="6">
        <f t="shared" si="8"/>
        <v>0</v>
      </c>
      <c r="D65" s="7">
        <v>0</v>
      </c>
      <c r="E65" s="7">
        <v>0</v>
      </c>
      <c r="F65" s="6">
        <f t="shared" si="7"/>
        <v>0</v>
      </c>
      <c r="G65" s="7">
        <v>0</v>
      </c>
      <c r="H65" s="8">
        <v>0</v>
      </c>
      <c r="I65" s="9">
        <f t="shared" si="6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200</v>
      </c>
      <c r="B66" s="5" t="s">
        <v>11</v>
      </c>
      <c r="C66" s="6">
        <f t="shared" si="8"/>
        <v>0</v>
      </c>
      <c r="D66" s="7">
        <v>0</v>
      </c>
      <c r="E66" s="7">
        <v>0</v>
      </c>
      <c r="F66" s="6">
        <f t="shared" si="7"/>
        <v>0</v>
      </c>
      <c r="G66" s="7">
        <v>0</v>
      </c>
      <c r="H66" s="8">
        <v>0</v>
      </c>
      <c r="I66" s="9">
        <f t="shared" si="6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201</v>
      </c>
      <c r="B67" s="5" t="s">
        <v>11</v>
      </c>
      <c r="C67" s="6">
        <f>D67+E67</f>
        <v>0</v>
      </c>
      <c r="D67" s="7">
        <v>0</v>
      </c>
      <c r="E67" s="7">
        <v>0</v>
      </c>
      <c r="F67" s="6">
        <f aca="true" t="shared" si="9" ref="F67:F72">G67+H67</f>
        <v>0</v>
      </c>
      <c r="G67" s="7">
        <v>0</v>
      </c>
      <c r="H67" s="8">
        <v>0</v>
      </c>
      <c r="I67" s="9">
        <f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203</v>
      </c>
      <c r="B68" s="5" t="s">
        <v>11</v>
      </c>
      <c r="C68" s="6">
        <f>D68+E68</f>
        <v>0</v>
      </c>
      <c r="D68" s="7">
        <v>0</v>
      </c>
      <c r="E68" s="7">
        <v>0</v>
      </c>
      <c r="F68" s="6">
        <f t="shared" si="9"/>
        <v>0</v>
      </c>
      <c r="G68" s="7">
        <v>0</v>
      </c>
      <c r="H68" s="8">
        <v>0</v>
      </c>
      <c r="I68" s="9">
        <f>J68+K68</f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202</v>
      </c>
      <c r="B69" s="5" t="s">
        <v>11</v>
      </c>
      <c r="C69" s="6">
        <f>D69+E69</f>
        <v>0</v>
      </c>
      <c r="D69" s="7">
        <v>0</v>
      </c>
      <c r="E69" s="7">
        <v>0</v>
      </c>
      <c r="F69" s="6">
        <f t="shared" si="9"/>
        <v>0</v>
      </c>
      <c r="G69" s="7">
        <v>0</v>
      </c>
      <c r="H69" s="8">
        <v>0</v>
      </c>
      <c r="I69" s="9">
        <f>J69+K69</f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205</v>
      </c>
      <c r="B70" s="5" t="s">
        <v>11</v>
      </c>
      <c r="C70" s="6">
        <f>D70+E70</f>
        <v>0</v>
      </c>
      <c r="D70" s="7">
        <v>0</v>
      </c>
      <c r="E70" s="7">
        <v>0</v>
      </c>
      <c r="F70" s="6">
        <f t="shared" si="9"/>
        <v>0</v>
      </c>
      <c r="G70" s="7">
        <v>0</v>
      </c>
      <c r="H70" s="8">
        <v>0</v>
      </c>
      <c r="I70" s="9">
        <f>J70+K70</f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206</v>
      </c>
      <c r="B71" s="5" t="s">
        <v>11</v>
      </c>
      <c r="C71" s="6">
        <f>D71+E71</f>
        <v>0</v>
      </c>
      <c r="D71" s="7">
        <v>0</v>
      </c>
      <c r="E71" s="7">
        <v>0</v>
      </c>
      <c r="F71" s="6">
        <f t="shared" si="9"/>
        <v>0</v>
      </c>
      <c r="G71" s="7">
        <v>0</v>
      </c>
      <c r="H71" s="8">
        <v>0</v>
      </c>
      <c r="I71" s="9">
        <f>J71+K71</f>
        <v>15000</v>
      </c>
      <c r="J71" s="7">
        <v>15000</v>
      </c>
      <c r="K71" s="8">
        <v>0</v>
      </c>
      <c r="L71" s="10" t="s">
        <v>37</v>
      </c>
    </row>
    <row r="72" spans="1:12" s="15" customFormat="1" ht="24.75" customHeight="1">
      <c r="A72" s="27" t="s">
        <v>26</v>
      </c>
      <c r="B72" s="29"/>
      <c r="C72" s="9">
        <f t="shared" si="2"/>
        <v>398333</v>
      </c>
      <c r="D72" s="6">
        <f>+D73+D74+D86+D78+D79+D80+D81+D82+D83+D84+D85</f>
        <v>398333</v>
      </c>
      <c r="E72" s="9">
        <f>E73+E74+E78+E79+E80++E81</f>
        <v>0</v>
      </c>
      <c r="F72" s="6">
        <f t="shared" si="9"/>
        <v>342547</v>
      </c>
      <c r="G72" s="6">
        <f>+G73+G74+G86+G78+G79+G80+G81+G82+G83+G84+G85</f>
        <v>342547</v>
      </c>
      <c r="H72" s="6">
        <f>+H73+H74+H86+H78+H79+H80+H81+H82+H83+H84+H85</f>
        <v>0</v>
      </c>
      <c r="I72" s="6">
        <f t="shared" si="6"/>
        <v>756662</v>
      </c>
      <c r="J72" s="6">
        <f>+J73+J74+J86+J78+J79+J80+J81+J82+J83+J84+J85+J87+J88+J89</f>
        <v>681662</v>
      </c>
      <c r="K72" s="6">
        <f>+K73+K74+K86+K78+K79+K80+K81+K82+K83+K84+K85+K87</f>
        <v>75000</v>
      </c>
      <c r="L72" s="30"/>
    </row>
    <row r="73" spans="1:12" s="15" customFormat="1" ht="41.25" customHeight="1">
      <c r="A73" s="4" t="s">
        <v>80</v>
      </c>
      <c r="B73" s="5" t="s">
        <v>11</v>
      </c>
      <c r="C73" s="9">
        <f t="shared" si="2"/>
        <v>0</v>
      </c>
      <c r="D73" s="8">
        <v>0</v>
      </c>
      <c r="E73" s="8">
        <v>0</v>
      </c>
      <c r="F73" s="6">
        <f aca="true" t="shared" si="10" ref="F73:F84">+G73+H73</f>
        <v>0</v>
      </c>
      <c r="G73" s="7">
        <v>0</v>
      </c>
      <c r="H73" s="8">
        <v>0</v>
      </c>
      <c r="I73" s="9">
        <f aca="true" t="shared" si="11" ref="I73:I96">J73+K73</f>
        <v>8810</v>
      </c>
      <c r="J73" s="7">
        <v>8810</v>
      </c>
      <c r="K73" s="8">
        <v>0</v>
      </c>
      <c r="L73" s="10" t="s">
        <v>37</v>
      </c>
    </row>
    <row r="74" spans="1:12" s="15" customFormat="1" ht="53.25" customHeight="1">
      <c r="A74" s="4" t="s">
        <v>27</v>
      </c>
      <c r="B74" s="5" t="s">
        <v>11</v>
      </c>
      <c r="C74" s="9">
        <f t="shared" si="2"/>
        <v>103704</v>
      </c>
      <c r="D74" s="8">
        <v>103704</v>
      </c>
      <c r="E74" s="8">
        <v>0</v>
      </c>
      <c r="F74" s="6">
        <f t="shared" si="10"/>
        <v>119854</v>
      </c>
      <c r="G74" s="7">
        <v>119854</v>
      </c>
      <c r="H74" s="8">
        <v>0</v>
      </c>
      <c r="I74" s="9">
        <f t="shared" si="11"/>
        <v>130356</v>
      </c>
      <c r="J74" s="7">
        <v>130356</v>
      </c>
      <c r="K74" s="8">
        <v>0</v>
      </c>
      <c r="L74" s="10" t="s">
        <v>31</v>
      </c>
    </row>
    <row r="75" spans="1:12" s="15" customFormat="1" ht="16.5" customHeight="1">
      <c r="A75" s="48"/>
      <c r="B75" s="49"/>
      <c r="C75" s="50"/>
      <c r="D75" s="51"/>
      <c r="E75" s="51"/>
      <c r="F75" s="52"/>
      <c r="G75" s="53"/>
      <c r="H75" s="51"/>
      <c r="I75" s="50"/>
      <c r="J75" s="53"/>
      <c r="K75" s="51"/>
      <c r="L75" s="54"/>
    </row>
    <row r="76" spans="1:14" s="25" customFormat="1" ht="19.5" customHeight="1">
      <c r="A76" s="39"/>
      <c r="C76" s="40"/>
      <c r="D76" s="40"/>
      <c r="E76" s="40"/>
      <c r="F76" s="40"/>
      <c r="G76" s="40"/>
      <c r="H76" s="40"/>
      <c r="I76" s="81" t="s">
        <v>113</v>
      </c>
      <c r="J76" s="81"/>
      <c r="K76" s="81"/>
      <c r="L76" s="81"/>
      <c r="N76" s="41"/>
    </row>
    <row r="77" spans="1:14" s="25" customFormat="1" ht="14.25">
      <c r="A77" s="10">
        <v>1</v>
      </c>
      <c r="B77" s="42">
        <v>2</v>
      </c>
      <c r="C77" s="43">
        <v>3</v>
      </c>
      <c r="D77" s="43">
        <v>4</v>
      </c>
      <c r="E77" s="43">
        <v>5</v>
      </c>
      <c r="F77" s="43">
        <v>6</v>
      </c>
      <c r="G77" s="43">
        <v>7</v>
      </c>
      <c r="H77" s="43">
        <v>8</v>
      </c>
      <c r="I77" s="43">
        <v>9</v>
      </c>
      <c r="J77" s="43">
        <v>10</v>
      </c>
      <c r="K77" s="43">
        <v>11</v>
      </c>
      <c r="L77" s="43">
        <v>12</v>
      </c>
      <c r="N77" s="41"/>
    </row>
    <row r="78" spans="1:12" s="15" customFormat="1" ht="39" customHeight="1">
      <c r="A78" s="4" t="s">
        <v>3</v>
      </c>
      <c r="B78" s="5" t="s">
        <v>11</v>
      </c>
      <c r="C78" s="9">
        <f t="shared" si="2"/>
        <v>22694</v>
      </c>
      <c r="D78" s="8">
        <v>22694</v>
      </c>
      <c r="E78" s="8">
        <v>0</v>
      </c>
      <c r="F78" s="6">
        <f t="shared" si="10"/>
        <v>26187</v>
      </c>
      <c r="G78" s="7">
        <v>26187</v>
      </c>
      <c r="H78" s="8">
        <v>0</v>
      </c>
      <c r="I78" s="9">
        <f t="shared" si="11"/>
        <v>64761</v>
      </c>
      <c r="J78" s="7">
        <f>-53490+118251</f>
        <v>64761</v>
      </c>
      <c r="K78" s="8">
        <v>0</v>
      </c>
      <c r="L78" s="10" t="s">
        <v>37</v>
      </c>
    </row>
    <row r="79" spans="1:12" s="15" customFormat="1" ht="46.5" customHeight="1">
      <c r="A79" s="12" t="s">
        <v>160</v>
      </c>
      <c r="B79" s="5" t="s">
        <v>11</v>
      </c>
      <c r="C79" s="9">
        <f t="shared" si="2"/>
        <v>177851</v>
      </c>
      <c r="D79" s="8">
        <v>177851</v>
      </c>
      <c r="E79" s="8">
        <v>0</v>
      </c>
      <c r="F79" s="6">
        <f t="shared" si="10"/>
        <v>110768</v>
      </c>
      <c r="G79" s="7">
        <v>110768</v>
      </c>
      <c r="H79" s="8">
        <v>0</v>
      </c>
      <c r="I79" s="9">
        <f t="shared" si="11"/>
        <v>363116</v>
      </c>
      <c r="J79" s="7">
        <v>363116</v>
      </c>
      <c r="K79" s="8">
        <v>0</v>
      </c>
      <c r="L79" s="10" t="s">
        <v>37</v>
      </c>
    </row>
    <row r="80" spans="1:12" s="15" customFormat="1" ht="47.25" customHeight="1">
      <c r="A80" s="44" t="s">
        <v>10</v>
      </c>
      <c r="B80" s="5" t="s">
        <v>11</v>
      </c>
      <c r="C80" s="9">
        <f t="shared" si="2"/>
        <v>30600</v>
      </c>
      <c r="D80" s="8">
        <v>30600</v>
      </c>
      <c r="E80" s="8">
        <v>0</v>
      </c>
      <c r="F80" s="6">
        <f t="shared" si="10"/>
        <v>31100</v>
      </c>
      <c r="G80" s="7">
        <v>31100</v>
      </c>
      <c r="H80" s="8">
        <v>0</v>
      </c>
      <c r="I80" s="9">
        <f t="shared" si="11"/>
        <v>40688</v>
      </c>
      <c r="J80" s="7">
        <f>-2512+43200</f>
        <v>40688</v>
      </c>
      <c r="K80" s="8">
        <v>0</v>
      </c>
      <c r="L80" s="10" t="s">
        <v>37</v>
      </c>
    </row>
    <row r="81" spans="1:12" s="15" customFormat="1" ht="58.5" customHeight="1">
      <c r="A81" s="4" t="s">
        <v>116</v>
      </c>
      <c r="B81" s="5" t="s">
        <v>11</v>
      </c>
      <c r="C81" s="9">
        <f t="shared" si="2"/>
        <v>5743</v>
      </c>
      <c r="D81" s="8">
        <f>5726+17</f>
        <v>5743</v>
      </c>
      <c r="E81" s="8">
        <v>0</v>
      </c>
      <c r="F81" s="6">
        <f t="shared" si="10"/>
        <v>6638</v>
      </c>
      <c r="G81" s="7">
        <v>6638</v>
      </c>
      <c r="H81" s="8">
        <v>0</v>
      </c>
      <c r="I81" s="9">
        <f t="shared" si="11"/>
        <v>10311</v>
      </c>
      <c r="J81" s="7">
        <v>10311</v>
      </c>
      <c r="K81" s="8">
        <v>0</v>
      </c>
      <c r="L81" s="10" t="s">
        <v>37</v>
      </c>
    </row>
    <row r="82" spans="1:12" s="25" customFormat="1" ht="36.75" customHeight="1">
      <c r="A82" s="12" t="s">
        <v>61</v>
      </c>
      <c r="B82" s="5" t="s">
        <v>11</v>
      </c>
      <c r="C82" s="9">
        <f t="shared" si="2"/>
        <v>24192</v>
      </c>
      <c r="D82" s="8">
        <v>24192</v>
      </c>
      <c r="E82" s="8">
        <v>0</v>
      </c>
      <c r="F82" s="6">
        <f t="shared" si="10"/>
        <v>0</v>
      </c>
      <c r="G82" s="7">
        <v>0</v>
      </c>
      <c r="H82" s="8">
        <v>0</v>
      </c>
      <c r="I82" s="9">
        <f t="shared" si="11"/>
        <v>0</v>
      </c>
      <c r="J82" s="7">
        <f>ROUND(G82*1.067,0)</f>
        <v>0</v>
      </c>
      <c r="K82" s="8">
        <v>0</v>
      </c>
      <c r="L82" s="21" t="s">
        <v>66</v>
      </c>
    </row>
    <row r="83" spans="1:12" s="25" customFormat="1" ht="53.25" customHeight="1">
      <c r="A83" s="4" t="s">
        <v>77</v>
      </c>
      <c r="B83" s="5" t="s">
        <v>11</v>
      </c>
      <c r="C83" s="9">
        <f t="shared" si="2"/>
        <v>10688</v>
      </c>
      <c r="D83" s="8">
        <v>10688</v>
      </c>
      <c r="E83" s="8">
        <v>0</v>
      </c>
      <c r="F83" s="6">
        <f t="shared" si="10"/>
        <v>0</v>
      </c>
      <c r="G83" s="7">
        <v>0</v>
      </c>
      <c r="H83" s="8">
        <v>0</v>
      </c>
      <c r="I83" s="9">
        <f t="shared" si="11"/>
        <v>0</v>
      </c>
      <c r="J83" s="7">
        <f>ROUND(G83*1.067,0)</f>
        <v>0</v>
      </c>
      <c r="K83" s="8">
        <v>0</v>
      </c>
      <c r="L83" s="10" t="s">
        <v>31</v>
      </c>
    </row>
    <row r="84" spans="1:12" s="25" customFormat="1" ht="52.5" customHeight="1">
      <c r="A84" s="4" t="s">
        <v>78</v>
      </c>
      <c r="B84" s="5" t="s">
        <v>11</v>
      </c>
      <c r="C84" s="9">
        <f t="shared" si="2"/>
        <v>12000</v>
      </c>
      <c r="D84" s="8">
        <v>12000</v>
      </c>
      <c r="E84" s="8">
        <v>0</v>
      </c>
      <c r="F84" s="6">
        <f t="shared" si="10"/>
        <v>0</v>
      </c>
      <c r="G84" s="7">
        <v>0</v>
      </c>
      <c r="H84" s="8">
        <v>0</v>
      </c>
      <c r="I84" s="9">
        <f t="shared" si="11"/>
        <v>0</v>
      </c>
      <c r="J84" s="7">
        <f>ROUND(G84*1.067,0)</f>
        <v>0</v>
      </c>
      <c r="K84" s="8">
        <v>0</v>
      </c>
      <c r="L84" s="10" t="s">
        <v>31</v>
      </c>
    </row>
    <row r="85" spans="1:12" s="25" customFormat="1" ht="53.25" customHeight="1">
      <c r="A85" s="4" t="s">
        <v>84</v>
      </c>
      <c r="B85" s="5" t="s">
        <v>11</v>
      </c>
      <c r="C85" s="9">
        <f t="shared" si="2"/>
        <v>10861</v>
      </c>
      <c r="D85" s="8">
        <v>10861</v>
      </c>
      <c r="E85" s="8">
        <v>0</v>
      </c>
      <c r="F85" s="6">
        <f>G85+H85</f>
        <v>0</v>
      </c>
      <c r="G85" s="7">
        <v>0</v>
      </c>
      <c r="H85" s="8">
        <v>0</v>
      </c>
      <c r="I85" s="9">
        <f t="shared" si="11"/>
        <v>0</v>
      </c>
      <c r="J85" s="7">
        <f>ROUND(G85*1.067,0)</f>
        <v>0</v>
      </c>
      <c r="K85" s="8">
        <v>0</v>
      </c>
      <c r="L85" s="10" t="s">
        <v>31</v>
      </c>
    </row>
    <row r="86" spans="1:12" s="25" customFormat="1" ht="53.25" customHeight="1">
      <c r="A86" s="4" t="s">
        <v>43</v>
      </c>
      <c r="B86" s="5" t="s">
        <v>11</v>
      </c>
      <c r="C86" s="9">
        <f>D86+E86</f>
        <v>0</v>
      </c>
      <c r="D86" s="8">
        <v>0</v>
      </c>
      <c r="E86" s="8">
        <v>0</v>
      </c>
      <c r="F86" s="6">
        <f>+G86+H86</f>
        <v>48000</v>
      </c>
      <c r="G86" s="7">
        <v>48000</v>
      </c>
      <c r="H86" s="8">
        <v>0</v>
      </c>
      <c r="I86" s="9">
        <f>J86+K86</f>
        <v>25310</v>
      </c>
      <c r="J86" s="7">
        <v>25310</v>
      </c>
      <c r="K86" s="8">
        <v>0</v>
      </c>
      <c r="L86" s="10" t="s">
        <v>31</v>
      </c>
    </row>
    <row r="87" spans="1:12" s="25" customFormat="1" ht="45" customHeight="1">
      <c r="A87" s="4" t="s">
        <v>161</v>
      </c>
      <c r="B87" s="5" t="s">
        <v>11</v>
      </c>
      <c r="C87" s="9">
        <f>D87+E87</f>
        <v>0</v>
      </c>
      <c r="D87" s="8">
        <v>0</v>
      </c>
      <c r="E87" s="8">
        <v>0</v>
      </c>
      <c r="F87" s="6">
        <f>+G87+H87</f>
        <v>0</v>
      </c>
      <c r="G87" s="7">
        <v>0</v>
      </c>
      <c r="H87" s="8">
        <v>0</v>
      </c>
      <c r="I87" s="9">
        <f>J87+K87</f>
        <v>75000</v>
      </c>
      <c r="J87" s="7">
        <v>0</v>
      </c>
      <c r="K87" s="8">
        <v>75000</v>
      </c>
      <c r="L87" s="10" t="s">
        <v>37</v>
      </c>
    </row>
    <row r="88" spans="1:14" s="15" customFormat="1" ht="44.25" customHeight="1">
      <c r="A88" s="4" t="s">
        <v>169</v>
      </c>
      <c r="B88" s="5" t="s">
        <v>11</v>
      </c>
      <c r="C88" s="9">
        <f>D88+E88</f>
        <v>0</v>
      </c>
      <c r="D88" s="8">
        <v>0</v>
      </c>
      <c r="E88" s="8">
        <v>0</v>
      </c>
      <c r="F88" s="6">
        <f>+G88+H88</f>
        <v>0</v>
      </c>
      <c r="G88" s="7">
        <v>0</v>
      </c>
      <c r="H88" s="8">
        <v>0</v>
      </c>
      <c r="I88" s="9">
        <f>J88+K88</f>
        <v>23310</v>
      </c>
      <c r="J88" s="7">
        <f>-7770+31080</f>
        <v>23310</v>
      </c>
      <c r="K88" s="8">
        <v>0</v>
      </c>
      <c r="L88" s="10" t="s">
        <v>114</v>
      </c>
      <c r="N88" s="55"/>
    </row>
    <row r="89" spans="1:12" s="15" customFormat="1" ht="78.75" customHeight="1">
      <c r="A89" s="4" t="s">
        <v>168</v>
      </c>
      <c r="B89" s="5" t="s">
        <v>11</v>
      </c>
      <c r="C89" s="6">
        <f>D89+E89</f>
        <v>0</v>
      </c>
      <c r="D89" s="7">
        <v>0</v>
      </c>
      <c r="E89" s="7">
        <v>0</v>
      </c>
      <c r="F89" s="6">
        <f>G89+H89</f>
        <v>0</v>
      </c>
      <c r="G89" s="7">
        <v>0</v>
      </c>
      <c r="H89" s="8">
        <v>0</v>
      </c>
      <c r="I89" s="9">
        <f>J89+K89</f>
        <v>15000</v>
      </c>
      <c r="J89" s="7">
        <f>-40000+55000</f>
        <v>15000</v>
      </c>
      <c r="K89" s="8">
        <v>0</v>
      </c>
      <c r="L89" s="10" t="s">
        <v>37</v>
      </c>
    </row>
    <row r="90" spans="1:12" s="15" customFormat="1" ht="65.25" customHeight="1">
      <c r="A90" s="14" t="s">
        <v>109</v>
      </c>
      <c r="B90" s="5" t="s">
        <v>11</v>
      </c>
      <c r="C90" s="9">
        <f t="shared" si="2"/>
        <v>124140</v>
      </c>
      <c r="D90" s="9">
        <v>124140</v>
      </c>
      <c r="E90" s="9">
        <v>0</v>
      </c>
      <c r="F90" s="6">
        <f>+G90+H90</f>
        <v>134600</v>
      </c>
      <c r="G90" s="6">
        <v>134600</v>
      </c>
      <c r="H90" s="9">
        <v>0</v>
      </c>
      <c r="I90" s="9">
        <f t="shared" si="11"/>
        <v>174000</v>
      </c>
      <c r="J90" s="7">
        <f>30000+144000</f>
        <v>174000</v>
      </c>
      <c r="K90" s="9">
        <v>0</v>
      </c>
      <c r="L90" s="10" t="s">
        <v>37</v>
      </c>
    </row>
    <row r="91" spans="1:12" s="15" customFormat="1" ht="6.75" customHeight="1">
      <c r="A91" s="48"/>
      <c r="B91" s="49"/>
      <c r="C91" s="50"/>
      <c r="D91" s="51"/>
      <c r="E91" s="51"/>
      <c r="F91" s="52"/>
      <c r="G91" s="53"/>
      <c r="H91" s="51"/>
      <c r="I91" s="50"/>
      <c r="J91" s="53"/>
      <c r="K91" s="51"/>
      <c r="L91" s="54"/>
    </row>
    <row r="92" spans="1:14" s="25" customFormat="1" ht="19.5" customHeight="1">
      <c r="A92" s="39"/>
      <c r="C92" s="40"/>
      <c r="D92" s="40"/>
      <c r="E92" s="40"/>
      <c r="F92" s="40"/>
      <c r="G92" s="40"/>
      <c r="H92" s="40"/>
      <c r="I92" s="81" t="s">
        <v>113</v>
      </c>
      <c r="J92" s="81"/>
      <c r="K92" s="81"/>
      <c r="L92" s="81"/>
      <c r="N92" s="41"/>
    </row>
    <row r="93" spans="1:14" s="25" customFormat="1" ht="14.25">
      <c r="A93" s="10">
        <v>1</v>
      </c>
      <c r="B93" s="42">
        <v>2</v>
      </c>
      <c r="C93" s="43">
        <v>3</v>
      </c>
      <c r="D93" s="43">
        <v>4</v>
      </c>
      <c r="E93" s="43">
        <v>5</v>
      </c>
      <c r="F93" s="43">
        <v>6</v>
      </c>
      <c r="G93" s="43">
        <v>7</v>
      </c>
      <c r="H93" s="43">
        <v>8</v>
      </c>
      <c r="I93" s="43">
        <v>9</v>
      </c>
      <c r="J93" s="43">
        <v>10</v>
      </c>
      <c r="K93" s="43">
        <v>11</v>
      </c>
      <c r="L93" s="43">
        <v>12</v>
      </c>
      <c r="N93" s="41"/>
    </row>
    <row r="94" spans="1:12" s="15" customFormat="1" ht="107.25" customHeight="1">
      <c r="A94" s="14" t="s">
        <v>151</v>
      </c>
      <c r="B94" s="5" t="s">
        <v>11</v>
      </c>
      <c r="C94" s="9">
        <f t="shared" si="2"/>
        <v>97047</v>
      </c>
      <c r="D94" s="9">
        <v>97047</v>
      </c>
      <c r="E94" s="9">
        <v>0</v>
      </c>
      <c r="F94" s="6">
        <v>0</v>
      </c>
      <c r="G94" s="6">
        <v>0</v>
      </c>
      <c r="H94" s="9">
        <v>0</v>
      </c>
      <c r="I94" s="9">
        <v>0</v>
      </c>
      <c r="J94" s="6">
        <v>0</v>
      </c>
      <c r="K94" s="9">
        <v>0</v>
      </c>
      <c r="L94" s="10" t="s">
        <v>31</v>
      </c>
    </row>
    <row r="95" spans="1:12" s="15" customFormat="1" ht="52.5" customHeight="1">
      <c r="A95" s="56" t="s">
        <v>67</v>
      </c>
      <c r="B95" s="5" t="s">
        <v>11</v>
      </c>
      <c r="C95" s="9">
        <f t="shared" si="2"/>
        <v>15000</v>
      </c>
      <c r="D95" s="9">
        <v>15000</v>
      </c>
      <c r="E95" s="9">
        <v>0</v>
      </c>
      <c r="F95" s="6">
        <f>+G95+H95</f>
        <v>0</v>
      </c>
      <c r="G95" s="6">
        <v>0</v>
      </c>
      <c r="H95" s="9">
        <v>0</v>
      </c>
      <c r="I95" s="9">
        <f>J95+K95</f>
        <v>0</v>
      </c>
      <c r="J95" s="6">
        <f>ROUND(G95*1.075,0)</f>
        <v>0</v>
      </c>
      <c r="K95" s="9">
        <v>0</v>
      </c>
      <c r="L95" s="10" t="s">
        <v>37</v>
      </c>
    </row>
    <row r="96" spans="1:12" s="15" customFormat="1" ht="41.25" customHeight="1">
      <c r="A96" s="56" t="s">
        <v>68</v>
      </c>
      <c r="B96" s="5" t="s">
        <v>11</v>
      </c>
      <c r="C96" s="9">
        <f t="shared" si="2"/>
        <v>0</v>
      </c>
      <c r="D96" s="9">
        <v>0</v>
      </c>
      <c r="E96" s="9">
        <v>0</v>
      </c>
      <c r="F96" s="6">
        <f>+G96+H96</f>
        <v>14402</v>
      </c>
      <c r="G96" s="6">
        <v>14402</v>
      </c>
      <c r="H96" s="9">
        <v>0</v>
      </c>
      <c r="I96" s="9">
        <f t="shared" si="11"/>
        <v>16124</v>
      </c>
      <c r="J96" s="7">
        <f>1200+14924</f>
        <v>16124</v>
      </c>
      <c r="K96" s="9">
        <v>0</v>
      </c>
      <c r="L96" s="10" t="s">
        <v>37</v>
      </c>
    </row>
    <row r="97" spans="1:12" s="15" customFormat="1" ht="52.5" customHeight="1">
      <c r="A97" s="57" t="s">
        <v>117</v>
      </c>
      <c r="B97" s="5" t="s">
        <v>11</v>
      </c>
      <c r="C97" s="9">
        <f>D97+E97</f>
        <v>0</v>
      </c>
      <c r="D97" s="9">
        <v>0</v>
      </c>
      <c r="E97" s="9">
        <v>0</v>
      </c>
      <c r="F97" s="6">
        <f>+G97+H97</f>
        <v>20300</v>
      </c>
      <c r="G97" s="6">
        <v>20300</v>
      </c>
      <c r="H97" s="9">
        <v>0</v>
      </c>
      <c r="I97" s="9">
        <f>J97+K97</f>
        <v>20300</v>
      </c>
      <c r="J97" s="6">
        <v>20300</v>
      </c>
      <c r="K97" s="9">
        <v>0</v>
      </c>
      <c r="L97" s="10" t="s">
        <v>37</v>
      </c>
    </row>
    <row r="98" spans="1:12" s="15" customFormat="1" ht="19.5" customHeight="1">
      <c r="A98" s="86" t="s">
        <v>156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15" customFormat="1" ht="26.25" customHeight="1">
      <c r="A99" s="89" t="s">
        <v>162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2" s="15" customFormat="1" ht="24.75" customHeight="1">
      <c r="A100" s="91" t="s">
        <v>163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s="15" customFormat="1" ht="43.5" customHeight="1">
      <c r="A101" s="24" t="s">
        <v>164</v>
      </c>
      <c r="B101" s="5" t="s">
        <v>11</v>
      </c>
      <c r="C101" s="9">
        <f>D101+E101</f>
        <v>831800</v>
      </c>
      <c r="D101" s="8">
        <v>831800</v>
      </c>
      <c r="E101" s="8">
        <v>0</v>
      </c>
      <c r="F101" s="6">
        <f>+G101+H101</f>
        <v>1114010</v>
      </c>
      <c r="G101" s="7">
        <f>1580+1112430</f>
        <v>1114010</v>
      </c>
      <c r="H101" s="8">
        <v>0</v>
      </c>
      <c r="I101" s="9">
        <f>J101+K101</f>
        <v>1274995</v>
      </c>
      <c r="J101" s="7">
        <f>80000+1192100+2895</f>
        <v>1274995</v>
      </c>
      <c r="K101" s="8">
        <v>0</v>
      </c>
      <c r="L101" s="10" t="s">
        <v>37</v>
      </c>
    </row>
    <row r="102" spans="1:12" s="15" customFormat="1" ht="20.25" customHeight="1">
      <c r="A102" s="86" t="s">
        <v>157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15" customFormat="1" ht="33.75" customHeight="1">
      <c r="A103" s="87" t="s">
        <v>118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s="15" customFormat="1" ht="33" customHeight="1">
      <c r="A104" s="92" t="s">
        <v>119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25" customFormat="1" ht="32.25" customHeight="1">
      <c r="A105" s="59" t="s">
        <v>152</v>
      </c>
      <c r="B105" s="29"/>
      <c r="C105" s="9">
        <f aca="true" t="shared" si="12" ref="C105:C115">D105+E105</f>
        <v>1948082</v>
      </c>
      <c r="D105" s="9">
        <f>D106+D107+D108+D109+D110+D114+D115</f>
        <v>1948082</v>
      </c>
      <c r="E105" s="9">
        <f>SUM(E106,E107,E108,E109,E110)</f>
        <v>0</v>
      </c>
      <c r="F105" s="9">
        <f>G105+H105</f>
        <v>999100</v>
      </c>
      <c r="G105" s="9">
        <f>G106+G107+G108+G109+G110+G114+G115</f>
        <v>999100</v>
      </c>
      <c r="H105" s="9">
        <f>SUM(H106,H107,H108,H109,H110)</f>
        <v>0</v>
      </c>
      <c r="I105" s="9">
        <f aca="true" t="shared" si="13" ref="I105:I110">J105+K105</f>
        <v>1295571</v>
      </c>
      <c r="J105" s="9">
        <f>J106+J107+J108+J109+J110+J114+J115</f>
        <v>1295571</v>
      </c>
      <c r="K105" s="9">
        <f>SUM(K106,K107,K108,K109,K110)</f>
        <v>0</v>
      </c>
      <c r="L105" s="31"/>
    </row>
    <row r="106" spans="1:12" s="25" customFormat="1" ht="38.25" customHeight="1">
      <c r="A106" s="44" t="s">
        <v>28</v>
      </c>
      <c r="B106" s="5" t="s">
        <v>11</v>
      </c>
      <c r="C106" s="9">
        <f t="shared" si="12"/>
        <v>11838</v>
      </c>
      <c r="D106" s="8">
        <v>11838</v>
      </c>
      <c r="E106" s="8">
        <v>0</v>
      </c>
      <c r="F106" s="6">
        <f>+G106+H106</f>
        <v>16488</v>
      </c>
      <c r="G106" s="7">
        <v>16488</v>
      </c>
      <c r="H106" s="8">
        <v>0</v>
      </c>
      <c r="I106" s="9">
        <f t="shared" si="13"/>
        <v>16317</v>
      </c>
      <c r="J106" s="7">
        <v>16317</v>
      </c>
      <c r="K106" s="8">
        <v>0</v>
      </c>
      <c r="L106" s="10" t="s">
        <v>37</v>
      </c>
    </row>
    <row r="107" spans="1:12" s="25" customFormat="1" ht="39" customHeight="1">
      <c r="A107" s="44" t="s">
        <v>79</v>
      </c>
      <c r="B107" s="5" t="s">
        <v>11</v>
      </c>
      <c r="C107" s="9">
        <f t="shared" si="12"/>
        <v>696907</v>
      </c>
      <c r="D107" s="8">
        <v>696907</v>
      </c>
      <c r="E107" s="8">
        <v>0</v>
      </c>
      <c r="F107" s="6">
        <f>+G107+H107</f>
        <v>357492</v>
      </c>
      <c r="G107" s="7">
        <v>357492</v>
      </c>
      <c r="H107" s="8">
        <v>0</v>
      </c>
      <c r="I107" s="9">
        <f t="shared" si="13"/>
        <v>524373</v>
      </c>
      <c r="J107" s="7">
        <f>102734+421639</f>
        <v>524373</v>
      </c>
      <c r="K107" s="8">
        <v>0</v>
      </c>
      <c r="L107" s="10" t="s">
        <v>37</v>
      </c>
    </row>
    <row r="108" spans="1:12" s="25" customFormat="1" ht="41.25" customHeight="1">
      <c r="A108" s="44" t="s">
        <v>176</v>
      </c>
      <c r="B108" s="5" t="s">
        <v>11</v>
      </c>
      <c r="C108" s="9">
        <f t="shared" si="12"/>
        <v>356577</v>
      </c>
      <c r="D108" s="8">
        <v>356577</v>
      </c>
      <c r="E108" s="8">
        <v>0</v>
      </c>
      <c r="F108" s="6">
        <f>+G108+H108</f>
        <v>141643</v>
      </c>
      <c r="G108" s="7">
        <v>141643</v>
      </c>
      <c r="H108" s="8">
        <v>0</v>
      </c>
      <c r="I108" s="9">
        <f t="shared" si="13"/>
        <v>187367</v>
      </c>
      <c r="J108" s="7">
        <v>187367</v>
      </c>
      <c r="K108" s="8">
        <v>0</v>
      </c>
      <c r="L108" s="10" t="s">
        <v>37</v>
      </c>
    </row>
    <row r="109" spans="1:12" s="25" customFormat="1" ht="48.75" customHeight="1">
      <c r="A109" s="44" t="s">
        <v>71</v>
      </c>
      <c r="B109" s="5" t="s">
        <v>11</v>
      </c>
      <c r="C109" s="9">
        <f t="shared" si="12"/>
        <v>166331</v>
      </c>
      <c r="D109" s="8">
        <v>166331</v>
      </c>
      <c r="E109" s="8">
        <v>0</v>
      </c>
      <c r="F109" s="6">
        <f>+G109+H109</f>
        <v>153878</v>
      </c>
      <c r="G109" s="7">
        <v>153878</v>
      </c>
      <c r="H109" s="8">
        <v>0</v>
      </c>
      <c r="I109" s="9">
        <f t="shared" si="13"/>
        <v>160160</v>
      </c>
      <c r="J109" s="7">
        <v>160160</v>
      </c>
      <c r="K109" s="8">
        <v>0</v>
      </c>
      <c r="L109" s="10" t="s">
        <v>37</v>
      </c>
    </row>
    <row r="110" spans="1:12" s="25" customFormat="1" ht="66.75" customHeight="1">
      <c r="A110" s="4" t="s">
        <v>120</v>
      </c>
      <c r="B110" s="5" t="s">
        <v>11</v>
      </c>
      <c r="C110" s="9">
        <f t="shared" si="12"/>
        <v>527708</v>
      </c>
      <c r="D110" s="8">
        <v>527708</v>
      </c>
      <c r="E110" s="8">
        <v>0</v>
      </c>
      <c r="F110" s="6">
        <f>+G110+H110</f>
        <v>329599</v>
      </c>
      <c r="G110" s="7">
        <v>329599</v>
      </c>
      <c r="H110" s="8">
        <v>0</v>
      </c>
      <c r="I110" s="9">
        <f t="shared" si="13"/>
        <v>407354</v>
      </c>
      <c r="J110" s="7">
        <f>57437+349917</f>
        <v>407354</v>
      </c>
      <c r="K110" s="8">
        <v>0</v>
      </c>
      <c r="L110" s="10" t="s">
        <v>37</v>
      </c>
    </row>
    <row r="111" spans="1:12" s="15" customFormat="1" ht="6.75" customHeight="1">
      <c r="A111" s="48"/>
      <c r="B111" s="49"/>
      <c r="C111" s="50"/>
      <c r="D111" s="51"/>
      <c r="E111" s="51"/>
      <c r="F111" s="52"/>
      <c r="G111" s="53"/>
      <c r="H111" s="51"/>
      <c r="I111" s="50"/>
      <c r="J111" s="53"/>
      <c r="K111" s="51"/>
      <c r="L111" s="54"/>
    </row>
    <row r="112" spans="1:14" s="25" customFormat="1" ht="19.5" customHeight="1">
      <c r="A112" s="39"/>
      <c r="C112" s="40"/>
      <c r="D112" s="40"/>
      <c r="E112" s="40"/>
      <c r="F112" s="40"/>
      <c r="G112" s="40"/>
      <c r="H112" s="40"/>
      <c r="I112" s="81" t="s">
        <v>113</v>
      </c>
      <c r="J112" s="81"/>
      <c r="K112" s="81"/>
      <c r="L112" s="81"/>
      <c r="N112" s="41"/>
    </row>
    <row r="113" spans="1:14" s="25" customFormat="1" ht="14.25">
      <c r="A113" s="10">
        <v>1</v>
      </c>
      <c r="B113" s="42">
        <v>2</v>
      </c>
      <c r="C113" s="43">
        <v>3</v>
      </c>
      <c r="D113" s="43">
        <v>4</v>
      </c>
      <c r="E113" s="43">
        <v>5</v>
      </c>
      <c r="F113" s="43">
        <v>6</v>
      </c>
      <c r="G113" s="43">
        <v>7</v>
      </c>
      <c r="H113" s="43">
        <v>8</v>
      </c>
      <c r="I113" s="43">
        <v>9</v>
      </c>
      <c r="J113" s="43">
        <v>10</v>
      </c>
      <c r="K113" s="43">
        <v>11</v>
      </c>
      <c r="L113" s="43">
        <v>12</v>
      </c>
      <c r="N113" s="41"/>
    </row>
    <row r="114" spans="1:12" s="25" customFormat="1" ht="58.5" customHeight="1">
      <c r="A114" s="4" t="s">
        <v>72</v>
      </c>
      <c r="B114" s="5" t="s">
        <v>11</v>
      </c>
      <c r="C114" s="9">
        <f t="shared" si="12"/>
        <v>168197</v>
      </c>
      <c r="D114" s="8">
        <v>168197</v>
      </c>
      <c r="E114" s="8">
        <v>0</v>
      </c>
      <c r="F114" s="6">
        <v>0</v>
      </c>
      <c r="G114" s="7">
        <v>0</v>
      </c>
      <c r="H114" s="8">
        <v>0</v>
      </c>
      <c r="I114" s="9">
        <v>0</v>
      </c>
      <c r="J114" s="7">
        <f>ROUND(G114*1.067,0)</f>
        <v>0</v>
      </c>
      <c r="K114" s="8">
        <v>0</v>
      </c>
      <c r="L114" s="10" t="s">
        <v>37</v>
      </c>
    </row>
    <row r="115" spans="1:12" s="25" customFormat="1" ht="45" customHeight="1">
      <c r="A115" s="4" t="s">
        <v>62</v>
      </c>
      <c r="B115" s="5" t="s">
        <v>11</v>
      </c>
      <c r="C115" s="9">
        <f t="shared" si="12"/>
        <v>20524</v>
      </c>
      <c r="D115" s="8">
        <v>20524</v>
      </c>
      <c r="E115" s="8">
        <v>0</v>
      </c>
      <c r="F115" s="6">
        <v>0</v>
      </c>
      <c r="G115" s="7">
        <v>0</v>
      </c>
      <c r="H115" s="8">
        <v>0</v>
      </c>
      <c r="I115" s="9">
        <v>0</v>
      </c>
      <c r="J115" s="7">
        <f>ROUND(G115*1.067,0)</f>
        <v>0</v>
      </c>
      <c r="K115" s="8">
        <v>0</v>
      </c>
      <c r="L115" s="10" t="s">
        <v>37</v>
      </c>
    </row>
    <row r="116" spans="1:12" s="25" customFormat="1" ht="23.25" customHeight="1">
      <c r="A116" s="85" t="s">
        <v>158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s="25" customFormat="1" ht="27" customHeight="1">
      <c r="A117" s="84" t="s">
        <v>6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</row>
    <row r="118" spans="1:12" s="25" customFormat="1" ht="23.25" customHeight="1">
      <c r="A118" s="88" t="s">
        <v>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1:12" s="25" customFormat="1" ht="21" customHeight="1">
      <c r="A119" s="60" t="s">
        <v>46</v>
      </c>
      <c r="B119" s="5"/>
      <c r="C119" s="6">
        <f>D119+E119</f>
        <v>1615614</v>
      </c>
      <c r="D119" s="6">
        <f aca="true" t="shared" si="14" ref="D119:K119">D120+D124</f>
        <v>1615614</v>
      </c>
      <c r="E119" s="6">
        <f t="shared" si="14"/>
        <v>0</v>
      </c>
      <c r="F119" s="6">
        <f t="shared" si="14"/>
        <v>523418</v>
      </c>
      <c r="G119" s="6">
        <f t="shared" si="14"/>
        <v>523418</v>
      </c>
      <c r="H119" s="6">
        <f t="shared" si="14"/>
        <v>0</v>
      </c>
      <c r="I119" s="6">
        <f t="shared" si="14"/>
        <v>891152</v>
      </c>
      <c r="J119" s="6">
        <f t="shared" si="14"/>
        <v>891152</v>
      </c>
      <c r="K119" s="6">
        <f t="shared" si="14"/>
        <v>0</v>
      </c>
      <c r="L119" s="10"/>
    </row>
    <row r="120" spans="1:12" s="25" customFormat="1" ht="30" customHeight="1">
      <c r="A120" s="11" t="s">
        <v>29</v>
      </c>
      <c r="B120" s="29"/>
      <c r="C120" s="9">
        <f>D120+E120</f>
        <v>357393</v>
      </c>
      <c r="D120" s="9">
        <f>SUM(D121:D122)+D123</f>
        <v>357393</v>
      </c>
      <c r="E120" s="9">
        <f>SUM(E121:E122)+E123</f>
        <v>0</v>
      </c>
      <c r="F120" s="9">
        <f>G120+H120</f>
        <v>123224</v>
      </c>
      <c r="G120" s="9">
        <f>SUM(G121:G122)+G123</f>
        <v>123224</v>
      </c>
      <c r="H120" s="9">
        <f>SUM(H121:H122)+H123</f>
        <v>0</v>
      </c>
      <c r="I120" s="9">
        <f>J120+K120</f>
        <v>142383</v>
      </c>
      <c r="J120" s="9">
        <f>SUM(J121:J122)+J123</f>
        <v>142383</v>
      </c>
      <c r="K120" s="9">
        <f>SUM(K121:K122)+K123</f>
        <v>0</v>
      </c>
      <c r="L120" s="10"/>
    </row>
    <row r="121" spans="1:12" s="25" customFormat="1" ht="52.5" customHeight="1">
      <c r="A121" s="4" t="s">
        <v>88</v>
      </c>
      <c r="B121" s="5" t="s">
        <v>11</v>
      </c>
      <c r="C121" s="9">
        <f>D121+E121</f>
        <v>95454</v>
      </c>
      <c r="D121" s="8">
        <v>95454</v>
      </c>
      <c r="E121" s="8">
        <v>0</v>
      </c>
      <c r="F121" s="6">
        <f>+G121+H121</f>
        <v>115225</v>
      </c>
      <c r="G121" s="7">
        <v>115225</v>
      </c>
      <c r="H121" s="8">
        <v>0</v>
      </c>
      <c r="I121" s="9">
        <f>J121+K121</f>
        <v>132674</v>
      </c>
      <c r="J121" s="7">
        <v>132674</v>
      </c>
      <c r="K121" s="8">
        <v>0</v>
      </c>
      <c r="L121" s="10" t="s">
        <v>37</v>
      </c>
    </row>
    <row r="122" spans="1:12" s="25" customFormat="1" ht="51.75" customHeight="1">
      <c r="A122" s="4" t="s">
        <v>63</v>
      </c>
      <c r="B122" s="5" t="s">
        <v>11</v>
      </c>
      <c r="C122" s="9">
        <f>D122+E122</f>
        <v>246613</v>
      </c>
      <c r="D122" s="8">
        <v>246613</v>
      </c>
      <c r="E122" s="8">
        <v>0</v>
      </c>
      <c r="F122" s="6">
        <f>+G122+H122</f>
        <v>0</v>
      </c>
      <c r="G122" s="7">
        <v>0</v>
      </c>
      <c r="H122" s="8">
        <v>0</v>
      </c>
      <c r="I122" s="9">
        <f>J122+K122</f>
        <v>0</v>
      </c>
      <c r="J122" s="7">
        <f>ROUND(G122*1.067,0)</f>
        <v>0</v>
      </c>
      <c r="K122" s="8">
        <v>0</v>
      </c>
      <c r="L122" s="10" t="s">
        <v>37</v>
      </c>
    </row>
    <row r="123" spans="1:12" s="25" customFormat="1" ht="50.25" customHeight="1">
      <c r="A123" s="4" t="s">
        <v>53</v>
      </c>
      <c r="B123" s="5" t="s">
        <v>11</v>
      </c>
      <c r="C123" s="9">
        <f>D123+E123</f>
        <v>15326</v>
      </c>
      <c r="D123" s="8">
        <v>15326</v>
      </c>
      <c r="E123" s="8">
        <v>0</v>
      </c>
      <c r="F123" s="6">
        <f>+G123+H123</f>
        <v>7999</v>
      </c>
      <c r="G123" s="7">
        <v>7999</v>
      </c>
      <c r="H123" s="8">
        <v>0</v>
      </c>
      <c r="I123" s="9">
        <f>J123+K123</f>
        <v>9709</v>
      </c>
      <c r="J123" s="7">
        <f>2000+7709</f>
        <v>9709</v>
      </c>
      <c r="K123" s="8">
        <v>0</v>
      </c>
      <c r="L123" s="10" t="s">
        <v>37</v>
      </c>
    </row>
    <row r="124" spans="1:12" s="25" customFormat="1" ht="30.75" customHeight="1">
      <c r="A124" s="11" t="s">
        <v>25</v>
      </c>
      <c r="B124" s="5"/>
      <c r="C124" s="9">
        <f>E124+D124</f>
        <v>1258221</v>
      </c>
      <c r="D124" s="9">
        <f>D125+D126+D127+D132+D133+D134+D135+D136+D137+D128</f>
        <v>1258221</v>
      </c>
      <c r="E124" s="9">
        <f>SUM(E125,E126,E127)</f>
        <v>0</v>
      </c>
      <c r="F124" s="9">
        <f>H124+G124</f>
        <v>400194</v>
      </c>
      <c r="G124" s="9">
        <f>G125+G126+G127+G132+G133+G134+G135+G136+G137+G128+G138</f>
        <v>400194</v>
      </c>
      <c r="H124" s="9">
        <f>SUM(H125,H126,H127)</f>
        <v>0</v>
      </c>
      <c r="I124" s="9">
        <f>K124+J124</f>
        <v>748769</v>
      </c>
      <c r="J124" s="9">
        <f>J125+J126+J127+J132+J133+J134+J135+J136+J137+J128+J138+J139</f>
        <v>748769</v>
      </c>
      <c r="K124" s="9">
        <f>SUM(K125,K126,K127)</f>
        <v>0</v>
      </c>
      <c r="L124" s="10"/>
    </row>
    <row r="125" spans="1:12" s="25" customFormat="1" ht="53.25" customHeight="1">
      <c r="A125" s="4" t="s">
        <v>22</v>
      </c>
      <c r="B125" s="5" t="s">
        <v>11</v>
      </c>
      <c r="C125" s="9">
        <f aca="true" t="shared" si="15" ref="C125:C138">D125+E125</f>
        <v>41162</v>
      </c>
      <c r="D125" s="8">
        <f>-6500+47662</f>
        <v>41162</v>
      </c>
      <c r="E125" s="8">
        <v>0</v>
      </c>
      <c r="F125" s="6">
        <f>+G125+H125</f>
        <v>28499</v>
      </c>
      <c r="G125" s="7">
        <v>28499</v>
      </c>
      <c r="H125" s="8">
        <v>0</v>
      </c>
      <c r="I125" s="9">
        <f aca="true" t="shared" si="16" ref="I125:I139">J125+K125</f>
        <v>22364</v>
      </c>
      <c r="J125" s="7">
        <f>-8636+31000</f>
        <v>22364</v>
      </c>
      <c r="K125" s="8">
        <v>0</v>
      </c>
      <c r="L125" s="10" t="s">
        <v>37</v>
      </c>
    </row>
    <row r="126" spans="1:12" s="15" customFormat="1" ht="50.25" customHeight="1">
      <c r="A126" s="44" t="s">
        <v>20</v>
      </c>
      <c r="B126" s="5" t="s">
        <v>11</v>
      </c>
      <c r="C126" s="9">
        <f t="shared" si="15"/>
        <v>82350</v>
      </c>
      <c r="D126" s="8">
        <f>2886+79225+239</f>
        <v>82350</v>
      </c>
      <c r="E126" s="8">
        <v>0</v>
      </c>
      <c r="F126" s="6">
        <f>+G126+H126</f>
        <v>74292</v>
      </c>
      <c r="G126" s="7">
        <v>74292</v>
      </c>
      <c r="H126" s="8">
        <v>0</v>
      </c>
      <c r="I126" s="9">
        <f t="shared" si="16"/>
        <v>72511</v>
      </c>
      <c r="J126" s="7">
        <v>72511</v>
      </c>
      <c r="K126" s="8">
        <v>0</v>
      </c>
      <c r="L126" s="10" t="s">
        <v>37</v>
      </c>
    </row>
    <row r="127" spans="1:12" s="25" customFormat="1" ht="58.5" customHeight="1">
      <c r="A127" s="4" t="s">
        <v>194</v>
      </c>
      <c r="B127" s="5" t="s">
        <v>11</v>
      </c>
      <c r="C127" s="9">
        <f t="shared" si="15"/>
        <v>53555</v>
      </c>
      <c r="D127" s="8">
        <f>-12737+66292</f>
        <v>53555</v>
      </c>
      <c r="E127" s="8">
        <v>0</v>
      </c>
      <c r="F127" s="6">
        <f>+G127+H127</f>
        <v>64465</v>
      </c>
      <c r="G127" s="7">
        <v>64465</v>
      </c>
      <c r="H127" s="8">
        <v>0</v>
      </c>
      <c r="I127" s="9">
        <f t="shared" si="16"/>
        <v>233325</v>
      </c>
      <c r="J127" s="7">
        <f>-87862+321187</f>
        <v>233325</v>
      </c>
      <c r="K127" s="8">
        <v>0</v>
      </c>
      <c r="L127" s="10" t="s">
        <v>37</v>
      </c>
    </row>
    <row r="128" spans="1:12" s="25" customFormat="1" ht="52.5" customHeight="1">
      <c r="A128" s="4" t="s">
        <v>73</v>
      </c>
      <c r="B128" s="5" t="s">
        <v>11</v>
      </c>
      <c r="C128" s="9">
        <f t="shared" si="15"/>
        <v>396458</v>
      </c>
      <c r="D128" s="8">
        <f>395170+1288</f>
        <v>396458</v>
      </c>
      <c r="E128" s="8">
        <v>0</v>
      </c>
      <c r="F128" s="6">
        <f>+G128+H128</f>
        <v>0</v>
      </c>
      <c r="G128" s="7">
        <v>0</v>
      </c>
      <c r="H128" s="8">
        <v>0</v>
      </c>
      <c r="I128" s="9">
        <f t="shared" si="16"/>
        <v>0</v>
      </c>
      <c r="J128" s="7">
        <f>ROUND(G128*1.067,0)</f>
        <v>0</v>
      </c>
      <c r="K128" s="8">
        <v>0</v>
      </c>
      <c r="L128" s="10" t="s">
        <v>37</v>
      </c>
    </row>
    <row r="129" spans="1:12" s="15" customFormat="1" ht="12.75" customHeight="1">
      <c r="A129" s="48"/>
      <c r="B129" s="49"/>
      <c r="C129" s="50"/>
      <c r="D129" s="51"/>
      <c r="E129" s="51"/>
      <c r="F129" s="52"/>
      <c r="G129" s="53"/>
      <c r="H129" s="51"/>
      <c r="I129" s="50"/>
      <c r="J129" s="53"/>
      <c r="K129" s="51"/>
      <c r="L129" s="54"/>
    </row>
    <row r="130" spans="1:14" s="25" customFormat="1" ht="19.5" customHeight="1">
      <c r="A130" s="39"/>
      <c r="C130" s="40"/>
      <c r="D130" s="40"/>
      <c r="E130" s="40"/>
      <c r="F130" s="40"/>
      <c r="G130" s="40"/>
      <c r="H130" s="40"/>
      <c r="I130" s="80" t="s">
        <v>113</v>
      </c>
      <c r="J130" s="80"/>
      <c r="K130" s="80"/>
      <c r="L130" s="80"/>
      <c r="N130" s="41"/>
    </row>
    <row r="131" spans="1:14" s="25" customFormat="1" ht="14.25">
      <c r="A131" s="10">
        <v>1</v>
      </c>
      <c r="B131" s="42">
        <v>2</v>
      </c>
      <c r="C131" s="43">
        <v>3</v>
      </c>
      <c r="D131" s="43">
        <v>4</v>
      </c>
      <c r="E131" s="43">
        <v>5</v>
      </c>
      <c r="F131" s="43">
        <v>6</v>
      </c>
      <c r="G131" s="43">
        <v>7</v>
      </c>
      <c r="H131" s="43">
        <v>8</v>
      </c>
      <c r="I131" s="43">
        <v>9</v>
      </c>
      <c r="J131" s="43">
        <v>10</v>
      </c>
      <c r="K131" s="43">
        <v>11</v>
      </c>
      <c r="L131" s="43">
        <v>12</v>
      </c>
      <c r="N131" s="41"/>
    </row>
    <row r="132" spans="1:12" s="25" customFormat="1" ht="54" customHeight="1">
      <c r="A132" s="44" t="s">
        <v>195</v>
      </c>
      <c r="B132" s="5" t="s">
        <v>11</v>
      </c>
      <c r="C132" s="9">
        <f t="shared" si="15"/>
        <v>298341</v>
      </c>
      <c r="D132" s="8">
        <v>298341</v>
      </c>
      <c r="E132" s="8">
        <v>0</v>
      </c>
      <c r="F132" s="6">
        <f>+G132+H132</f>
        <v>159767</v>
      </c>
      <c r="G132" s="7">
        <v>159767</v>
      </c>
      <c r="H132" s="8">
        <v>0</v>
      </c>
      <c r="I132" s="9">
        <f t="shared" si="16"/>
        <v>121577</v>
      </c>
      <c r="J132" s="7">
        <f>-25173+146750</f>
        <v>121577</v>
      </c>
      <c r="K132" s="8">
        <v>0</v>
      </c>
      <c r="L132" s="10" t="s">
        <v>37</v>
      </c>
    </row>
    <row r="133" spans="1:12" s="25" customFormat="1" ht="54.75" customHeight="1">
      <c r="A133" s="4" t="s">
        <v>74</v>
      </c>
      <c r="B133" s="5" t="s">
        <v>11</v>
      </c>
      <c r="C133" s="6">
        <f t="shared" si="15"/>
        <v>34000</v>
      </c>
      <c r="D133" s="7">
        <v>34000</v>
      </c>
      <c r="E133" s="7">
        <v>0</v>
      </c>
      <c r="F133" s="6">
        <f aca="true" t="shared" si="17" ref="F133:F138">+G133+H133</f>
        <v>0</v>
      </c>
      <c r="G133" s="7">
        <v>0</v>
      </c>
      <c r="H133" s="8">
        <v>0</v>
      </c>
      <c r="I133" s="9">
        <f t="shared" si="16"/>
        <v>0</v>
      </c>
      <c r="J133" s="7">
        <f>ROUND(G133*1.067,0)</f>
        <v>0</v>
      </c>
      <c r="K133" s="8">
        <v>0</v>
      </c>
      <c r="L133" s="10" t="s">
        <v>37</v>
      </c>
    </row>
    <row r="134" spans="1:12" s="25" customFormat="1" ht="51" customHeight="1">
      <c r="A134" s="44" t="s">
        <v>75</v>
      </c>
      <c r="B134" s="5" t="s">
        <v>11</v>
      </c>
      <c r="C134" s="9">
        <f t="shared" si="15"/>
        <v>165600</v>
      </c>
      <c r="D134" s="8">
        <v>165600</v>
      </c>
      <c r="E134" s="8">
        <v>0</v>
      </c>
      <c r="F134" s="6">
        <f t="shared" si="17"/>
        <v>0</v>
      </c>
      <c r="G134" s="7">
        <v>0</v>
      </c>
      <c r="H134" s="8">
        <v>0</v>
      </c>
      <c r="I134" s="9">
        <f t="shared" si="16"/>
        <v>0</v>
      </c>
      <c r="J134" s="7">
        <f>ROUND(G134*1.067,0)</f>
        <v>0</v>
      </c>
      <c r="K134" s="8">
        <v>0</v>
      </c>
      <c r="L134" s="10" t="s">
        <v>37</v>
      </c>
    </row>
    <row r="135" spans="1:12" s="25" customFormat="1" ht="116.25" customHeight="1">
      <c r="A135" s="47" t="s">
        <v>64</v>
      </c>
      <c r="B135" s="5" t="s">
        <v>11</v>
      </c>
      <c r="C135" s="9">
        <f t="shared" si="15"/>
        <v>54755</v>
      </c>
      <c r="D135" s="8">
        <v>54755</v>
      </c>
      <c r="E135" s="8">
        <v>0</v>
      </c>
      <c r="F135" s="6">
        <f t="shared" si="17"/>
        <v>0</v>
      </c>
      <c r="G135" s="7">
        <v>0</v>
      </c>
      <c r="H135" s="8">
        <v>0</v>
      </c>
      <c r="I135" s="9">
        <f t="shared" si="16"/>
        <v>0</v>
      </c>
      <c r="J135" s="7">
        <f>ROUND(G135*1.067,0)</f>
        <v>0</v>
      </c>
      <c r="K135" s="8">
        <v>0</v>
      </c>
      <c r="L135" s="10" t="s">
        <v>37</v>
      </c>
    </row>
    <row r="136" spans="1:12" s="25" customFormat="1" ht="53.25" customHeight="1">
      <c r="A136" s="4" t="s">
        <v>153</v>
      </c>
      <c r="B136" s="5" t="s">
        <v>11</v>
      </c>
      <c r="C136" s="9">
        <f t="shared" si="15"/>
        <v>100000</v>
      </c>
      <c r="D136" s="8">
        <v>100000</v>
      </c>
      <c r="E136" s="8">
        <v>0</v>
      </c>
      <c r="F136" s="6">
        <f t="shared" si="17"/>
        <v>0</v>
      </c>
      <c r="G136" s="7">
        <v>0</v>
      </c>
      <c r="H136" s="8">
        <v>0</v>
      </c>
      <c r="I136" s="9">
        <f t="shared" si="16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48.75" customHeight="1">
      <c r="A137" s="4" t="s">
        <v>196</v>
      </c>
      <c r="B137" s="5" t="s">
        <v>11</v>
      </c>
      <c r="C137" s="9">
        <f t="shared" si="15"/>
        <v>32000</v>
      </c>
      <c r="D137" s="8">
        <v>32000</v>
      </c>
      <c r="E137" s="8">
        <v>0</v>
      </c>
      <c r="F137" s="6">
        <f t="shared" si="17"/>
        <v>0</v>
      </c>
      <c r="G137" s="7">
        <v>0</v>
      </c>
      <c r="H137" s="8">
        <v>0</v>
      </c>
      <c r="I137" s="9">
        <f t="shared" si="16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63" customHeight="1">
      <c r="A138" s="4" t="s">
        <v>174</v>
      </c>
      <c r="B138" s="5" t="s">
        <v>11</v>
      </c>
      <c r="C138" s="9">
        <f t="shared" si="15"/>
        <v>0</v>
      </c>
      <c r="D138" s="8">
        <v>0</v>
      </c>
      <c r="E138" s="8">
        <v>0</v>
      </c>
      <c r="F138" s="6">
        <f t="shared" si="17"/>
        <v>73171</v>
      </c>
      <c r="G138" s="7">
        <v>73171</v>
      </c>
      <c r="H138" s="8">
        <v>0</v>
      </c>
      <c r="I138" s="9">
        <f t="shared" si="16"/>
        <v>276585</v>
      </c>
      <c r="J138" s="7">
        <f>188780+87805</f>
        <v>276585</v>
      </c>
      <c r="K138" s="8">
        <v>0</v>
      </c>
      <c r="L138" s="10" t="s">
        <v>37</v>
      </c>
    </row>
    <row r="139" spans="1:12" s="25" customFormat="1" ht="38.25" customHeight="1">
      <c r="A139" s="4" t="s">
        <v>121</v>
      </c>
      <c r="B139" s="5" t="s">
        <v>11</v>
      </c>
      <c r="C139" s="9">
        <f>D139+E139</f>
        <v>0</v>
      </c>
      <c r="D139" s="8">
        <v>0</v>
      </c>
      <c r="E139" s="8">
        <v>0</v>
      </c>
      <c r="F139" s="6">
        <f>+G139</f>
        <v>0</v>
      </c>
      <c r="G139" s="7">
        <v>0</v>
      </c>
      <c r="H139" s="8">
        <v>0</v>
      </c>
      <c r="I139" s="9">
        <f t="shared" si="16"/>
        <v>22407</v>
      </c>
      <c r="J139" s="7">
        <v>22407</v>
      </c>
      <c r="K139" s="8">
        <v>0</v>
      </c>
      <c r="L139" s="10" t="s">
        <v>37</v>
      </c>
    </row>
    <row r="140" spans="1:12" s="25" customFormat="1" ht="18" customHeight="1">
      <c r="A140" s="86" t="s">
        <v>122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1:12" s="25" customFormat="1" ht="18" customHeight="1">
      <c r="A141" s="87" t="s">
        <v>35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s="25" customFormat="1" ht="23.25" customHeight="1">
      <c r="A142" s="88" t="s">
        <v>23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</row>
    <row r="143" spans="1:12" s="25" customFormat="1" ht="51.75" customHeight="1">
      <c r="A143" s="24" t="s">
        <v>24</v>
      </c>
      <c r="B143" s="5" t="s">
        <v>11</v>
      </c>
      <c r="C143" s="9">
        <f>D143+E143</f>
        <v>256500</v>
      </c>
      <c r="D143" s="9">
        <v>256500</v>
      </c>
      <c r="E143" s="9">
        <v>0</v>
      </c>
      <c r="F143" s="6">
        <f>+G143+H143</f>
        <v>234900</v>
      </c>
      <c r="G143" s="6">
        <v>234900</v>
      </c>
      <c r="H143" s="6">
        <f>ROUND(E143*1.104,0)</f>
        <v>0</v>
      </c>
      <c r="I143" s="9">
        <f>J143+K143</f>
        <v>180360</v>
      </c>
      <c r="J143" s="6">
        <v>180360</v>
      </c>
      <c r="K143" s="9">
        <v>0</v>
      </c>
      <c r="L143" s="10" t="s">
        <v>37</v>
      </c>
    </row>
    <row r="144" spans="1:14" s="25" customFormat="1" ht="14.25">
      <c r="A144" s="10">
        <v>1</v>
      </c>
      <c r="B144" s="42">
        <v>2</v>
      </c>
      <c r="C144" s="43">
        <v>3</v>
      </c>
      <c r="D144" s="43">
        <v>4</v>
      </c>
      <c r="E144" s="43">
        <v>5</v>
      </c>
      <c r="F144" s="43">
        <v>6</v>
      </c>
      <c r="G144" s="43">
        <v>7</v>
      </c>
      <c r="H144" s="43">
        <v>8</v>
      </c>
      <c r="I144" s="43">
        <v>9</v>
      </c>
      <c r="J144" s="43">
        <v>10</v>
      </c>
      <c r="K144" s="43">
        <v>11</v>
      </c>
      <c r="L144" s="43">
        <v>12</v>
      </c>
      <c r="N144" s="41"/>
    </row>
    <row r="145" spans="1:12" s="15" customFormat="1" ht="20.25" customHeight="1">
      <c r="A145" s="86" t="s">
        <v>123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1:12" s="15" customFormat="1" ht="20.25" customHeight="1">
      <c r="A146" s="84" t="s">
        <v>36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</row>
    <row r="147" spans="1:12" s="15" customFormat="1" ht="25.5" customHeight="1">
      <c r="A147" s="88" t="s">
        <v>33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</row>
    <row r="148" spans="1:12" s="15" customFormat="1" ht="46.5" customHeight="1">
      <c r="A148" s="14" t="s">
        <v>34</v>
      </c>
      <c r="B148" s="5" t="s">
        <v>11</v>
      </c>
      <c r="C148" s="9">
        <f>D148+E148</f>
        <v>500000</v>
      </c>
      <c r="D148" s="9">
        <f>250000+250000</f>
        <v>500000</v>
      </c>
      <c r="E148" s="9">
        <v>0</v>
      </c>
      <c r="F148" s="6">
        <f>+G148+H148</f>
        <v>540500</v>
      </c>
      <c r="G148" s="6">
        <v>540500</v>
      </c>
      <c r="H148" s="6">
        <f>ROUND(E148*1.104,0)</f>
        <v>0</v>
      </c>
      <c r="I148" s="9">
        <f>J148+K148</f>
        <v>0</v>
      </c>
      <c r="J148" s="6">
        <v>0</v>
      </c>
      <c r="K148" s="9">
        <v>0</v>
      </c>
      <c r="L148" s="10" t="s">
        <v>37</v>
      </c>
    </row>
    <row r="149" spans="1:12" s="15" customFormat="1" ht="12.75" customHeight="1">
      <c r="A149" s="48"/>
      <c r="B149" s="49"/>
      <c r="C149" s="50"/>
      <c r="D149" s="51"/>
      <c r="E149" s="51"/>
      <c r="F149" s="52"/>
      <c r="G149" s="53"/>
      <c r="H149" s="51"/>
      <c r="I149" s="50"/>
      <c r="J149" s="53"/>
      <c r="K149" s="51"/>
      <c r="L149" s="54"/>
    </row>
    <row r="150" spans="1:14" s="25" customFormat="1" ht="19.5" customHeight="1">
      <c r="A150" s="39"/>
      <c r="C150" s="40"/>
      <c r="D150" s="40"/>
      <c r="E150" s="40"/>
      <c r="F150" s="40"/>
      <c r="G150" s="40"/>
      <c r="H150" s="40"/>
      <c r="I150" s="80" t="s">
        <v>113</v>
      </c>
      <c r="J150" s="80"/>
      <c r="K150" s="80"/>
      <c r="L150" s="80"/>
      <c r="N150" s="41"/>
    </row>
    <row r="151" spans="1:14" s="25" customFormat="1" ht="14.25">
      <c r="A151" s="10">
        <v>1</v>
      </c>
      <c r="B151" s="42">
        <v>2</v>
      </c>
      <c r="C151" s="43">
        <v>3</v>
      </c>
      <c r="D151" s="43">
        <v>4</v>
      </c>
      <c r="E151" s="43">
        <v>5</v>
      </c>
      <c r="F151" s="43">
        <v>6</v>
      </c>
      <c r="G151" s="43">
        <v>7</v>
      </c>
      <c r="H151" s="43">
        <v>8</v>
      </c>
      <c r="I151" s="43">
        <v>9</v>
      </c>
      <c r="J151" s="43">
        <v>10</v>
      </c>
      <c r="K151" s="43">
        <v>11</v>
      </c>
      <c r="L151" s="43">
        <v>12</v>
      </c>
      <c r="N151" s="41"/>
    </row>
    <row r="152" spans="1:12" s="15" customFormat="1" ht="24" customHeight="1">
      <c r="A152" s="86" t="s">
        <v>124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</row>
    <row r="153" spans="1:12" s="15" customFormat="1" ht="24" customHeight="1">
      <c r="A153" s="87" t="s">
        <v>181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s="15" customFormat="1" ht="23.25" customHeight="1">
      <c r="A154" s="88" t="s">
        <v>180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</row>
    <row r="155" spans="1:12" s="25" customFormat="1" ht="20.25" customHeight="1">
      <c r="A155" s="23" t="s">
        <v>2</v>
      </c>
      <c r="B155" s="21"/>
      <c r="C155" s="6">
        <f aca="true" t="shared" si="18" ref="C155:C165">D155+E155</f>
        <v>768092</v>
      </c>
      <c r="D155" s="6">
        <f>D156+D157+D158+D161+D165</f>
        <v>768092</v>
      </c>
      <c r="E155" s="6">
        <f>E156+E157</f>
        <v>0</v>
      </c>
      <c r="F155" s="9">
        <f>H155+G155</f>
        <v>52794</v>
      </c>
      <c r="G155" s="9">
        <f>G156+G157+G158+G161+G165</f>
        <v>52794</v>
      </c>
      <c r="H155" s="6">
        <v>0</v>
      </c>
      <c r="I155" s="9">
        <f>J155+J156</f>
        <v>60636</v>
      </c>
      <c r="J155" s="9">
        <f>J156+J157+J158+J161+J165</f>
        <v>60636</v>
      </c>
      <c r="K155" s="6">
        <v>0</v>
      </c>
      <c r="L155" s="24"/>
    </row>
    <row r="156" spans="1:12" s="25" customFormat="1" ht="65.25" customHeight="1">
      <c r="A156" s="11" t="s">
        <v>69</v>
      </c>
      <c r="B156" s="5" t="s">
        <v>11</v>
      </c>
      <c r="C156" s="9">
        <f t="shared" si="18"/>
        <v>114761</v>
      </c>
      <c r="D156" s="8">
        <f>66528+48233</f>
        <v>114761</v>
      </c>
      <c r="E156" s="8">
        <v>0</v>
      </c>
      <c r="F156" s="6">
        <v>0</v>
      </c>
      <c r="G156" s="7">
        <v>0</v>
      </c>
      <c r="H156" s="7">
        <v>0</v>
      </c>
      <c r="I156" s="9">
        <v>0</v>
      </c>
      <c r="J156" s="7">
        <v>0</v>
      </c>
      <c r="K156" s="8">
        <v>0</v>
      </c>
      <c r="L156" s="21" t="s">
        <v>65</v>
      </c>
    </row>
    <row r="157" spans="1:12" s="25" customFormat="1" ht="66.75" customHeight="1">
      <c r="A157" s="11" t="s">
        <v>70</v>
      </c>
      <c r="B157" s="5" t="s">
        <v>11</v>
      </c>
      <c r="C157" s="9">
        <f t="shared" si="18"/>
        <v>625968</v>
      </c>
      <c r="D157" s="8">
        <f>317520+308448</f>
        <v>625968</v>
      </c>
      <c r="E157" s="61">
        <v>0</v>
      </c>
      <c r="F157" s="6">
        <v>0</v>
      </c>
      <c r="G157" s="7">
        <v>0</v>
      </c>
      <c r="H157" s="7">
        <v>0</v>
      </c>
      <c r="I157" s="9">
        <v>0</v>
      </c>
      <c r="J157" s="7">
        <v>0</v>
      </c>
      <c r="K157" s="8">
        <v>0</v>
      </c>
      <c r="L157" s="21" t="s">
        <v>65</v>
      </c>
    </row>
    <row r="158" spans="1:12" s="15" customFormat="1" ht="58.5" customHeight="1">
      <c r="A158" s="11" t="s">
        <v>105</v>
      </c>
      <c r="B158" s="5" t="s">
        <v>11</v>
      </c>
      <c r="C158" s="9">
        <f t="shared" si="18"/>
        <v>291</v>
      </c>
      <c r="D158" s="8">
        <v>291</v>
      </c>
      <c r="E158" s="61">
        <v>0</v>
      </c>
      <c r="F158" s="6">
        <f>G158+H158</f>
        <v>9828</v>
      </c>
      <c r="G158" s="7">
        <v>9828</v>
      </c>
      <c r="H158" s="7">
        <v>0</v>
      </c>
      <c r="I158" s="9">
        <f>J158+K158</f>
        <v>8165</v>
      </c>
      <c r="J158" s="7">
        <f>+J159+J160</f>
        <v>8165</v>
      </c>
      <c r="K158" s="8">
        <v>0</v>
      </c>
      <c r="L158" s="21" t="s">
        <v>65</v>
      </c>
    </row>
    <row r="159" spans="1:12" s="15" customFormat="1" ht="54.75" customHeight="1">
      <c r="A159" s="62" t="s">
        <v>125</v>
      </c>
      <c r="B159" s="5" t="s">
        <v>11</v>
      </c>
      <c r="C159" s="9">
        <f>+D159</f>
        <v>291</v>
      </c>
      <c r="D159" s="8">
        <v>291</v>
      </c>
      <c r="E159" s="61">
        <v>0</v>
      </c>
      <c r="F159" s="6">
        <f>+G159</f>
        <v>7862</v>
      </c>
      <c r="G159" s="7">
        <v>7862</v>
      </c>
      <c r="H159" s="7">
        <v>0</v>
      </c>
      <c r="I159" s="9">
        <f>+J159</f>
        <v>5443</v>
      </c>
      <c r="J159" s="7">
        <v>5443</v>
      </c>
      <c r="K159" s="8">
        <v>0</v>
      </c>
      <c r="L159" s="21" t="s">
        <v>65</v>
      </c>
    </row>
    <row r="160" spans="1:12" s="15" customFormat="1" ht="53.25" customHeight="1">
      <c r="A160" s="62" t="s">
        <v>126</v>
      </c>
      <c r="B160" s="5" t="s">
        <v>11</v>
      </c>
      <c r="C160" s="9">
        <v>0</v>
      </c>
      <c r="D160" s="8">
        <v>0</v>
      </c>
      <c r="E160" s="61">
        <v>0</v>
      </c>
      <c r="F160" s="6">
        <f>+G160</f>
        <v>1966</v>
      </c>
      <c r="G160" s="7">
        <v>1966</v>
      </c>
      <c r="H160" s="7">
        <v>0</v>
      </c>
      <c r="I160" s="9">
        <f>+J160</f>
        <v>2722</v>
      </c>
      <c r="J160" s="7">
        <v>2722</v>
      </c>
      <c r="K160" s="8">
        <v>0</v>
      </c>
      <c r="L160" s="21" t="s">
        <v>65</v>
      </c>
    </row>
    <row r="161" spans="1:12" s="25" customFormat="1" ht="51.75" customHeight="1">
      <c r="A161" s="77" t="s">
        <v>183</v>
      </c>
      <c r="B161" s="5" t="s">
        <v>11</v>
      </c>
      <c r="C161" s="9">
        <f t="shared" si="18"/>
        <v>792</v>
      </c>
      <c r="D161" s="8">
        <v>792</v>
      </c>
      <c r="E161" s="61">
        <v>0</v>
      </c>
      <c r="F161" s="6">
        <f>G161+H161</f>
        <v>38556</v>
      </c>
      <c r="G161" s="7">
        <v>38556</v>
      </c>
      <c r="H161" s="7">
        <v>0</v>
      </c>
      <c r="I161" s="9">
        <f>J161+K161</f>
        <v>51071</v>
      </c>
      <c r="J161" s="7">
        <f>+J162+J163+J164</f>
        <v>51071</v>
      </c>
      <c r="K161" s="8">
        <v>0</v>
      </c>
      <c r="L161" s="21" t="s">
        <v>65</v>
      </c>
    </row>
    <row r="162" spans="1:12" s="25" customFormat="1" ht="49.5" customHeight="1">
      <c r="A162" s="62" t="s">
        <v>125</v>
      </c>
      <c r="B162" s="5" t="s">
        <v>11</v>
      </c>
      <c r="C162" s="9">
        <f>+D162</f>
        <v>792</v>
      </c>
      <c r="D162" s="8">
        <v>792</v>
      </c>
      <c r="E162" s="61">
        <v>0</v>
      </c>
      <c r="F162" s="6">
        <f>+G162</f>
        <v>35986</v>
      </c>
      <c r="G162" s="7">
        <v>35986</v>
      </c>
      <c r="H162" s="7">
        <v>0</v>
      </c>
      <c r="I162" s="9">
        <f>+J162</f>
        <v>36591</v>
      </c>
      <c r="J162" s="7">
        <v>36591</v>
      </c>
      <c r="K162" s="8">
        <v>0</v>
      </c>
      <c r="L162" s="21" t="s">
        <v>65</v>
      </c>
    </row>
    <row r="163" spans="1:12" s="25" customFormat="1" ht="54" customHeight="1">
      <c r="A163" s="62" t="s">
        <v>126</v>
      </c>
      <c r="B163" s="5" t="s">
        <v>11</v>
      </c>
      <c r="C163" s="9">
        <v>0</v>
      </c>
      <c r="D163" s="8">
        <v>0</v>
      </c>
      <c r="E163" s="61">
        <v>0</v>
      </c>
      <c r="F163" s="6">
        <f>+G163</f>
        <v>2570</v>
      </c>
      <c r="G163" s="7">
        <v>2570</v>
      </c>
      <c r="H163" s="7">
        <v>0</v>
      </c>
      <c r="I163" s="9">
        <f>+J163</f>
        <v>3326</v>
      </c>
      <c r="J163" s="7">
        <v>3326</v>
      </c>
      <c r="K163" s="8">
        <v>0</v>
      </c>
      <c r="L163" s="21" t="s">
        <v>65</v>
      </c>
    </row>
    <row r="164" spans="1:12" s="25" customFormat="1" ht="54" customHeight="1">
      <c r="A164" s="62" t="s">
        <v>182</v>
      </c>
      <c r="B164" s="5" t="s">
        <v>11</v>
      </c>
      <c r="C164" s="9">
        <v>0</v>
      </c>
      <c r="D164" s="8">
        <v>0</v>
      </c>
      <c r="E164" s="61">
        <v>0</v>
      </c>
      <c r="F164" s="6">
        <v>0</v>
      </c>
      <c r="G164" s="7">
        <v>0</v>
      </c>
      <c r="H164" s="7">
        <v>0</v>
      </c>
      <c r="I164" s="9">
        <f>+J164</f>
        <v>11154</v>
      </c>
      <c r="J164" s="7">
        <v>11154</v>
      </c>
      <c r="K164" s="8">
        <v>0</v>
      </c>
      <c r="L164" s="21" t="s">
        <v>65</v>
      </c>
    </row>
    <row r="165" spans="1:12" s="25" customFormat="1" ht="57.75" customHeight="1">
      <c r="A165" s="63" t="s">
        <v>127</v>
      </c>
      <c r="B165" s="5" t="s">
        <v>11</v>
      </c>
      <c r="C165" s="9">
        <f t="shared" si="18"/>
        <v>26280</v>
      </c>
      <c r="D165" s="8">
        <f>D166+D170</f>
        <v>26280</v>
      </c>
      <c r="E165" s="61">
        <v>0</v>
      </c>
      <c r="F165" s="6">
        <f>G165+H165</f>
        <v>4410</v>
      </c>
      <c r="G165" s="7">
        <f>+G171+G15+G166+G170+G172</f>
        <v>4410</v>
      </c>
      <c r="H165" s="7">
        <v>0</v>
      </c>
      <c r="I165" s="9">
        <f>J165+K165</f>
        <v>1400</v>
      </c>
      <c r="J165" s="7">
        <f>J166+J170+J171+J172</f>
        <v>1400</v>
      </c>
      <c r="K165" s="8">
        <v>0</v>
      </c>
      <c r="L165" s="21" t="s">
        <v>65</v>
      </c>
    </row>
    <row r="166" spans="1:12" s="25" customFormat="1" ht="52.5" customHeight="1">
      <c r="A166" s="47" t="s">
        <v>128</v>
      </c>
      <c r="B166" s="5" t="s">
        <v>11</v>
      </c>
      <c r="C166" s="9">
        <f>D166+E166</f>
        <v>25080</v>
      </c>
      <c r="D166" s="8">
        <v>25080</v>
      </c>
      <c r="E166" s="61">
        <v>0</v>
      </c>
      <c r="F166" s="6">
        <f>G166+H166</f>
        <v>0</v>
      </c>
      <c r="G166" s="7">
        <v>0</v>
      </c>
      <c r="H166" s="7">
        <v>0</v>
      </c>
      <c r="I166" s="9">
        <v>0</v>
      </c>
      <c r="J166" s="7">
        <v>0</v>
      </c>
      <c r="K166" s="8">
        <v>0</v>
      </c>
      <c r="L166" s="21" t="s">
        <v>65</v>
      </c>
    </row>
    <row r="167" spans="1:12" s="15" customFormat="1" ht="12.75" customHeight="1">
      <c r="A167" s="48"/>
      <c r="B167" s="49"/>
      <c r="C167" s="50"/>
      <c r="D167" s="51"/>
      <c r="E167" s="51"/>
      <c r="F167" s="52"/>
      <c r="G167" s="53"/>
      <c r="H167" s="51"/>
      <c r="I167" s="50"/>
      <c r="J167" s="53"/>
      <c r="K167" s="51"/>
      <c r="L167" s="54"/>
    </row>
    <row r="168" spans="1:14" s="25" customFormat="1" ht="19.5" customHeight="1">
      <c r="A168" s="39"/>
      <c r="C168" s="40"/>
      <c r="D168" s="40"/>
      <c r="E168" s="40"/>
      <c r="F168" s="40"/>
      <c r="G168" s="40"/>
      <c r="H168" s="40"/>
      <c r="I168" s="80" t="s">
        <v>113</v>
      </c>
      <c r="J168" s="80"/>
      <c r="K168" s="80"/>
      <c r="L168" s="80"/>
      <c r="N168" s="41"/>
    </row>
    <row r="169" spans="1:14" s="25" customFormat="1" ht="14.25">
      <c r="A169" s="10">
        <v>1</v>
      </c>
      <c r="B169" s="42">
        <v>2</v>
      </c>
      <c r="C169" s="43">
        <v>3</v>
      </c>
      <c r="D169" s="43">
        <v>4</v>
      </c>
      <c r="E169" s="43">
        <v>5</v>
      </c>
      <c r="F169" s="43">
        <v>6</v>
      </c>
      <c r="G169" s="43">
        <v>7</v>
      </c>
      <c r="H169" s="43">
        <v>8</v>
      </c>
      <c r="I169" s="43">
        <v>9</v>
      </c>
      <c r="J169" s="43">
        <v>10</v>
      </c>
      <c r="K169" s="43">
        <v>11</v>
      </c>
      <c r="L169" s="43">
        <v>12</v>
      </c>
      <c r="N169" s="41"/>
    </row>
    <row r="170" spans="1:12" s="25" customFormat="1" ht="53.25" customHeight="1">
      <c r="A170" s="47" t="s">
        <v>129</v>
      </c>
      <c r="B170" s="5" t="s">
        <v>11</v>
      </c>
      <c r="C170" s="9">
        <f>D170+E170</f>
        <v>1200</v>
      </c>
      <c r="D170" s="8">
        <v>1200</v>
      </c>
      <c r="E170" s="61">
        <v>0</v>
      </c>
      <c r="F170" s="6">
        <f>G170+H170</f>
        <v>1260</v>
      </c>
      <c r="G170" s="7">
        <v>1260</v>
      </c>
      <c r="H170" s="7">
        <v>0</v>
      </c>
      <c r="I170" s="9">
        <f>+J170</f>
        <v>1260</v>
      </c>
      <c r="J170" s="7">
        <v>1260</v>
      </c>
      <c r="K170" s="8">
        <v>0</v>
      </c>
      <c r="L170" s="21" t="s">
        <v>65</v>
      </c>
    </row>
    <row r="171" spans="1:12" s="25" customFormat="1" ht="53.25" customHeight="1">
      <c r="A171" s="47" t="s">
        <v>130</v>
      </c>
      <c r="B171" s="5" t="s">
        <v>11</v>
      </c>
      <c r="C171" s="9">
        <v>0</v>
      </c>
      <c r="D171" s="8">
        <v>0</v>
      </c>
      <c r="E171" s="61">
        <v>0</v>
      </c>
      <c r="F171" s="6">
        <f>+G171</f>
        <v>140</v>
      </c>
      <c r="G171" s="7">
        <v>140</v>
      </c>
      <c r="H171" s="7">
        <v>0</v>
      </c>
      <c r="I171" s="9">
        <f>+J171</f>
        <v>140</v>
      </c>
      <c r="J171" s="7">
        <v>140</v>
      </c>
      <c r="K171" s="8">
        <v>0</v>
      </c>
      <c r="L171" s="21" t="s">
        <v>65</v>
      </c>
    </row>
    <row r="172" spans="1:12" s="25" customFormat="1" ht="53.25" customHeight="1">
      <c r="A172" s="47" t="s">
        <v>131</v>
      </c>
      <c r="B172" s="5" t="s">
        <v>11</v>
      </c>
      <c r="C172" s="9">
        <v>0</v>
      </c>
      <c r="D172" s="8">
        <v>0</v>
      </c>
      <c r="E172" s="61">
        <v>0</v>
      </c>
      <c r="F172" s="6">
        <f>+G172</f>
        <v>3010</v>
      </c>
      <c r="G172" s="7">
        <f>4970-1960</f>
        <v>3010</v>
      </c>
      <c r="H172" s="7">
        <v>0</v>
      </c>
      <c r="I172" s="9">
        <v>0</v>
      </c>
      <c r="J172" s="7">
        <v>0</v>
      </c>
      <c r="K172" s="8">
        <v>0</v>
      </c>
      <c r="L172" s="21" t="s">
        <v>65</v>
      </c>
    </row>
    <row r="173" spans="1:12" s="15" customFormat="1" ht="27.75" customHeight="1">
      <c r="A173" s="95" t="s">
        <v>184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7"/>
    </row>
    <row r="174" spans="1:12" s="15" customFormat="1" ht="26.25" customHeight="1">
      <c r="A174" s="88" t="s">
        <v>185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</row>
    <row r="175" spans="1:12" s="25" customFormat="1" ht="18.75" customHeight="1">
      <c r="A175" s="58" t="s">
        <v>46</v>
      </c>
      <c r="B175" s="21"/>
      <c r="C175" s="6">
        <f>D175+E175</f>
        <v>963540</v>
      </c>
      <c r="D175" s="6">
        <f>D177+D178+D182+D191+D196</f>
        <v>963540</v>
      </c>
      <c r="E175" s="6">
        <v>0</v>
      </c>
      <c r="F175" s="9">
        <f>H175+G175</f>
        <v>152110</v>
      </c>
      <c r="G175" s="9">
        <f>+SUM(G177,G178,G191,G182)+G196</f>
        <v>152110</v>
      </c>
      <c r="H175" s="6">
        <v>0</v>
      </c>
      <c r="I175" s="9">
        <f>I177+I178+I182+I191+I196</f>
        <v>188870</v>
      </c>
      <c r="J175" s="9">
        <f>J177+J178+J182+J191+J196</f>
        <v>188870</v>
      </c>
      <c r="K175" s="6">
        <f>K177+K178+K182</f>
        <v>0</v>
      </c>
      <c r="L175" s="24"/>
    </row>
    <row r="176" spans="1:12" s="15" customFormat="1" ht="23.25" customHeight="1">
      <c r="A176" s="86" t="s">
        <v>132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</row>
    <row r="177" spans="1:12" s="25" customFormat="1" ht="66" customHeight="1">
      <c r="A177" s="11" t="s">
        <v>81</v>
      </c>
      <c r="B177" s="5" t="s">
        <v>11</v>
      </c>
      <c r="C177" s="9">
        <f aca="true" t="shared" si="19" ref="C177:C188">D177+E177</f>
        <v>808500</v>
      </c>
      <c r="D177" s="8">
        <f>247500+330000+231000</f>
        <v>808500</v>
      </c>
      <c r="E177" s="8">
        <v>0</v>
      </c>
      <c r="F177" s="6">
        <f aca="true" t="shared" si="20" ref="F177:F188">G177+H177</f>
        <v>0</v>
      </c>
      <c r="G177" s="7">
        <v>0</v>
      </c>
      <c r="H177" s="7">
        <v>0</v>
      </c>
      <c r="I177" s="9">
        <v>0</v>
      </c>
      <c r="J177" s="7">
        <v>0</v>
      </c>
      <c r="K177" s="8">
        <v>0</v>
      </c>
      <c r="L177" s="21" t="s">
        <v>65</v>
      </c>
    </row>
    <row r="178" spans="1:12" s="25" customFormat="1" ht="51" customHeight="1">
      <c r="A178" s="77" t="s">
        <v>186</v>
      </c>
      <c r="B178" s="5" t="s">
        <v>11</v>
      </c>
      <c r="C178" s="9">
        <f t="shared" si="19"/>
        <v>5320</v>
      </c>
      <c r="D178" s="8">
        <v>5320</v>
      </c>
      <c r="E178" s="8">
        <v>0</v>
      </c>
      <c r="F178" s="6">
        <f t="shared" si="20"/>
        <v>61250</v>
      </c>
      <c r="G178" s="7">
        <v>61250</v>
      </c>
      <c r="H178" s="7">
        <v>0</v>
      </c>
      <c r="I178" s="9">
        <f>J178+K178</f>
        <v>98700</v>
      </c>
      <c r="J178" s="7">
        <f>+J179+J180+J181</f>
        <v>98700</v>
      </c>
      <c r="K178" s="8">
        <v>0</v>
      </c>
      <c r="L178" s="21" t="s">
        <v>65</v>
      </c>
    </row>
    <row r="179" spans="1:12" s="25" customFormat="1" ht="51" customHeight="1">
      <c r="A179" s="11" t="s">
        <v>133</v>
      </c>
      <c r="B179" s="5" t="s">
        <v>11</v>
      </c>
      <c r="C179" s="9">
        <v>5320</v>
      </c>
      <c r="D179" s="8">
        <v>5320</v>
      </c>
      <c r="E179" s="8">
        <v>0</v>
      </c>
      <c r="F179" s="6">
        <f>+G179</f>
        <v>66025</v>
      </c>
      <c r="G179" s="7">
        <v>66025</v>
      </c>
      <c r="H179" s="7">
        <v>0</v>
      </c>
      <c r="I179" s="9">
        <f>+J179</f>
        <v>71050</v>
      </c>
      <c r="J179" s="7">
        <v>71050</v>
      </c>
      <c r="K179" s="8">
        <v>0</v>
      </c>
      <c r="L179" s="21" t="s">
        <v>65</v>
      </c>
    </row>
    <row r="180" spans="1:12" s="25" customFormat="1" ht="51.75" customHeight="1">
      <c r="A180" s="11" t="s">
        <v>134</v>
      </c>
      <c r="B180" s="5" t="s">
        <v>11</v>
      </c>
      <c r="C180" s="9">
        <v>0</v>
      </c>
      <c r="D180" s="8">
        <v>0</v>
      </c>
      <c r="E180" s="8">
        <v>0</v>
      </c>
      <c r="F180" s="6">
        <f>+G180</f>
        <v>1225</v>
      </c>
      <c r="G180" s="7">
        <v>1225</v>
      </c>
      <c r="H180" s="7">
        <v>0</v>
      </c>
      <c r="I180" s="9">
        <f>+J180</f>
        <v>2450</v>
      </c>
      <c r="J180" s="7">
        <v>2450</v>
      </c>
      <c r="K180" s="8">
        <v>0</v>
      </c>
      <c r="L180" s="21" t="s">
        <v>65</v>
      </c>
    </row>
    <row r="181" spans="1:12" s="25" customFormat="1" ht="51.75" customHeight="1">
      <c r="A181" s="62" t="s">
        <v>187</v>
      </c>
      <c r="B181" s="5" t="s">
        <v>11</v>
      </c>
      <c r="C181" s="9">
        <v>0</v>
      </c>
      <c r="D181" s="8">
        <v>0</v>
      </c>
      <c r="E181" s="8">
        <v>0</v>
      </c>
      <c r="F181" s="6">
        <f>+G181</f>
        <v>0</v>
      </c>
      <c r="G181" s="7">
        <v>0</v>
      </c>
      <c r="H181" s="7">
        <v>0</v>
      </c>
      <c r="I181" s="9">
        <f>+J181</f>
        <v>25200</v>
      </c>
      <c r="J181" s="7">
        <v>25200</v>
      </c>
      <c r="K181" s="8">
        <v>0</v>
      </c>
      <c r="L181" s="21" t="s">
        <v>65</v>
      </c>
    </row>
    <row r="182" spans="1:12" s="25" customFormat="1" ht="55.5" customHeight="1">
      <c r="A182" s="11" t="s">
        <v>135</v>
      </c>
      <c r="B182" s="5" t="s">
        <v>11</v>
      </c>
      <c r="C182" s="9">
        <f t="shared" si="19"/>
        <v>61740</v>
      </c>
      <c r="D182" s="8">
        <f>D183+D184+D188</f>
        <v>61740</v>
      </c>
      <c r="E182" s="8">
        <f>E183+E184+E188</f>
        <v>0</v>
      </c>
      <c r="F182" s="6">
        <f t="shared" si="20"/>
        <v>11270</v>
      </c>
      <c r="G182" s="7">
        <f>G183+G184+G188+G189</f>
        <v>11270</v>
      </c>
      <c r="H182" s="7">
        <v>0</v>
      </c>
      <c r="I182" s="9">
        <f>J182+K182</f>
        <v>2170</v>
      </c>
      <c r="J182" s="7">
        <f>J183+J184+J188</f>
        <v>2170</v>
      </c>
      <c r="K182" s="8">
        <v>0</v>
      </c>
      <c r="L182" s="21" t="s">
        <v>65</v>
      </c>
    </row>
    <row r="183" spans="1:12" s="25" customFormat="1" ht="54.75" customHeight="1">
      <c r="A183" s="11" t="s">
        <v>136</v>
      </c>
      <c r="B183" s="5" t="s">
        <v>11</v>
      </c>
      <c r="C183" s="9">
        <f t="shared" si="19"/>
        <v>59940</v>
      </c>
      <c r="D183" s="8">
        <v>59940</v>
      </c>
      <c r="E183" s="8">
        <v>0</v>
      </c>
      <c r="F183" s="6">
        <f t="shared" si="20"/>
        <v>0</v>
      </c>
      <c r="G183" s="7">
        <v>0</v>
      </c>
      <c r="H183" s="7">
        <v>0</v>
      </c>
      <c r="I183" s="9">
        <f>J183+K183</f>
        <v>0</v>
      </c>
      <c r="J183" s="7">
        <v>0</v>
      </c>
      <c r="K183" s="8">
        <v>0</v>
      </c>
      <c r="L183" s="21" t="s">
        <v>65</v>
      </c>
    </row>
    <row r="184" spans="1:12" s="25" customFormat="1" ht="51" customHeight="1">
      <c r="A184" s="11" t="s">
        <v>137</v>
      </c>
      <c r="B184" s="5" t="s">
        <v>11</v>
      </c>
      <c r="C184" s="9">
        <f t="shared" si="19"/>
        <v>1800</v>
      </c>
      <c r="D184" s="8">
        <v>1800</v>
      </c>
      <c r="E184" s="8">
        <v>0</v>
      </c>
      <c r="F184" s="6">
        <f t="shared" si="20"/>
        <v>2100</v>
      </c>
      <c r="G184" s="7">
        <v>2100</v>
      </c>
      <c r="H184" s="7">
        <v>0</v>
      </c>
      <c r="I184" s="9">
        <f>J184+K184</f>
        <v>2100</v>
      </c>
      <c r="J184" s="7">
        <v>2100</v>
      </c>
      <c r="K184" s="8">
        <v>0</v>
      </c>
      <c r="L184" s="21" t="s">
        <v>65</v>
      </c>
    </row>
    <row r="185" spans="1:12" s="15" customFormat="1" ht="12.75" customHeight="1">
      <c r="A185" s="48"/>
      <c r="B185" s="49"/>
      <c r="C185" s="50"/>
      <c r="D185" s="51"/>
      <c r="E185" s="51"/>
      <c r="F185" s="52"/>
      <c r="G185" s="53"/>
      <c r="H185" s="51"/>
      <c r="I185" s="50"/>
      <c r="J185" s="53"/>
      <c r="K185" s="51"/>
      <c r="L185" s="54"/>
    </row>
    <row r="186" spans="1:14" s="25" customFormat="1" ht="19.5" customHeight="1">
      <c r="A186" s="39"/>
      <c r="C186" s="40"/>
      <c r="D186" s="40"/>
      <c r="E186" s="40"/>
      <c r="F186" s="40"/>
      <c r="G186" s="40"/>
      <c r="H186" s="40"/>
      <c r="I186" s="80" t="s">
        <v>113</v>
      </c>
      <c r="J186" s="80"/>
      <c r="K186" s="80"/>
      <c r="L186" s="80"/>
      <c r="N186" s="41"/>
    </row>
    <row r="187" spans="1:14" s="25" customFormat="1" ht="14.25">
      <c r="A187" s="10">
        <v>1</v>
      </c>
      <c r="B187" s="42">
        <v>2</v>
      </c>
      <c r="C187" s="43">
        <v>3</v>
      </c>
      <c r="D187" s="43">
        <v>4</v>
      </c>
      <c r="E187" s="43">
        <v>5</v>
      </c>
      <c r="F187" s="43">
        <v>6</v>
      </c>
      <c r="G187" s="43">
        <v>7</v>
      </c>
      <c r="H187" s="43">
        <v>8</v>
      </c>
      <c r="I187" s="43">
        <v>9</v>
      </c>
      <c r="J187" s="43">
        <v>10</v>
      </c>
      <c r="K187" s="43">
        <v>11</v>
      </c>
      <c r="L187" s="43">
        <v>12</v>
      </c>
      <c r="N187" s="41"/>
    </row>
    <row r="188" spans="1:12" s="25" customFormat="1" ht="54.75" customHeight="1">
      <c r="A188" s="11" t="s">
        <v>138</v>
      </c>
      <c r="B188" s="5" t="s">
        <v>11</v>
      </c>
      <c r="C188" s="9">
        <f t="shared" si="19"/>
        <v>0</v>
      </c>
      <c r="D188" s="8">
        <v>0</v>
      </c>
      <c r="E188" s="8">
        <v>0</v>
      </c>
      <c r="F188" s="6">
        <f t="shared" si="20"/>
        <v>70</v>
      </c>
      <c r="G188" s="7">
        <v>70</v>
      </c>
      <c r="H188" s="7">
        <v>0</v>
      </c>
      <c r="I188" s="9">
        <f>J188+K188</f>
        <v>70</v>
      </c>
      <c r="J188" s="7">
        <v>70</v>
      </c>
      <c r="K188" s="8">
        <v>0</v>
      </c>
      <c r="L188" s="21" t="s">
        <v>65</v>
      </c>
    </row>
    <row r="189" spans="1:12" s="25" customFormat="1" ht="54" customHeight="1">
      <c r="A189" s="11" t="s">
        <v>139</v>
      </c>
      <c r="B189" s="5" t="s">
        <v>11</v>
      </c>
      <c r="C189" s="9">
        <v>0</v>
      </c>
      <c r="D189" s="8">
        <v>0</v>
      </c>
      <c r="E189" s="8">
        <v>0</v>
      </c>
      <c r="F189" s="6">
        <f>+G189</f>
        <v>9100</v>
      </c>
      <c r="G189" s="7">
        <f>7140+1960</f>
        <v>9100</v>
      </c>
      <c r="H189" s="7">
        <v>0</v>
      </c>
      <c r="I189" s="9">
        <v>0</v>
      </c>
      <c r="J189" s="7">
        <v>0</v>
      </c>
      <c r="K189" s="8">
        <v>0</v>
      </c>
      <c r="L189" s="21" t="s">
        <v>65</v>
      </c>
    </row>
    <row r="190" spans="1:12" s="15" customFormat="1" ht="25.5" customHeight="1">
      <c r="A190" s="86" t="s">
        <v>140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</row>
    <row r="191" spans="1:12" s="25" customFormat="1" ht="41.25" customHeight="1">
      <c r="A191" s="59" t="s">
        <v>104</v>
      </c>
      <c r="B191" s="5"/>
      <c r="C191" s="9">
        <f>D191+E191</f>
        <v>87500</v>
      </c>
      <c r="D191" s="8">
        <f>+D192+D193+D194</f>
        <v>87500</v>
      </c>
      <c r="E191" s="8">
        <v>0</v>
      </c>
      <c r="F191" s="6">
        <f>+G191+H191</f>
        <v>79520</v>
      </c>
      <c r="G191" s="8">
        <f>+G192+G193+G194</f>
        <v>79520</v>
      </c>
      <c r="H191" s="7">
        <v>0</v>
      </c>
      <c r="I191" s="9">
        <f>+J191+K191</f>
        <v>88000</v>
      </c>
      <c r="J191" s="8">
        <f>+J192+J193+J194</f>
        <v>88000</v>
      </c>
      <c r="K191" s="8">
        <v>0</v>
      </c>
      <c r="L191" s="21"/>
    </row>
    <row r="192" spans="1:12" s="25" customFormat="1" ht="53.25" customHeight="1">
      <c r="A192" s="4" t="s">
        <v>106</v>
      </c>
      <c r="B192" s="5" t="s">
        <v>11</v>
      </c>
      <c r="C192" s="9">
        <f>+D192+E192</f>
        <v>87500</v>
      </c>
      <c r="D192" s="8">
        <v>87500</v>
      </c>
      <c r="E192" s="8">
        <v>0</v>
      </c>
      <c r="F192" s="6">
        <f>+G192+H192</f>
        <v>0</v>
      </c>
      <c r="G192" s="7">
        <v>0</v>
      </c>
      <c r="H192" s="7">
        <v>0</v>
      </c>
      <c r="I192" s="9">
        <f>+J192+K192</f>
        <v>0</v>
      </c>
      <c r="J192" s="7">
        <v>0</v>
      </c>
      <c r="K192" s="8">
        <v>0</v>
      </c>
      <c r="L192" s="21" t="s">
        <v>65</v>
      </c>
    </row>
    <row r="193" spans="1:12" s="25" customFormat="1" ht="53.25" customHeight="1">
      <c r="A193" s="4" t="s">
        <v>107</v>
      </c>
      <c r="B193" s="5" t="s">
        <v>11</v>
      </c>
      <c r="C193" s="9">
        <f>+D193+E193</f>
        <v>0</v>
      </c>
      <c r="D193" s="8">
        <v>0</v>
      </c>
      <c r="E193" s="8">
        <v>0</v>
      </c>
      <c r="F193" s="6">
        <f>+G193+H193</f>
        <v>74550</v>
      </c>
      <c r="G193" s="7">
        <v>74550</v>
      </c>
      <c r="H193" s="7">
        <v>0</v>
      </c>
      <c r="I193" s="9">
        <f>+J193+K193</f>
        <v>82500</v>
      </c>
      <c r="J193" s="7">
        <v>82500</v>
      </c>
      <c r="K193" s="8">
        <v>0</v>
      </c>
      <c r="L193" s="21" t="s">
        <v>65</v>
      </c>
    </row>
    <row r="194" spans="1:12" s="25" customFormat="1" ht="53.25" customHeight="1">
      <c r="A194" s="4" t="s">
        <v>108</v>
      </c>
      <c r="B194" s="5" t="s">
        <v>11</v>
      </c>
      <c r="C194" s="9">
        <f>+D194+E194</f>
        <v>0</v>
      </c>
      <c r="D194" s="8">
        <v>0</v>
      </c>
      <c r="E194" s="8">
        <v>0</v>
      </c>
      <c r="F194" s="6">
        <f>+G194+H194</f>
        <v>4970</v>
      </c>
      <c r="G194" s="7">
        <v>4970</v>
      </c>
      <c r="H194" s="7">
        <v>0</v>
      </c>
      <c r="I194" s="9">
        <f>+J194+K194</f>
        <v>5500</v>
      </c>
      <c r="J194" s="7">
        <v>5500</v>
      </c>
      <c r="K194" s="8">
        <v>0</v>
      </c>
      <c r="L194" s="21" t="s">
        <v>65</v>
      </c>
    </row>
    <row r="195" spans="1:12" s="15" customFormat="1" ht="20.25" customHeight="1">
      <c r="A195" s="94" t="s">
        <v>141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s="25" customFormat="1" ht="95.25" customHeight="1">
      <c r="A196" s="47" t="s">
        <v>142</v>
      </c>
      <c r="B196" s="5" t="s">
        <v>11</v>
      </c>
      <c r="C196" s="9">
        <f>D196+E196</f>
        <v>480</v>
      </c>
      <c r="D196" s="8">
        <v>480</v>
      </c>
      <c r="E196" s="8">
        <v>0</v>
      </c>
      <c r="F196" s="6">
        <f>G196+H196</f>
        <v>70</v>
      </c>
      <c r="G196" s="7">
        <v>70</v>
      </c>
      <c r="H196" s="7">
        <v>0</v>
      </c>
      <c r="I196" s="9">
        <f>J196+K196</f>
        <v>0</v>
      </c>
      <c r="J196" s="7">
        <v>0</v>
      </c>
      <c r="K196" s="8">
        <v>0</v>
      </c>
      <c r="L196" s="21" t="s">
        <v>65</v>
      </c>
    </row>
    <row r="197" spans="1:12" s="25" customFormat="1" ht="18" customHeight="1">
      <c r="A197" s="86" t="s">
        <v>143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</row>
    <row r="198" spans="1:12" s="25" customFormat="1" ht="33.75" customHeight="1">
      <c r="A198" s="87" t="s">
        <v>85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s="25" customFormat="1" ht="32.25" customHeight="1">
      <c r="A199" s="91" t="s">
        <v>86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1:12" s="25" customFormat="1" ht="40.5" customHeight="1">
      <c r="A200" s="64" t="s">
        <v>87</v>
      </c>
      <c r="B200" s="5" t="s">
        <v>11</v>
      </c>
      <c r="C200" s="9">
        <f>D200+E200</f>
        <v>1007900</v>
      </c>
      <c r="D200" s="9">
        <v>260900</v>
      </c>
      <c r="E200" s="9">
        <v>747000</v>
      </c>
      <c r="F200" s="9">
        <f>G200+H200</f>
        <v>201300</v>
      </c>
      <c r="G200" s="9">
        <v>201300</v>
      </c>
      <c r="H200" s="9">
        <v>0</v>
      </c>
      <c r="I200" s="9">
        <f>J200+K200</f>
        <v>225100</v>
      </c>
      <c r="J200" s="6">
        <v>225100</v>
      </c>
      <c r="K200" s="9">
        <v>0</v>
      </c>
      <c r="L200" s="10" t="s">
        <v>37</v>
      </c>
    </row>
    <row r="201" spans="1:12" s="25" customFormat="1" ht="18" customHeight="1">
      <c r="A201" s="86" t="s">
        <v>159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</row>
    <row r="202" spans="1:12" s="25" customFormat="1" ht="20.25" customHeight="1">
      <c r="A202" s="89" t="s">
        <v>94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1:12" s="25" customFormat="1" ht="23.25" customHeight="1">
      <c r="A203" s="82" t="s">
        <v>95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</row>
    <row r="204" spans="1:12" s="25" customFormat="1" ht="21.75" customHeight="1">
      <c r="A204" s="60" t="s">
        <v>46</v>
      </c>
      <c r="B204" s="65"/>
      <c r="C204" s="9">
        <f>D204+E204</f>
        <v>57157</v>
      </c>
      <c r="D204" s="9">
        <f>D208+D209</f>
        <v>57157</v>
      </c>
      <c r="E204" s="9">
        <f>E208+E209</f>
        <v>0</v>
      </c>
      <c r="F204" s="9">
        <f>G204+H204</f>
        <v>70000</v>
      </c>
      <c r="G204" s="9">
        <f>G208+G209</f>
        <v>70000</v>
      </c>
      <c r="H204" s="66">
        <v>0</v>
      </c>
      <c r="I204" s="9">
        <f>J204+K204</f>
        <v>75000</v>
      </c>
      <c r="J204" s="9">
        <f>J208+J209</f>
        <v>75000</v>
      </c>
      <c r="K204" s="9">
        <f>K208+K209</f>
        <v>0</v>
      </c>
      <c r="L204" s="65"/>
    </row>
    <row r="205" spans="1:12" s="15" customFormat="1" ht="12.75" customHeight="1">
      <c r="A205" s="48"/>
      <c r="B205" s="49"/>
      <c r="C205" s="50"/>
      <c r="D205" s="51"/>
      <c r="E205" s="51"/>
      <c r="F205" s="52"/>
      <c r="G205" s="53"/>
      <c r="H205" s="51"/>
      <c r="I205" s="50"/>
      <c r="J205" s="53"/>
      <c r="K205" s="51"/>
      <c r="L205" s="54"/>
    </row>
    <row r="206" spans="1:14" s="25" customFormat="1" ht="19.5" customHeight="1">
      <c r="A206" s="39"/>
      <c r="C206" s="40"/>
      <c r="D206" s="40"/>
      <c r="E206" s="40"/>
      <c r="F206" s="40"/>
      <c r="G206" s="40"/>
      <c r="H206" s="40"/>
      <c r="I206" s="80" t="s">
        <v>113</v>
      </c>
      <c r="J206" s="80"/>
      <c r="K206" s="80"/>
      <c r="L206" s="80"/>
      <c r="N206" s="41"/>
    </row>
    <row r="207" spans="1:14" s="25" customFormat="1" ht="14.25">
      <c r="A207" s="10">
        <v>1</v>
      </c>
      <c r="B207" s="42">
        <v>2</v>
      </c>
      <c r="C207" s="43">
        <v>3</v>
      </c>
      <c r="D207" s="43">
        <v>4</v>
      </c>
      <c r="E207" s="43">
        <v>5</v>
      </c>
      <c r="F207" s="43">
        <v>6</v>
      </c>
      <c r="G207" s="43">
        <v>7</v>
      </c>
      <c r="H207" s="43">
        <v>8</v>
      </c>
      <c r="I207" s="43">
        <v>9</v>
      </c>
      <c r="J207" s="43">
        <v>10</v>
      </c>
      <c r="K207" s="43">
        <v>11</v>
      </c>
      <c r="L207" s="43">
        <v>12</v>
      </c>
      <c r="N207" s="41"/>
    </row>
    <row r="208" spans="1:12" s="25" customFormat="1" ht="42" customHeight="1">
      <c r="A208" s="14" t="s">
        <v>96</v>
      </c>
      <c r="B208" s="5" t="s">
        <v>11</v>
      </c>
      <c r="C208" s="9">
        <f>D208+E208</f>
        <v>57157</v>
      </c>
      <c r="D208" s="8">
        <v>57157</v>
      </c>
      <c r="E208" s="8">
        <v>0</v>
      </c>
      <c r="F208" s="9">
        <f>G208+H208</f>
        <v>0</v>
      </c>
      <c r="G208" s="8">
        <v>0</v>
      </c>
      <c r="H208" s="8">
        <v>0</v>
      </c>
      <c r="I208" s="9">
        <f>J208+K208</f>
        <v>0</v>
      </c>
      <c r="J208" s="7">
        <v>0</v>
      </c>
      <c r="K208" s="8">
        <v>0</v>
      </c>
      <c r="L208" s="10" t="s">
        <v>37</v>
      </c>
    </row>
    <row r="209" spans="1:12" s="25" customFormat="1" ht="43.5" customHeight="1">
      <c r="A209" s="14" t="s">
        <v>97</v>
      </c>
      <c r="B209" s="5" t="s">
        <v>11</v>
      </c>
      <c r="C209" s="9">
        <f>D209+E209</f>
        <v>0</v>
      </c>
      <c r="D209" s="8">
        <v>0</v>
      </c>
      <c r="E209" s="8">
        <v>0</v>
      </c>
      <c r="F209" s="9">
        <f>G209+H209</f>
        <v>70000</v>
      </c>
      <c r="G209" s="8">
        <v>70000</v>
      </c>
      <c r="H209" s="8">
        <v>0</v>
      </c>
      <c r="I209" s="9">
        <f>J209+K209</f>
        <v>75000</v>
      </c>
      <c r="J209" s="7">
        <v>75000</v>
      </c>
      <c r="K209" s="8">
        <v>0</v>
      </c>
      <c r="L209" s="10" t="s">
        <v>37</v>
      </c>
    </row>
    <row r="210" spans="1:12" s="15" customFormat="1" ht="18" customHeight="1">
      <c r="A210" s="87" t="s">
        <v>38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s="15" customFormat="1" ht="33.75" customHeight="1">
      <c r="A211" s="88" t="s">
        <v>144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</row>
    <row r="212" spans="1:12" s="25" customFormat="1" ht="23.25" customHeight="1">
      <c r="A212" s="60" t="s">
        <v>46</v>
      </c>
      <c r="B212" s="21"/>
      <c r="C212" s="6">
        <f>D212+E212</f>
        <v>16477514</v>
      </c>
      <c r="D212" s="6">
        <f>D214+D216+D218+D220+D226</f>
        <v>16477514</v>
      </c>
      <c r="E212" s="6">
        <v>0</v>
      </c>
      <c r="F212" s="9">
        <f>G212+H212</f>
        <v>43796810</v>
      </c>
      <c r="G212" s="6">
        <f>G214+G216+G218+G220+G226</f>
        <v>43592198</v>
      </c>
      <c r="H212" s="6">
        <f>H214+H216+H218+H220</f>
        <v>204612</v>
      </c>
      <c r="I212" s="9">
        <f>K212+J212</f>
        <v>56623566</v>
      </c>
      <c r="J212" s="6">
        <f>J214+J216+J218+J220+J226</f>
        <v>56409566</v>
      </c>
      <c r="K212" s="6">
        <f>K214+K216++K218+K220</f>
        <v>214000</v>
      </c>
      <c r="L212" s="24"/>
    </row>
    <row r="213" spans="1:12" s="15" customFormat="1" ht="21.75" customHeight="1">
      <c r="A213" s="85" t="s">
        <v>145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</row>
    <row r="214" spans="1:12" s="15" customFormat="1" ht="45.75" customHeight="1">
      <c r="A214" s="14" t="s">
        <v>54</v>
      </c>
      <c r="B214" s="5" t="s">
        <v>11</v>
      </c>
      <c r="C214" s="9">
        <f>D214+E214</f>
        <v>3624570</v>
      </c>
      <c r="D214" s="67">
        <v>3624570</v>
      </c>
      <c r="E214" s="6">
        <v>0</v>
      </c>
      <c r="F214" s="6">
        <f>G214+H214</f>
        <v>11188632</v>
      </c>
      <c r="G214" s="7">
        <v>11188632</v>
      </c>
      <c r="H214" s="7">
        <v>0</v>
      </c>
      <c r="I214" s="9">
        <f>J214+K214</f>
        <v>16895596</v>
      </c>
      <c r="J214" s="7">
        <f>2000000+9466596+2000000+3429000</f>
        <v>16895596</v>
      </c>
      <c r="K214" s="8">
        <v>0</v>
      </c>
      <c r="L214" s="10" t="s">
        <v>37</v>
      </c>
    </row>
    <row r="215" spans="1:12" s="25" customFormat="1" ht="21.75" customHeight="1">
      <c r="A215" s="85" t="s">
        <v>122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</row>
    <row r="216" spans="1:12" s="25" customFormat="1" ht="43.5" customHeight="1">
      <c r="A216" s="14" t="s">
        <v>44</v>
      </c>
      <c r="B216" s="5" t="s">
        <v>11</v>
      </c>
      <c r="C216" s="9">
        <f>D216+E216</f>
        <v>9714663</v>
      </c>
      <c r="D216" s="8">
        <f>9583246+131417</f>
        <v>9714663</v>
      </c>
      <c r="E216" s="9">
        <v>0</v>
      </c>
      <c r="F216" s="9">
        <f>G216+H216</f>
        <v>28979753</v>
      </c>
      <c r="G216" s="7">
        <v>28979753</v>
      </c>
      <c r="H216" s="7">
        <v>0</v>
      </c>
      <c r="I216" s="9">
        <f>J216+K216</f>
        <v>34501066</v>
      </c>
      <c r="J216" s="7">
        <f>8000000+27013066-2000000+1488000</f>
        <v>34501066</v>
      </c>
      <c r="K216" s="7">
        <v>0</v>
      </c>
      <c r="L216" s="10" t="s">
        <v>37</v>
      </c>
    </row>
    <row r="217" spans="1:12" s="25" customFormat="1" ht="21" customHeight="1">
      <c r="A217" s="85" t="s">
        <v>146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</row>
    <row r="218" spans="1:12" s="25" customFormat="1" ht="42" customHeight="1">
      <c r="A218" s="11" t="s">
        <v>166</v>
      </c>
      <c r="B218" s="5" t="s">
        <v>11</v>
      </c>
      <c r="C218" s="9">
        <f>D218+E218</f>
        <v>1439932</v>
      </c>
      <c r="D218" s="9">
        <v>1439932</v>
      </c>
      <c r="E218" s="9">
        <v>0</v>
      </c>
      <c r="F218" s="6">
        <f>G218+H218</f>
        <v>1531251</v>
      </c>
      <c r="G218" s="7">
        <v>1531251</v>
      </c>
      <c r="H218" s="7">
        <v>0</v>
      </c>
      <c r="I218" s="9">
        <f>J218+K218</f>
        <v>1541402</v>
      </c>
      <c r="J218" s="6">
        <v>1541402</v>
      </c>
      <c r="K218" s="9">
        <v>0</v>
      </c>
      <c r="L218" s="10" t="s">
        <v>37</v>
      </c>
    </row>
    <row r="219" spans="1:12" s="15" customFormat="1" ht="26.25" customHeight="1">
      <c r="A219" s="85" t="s">
        <v>148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</row>
    <row r="220" spans="1:12" s="15" customFormat="1" ht="36.75" customHeight="1">
      <c r="A220" s="11" t="s">
        <v>167</v>
      </c>
      <c r="B220" s="12"/>
      <c r="C220" s="9">
        <f>D220+E220</f>
        <v>348349</v>
      </c>
      <c r="D220" s="9">
        <f>+D221+D222+D223+D224</f>
        <v>348349</v>
      </c>
      <c r="E220" s="9">
        <f>E221+E222+E223</f>
        <v>0</v>
      </c>
      <c r="F220" s="6">
        <f>G220+H220</f>
        <v>597174</v>
      </c>
      <c r="G220" s="9">
        <f>+G221+G222+G15+G224</f>
        <v>392562</v>
      </c>
      <c r="H220" s="9">
        <f>+H221+H222+H223</f>
        <v>204612</v>
      </c>
      <c r="I220" s="9">
        <f>J220+K220</f>
        <v>685502</v>
      </c>
      <c r="J220" s="6">
        <f>J221+J222+J223+J224</f>
        <v>471502</v>
      </c>
      <c r="K220" s="6">
        <f>K221+K222+K223</f>
        <v>214000</v>
      </c>
      <c r="L220" s="13"/>
    </row>
    <row r="221" spans="1:12" s="25" customFormat="1" ht="41.25" customHeight="1">
      <c r="A221" s="12" t="s">
        <v>45</v>
      </c>
      <c r="B221" s="5" t="s">
        <v>11</v>
      </c>
      <c r="C221" s="9">
        <f>D221+E221</f>
        <v>28775</v>
      </c>
      <c r="D221" s="8">
        <v>28775</v>
      </c>
      <c r="E221" s="8">
        <v>0</v>
      </c>
      <c r="F221" s="6">
        <f>+G221+H221</f>
        <v>27890</v>
      </c>
      <c r="G221" s="7">
        <v>27890</v>
      </c>
      <c r="H221" s="7">
        <f>ROUND(E221*1.104,0)</f>
        <v>0</v>
      </c>
      <c r="I221" s="9">
        <f>J221+K221</f>
        <v>31200</v>
      </c>
      <c r="J221" s="7">
        <v>31200</v>
      </c>
      <c r="K221" s="8">
        <v>0</v>
      </c>
      <c r="L221" s="10" t="s">
        <v>37</v>
      </c>
    </row>
    <row r="222" spans="1:12" s="25" customFormat="1" ht="39.75" customHeight="1">
      <c r="A222" s="12" t="s">
        <v>197</v>
      </c>
      <c r="B222" s="5" t="s">
        <v>11</v>
      </c>
      <c r="C222" s="9">
        <f>D222+E222</f>
        <v>225571</v>
      </c>
      <c r="D222" s="8">
        <v>225571</v>
      </c>
      <c r="E222" s="8">
        <v>0</v>
      </c>
      <c r="F222" s="6">
        <f>+G222+H222</f>
        <v>243800</v>
      </c>
      <c r="G222" s="7">
        <v>243800</v>
      </c>
      <c r="H222" s="7">
        <v>0</v>
      </c>
      <c r="I222" s="9">
        <f>J222+K222</f>
        <v>360866</v>
      </c>
      <c r="J222" s="7">
        <f>100000+260866</f>
        <v>360866</v>
      </c>
      <c r="K222" s="8">
        <v>0</v>
      </c>
      <c r="L222" s="10" t="s">
        <v>37</v>
      </c>
    </row>
    <row r="223" spans="1:12" s="25" customFormat="1" ht="36.75" customHeight="1">
      <c r="A223" s="4" t="s">
        <v>154</v>
      </c>
      <c r="B223" s="5" t="s">
        <v>11</v>
      </c>
      <c r="C223" s="9">
        <f>D223+E223</f>
        <v>0</v>
      </c>
      <c r="D223" s="8">
        <v>0</v>
      </c>
      <c r="E223" s="8">
        <v>0</v>
      </c>
      <c r="F223" s="6">
        <f>+G223+H223</f>
        <v>204612</v>
      </c>
      <c r="G223" s="7">
        <v>0</v>
      </c>
      <c r="H223" s="7">
        <v>204612</v>
      </c>
      <c r="I223" s="9">
        <f>J223+K223</f>
        <v>214000</v>
      </c>
      <c r="J223" s="7">
        <v>0</v>
      </c>
      <c r="K223" s="7">
        <v>214000</v>
      </c>
      <c r="L223" s="10" t="s">
        <v>37</v>
      </c>
    </row>
    <row r="224" spans="1:12" s="15" customFormat="1" ht="43.5" customHeight="1">
      <c r="A224" s="4" t="s">
        <v>147</v>
      </c>
      <c r="B224" s="5" t="s">
        <v>11</v>
      </c>
      <c r="C224" s="9">
        <f>D224+E224</f>
        <v>94003</v>
      </c>
      <c r="D224" s="9">
        <v>94003</v>
      </c>
      <c r="E224" s="9">
        <v>0</v>
      </c>
      <c r="F224" s="6">
        <f>G224+H224</f>
        <v>120872</v>
      </c>
      <c r="G224" s="7">
        <v>120872</v>
      </c>
      <c r="H224" s="7">
        <v>0</v>
      </c>
      <c r="I224" s="9">
        <f>+J224</f>
        <v>79436</v>
      </c>
      <c r="J224" s="7">
        <v>79436</v>
      </c>
      <c r="K224" s="7">
        <v>0</v>
      </c>
      <c r="L224" s="10" t="s">
        <v>37</v>
      </c>
    </row>
    <row r="225" spans="1:13" s="25" customFormat="1" ht="26.25" customHeight="1">
      <c r="A225" s="93" t="s">
        <v>149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68"/>
    </row>
    <row r="226" spans="1:12" s="25" customFormat="1" ht="41.25" customHeight="1">
      <c r="A226" s="14" t="s">
        <v>165</v>
      </c>
      <c r="B226" s="5" t="s">
        <v>11</v>
      </c>
      <c r="C226" s="9">
        <f>D226+E226</f>
        <v>1350000</v>
      </c>
      <c r="D226" s="8">
        <v>1350000</v>
      </c>
      <c r="E226" s="8">
        <v>0</v>
      </c>
      <c r="F226" s="6">
        <f>G226+H226</f>
        <v>1500000</v>
      </c>
      <c r="G226" s="7">
        <v>1500000</v>
      </c>
      <c r="H226" s="7">
        <v>0</v>
      </c>
      <c r="I226" s="9">
        <f>J226+K226</f>
        <v>3000000</v>
      </c>
      <c r="J226" s="7">
        <f>1000000+1000000+1000000</f>
        <v>3000000</v>
      </c>
      <c r="K226" s="7">
        <v>0</v>
      </c>
      <c r="L226" s="10" t="s">
        <v>37</v>
      </c>
    </row>
    <row r="227" spans="1:12" s="15" customFormat="1" ht="12" customHeight="1">
      <c r="A227" s="48"/>
      <c r="B227" s="49"/>
      <c r="C227" s="50"/>
      <c r="D227" s="51"/>
      <c r="E227" s="51"/>
      <c r="F227" s="52"/>
      <c r="G227" s="53"/>
      <c r="H227" s="51"/>
      <c r="I227" s="50"/>
      <c r="J227" s="53"/>
      <c r="K227" s="51"/>
      <c r="L227" s="54"/>
    </row>
    <row r="228" spans="1:14" s="25" customFormat="1" ht="17.25" customHeight="1">
      <c r="A228" s="39"/>
      <c r="C228" s="40"/>
      <c r="D228" s="40"/>
      <c r="E228" s="40"/>
      <c r="F228" s="40"/>
      <c r="G228" s="40"/>
      <c r="H228" s="40"/>
      <c r="I228" s="80" t="s">
        <v>113</v>
      </c>
      <c r="J228" s="80"/>
      <c r="K228" s="80"/>
      <c r="L228" s="80"/>
      <c r="N228" s="41"/>
    </row>
    <row r="229" spans="1:14" s="25" customFormat="1" ht="14.25">
      <c r="A229" s="10">
        <v>1</v>
      </c>
      <c r="B229" s="42">
        <v>2</v>
      </c>
      <c r="C229" s="43">
        <v>3</v>
      </c>
      <c r="D229" s="43">
        <v>4</v>
      </c>
      <c r="E229" s="43">
        <v>5</v>
      </c>
      <c r="F229" s="43">
        <v>6</v>
      </c>
      <c r="G229" s="43">
        <v>7</v>
      </c>
      <c r="H229" s="43">
        <v>8</v>
      </c>
      <c r="I229" s="43">
        <v>9</v>
      </c>
      <c r="J229" s="43">
        <v>10</v>
      </c>
      <c r="K229" s="43">
        <v>11</v>
      </c>
      <c r="L229" s="43">
        <v>12</v>
      </c>
      <c r="N229" s="41"/>
    </row>
    <row r="230" spans="1:12" s="15" customFormat="1" ht="18" customHeight="1">
      <c r="A230" s="85" t="s">
        <v>150</v>
      </c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</row>
    <row r="231" spans="1:12" s="15" customFormat="1" ht="37.5" customHeight="1">
      <c r="A231" s="89" t="s">
        <v>47</v>
      </c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1:12" s="15" customFormat="1" ht="32.25" customHeight="1">
      <c r="A232" s="82" t="s">
        <v>48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</row>
    <row r="233" spans="1:12" s="25" customFormat="1" ht="18.75" customHeight="1">
      <c r="A233" s="23" t="s">
        <v>2</v>
      </c>
      <c r="B233" s="65"/>
      <c r="C233" s="69">
        <f>D233+E233</f>
        <v>1445456</v>
      </c>
      <c r="D233" s="70">
        <f>D234+D235</f>
        <v>1445456</v>
      </c>
      <c r="E233" s="70">
        <f>E234+E235</f>
        <v>0</v>
      </c>
      <c r="F233" s="69">
        <f>G233+H233</f>
        <v>103992</v>
      </c>
      <c r="G233" s="70">
        <f>G234+G235</f>
        <v>103992</v>
      </c>
      <c r="H233" s="70">
        <v>0</v>
      </c>
      <c r="I233" s="69">
        <f>+J233</f>
        <v>67968</v>
      </c>
      <c r="J233" s="70">
        <f>+J234+J235</f>
        <v>67968</v>
      </c>
      <c r="K233" s="70">
        <f>K234+K235</f>
        <v>0</v>
      </c>
      <c r="L233" s="70">
        <v>0</v>
      </c>
    </row>
    <row r="234" spans="1:12" s="25" customFormat="1" ht="64.5" customHeight="1">
      <c r="A234" s="14" t="s">
        <v>49</v>
      </c>
      <c r="B234" s="5" t="s">
        <v>11</v>
      </c>
      <c r="C234" s="9">
        <f>D234+E234</f>
        <v>220430</v>
      </c>
      <c r="D234" s="8">
        <v>220430</v>
      </c>
      <c r="E234" s="8">
        <v>0</v>
      </c>
      <c r="F234" s="9">
        <f>G234+H234</f>
        <v>103992</v>
      </c>
      <c r="G234" s="8">
        <v>103992</v>
      </c>
      <c r="H234" s="8">
        <v>0</v>
      </c>
      <c r="I234" s="9">
        <f>J234+K234</f>
        <v>67968</v>
      </c>
      <c r="J234" s="8">
        <f>137160-72540+3348</f>
        <v>67968</v>
      </c>
      <c r="K234" s="8">
        <v>0</v>
      </c>
      <c r="L234" s="10" t="s">
        <v>37</v>
      </c>
    </row>
    <row r="235" spans="1:12" s="25" customFormat="1" ht="93.75" customHeight="1">
      <c r="A235" s="11" t="s">
        <v>198</v>
      </c>
      <c r="B235" s="5" t="s">
        <v>11</v>
      </c>
      <c r="C235" s="9">
        <f>D235+E235</f>
        <v>1225026</v>
      </c>
      <c r="D235" s="8">
        <v>1225026</v>
      </c>
      <c r="E235" s="8">
        <v>0</v>
      </c>
      <c r="F235" s="6">
        <f>+G235+H235</f>
        <v>0</v>
      </c>
      <c r="G235" s="7">
        <v>0</v>
      </c>
      <c r="H235" s="8">
        <v>0</v>
      </c>
      <c r="I235" s="9">
        <f>J235+K235</f>
        <v>0</v>
      </c>
      <c r="J235" s="7">
        <f>ROUND(G235*1.075,0)</f>
        <v>0</v>
      </c>
      <c r="K235" s="8">
        <v>0</v>
      </c>
      <c r="L235" s="10" t="s">
        <v>37</v>
      </c>
    </row>
    <row r="236" spans="1:12" s="15" customFormat="1" ht="65.25" customHeight="1">
      <c r="A236" s="71"/>
      <c r="B236" s="49"/>
      <c r="C236" s="50"/>
      <c r="D236" s="51"/>
      <c r="E236" s="51"/>
      <c r="F236" s="52"/>
      <c r="G236" s="53"/>
      <c r="H236" s="51"/>
      <c r="I236" s="50"/>
      <c r="J236" s="53"/>
      <c r="K236" s="51"/>
      <c r="L236" s="54"/>
    </row>
    <row r="237" spans="1:10" s="3" customFormat="1" ht="15.75" customHeight="1">
      <c r="A237" s="72" t="s">
        <v>188</v>
      </c>
      <c r="B237" s="72"/>
      <c r="C237" s="73"/>
      <c r="D237" s="1"/>
      <c r="E237" s="73"/>
      <c r="F237" s="73"/>
      <c r="G237" s="73"/>
      <c r="H237" s="73"/>
      <c r="I237" s="73"/>
      <c r="J237" s="73" t="s">
        <v>189</v>
      </c>
    </row>
    <row r="238" spans="1:9" s="3" customFormat="1" ht="17.25" customHeight="1">
      <c r="A238" s="72"/>
      <c r="B238" s="72"/>
      <c r="C238" s="73"/>
      <c r="D238" s="73"/>
      <c r="E238" s="73"/>
      <c r="F238" s="73"/>
      <c r="G238" s="73"/>
      <c r="H238" s="73"/>
      <c r="I238" s="74"/>
    </row>
    <row r="239" spans="1:9" s="3" customFormat="1" ht="19.5" customHeight="1">
      <c r="A239" s="75" t="s">
        <v>172</v>
      </c>
      <c r="B239" s="72"/>
      <c r="C239" s="73"/>
      <c r="D239" s="73"/>
      <c r="E239" s="73"/>
      <c r="F239" s="73"/>
      <c r="G239" s="73"/>
      <c r="H239" s="73"/>
      <c r="I239" s="74"/>
    </row>
    <row r="240" spans="1:8" s="3" customFormat="1" ht="24" customHeight="1">
      <c r="A240" s="75" t="s">
        <v>110</v>
      </c>
      <c r="B240" s="72"/>
      <c r="C240" s="73"/>
      <c r="D240" s="73"/>
      <c r="E240" s="73"/>
      <c r="F240" s="73"/>
      <c r="G240" s="73"/>
      <c r="H240" s="73"/>
    </row>
    <row r="241" ht="12.75">
      <c r="C241" s="76"/>
    </row>
  </sheetData>
  <sheetProtection/>
  <mergeCells count="71">
    <mergeCell ref="A118:L118"/>
    <mergeCell ref="A103:L103"/>
    <mergeCell ref="A142:L142"/>
    <mergeCell ref="A116:L116"/>
    <mergeCell ref="A152:L152"/>
    <mergeCell ref="A153:L153"/>
    <mergeCell ref="A104:L104"/>
    <mergeCell ref="A147:L147"/>
    <mergeCell ref="G10:H10"/>
    <mergeCell ref="I10:I11"/>
    <mergeCell ref="A14:L14"/>
    <mergeCell ref="A19:L19"/>
    <mergeCell ref="D10:E10"/>
    <mergeCell ref="A20:L20"/>
    <mergeCell ref="C10:C11"/>
    <mergeCell ref="A102:L102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A174:L174"/>
    <mergeCell ref="A15:L15"/>
    <mergeCell ref="I40:L40"/>
    <mergeCell ref="I25:L25"/>
    <mergeCell ref="A98:L98"/>
    <mergeCell ref="A173:L173"/>
    <mergeCell ref="A140:L140"/>
    <mergeCell ref="A145:L145"/>
    <mergeCell ref="A99:L99"/>
    <mergeCell ref="A100:L100"/>
    <mergeCell ref="A225:L225"/>
    <mergeCell ref="A231:L231"/>
    <mergeCell ref="A215:L215"/>
    <mergeCell ref="A195:L195"/>
    <mergeCell ref="A190:L190"/>
    <mergeCell ref="A213:L213"/>
    <mergeCell ref="A232:L232"/>
    <mergeCell ref="A210:L210"/>
    <mergeCell ref="A211:L211"/>
    <mergeCell ref="A217:L217"/>
    <mergeCell ref="I3:L3"/>
    <mergeCell ref="A219:L219"/>
    <mergeCell ref="A199:L199"/>
    <mergeCell ref="A201:L201"/>
    <mergeCell ref="A198:L198"/>
    <mergeCell ref="A21:L21"/>
    <mergeCell ref="I2:L2"/>
    <mergeCell ref="A117:L117"/>
    <mergeCell ref="A230:L230"/>
    <mergeCell ref="I228:L228"/>
    <mergeCell ref="A197:L197"/>
    <mergeCell ref="A146:L146"/>
    <mergeCell ref="A141:L141"/>
    <mergeCell ref="A176:L176"/>
    <mergeCell ref="A154:L154"/>
    <mergeCell ref="A202:L202"/>
    <mergeCell ref="I168:L168"/>
    <mergeCell ref="I186:L186"/>
    <mergeCell ref="I206:L206"/>
    <mergeCell ref="I58:L58"/>
    <mergeCell ref="I76:L76"/>
    <mergeCell ref="I92:L92"/>
    <mergeCell ref="I112:L112"/>
    <mergeCell ref="I130:L130"/>
    <mergeCell ref="I150:L150"/>
    <mergeCell ref="A203:L203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4" max="11" man="1"/>
    <brk id="91" max="11" man="1"/>
    <brk id="111" max="11" man="1"/>
    <brk id="129" max="11" man="1"/>
    <brk id="149" max="11" man="1"/>
    <brk id="167" max="11" man="1"/>
    <brk id="185" max="11" man="1"/>
    <brk id="205" max="11" man="1"/>
    <brk id="2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2018-08-19T08:53:40Z</cp:lastPrinted>
  <dcterms:created xsi:type="dcterms:W3CDTF">1996-10-08T23:32:33Z</dcterms:created>
  <dcterms:modified xsi:type="dcterms:W3CDTF">2018-08-20T10:35:43Z</dcterms:modified>
  <cp:category/>
  <cp:version/>
  <cp:contentType/>
  <cp:contentStatus/>
</cp:coreProperties>
</file>