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80" windowWidth="9300" windowHeight="3675" tabRatio="0" activeTab="1"/>
  </bookViews>
  <sheets>
    <sheet name="Диаграмма1" sheetId="1" r:id="rId1"/>
    <sheet name="Sheet1" sheetId="2" r:id="rId2"/>
  </sheets>
  <definedNames>
    <definedName name="_xlnm.Print_Area" localSheetId="1">'Sheet1'!$A$1:$P$643</definedName>
  </definedNames>
  <calcPr fullCalcOnLoad="1"/>
</workbook>
</file>

<file path=xl/sharedStrings.xml><?xml version="1.0" encoding="utf-8"?>
<sst xmlns="http://schemas.openxmlformats.org/spreadsheetml/2006/main" count="650" uniqueCount="436">
  <si>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</si>
  <si>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</si>
  <si>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</si>
  <si>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</si>
  <si>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</si>
  <si>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</si>
  <si>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</si>
  <si>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</si>
  <si>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</si>
  <si>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</si>
  <si>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</si>
  <si>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</si>
  <si>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</si>
  <si>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</si>
  <si>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</si>
  <si>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</si>
  <si>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</si>
  <si>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</si>
  <si>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</si>
  <si>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</si>
  <si>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</si>
  <si>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</si>
  <si>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</si>
  <si>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</si>
  <si>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</si>
  <si>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</si>
  <si>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</si>
  <si>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</si>
  <si>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</si>
  <si>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</si>
  <si>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</si>
  <si>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</si>
  <si>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</si>
  <si>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</si>
  <si>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</si>
  <si>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</si>
  <si>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</si>
  <si>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</si>
  <si>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</si>
  <si>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</si>
  <si>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</si>
  <si>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</si>
  <si>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</si>
  <si>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</si>
  <si>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</si>
  <si>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</si>
  <si>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</si>
  <si>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</si>
  <si>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</si>
  <si>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</si>
  <si>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</si>
  <si>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</si>
  <si>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</si>
  <si>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</si>
  <si>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</si>
  <si>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</si>
  <si>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</si>
  <si>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</si>
  <si>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</si>
  <si>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</si>
  <si>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</si>
  <si>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</si>
  <si>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</si>
  <si>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</si>
  <si>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</si>
  <si>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</si>
  <si>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</si>
  <si>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</si>
  <si>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</si>
  <si>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</si>
  <si>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</si>
  <si>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</si>
  <si>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</si>
  <si>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</si>
  <si>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</si>
  <si>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</si>
  <si>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</si>
  <si>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</si>
  <si>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</si>
  <si>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</si>
  <si>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</si>
  <si>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</si>
  <si>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</si>
  <si>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</si>
  <si>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</si>
  <si>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</si>
  <si>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</si>
  <si>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</si>
  <si>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</si>
  <si>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</si>
  <si>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</si>
  <si>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</si>
  <si>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</si>
  <si>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</si>
  <si>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</si>
  <si>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</si>
  <si>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</si>
  <si>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</si>
  <si>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</si>
  <si>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</si>
  <si>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</si>
  <si>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</si>
  <si>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</si>
  <si>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</si>
  <si>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</si>
  <si>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</si>
  <si>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</si>
  <si>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</si>
  <si>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</si>
  <si>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</si>
  <si>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</si>
  <si>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</si>
  <si>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</si>
  <si>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</si>
  <si>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</si>
  <si>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</si>
  <si>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</si>
  <si>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</si>
  <si>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</si>
  <si>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</si>
  <si>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</si>
  <si>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</si>
  <si>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</si>
  <si>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</si>
  <si>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</si>
  <si>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</si>
  <si>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</si>
  <si>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</si>
  <si>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</si>
  <si>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</si>
  <si>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</si>
  <si>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</si>
  <si>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</si>
  <si>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</si>
  <si>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</si>
  <si>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</si>
  <si>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</si>
  <si>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</si>
  <si>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</si>
  <si>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</si>
  <si>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</si>
  <si>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</si>
  <si>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</si>
  <si>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</si>
  <si>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</si>
  <si>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</si>
  <si>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</si>
  <si>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</si>
  <si>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</si>
  <si>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</si>
  <si>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</si>
  <si>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</si>
  <si>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</si>
  <si>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</si>
  <si>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</si>
  <si>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</si>
  <si>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</si>
  <si>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</si>
  <si>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</si>
  <si>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</si>
  <si>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</si>
  <si>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</si>
  <si>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</si>
  <si>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</si>
  <si>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</si>
  <si>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</si>
  <si>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</si>
  <si>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</si>
  <si>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</si>
  <si>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</si>
  <si>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</si>
  <si>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</si>
  <si>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</si>
  <si>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</si>
  <si>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</si>
  <si>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</si>
  <si>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</si>
  <si>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</si>
  <si>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</si>
  <si>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</si>
  <si>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</si>
  <si>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</si>
  <si>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</si>
  <si>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</si>
  <si>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</si>
  <si>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</si>
  <si>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</si>
  <si>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</si>
  <si>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</si>
  <si>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</si>
  <si>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</si>
  <si>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</si>
  <si>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</si>
  <si>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</si>
  <si>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</si>
  <si>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</si>
  <si>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</si>
  <si>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</si>
  <si>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</si>
  <si>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</si>
  <si>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</si>
  <si>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</si>
  <si>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</si>
  <si>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</si>
  <si>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</si>
  <si>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</si>
  <si>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</si>
  <si>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</si>
  <si>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</si>
  <si>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</si>
  <si>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</si>
  <si>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</si>
  <si>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</si>
  <si>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</si>
  <si>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</si>
  <si>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</si>
  <si>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</si>
  <si>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</si>
  <si>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</si>
  <si>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</si>
  <si>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</si>
  <si>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</si>
  <si>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</si>
  <si>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</si>
  <si>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</si>
  <si>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</si>
  <si>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</si>
  <si>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</si>
  <si>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</si>
  <si>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</si>
  <si>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</si>
  <si>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</si>
  <si>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</si>
  <si>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</si>
  <si>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</si>
  <si>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</si>
  <si>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</si>
  <si>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</si>
  <si>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</si>
  <si>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</si>
  <si>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</si>
  <si>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</si>
  <si>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</si>
  <si>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</si>
  <si>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</si>
  <si>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</si>
  <si>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</si>
  <si>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</si>
  <si>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</si>
  <si>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</si>
  <si>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</si>
  <si>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</si>
  <si>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</si>
  <si>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</si>
  <si>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</si>
  <si>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</si>
  <si>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</si>
  <si>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</si>
  <si>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</si>
  <si>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</si>
  <si>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</si>
  <si>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</si>
  <si>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</si>
  <si>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</si>
  <si>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</si>
  <si>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</si>
  <si>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</si>
  <si>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</si>
  <si>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</si>
  <si>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</si>
  <si>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</si>
  <si>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</si>
  <si>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</si>
  <si>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</si>
  <si>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</si>
  <si>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</si>
  <si>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</si>
  <si>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</si>
  <si>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</si>
  <si>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</si>
  <si>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</si>
  <si>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</si>
  <si>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</si>
  <si>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</si>
  <si>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</si>
  <si>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</si>
  <si>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</si>
  <si>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</si>
  <si>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</si>
  <si>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</si>
  <si>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</si>
  <si>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</si>
  <si>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</si>
  <si>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</si>
  <si>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</si>
  <si>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</si>
  <si>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</si>
  <si>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</si>
  <si>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</si>
  <si>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</si>
  <si>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</si>
  <si>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</si>
  <si>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</si>
  <si>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</si>
  <si>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</si>
  <si>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</si>
  <si>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</si>
  <si>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</si>
  <si>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</si>
  <si>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</si>
  <si>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</si>
  <si>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</si>
  <si>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</si>
  <si>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</si>
  <si>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</si>
  <si>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</si>
  <si>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</si>
  <si>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</si>
  <si>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</si>
  <si>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</si>
  <si>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</si>
  <si>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</si>
  <si>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</si>
  <si>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</si>
  <si>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</si>
  <si>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</si>
  <si>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</si>
  <si>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</si>
  <si>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</si>
  <si>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</si>
  <si>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</si>
  <si>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</si>
  <si>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</si>
  <si>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</si>
  <si>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</si>
  <si>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</si>
  <si>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</si>
  <si>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</si>
  <si>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</si>
  <si>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</si>
  <si>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</si>
  <si>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</si>
  <si>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</si>
  <si>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</si>
  <si>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</si>
  <si>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</si>
  <si>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</si>
  <si>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</si>
  <si>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</si>
  <si>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</si>
  <si>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</si>
  <si>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</si>
  <si>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</si>
  <si>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</si>
  <si>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</si>
  <si>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</si>
  <si>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Сумський міський голова</t>
  </si>
  <si>
    <t>О.М.Лисенко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</si>
  <si>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</si>
  <si>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</si>
  <si>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</si>
  <si>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</si>
  <si>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</si>
  <si>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Виконавець: Яременко Г.І.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</si>
  <si>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</si>
  <si>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</si>
  <si>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</si>
  <si>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</si>
  <si>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</si>
  <si>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</si>
  <si>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</si>
  <si>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</si>
  <si>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</si>
  <si>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</si>
  <si>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</si>
  <si>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</si>
  <si>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</si>
  <si>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</si>
  <si>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 xml:space="preserve">від                           № 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</si>
  <si>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</si>
  <si>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</si>
  <si>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</si>
  <si>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</si>
  <si>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</si>
  <si>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</si>
  <si>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</si>
  <si>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</si>
  <si>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</si>
  <si>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</si>
  <si>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</si>
  <si>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</si>
  <si>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</si>
  <si>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</si>
  <si>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</si>
  <si>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</si>
  <si>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</si>
  <si>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</si>
  <si>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</si>
  <si>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</si>
  <si>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</si>
  <si>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</si>
  <si>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</si>
  <si>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 xml:space="preserve">  Завдання: 22. Виготовлення та розміщення соціальної реклами, рекламних матеріалів до святкових та урочистих подій</t>
  </si>
  <si>
    <t xml:space="preserve">  Завдання: 23. Демонтаж  рекламних засобів, розміщених самовільно та з порушенням порядку розміщення зовнішньої реклами</t>
  </si>
  <si>
    <t xml:space="preserve">  Завдання: 24.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</si>
  <si>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25.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</si>
  <si>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26. Забезпечення постачання природного газу монументу "Вічна Слава"</t>
  </si>
  <si>
    <t xml:space="preserve">  Завдання: 27.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</si>
  <si>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28.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</si>
  <si>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29. Забезпечення функціонування об'єктів житлово-комунального господарства</t>
  </si>
  <si>
    <t xml:space="preserve">  Завдання: 30.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</si>
  <si>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30.1 Забезпечення охорони  водозаборів  та очисних споруд, охорона КНС за адресою по вул. Привокзальна,4/13</t>
  </si>
  <si>
    <t xml:space="preserve">  Завдання: 30.2 Фінансова підтримка (оплата заборгованності з електроенергію)</t>
  </si>
  <si>
    <t xml:space="preserve">  Завдання: 31. Розробка нормативів питного водопостачання для населення м. Суми </t>
  </si>
  <si>
    <t xml:space="preserve">  Завдання: 32. Вимоги пожежної безпеки</t>
  </si>
  <si>
    <t>Завдання: 33. Придбання водопровідних та каналізаційних люків</t>
  </si>
  <si>
    <t>Завдання: 34. Проведення капітального та поточного ремонту колекторів та каналізаційних мереж, технічне обслуговуавння</t>
  </si>
  <si>
    <t>Завдання: 35. Виконання геофізичного дослідження свердловин</t>
  </si>
  <si>
    <t xml:space="preserve">Завдання: 36.Капітальний ремонт по підключенню будинків №103-Б та №105 по вул. Харківській до мереж міської каналізації </t>
  </si>
  <si>
    <t>Завдання: 37. Розробка схеми оптимізації роботи системи централізованого водопостачання та водовідведення міста Суми 2018-2020 роки</t>
  </si>
  <si>
    <t>Завдання: 38. Капітальний ремонт  діючого  каналізаційного самотічного колектора Д 500 мм по вул.Ремісничій в м. Суми</t>
  </si>
  <si>
    <t xml:space="preserve">Завдання: 39. Виготовлення електронної карти ливневої каналізаційної мережі м.Суми </t>
  </si>
  <si>
    <t>Завдання: 40. Впровадження енергозберігаючих заходів</t>
  </si>
  <si>
    <t>Завдання: 40.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</si>
  <si>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40.2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</si>
  <si>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41. Забезпечення зміцнення матеріально-технічної бази підприємств комунальної форми власності</t>
  </si>
  <si>
    <t xml:space="preserve">  Завдання: 42. Створення сприятливих умов проживання населення та забезпечення надання життєво необхідних послуг</t>
  </si>
  <si>
    <t xml:space="preserve"> Завдання: 43. Встановлення вузлів  комерційного обліку </t>
  </si>
  <si>
    <t xml:space="preserve">  Завдання: 44. Забезпечення надійного та безперебійного функціонування житлово-експлуатаційного господарства</t>
  </si>
  <si>
    <t xml:space="preserve">  Завдання: 45. Організація та проведення громадських робіт</t>
  </si>
  <si>
    <t xml:space="preserve">  Завдання: 46.Заходи з будівництва, реставрації  та реконструкції</t>
  </si>
  <si>
    <t xml:space="preserve">  Завдання: 47.Здійснення заходів із землеустрою </t>
  </si>
  <si>
    <t xml:space="preserve">  Завдання: 48. Повернення бюджетних позичок на поворотній основі</t>
  </si>
  <si>
    <t xml:space="preserve">  Завдання: 49. Надання бюджетних позичок на поворотній основі</t>
  </si>
  <si>
    <t xml:space="preserve"> КПКВК 6030, 7691, 7462</t>
  </si>
  <si>
    <t>Додаток 16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</si>
</sst>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top" wrapText="1"/>
    </xf>
    <xf numFmtId="4" fontId="11" fillId="0" borderId="23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40"/>
  <sheetViews>
    <sheetView tabSelected="1" view="pageBreakPreview" zoomScaleNormal="85" zoomScaleSheetLayoutView="100" workbookViewId="0" topLeftCell="A447">
      <selection activeCell="F454" sqref="F454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2" ht="11.25" hidden="1"/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76" t="s">
        <v>435</v>
      </c>
      <c r="K3" s="176"/>
      <c r="L3" s="176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358</v>
      </c>
      <c r="K4" s="118"/>
      <c r="L4" s="118"/>
      <c r="M4" s="118"/>
    </row>
    <row r="5" spans="1:13" ht="18.75">
      <c r="A5" s="112"/>
      <c r="B5" s="112"/>
      <c r="C5" s="112"/>
      <c r="D5" s="118"/>
      <c r="E5" s="118"/>
      <c r="F5" s="118"/>
      <c r="G5" s="118"/>
      <c r="H5" s="118"/>
      <c r="I5" s="118"/>
      <c r="J5" s="118" t="s">
        <v>283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42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55</v>
      </c>
      <c r="K7" s="118"/>
      <c r="L7" s="118"/>
      <c r="M7" s="118"/>
    </row>
    <row r="8" spans="1:13" ht="18.75">
      <c r="A8" s="120"/>
      <c r="B8" s="120"/>
      <c r="C8" s="120"/>
      <c r="D8" s="121"/>
      <c r="E8" s="121"/>
      <c r="F8" s="121"/>
      <c r="G8" s="121"/>
      <c r="H8" s="121"/>
      <c r="I8" s="121"/>
      <c r="J8" s="118" t="s">
        <v>284</v>
      </c>
      <c r="K8" s="118"/>
      <c r="L8" s="118"/>
      <c r="M8" s="118"/>
    </row>
    <row r="9" spans="1:16" ht="33.75" customHeight="1">
      <c r="A9" s="120"/>
      <c r="B9" s="120"/>
      <c r="C9" s="120"/>
      <c r="D9" s="121"/>
      <c r="E9" s="121"/>
      <c r="F9" s="121"/>
      <c r="G9" s="121"/>
      <c r="H9" s="121"/>
      <c r="I9" s="121"/>
      <c r="J9" s="174" t="s">
        <v>364</v>
      </c>
      <c r="K9" s="174"/>
      <c r="L9" s="174"/>
      <c r="M9" s="174"/>
      <c r="N9" s="174"/>
      <c r="O9" s="174"/>
      <c r="P9" s="174"/>
    </row>
    <row r="10" spans="1:13" ht="18.75">
      <c r="A10" s="120"/>
      <c r="B10" s="120"/>
      <c r="C10" s="120"/>
      <c r="D10" s="121"/>
      <c r="E10" s="121"/>
      <c r="F10" s="121"/>
      <c r="G10" s="121"/>
      <c r="H10" s="121"/>
      <c r="I10" s="121"/>
      <c r="J10" s="118" t="s">
        <v>378</v>
      </c>
      <c r="K10" s="118"/>
      <c r="L10" s="118"/>
      <c r="M10" s="118"/>
    </row>
    <row r="11" spans="1:17" ht="18.75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8.75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77" t="s">
        <v>277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16.5" customHeight="1">
      <c r="A14" s="122"/>
      <c r="B14" s="122"/>
      <c r="C14" s="122"/>
      <c r="D14" s="123"/>
      <c r="E14" s="123"/>
      <c r="F14" s="175" t="s">
        <v>278</v>
      </c>
      <c r="G14" s="175"/>
      <c r="H14" s="123"/>
      <c r="I14" s="123"/>
      <c r="J14" s="118"/>
      <c r="K14" s="123"/>
      <c r="L14" s="118"/>
      <c r="M14" s="118"/>
      <c r="N14" s="118"/>
      <c r="O14" s="118"/>
      <c r="P14" s="123" t="s">
        <v>39</v>
      </c>
    </row>
    <row r="15" spans="1:241" ht="11.25" customHeight="1">
      <c r="A15" s="160">
        <v>145767870</v>
      </c>
      <c r="B15" s="160" t="s">
        <v>34</v>
      </c>
      <c r="C15" s="160" t="s">
        <v>35</v>
      </c>
      <c r="D15" s="170" t="s">
        <v>210</v>
      </c>
      <c r="E15" s="171"/>
      <c r="F15" s="172"/>
      <c r="G15" s="165" t="s">
        <v>211</v>
      </c>
      <c r="H15" s="165"/>
      <c r="I15" s="165"/>
      <c r="J15" s="165"/>
      <c r="K15" s="33"/>
      <c r="L15" s="33"/>
      <c r="M15" s="33"/>
      <c r="N15" s="170" t="s">
        <v>212</v>
      </c>
      <c r="O15" s="171"/>
      <c r="P15" s="172"/>
      <c r="IB15" s="25"/>
      <c r="IC15" s="25"/>
      <c r="ID15" s="25"/>
      <c r="IE15" s="25"/>
      <c r="IF15" s="25"/>
      <c r="IG15" s="25"/>
    </row>
    <row r="16" spans="1:241" ht="12" customHeight="1">
      <c r="A16" s="161"/>
      <c r="B16" s="161"/>
      <c r="C16" s="161"/>
      <c r="D16" s="163" t="s">
        <v>36</v>
      </c>
      <c r="E16" s="164"/>
      <c r="F16" s="168" t="s">
        <v>26</v>
      </c>
      <c r="G16" s="173" t="s">
        <v>36</v>
      </c>
      <c r="H16" s="173"/>
      <c r="I16" s="173"/>
      <c r="J16" s="165" t="s">
        <v>26</v>
      </c>
      <c r="K16" s="170" t="s">
        <v>25</v>
      </c>
      <c r="L16" s="171"/>
      <c r="M16" s="172"/>
      <c r="N16" s="163" t="s">
        <v>36</v>
      </c>
      <c r="O16" s="164"/>
      <c r="P16" s="168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62"/>
      <c r="B17" s="162"/>
      <c r="C17" s="162"/>
      <c r="D17" s="33" t="s">
        <v>0</v>
      </c>
      <c r="E17" s="33" t="s">
        <v>1</v>
      </c>
      <c r="F17" s="169"/>
      <c r="G17" s="33" t="s">
        <v>0</v>
      </c>
      <c r="H17" s="33" t="s">
        <v>1</v>
      </c>
      <c r="I17" s="33" t="s">
        <v>187</v>
      </c>
      <c r="J17" s="165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69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SUM(D24)+D292+D331+D439+D448+D530+D548+D557+D567+D577+D587+D595+D608+D617+D626</f>
        <v>156671200.00291747</v>
      </c>
      <c r="E19" s="33">
        <f>SUM(E24)+E292+E331+E439+E448+E530+E548+E557+E567+E577+E587+E595+E608+E617+E626</f>
        <v>471741767.999755</v>
      </c>
      <c r="F19" s="33">
        <f>SUM(D19:E19)</f>
        <v>628412968.0026724</v>
      </c>
      <c r="G19" s="33">
        <f>SUM(G24)+G292+G331+G439+G448+G530+G548+G557+G567+G577+G587+G595+G608+G617+G626</f>
        <v>147876200.4057965</v>
      </c>
      <c r="H19" s="33">
        <f>SUM(H24)+H292+H331+H439+H448+H530+H548+H557+H567+H577+H587+H595+H608+H617+H626</f>
        <v>340820472.197462</v>
      </c>
      <c r="I19" s="33" t="e">
        <f>SUM(I24)+I292+I331+I439+I448+I530+I548+I557+I567+I577+I587+I595+I608+I617+I626</f>
        <v>#REF!</v>
      </c>
      <c r="J19" s="33">
        <f>SUM(G19)+H19</f>
        <v>488696672.6032585</v>
      </c>
      <c r="K19" s="33" t="e">
        <f aca="true" t="shared" si="0" ref="K19:P19">SUM(K24)+K292+K331+K439+K448+K530+K548+K557+K567+K577+K587+K595+K608+K617+K626</f>
        <v>#REF!</v>
      </c>
      <c r="L19" s="33" t="e">
        <f t="shared" si="0"/>
        <v>#REF!</v>
      </c>
      <c r="M19" s="33" t="e">
        <f t="shared" si="0"/>
        <v>#REF!</v>
      </c>
      <c r="N19" s="33">
        <f t="shared" si="0"/>
        <v>142134000.00307232</v>
      </c>
      <c r="O19" s="33">
        <f t="shared" si="0"/>
        <v>280040000.000365</v>
      </c>
      <c r="P19" s="33">
        <f t="shared" si="0"/>
        <v>422174000.0034373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191973399.99989998</v>
      </c>
      <c r="F20" s="33">
        <f>F25</f>
        <v>316973399.9998491</v>
      </c>
      <c r="G20" s="33">
        <f>G25</f>
        <v>139359999.9999605</v>
      </c>
      <c r="H20" s="33">
        <f>H25</f>
        <v>167231999.99964452</v>
      </c>
      <c r="I20" s="33">
        <f aca="true" t="shared" si="1" ref="I20:P20">I25</f>
        <v>-2000000</v>
      </c>
      <c r="J20" s="33">
        <f>SUM(G20)+H20</f>
        <v>306591999.99960506</v>
      </c>
      <c r="K20" s="33">
        <f t="shared" si="1"/>
        <v>-2000000</v>
      </c>
      <c r="L20" s="33">
        <f t="shared" si="1"/>
        <v>-2000000</v>
      </c>
      <c r="M20" s="33">
        <f t="shared" si="1"/>
        <v>-2000000</v>
      </c>
      <c r="N20" s="33">
        <f t="shared" si="1"/>
        <v>146552499.99986666</v>
      </c>
      <c r="O20" s="33">
        <f t="shared" si="1"/>
        <v>175862999.99910063</v>
      </c>
      <c r="P20" s="33">
        <f t="shared" si="1"/>
        <v>322415499.9989673</v>
      </c>
    </row>
    <row r="21" spans="1:17" ht="40.5" customHeight="1">
      <c r="A21" s="32" t="s">
        <v>189</v>
      </c>
      <c r="B21" s="32"/>
      <c r="C21" s="32"/>
      <c r="D21" s="33">
        <f aca="true" t="shared" si="2" ref="D21:I21">D332</f>
        <v>462380.003</v>
      </c>
      <c r="E21" s="33">
        <f t="shared" si="2"/>
        <v>692840</v>
      </c>
      <c r="F21" s="33">
        <f>F332</f>
        <v>1155220.003</v>
      </c>
      <c r="G21" s="33">
        <f t="shared" si="2"/>
        <v>435255</v>
      </c>
      <c r="H21" s="33">
        <f t="shared" si="2"/>
        <v>742600</v>
      </c>
      <c r="I21" s="33">
        <f t="shared" si="2"/>
        <v>0</v>
      </c>
      <c r="J21" s="33">
        <f>SUM(G21)+H21</f>
        <v>1177855</v>
      </c>
      <c r="K21" s="33">
        <f aca="true" t="shared" si="3" ref="K21:Q21">K332</f>
        <v>0</v>
      </c>
      <c r="L21" s="33">
        <f t="shared" si="3"/>
        <v>0</v>
      </c>
      <c r="M21" s="33">
        <f t="shared" si="3"/>
        <v>0</v>
      </c>
      <c r="N21" s="33">
        <f t="shared" si="3"/>
        <v>352520</v>
      </c>
      <c r="O21" s="33">
        <f t="shared" si="3"/>
        <v>787532</v>
      </c>
      <c r="P21" s="33">
        <f t="shared" si="3"/>
        <v>1140052</v>
      </c>
      <c r="Q21" s="33">
        <f t="shared" si="3"/>
        <v>0</v>
      </c>
    </row>
    <row r="22" spans="1:17" ht="20.25" customHeight="1">
      <c r="A22" s="32" t="s">
        <v>138</v>
      </c>
      <c r="B22" s="32"/>
      <c r="C22" s="32"/>
      <c r="D22" s="33">
        <f>D19+D20+D21</f>
        <v>282133580.0058666</v>
      </c>
      <c r="E22" s="33">
        <f aca="true" t="shared" si="4" ref="E22:Q22">E19+E20+E21</f>
        <v>664408007.999655</v>
      </c>
      <c r="F22" s="33">
        <f t="shared" si="4"/>
        <v>946541588.0055215</v>
      </c>
      <c r="G22" s="33">
        <f>G19+G20+G21</f>
        <v>287671455.405757</v>
      </c>
      <c r="H22" s="33">
        <f t="shared" si="4"/>
        <v>508795072.19710654</v>
      </c>
      <c r="I22" s="33" t="e">
        <f t="shared" si="4"/>
        <v>#REF!</v>
      </c>
      <c r="J22" s="33">
        <f t="shared" si="4"/>
        <v>796466527.6028636</v>
      </c>
      <c r="K22" s="33" t="e">
        <f t="shared" si="4"/>
        <v>#REF!</v>
      </c>
      <c r="L22" s="33" t="e">
        <f t="shared" si="4"/>
        <v>#REF!</v>
      </c>
      <c r="M22" s="33" t="e">
        <f t="shared" si="4"/>
        <v>#REF!</v>
      </c>
      <c r="N22" s="33">
        <f t="shared" si="4"/>
        <v>289039020.002939</v>
      </c>
      <c r="O22" s="33">
        <f t="shared" si="4"/>
        <v>456690531.99946564</v>
      </c>
      <c r="P22" s="33">
        <f t="shared" si="4"/>
        <v>745729552.0024046</v>
      </c>
      <c r="Q22" s="33">
        <f t="shared" si="4"/>
        <v>0</v>
      </c>
    </row>
    <row r="23" spans="1:235" s="139" customFormat="1" ht="30.75" customHeight="1">
      <c r="A23" s="140" t="s">
        <v>434</v>
      </c>
      <c r="B23" s="141"/>
      <c r="C23" s="141"/>
      <c r="D23" s="142">
        <f>D24+D25</f>
        <v>242045100.0028672</v>
      </c>
      <c r="E23" s="142">
        <f>E24+E25</f>
        <v>285331732.999655</v>
      </c>
      <c r="F23" s="142">
        <f>F24+F25</f>
        <v>527376833.0025222</v>
      </c>
      <c r="G23" s="142">
        <f aca="true" t="shared" si="5" ref="G23:P23">G24+G25</f>
        <v>263119200.00575703</v>
      </c>
      <c r="H23" s="142">
        <f>H24+H25</f>
        <v>271642000.19960654</v>
      </c>
      <c r="I23" s="142">
        <f t="shared" si="5"/>
        <v>-2000000</v>
      </c>
      <c r="J23" s="142">
        <f>J24+J25</f>
        <v>534761200.2053636</v>
      </c>
      <c r="K23" s="142" t="e">
        <f t="shared" si="5"/>
        <v>#REF!</v>
      </c>
      <c r="L23" s="142" t="e">
        <f t="shared" si="5"/>
        <v>#REF!</v>
      </c>
      <c r="M23" s="142" t="e">
        <f t="shared" si="5"/>
        <v>#REF!</v>
      </c>
      <c r="N23" s="142">
        <f t="shared" si="5"/>
        <v>273011500.0008893</v>
      </c>
      <c r="O23" s="142">
        <f>O24+O25</f>
        <v>287682999.9974656</v>
      </c>
      <c r="P23" s="142">
        <f t="shared" si="5"/>
        <v>560694499.9983549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SUM(D49)+D77+(D92*D95)+D99+D141+D167+D218+D242+D264+D285+D277+2000000</f>
        <v>117045100.0029181</v>
      </c>
      <c r="E24" s="142">
        <f>SUM(E49)+E77+(E92*E95)+E99+E141+E167+E218+E242+E264+E285+E277</f>
        <v>93358332.999755</v>
      </c>
      <c r="F24" s="142">
        <f>D24+E24</f>
        <v>210403433.0026731</v>
      </c>
      <c r="G24" s="142">
        <f>SUM(G49)+G77+(G92*G95)+G99+G141+G167+G218+G242+G264+G285+G277</f>
        <v>123759200.0057965</v>
      </c>
      <c r="H24" s="142">
        <f>SUM(H49)+H77+(H92*H95)+H99+H141+H167+H218+H242+H264+H285+H277</f>
        <v>104410000.199962</v>
      </c>
      <c r="I24" s="142">
        <f>I49+I77+I86+I99+I141+I167+I218+I242+I264+I277+I285</f>
        <v>0</v>
      </c>
      <c r="J24" s="142">
        <f>G24+H24</f>
        <v>228169200.2057585</v>
      </c>
      <c r="K24" s="142" t="e">
        <f>K49+K77+K86+K99+K141+K167+K218+K242+K264+K277+K285</f>
        <v>#REF!</v>
      </c>
      <c r="L24" s="142" t="e">
        <f>L49+L77+L86+L99+L141+L167+L218+L242+L264+L277+L285</f>
        <v>#REF!</v>
      </c>
      <c r="M24" s="142" t="e">
        <f>M49+M77+M86+M99+M141+M167+M218+M242+M264+M277+M285</f>
        <v>#REF!</v>
      </c>
      <c r="N24" s="142">
        <f>SUM(N49)+N77+(N92*N95)+N99+N141+N167+N218+N242+N264+N285+N277</f>
        <v>126459000.00102262</v>
      </c>
      <c r="O24" s="142">
        <f>SUM(O49)+O77+(O92*O95)+O99+O141+O167+O218+O242+O264+O285+O211+O277</f>
        <v>111819999.99836501</v>
      </c>
      <c r="P24" s="142">
        <f>N24+O24</f>
        <v>238278999.99938762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SUM(D26)+D35+D58+D113-2000000</f>
        <v>124999999.9999491</v>
      </c>
      <c r="E25" s="142">
        <f>SUM(E26)+E35+E58+E113+(E91*E94)+E44</f>
        <v>191973399.99989998</v>
      </c>
      <c r="F25" s="142">
        <f>SUM(D25)+E25</f>
        <v>316973399.9998491</v>
      </c>
      <c r="G25" s="142">
        <f>SUM(G26)+G35+G58+G113</f>
        <v>139359999.9999605</v>
      </c>
      <c r="H25" s="142">
        <f>SUM(H26)+H35+H58+H113+(H91*H94)</f>
        <v>167231999.99964452</v>
      </c>
      <c r="I25" s="142">
        <f>I26+I35+I58+I106+I113-2000000</f>
        <v>-2000000</v>
      </c>
      <c r="J25" s="142">
        <f>G25+H25</f>
        <v>306591999.99960506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SUM(N26)+N35+N58+N113</f>
        <v>146552499.99986666</v>
      </c>
      <c r="O25" s="142">
        <f>SUM(O26)+O35+O58+O113+(O91*O94)</f>
        <v>175862999.99910063</v>
      </c>
      <c r="P25" s="142">
        <f>N25+O25</f>
        <v>322415499.9989673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</f>
        <v>50073400</v>
      </c>
      <c r="F26" s="36">
        <f>SUM(D26)+E26</f>
        <v>50073400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326646800.0008291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6" ref="D43:J43">D39/D37*100</f>
        <v>41.03801369863014</v>
      </c>
      <c r="E43" s="7"/>
      <c r="F43" s="7">
        <f t="shared" si="6"/>
        <v>41.03801369863014</v>
      </c>
      <c r="G43" s="7">
        <f t="shared" si="6"/>
        <v>41.019520547945206</v>
      </c>
      <c r="H43" s="7"/>
      <c r="I43" s="7"/>
      <c r="J43" s="7">
        <f t="shared" si="6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16" ht="21.75" customHeight="1">
      <c r="A44" s="8" t="s">
        <v>380</v>
      </c>
      <c r="B44" s="6"/>
      <c r="C44" s="6"/>
      <c r="D44" s="7"/>
      <c r="E44" s="7">
        <v>41900000</v>
      </c>
      <c r="F44" s="7">
        <f>D44+E44</f>
        <v>41900000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35" s="39" customFormat="1" ht="35.25" customHeight="1">
      <c r="A49" s="34" t="s">
        <v>381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1050000</v>
      </c>
      <c r="H49" s="36">
        <f>H53*H55</f>
        <v>17050000.200000003</v>
      </c>
      <c r="I49" s="36"/>
      <c r="J49" s="36">
        <f>G49+H49</f>
        <v>18100000.200000003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7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205</v>
      </c>
      <c r="B51" s="6"/>
      <c r="C51" s="6"/>
      <c r="D51" s="7">
        <v>3</v>
      </c>
      <c r="E51" s="7">
        <v>4</v>
      </c>
      <c r="F51" s="7">
        <f t="shared" si="7"/>
        <v>7</v>
      </c>
      <c r="G51" s="7">
        <v>2</v>
      </c>
      <c r="H51" s="7">
        <v>3</v>
      </c>
      <c r="I51" s="7"/>
      <c r="J51" s="7">
        <f>G51+H51</f>
        <v>5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7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206</v>
      </c>
      <c r="B53" s="6"/>
      <c r="C53" s="6"/>
      <c r="D53" s="7">
        <v>3</v>
      </c>
      <c r="E53" s="7">
        <v>3</v>
      </c>
      <c r="F53" s="7">
        <f t="shared" si="7"/>
        <v>6</v>
      </c>
      <c r="G53" s="7">
        <v>1</v>
      </c>
      <c r="H53" s="7">
        <v>3</v>
      </c>
      <c r="I53" s="7"/>
      <c r="J53" s="7">
        <f>G53+H53</f>
        <v>4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7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191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f>400000+650000</f>
        <v>1050000</v>
      </c>
      <c r="H55" s="7">
        <v>5683333.4</v>
      </c>
      <c r="I55" s="7"/>
      <c r="J55" s="7">
        <f>G55+H55</f>
        <v>6733333.4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7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207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0.5</v>
      </c>
      <c r="H57" s="7">
        <f>H53/H51</f>
        <v>1</v>
      </c>
      <c r="I57" s="7"/>
      <c r="J57" s="7">
        <f>J53/J51*100</f>
        <v>80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37.5" customHeight="1">
      <c r="A58" s="34" t="s">
        <v>382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</f>
        <v>43480299.99999766</v>
      </c>
      <c r="H58" s="36"/>
      <c r="I58" s="36"/>
      <c r="J58" s="36">
        <f>G58</f>
        <v>43480299.99999766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33.1823349091</v>
      </c>
      <c r="H64" s="7"/>
      <c r="I64" s="7"/>
      <c r="J64" s="7">
        <f>G64</f>
        <v>33.1823349091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280</v>
      </c>
      <c r="B68" s="6"/>
      <c r="C68" s="6"/>
      <c r="D68" s="7">
        <v>446550</v>
      </c>
      <c r="E68" s="7"/>
      <c r="F68" s="7">
        <v>446550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279</v>
      </c>
      <c r="B70" s="6"/>
      <c r="C70" s="6"/>
      <c r="D70" s="7">
        <v>446550</v>
      </c>
      <c r="E70" s="7"/>
      <c r="F70" s="7">
        <v>446550</v>
      </c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383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</f>
        <v>7999999.999499999</v>
      </c>
      <c r="H77" s="36"/>
      <c r="I77" s="36"/>
      <c r="J77" s="36">
        <f>G77+H77</f>
        <v>7999999.999499999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234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7999999.999499999</v>
      </c>
      <c r="H79" s="7"/>
      <c r="I79" s="7"/>
      <c r="J79" s="7">
        <f>G79</f>
        <v>7999999.999499999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57</v>
      </c>
      <c r="B81" s="6"/>
      <c r="C81" s="6"/>
      <c r="D81" s="7">
        <v>8571.4285714</v>
      </c>
      <c r="E81" s="7"/>
      <c r="F81" s="7">
        <f>D81</f>
        <v>8571.4285714</v>
      </c>
      <c r="G81" s="7">
        <v>10666.666666</v>
      </c>
      <c r="H81" s="7"/>
      <c r="I81" s="7"/>
      <c r="J81" s="7">
        <f>G81</f>
        <v>10666.666666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58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59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0.13333333333333336</v>
      </c>
      <c r="H85" s="7"/>
      <c r="I85" s="7"/>
      <c r="J85" s="7">
        <f>J81/J79*100</f>
        <v>0.13333333333333336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384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141487999.99962872</v>
      </c>
      <c r="I86" s="36"/>
      <c r="J86" s="36">
        <f>H86</f>
        <v>141487999.99962872</v>
      </c>
      <c r="K86" s="36">
        <f aca="true" t="shared" si="8" ref="K86:P86">(K91*K94)+(K92*K95)</f>
        <v>0</v>
      </c>
      <c r="L86" s="36">
        <f t="shared" si="8"/>
        <v>0</v>
      </c>
      <c r="M86" s="36">
        <f t="shared" si="8"/>
        <v>0</v>
      </c>
      <c r="N86" s="36"/>
      <c r="O86" s="36">
        <f>(O91*O94)+(O92*O95)</f>
        <v>152241999.99910712</v>
      </c>
      <c r="P86" s="36">
        <f t="shared" si="8"/>
        <v>152241999.99910712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139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9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140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141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9"/>
        <v>103903</v>
      </c>
      <c r="K91" s="7"/>
      <c r="L91" s="7"/>
      <c r="M91" s="7"/>
      <c r="N91" s="7"/>
      <c r="O91" s="7">
        <v>103938</v>
      </c>
      <c r="P91" s="7">
        <f>O91</f>
        <v>103938</v>
      </c>
    </row>
    <row r="92" spans="1:16" ht="26.25" customHeight="1">
      <c r="A92" s="8" t="s">
        <v>142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v>58823.5294117</v>
      </c>
      <c r="I92" s="7"/>
      <c r="J92" s="7">
        <f>H92</f>
        <v>58823.5294117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145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9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146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143</v>
      </c>
      <c r="B97" s="6"/>
      <c r="C97" s="6"/>
      <c r="D97" s="7"/>
      <c r="E97" s="7">
        <f>E91/E88*100</f>
        <v>27.35526315789474</v>
      </c>
      <c r="F97" s="7">
        <f aca="true" t="shared" si="10" ref="F97:P97">F91/F88*100</f>
        <v>27.35526315789474</v>
      </c>
      <c r="G97" s="7"/>
      <c r="H97" s="7">
        <f t="shared" si="10"/>
        <v>27.342894736842105</v>
      </c>
      <c r="I97" s="7"/>
      <c r="J97" s="7">
        <f t="shared" si="10"/>
        <v>27.342894736842105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27.352105263157895</v>
      </c>
      <c r="P97" s="7">
        <f t="shared" si="10"/>
        <v>27.352105263157895</v>
      </c>
    </row>
    <row r="98" spans="1:16" ht="38.25" customHeight="1">
      <c r="A98" s="8" t="s">
        <v>144</v>
      </c>
      <c r="B98" s="6"/>
      <c r="C98" s="6"/>
      <c r="D98" s="7"/>
      <c r="E98" s="7">
        <f>E92/E89*100</f>
        <v>65.78947368421053</v>
      </c>
      <c r="F98" s="7">
        <f aca="true" t="shared" si="11" ref="F98:P98">F92/F89*100</f>
        <v>65.78947368421053</v>
      </c>
      <c r="G98" s="7"/>
      <c r="H98" s="7">
        <f t="shared" si="11"/>
        <v>77.39938080486843</v>
      </c>
      <c r="I98" s="7"/>
      <c r="J98" s="7">
        <f t="shared" si="11"/>
        <v>77.39938080486843</v>
      </c>
      <c r="K98" s="7" t="e">
        <f t="shared" si="11"/>
        <v>#DIV/0!</v>
      </c>
      <c r="L98" s="7" t="e">
        <f t="shared" si="11"/>
        <v>#DIV/0!</v>
      </c>
      <c r="M98" s="7" t="e">
        <f t="shared" si="11"/>
        <v>#DIV/0!</v>
      </c>
      <c r="N98" s="7"/>
      <c r="O98" s="7">
        <f t="shared" si="11"/>
        <v>86.89175769605264</v>
      </c>
      <c r="P98" s="7">
        <f t="shared" si="11"/>
        <v>86.89175769605264</v>
      </c>
    </row>
    <row r="99" spans="1:235" s="39" customFormat="1" ht="33.75">
      <c r="A99" s="34" t="s">
        <v>385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158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159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160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386</v>
      </c>
      <c r="B106" s="35"/>
      <c r="C106" s="35"/>
      <c r="D106" s="36"/>
      <c r="E106" s="36">
        <f>E110*E112</f>
        <v>73400</v>
      </c>
      <c r="F106" s="36">
        <f>E106</f>
        <v>73400</v>
      </c>
      <c r="G106" s="36"/>
      <c r="H106" s="36">
        <f>H110*H112</f>
        <v>0</v>
      </c>
      <c r="I106" s="36"/>
      <c r="J106" s="36">
        <f>H106</f>
        <v>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328</v>
      </c>
      <c r="B108" s="6"/>
      <c r="C108" s="6"/>
      <c r="D108" s="7"/>
      <c r="E108" s="7">
        <v>73400</v>
      </c>
      <c r="F108" s="36">
        <f>E108</f>
        <v>73400</v>
      </c>
      <c r="G108" s="7"/>
      <c r="H108" s="7">
        <v>0</v>
      </c>
      <c r="I108" s="7"/>
      <c r="J108" s="36">
        <f>H108</f>
        <v>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329</v>
      </c>
      <c r="B110" s="6"/>
      <c r="C110" s="6"/>
      <c r="D110" s="7"/>
      <c r="E110" s="7">
        <v>1</v>
      </c>
      <c r="F110" s="36">
        <f>E110</f>
        <v>1</v>
      </c>
      <c r="G110" s="7"/>
      <c r="H110" s="7">
        <v>0</v>
      </c>
      <c r="I110" s="7"/>
      <c r="J110" s="36">
        <f>H110</f>
        <v>0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330</v>
      </c>
      <c r="B112" s="6"/>
      <c r="C112" s="6"/>
      <c r="D112" s="7"/>
      <c r="E112" s="7">
        <v>73400</v>
      </c>
      <c r="F112" s="36">
        <f>E112</f>
        <v>73400</v>
      </c>
      <c r="G112" s="7"/>
      <c r="H112" s="7"/>
      <c r="I112" s="7"/>
      <c r="J112" s="36">
        <f>H112</f>
        <v>0</v>
      </c>
      <c r="K112" s="36">
        <f aca="true" t="shared" si="12" ref="K112:P112">I112</f>
        <v>0</v>
      </c>
      <c r="L112" s="36">
        <f t="shared" si="12"/>
        <v>0</v>
      </c>
      <c r="M112" s="36">
        <f t="shared" si="12"/>
        <v>0</v>
      </c>
      <c r="N112" s="36"/>
      <c r="O112" s="36">
        <f>M112</f>
        <v>0</v>
      </c>
      <c r="P112" s="36">
        <f t="shared" si="12"/>
        <v>0</v>
      </c>
    </row>
    <row r="113" spans="1:235" s="39" customFormat="1" ht="48" customHeight="1">
      <c r="A113" s="34" t="s">
        <v>387</v>
      </c>
      <c r="B113" s="35"/>
      <c r="C113" s="35"/>
      <c r="D113" s="36">
        <f>(D121*D128)+(D122*D129)+(D123*D130)+(D124*D131)+(D125*D132)+(D133*D122*D134)-10</f>
        <v>8110000</v>
      </c>
      <c r="E113" s="36">
        <f aca="true" t="shared" si="13" ref="E113:O113">(E121*E128)+(E122*E129)+(E123*E130)+(E124*E131)+(E125*E132)+(E133*E122*E134)</f>
        <v>0</v>
      </c>
      <c r="F113" s="36">
        <f>D113+E113</f>
        <v>8110000</v>
      </c>
      <c r="G113" s="36">
        <f>(G121*G128)+(G122*G129)+(G123*G130)+(G124*G131)+(G125*G132)+(G133*G122*G134)-61.6</f>
        <v>9041700.000000002</v>
      </c>
      <c r="H113" s="36">
        <f t="shared" si="13"/>
        <v>0</v>
      </c>
      <c r="I113" s="36"/>
      <c r="J113" s="36">
        <f>G113+H113</f>
        <v>9041700.000000002</v>
      </c>
      <c r="K113" s="36">
        <f t="shared" si="13"/>
        <v>0</v>
      </c>
      <c r="L113" s="36">
        <f t="shared" si="13"/>
        <v>0</v>
      </c>
      <c r="M113" s="36">
        <f t="shared" si="13"/>
        <v>0</v>
      </c>
      <c r="N113" s="36">
        <f>(N121*N128)+(N122*N129)+(N123*N130)+(N124*N131)+(N125*N132)+(N133*N122*N134)-15.8</f>
        <v>9508300</v>
      </c>
      <c r="O113" s="36">
        <f t="shared" si="13"/>
        <v>0</v>
      </c>
      <c r="P113" s="36">
        <f>N113+O113</f>
        <v>9508300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62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68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63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64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4" ref="F125:F140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182.894</v>
      </c>
      <c r="H132" s="7"/>
      <c r="I132" s="7"/>
      <c r="J132" s="7">
        <f t="shared" si="15"/>
        <v>182.894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G125/G117*100</f>
        <v>100</v>
      </c>
      <c r="H140" s="7"/>
      <c r="I140" s="7"/>
      <c r="J140" s="7">
        <f>J125/J117*100</f>
        <v>100</v>
      </c>
      <c r="K140" s="7"/>
      <c r="L140" s="7"/>
      <c r="M140" s="7"/>
      <c r="N140" s="7">
        <f>N125/N117*100</f>
        <v>100</v>
      </c>
      <c r="O140" s="7"/>
      <c r="P140" s="7">
        <f>P125/P117*100</f>
        <v>100</v>
      </c>
      <c r="IB140" s="53"/>
      <c r="IC140" s="53"/>
      <c r="ID140" s="53"/>
      <c r="IE140" s="53"/>
      <c r="IF140" s="53"/>
      <c r="IG140" s="53"/>
    </row>
    <row r="141" spans="1:241" s="38" customFormat="1" ht="24" customHeight="1">
      <c r="A141" s="34" t="s">
        <v>388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235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8.25" customHeight="1">
      <c r="A167" s="34" t="s">
        <v>389</v>
      </c>
      <c r="B167" s="35"/>
      <c r="C167" s="35"/>
      <c r="D167" s="36">
        <f>SUM(D180)*D194+D181*D195+D182*D196+D184*D198+D185*D199+D186*D200+D187*D201+D188*D202+D189*D203+D190*D204+0.65+532023</f>
        <v>19686999.999978114</v>
      </c>
      <c r="E167" s="36">
        <f>SUM(E183)*E197+E191*E205+E192*E206+E211</f>
        <v>23278332.999995</v>
      </c>
      <c r="F167" s="36">
        <f>D167+E167</f>
        <v>42965332.99997312</v>
      </c>
      <c r="G167" s="36">
        <f>SUM(G180)*G194+G181*G195+G182*G196+G184*G198+G185*G199+G186*G200+G187*G201+G188*G202+G189*G203+G190*G204-0.02+552000+58000+350000</f>
        <v>20664000.004896514</v>
      </c>
      <c r="H167" s="36">
        <f>SUM(H183)*H197+H191*H205+H192*H206+H211</f>
        <v>23859999.999995</v>
      </c>
      <c r="I167" s="36"/>
      <c r="J167" s="36">
        <f>G167+H167</f>
        <v>44524000.004891515</v>
      </c>
      <c r="K167" s="36" t="e">
        <f>(K180*K194)+(K181*K195)+(K182*K196)+(K185*K199)+(K186*K200)+(K201*K187)+(#REF!*#REF!)-1036.73</f>
        <v>#REF!</v>
      </c>
      <c r="L167" s="36" t="e">
        <f>(L180*L194)+(L181*L195)+(L182*L196)+(L185*L199)+(L186*L200)+(L201*L187)+(#REF!*#REF!)-1036.73</f>
        <v>#REF!</v>
      </c>
      <c r="M167" s="36" t="e">
        <f>(M180*M194)+(M181*M195)+(M182*M196)+(M185*M199)+(M186*M200)+(M201*M187)+(#REF!*#REF!)-1036.73</f>
        <v>#REF!</v>
      </c>
      <c r="N167" s="36">
        <f>SUM(N180)*N194+N181*N195+N182*N196+N184*N198+N185*N199+N186*N200+N187*N201+N188*N202+N189*N203+N190*N204+0.2+591794</f>
        <v>21544999.99979262</v>
      </c>
      <c r="O167" s="36">
        <f>SUM(O183)*O197+O191*O205+O192*O206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236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/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213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/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214</v>
      </c>
      <c r="B177" s="6"/>
      <c r="C177" s="6"/>
      <c r="D177" s="7"/>
      <c r="E177" s="7">
        <v>3.5</v>
      </c>
      <c r="F177" s="7"/>
      <c r="G177" s="7"/>
      <c r="H177" s="7">
        <v>3.5</v>
      </c>
      <c r="I177" s="7"/>
      <c r="J177" s="7"/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231</v>
      </c>
      <c r="B178" s="6"/>
      <c r="C178" s="6"/>
      <c r="D178" s="7"/>
      <c r="E178" s="7">
        <v>25</v>
      </c>
      <c r="F178" s="7"/>
      <c r="G178" s="7"/>
      <c r="H178" s="7">
        <v>15</v>
      </c>
      <c r="I178" s="7"/>
      <c r="J178" s="7"/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11.25">
      <c r="A179" s="5" t="s">
        <v>5</v>
      </c>
      <c r="B179" s="37"/>
      <c r="C179" s="37"/>
      <c r="D179" s="30"/>
      <c r="E179" s="30"/>
      <c r="F179" s="30"/>
      <c r="G179" s="30"/>
      <c r="H179" s="30"/>
      <c r="I179" s="30"/>
      <c r="J179" s="7"/>
      <c r="K179" s="7"/>
      <c r="L179" s="7"/>
      <c r="M179" s="7"/>
      <c r="N179" s="30"/>
      <c r="O179" s="30"/>
      <c r="P179" s="7"/>
      <c r="IB179" s="53"/>
      <c r="IC179" s="53"/>
      <c r="ID179" s="53"/>
      <c r="IE179" s="53"/>
      <c r="IF179" s="53"/>
      <c r="IG179" s="53"/>
    </row>
    <row r="180" spans="1:241" s="25" customFormat="1" ht="38.25" customHeight="1">
      <c r="A180" s="8" t="s">
        <v>90</v>
      </c>
      <c r="B180" s="6"/>
      <c r="C180" s="6"/>
      <c r="D180" s="7">
        <v>135</v>
      </c>
      <c r="E180" s="7"/>
      <c r="F180" s="7">
        <f>D180</f>
        <v>135</v>
      </c>
      <c r="G180" s="7">
        <f>F180</f>
        <v>135</v>
      </c>
      <c r="H180" s="7"/>
      <c r="I180" s="7"/>
      <c r="J180" s="7">
        <f aca="true" t="shared" si="21" ref="J180:J188">G180</f>
        <v>135</v>
      </c>
      <c r="K180" s="7"/>
      <c r="L180" s="7"/>
      <c r="M180" s="7"/>
      <c r="N180" s="7">
        <f>J180</f>
        <v>135</v>
      </c>
      <c r="O180" s="7"/>
      <c r="P180" s="7">
        <f aca="true" t="shared" si="22" ref="P180:P188">N180</f>
        <v>135</v>
      </c>
      <c r="IB180" s="53"/>
      <c r="IC180" s="53"/>
      <c r="ID180" s="53"/>
      <c r="IE180" s="53"/>
      <c r="IF180" s="53"/>
      <c r="IG180" s="53"/>
    </row>
    <row r="181" spans="1:241" s="25" customFormat="1" ht="22.5">
      <c r="A181" s="8" t="s">
        <v>91</v>
      </c>
      <c r="B181" s="6"/>
      <c r="C181" s="6"/>
      <c r="D181" s="7">
        <v>920</v>
      </c>
      <c r="E181" s="7"/>
      <c r="F181" s="7">
        <f aca="true" t="shared" si="23" ref="F181:F191">D181</f>
        <v>920</v>
      </c>
      <c r="G181" s="7">
        <v>920</v>
      </c>
      <c r="H181" s="7"/>
      <c r="I181" s="7"/>
      <c r="J181" s="7">
        <f t="shared" si="21"/>
        <v>920</v>
      </c>
      <c r="K181" s="7"/>
      <c r="L181" s="7"/>
      <c r="M181" s="7"/>
      <c r="N181" s="7">
        <v>920</v>
      </c>
      <c r="O181" s="7"/>
      <c r="P181" s="7">
        <f t="shared" si="22"/>
        <v>920</v>
      </c>
      <c r="IB181" s="53"/>
      <c r="IC181" s="53"/>
      <c r="ID181" s="53"/>
      <c r="IE181" s="53"/>
      <c r="IF181" s="53"/>
      <c r="IG181" s="53"/>
    </row>
    <row r="182" spans="1:241" s="25" customFormat="1" ht="26.25" customHeight="1">
      <c r="A182" s="8" t="s">
        <v>92</v>
      </c>
      <c r="B182" s="6"/>
      <c r="C182" s="6"/>
      <c r="D182" s="7">
        <v>800</v>
      </c>
      <c r="E182" s="7"/>
      <c r="F182" s="7">
        <f t="shared" si="23"/>
        <v>800</v>
      </c>
      <c r="G182" s="7">
        <v>800</v>
      </c>
      <c r="H182" s="7"/>
      <c r="I182" s="7"/>
      <c r="J182" s="7">
        <f t="shared" si="21"/>
        <v>800</v>
      </c>
      <c r="K182" s="7"/>
      <c r="L182" s="7"/>
      <c r="M182" s="7"/>
      <c r="N182" s="7">
        <v>800</v>
      </c>
      <c r="O182" s="7"/>
      <c r="P182" s="7">
        <f t="shared" si="22"/>
        <v>800</v>
      </c>
      <c r="IB182" s="53"/>
      <c r="IC182" s="53"/>
      <c r="ID182" s="53"/>
      <c r="IE182" s="53"/>
      <c r="IF182" s="53"/>
      <c r="IG182" s="53"/>
    </row>
    <row r="183" spans="1:241" s="25" customFormat="1" ht="33" customHeight="1">
      <c r="A183" s="8" t="s">
        <v>208</v>
      </c>
      <c r="B183" s="6"/>
      <c r="C183" s="6"/>
      <c r="D183" s="7"/>
      <c r="E183" s="7">
        <v>200</v>
      </c>
      <c r="F183" s="7">
        <f>E183</f>
        <v>200</v>
      </c>
      <c r="G183" s="7"/>
      <c r="H183" s="7">
        <v>200</v>
      </c>
      <c r="I183" s="7"/>
      <c r="J183" s="7">
        <f>H183</f>
        <v>200</v>
      </c>
      <c r="K183" s="7"/>
      <c r="L183" s="7"/>
      <c r="M183" s="7"/>
      <c r="N183" s="7"/>
      <c r="O183" s="7">
        <v>200</v>
      </c>
      <c r="P183" s="7">
        <f>O183</f>
        <v>200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343</v>
      </c>
      <c r="B184" s="6"/>
      <c r="C184" s="6"/>
      <c r="D184" s="7">
        <v>1000</v>
      </c>
      <c r="E184" s="7"/>
      <c r="F184" s="7">
        <f>D184</f>
        <v>1000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IB184" s="53"/>
      <c r="IC184" s="53"/>
      <c r="ID184" s="53"/>
      <c r="IE184" s="53"/>
      <c r="IF184" s="53"/>
      <c r="IG184" s="53"/>
    </row>
    <row r="185" spans="1:241" s="25" customFormat="1" ht="22.5">
      <c r="A185" s="8" t="s">
        <v>102</v>
      </c>
      <c r="B185" s="6"/>
      <c r="C185" s="6"/>
      <c r="D185" s="7">
        <v>300</v>
      </c>
      <c r="E185" s="7"/>
      <c r="F185" s="7">
        <f t="shared" si="23"/>
        <v>300</v>
      </c>
      <c r="G185" s="7">
        <v>300</v>
      </c>
      <c r="H185" s="7"/>
      <c r="I185" s="7"/>
      <c r="J185" s="7">
        <f t="shared" si="21"/>
        <v>300</v>
      </c>
      <c r="K185" s="7"/>
      <c r="L185" s="7"/>
      <c r="M185" s="7"/>
      <c r="N185" s="7">
        <v>300</v>
      </c>
      <c r="O185" s="7"/>
      <c r="P185" s="7">
        <f t="shared" si="22"/>
        <v>300</v>
      </c>
      <c r="IB185" s="53"/>
      <c r="IC185" s="53"/>
      <c r="ID185" s="53"/>
      <c r="IE185" s="53"/>
      <c r="IF185" s="53"/>
      <c r="IG185" s="53"/>
    </row>
    <row r="186" spans="1:241" s="25" customFormat="1" ht="22.5">
      <c r="A186" s="8" t="s">
        <v>93</v>
      </c>
      <c r="B186" s="6"/>
      <c r="C186" s="6"/>
      <c r="D186" s="7">
        <v>76.26</v>
      </c>
      <c r="E186" s="7"/>
      <c r="F186" s="7">
        <f t="shared" si="23"/>
        <v>76.26</v>
      </c>
      <c r="G186" s="7">
        <v>76.26</v>
      </c>
      <c r="H186" s="7"/>
      <c r="I186" s="7"/>
      <c r="J186" s="7">
        <f t="shared" si="21"/>
        <v>76.26</v>
      </c>
      <c r="K186" s="7"/>
      <c r="L186" s="7"/>
      <c r="M186" s="7"/>
      <c r="N186" s="7">
        <f>J186</f>
        <v>76.26</v>
      </c>
      <c r="O186" s="7"/>
      <c r="P186" s="7">
        <f t="shared" si="22"/>
        <v>76.26</v>
      </c>
      <c r="IB186" s="53"/>
      <c r="IC186" s="53"/>
      <c r="ID186" s="53"/>
      <c r="IE186" s="53"/>
      <c r="IF186" s="53"/>
      <c r="IG186" s="53"/>
    </row>
    <row r="187" spans="1:241" s="25" customFormat="1" ht="24" customHeight="1">
      <c r="A187" s="8" t="s">
        <v>229</v>
      </c>
      <c r="B187" s="6"/>
      <c r="C187" s="6"/>
      <c r="D187" s="7">
        <v>5</v>
      </c>
      <c r="E187" s="7"/>
      <c r="F187" s="7">
        <f t="shared" si="23"/>
        <v>5</v>
      </c>
      <c r="G187" s="7">
        <f>F187</f>
        <v>5</v>
      </c>
      <c r="H187" s="7"/>
      <c r="I187" s="7"/>
      <c r="J187" s="7">
        <f t="shared" si="21"/>
        <v>5</v>
      </c>
      <c r="K187" s="7"/>
      <c r="L187" s="7"/>
      <c r="M187" s="7"/>
      <c r="N187" s="7">
        <f>J187</f>
        <v>5</v>
      </c>
      <c r="O187" s="7"/>
      <c r="P187" s="7">
        <f t="shared" si="22"/>
        <v>5</v>
      </c>
      <c r="IB187" s="53"/>
      <c r="IC187" s="53"/>
      <c r="ID187" s="53"/>
      <c r="IE187" s="53"/>
      <c r="IF187" s="53"/>
      <c r="IG187" s="53"/>
    </row>
    <row r="188" spans="1:241" s="25" customFormat="1" ht="21.75" customHeight="1">
      <c r="A188" s="8" t="s">
        <v>136</v>
      </c>
      <c r="B188" s="6"/>
      <c r="C188" s="6"/>
      <c r="D188" s="7">
        <v>2</v>
      </c>
      <c r="E188" s="7"/>
      <c r="F188" s="7">
        <f t="shared" si="23"/>
        <v>2</v>
      </c>
      <c r="G188" s="7">
        <v>2</v>
      </c>
      <c r="H188" s="7"/>
      <c r="I188" s="7"/>
      <c r="J188" s="7">
        <f t="shared" si="21"/>
        <v>2</v>
      </c>
      <c r="K188" s="7"/>
      <c r="L188" s="7"/>
      <c r="M188" s="7"/>
      <c r="N188" s="7">
        <v>2</v>
      </c>
      <c r="O188" s="7"/>
      <c r="P188" s="7">
        <f t="shared" si="22"/>
        <v>2</v>
      </c>
      <c r="IB188" s="53"/>
      <c r="IC188" s="53"/>
      <c r="ID188" s="53"/>
      <c r="IE188" s="53"/>
      <c r="IF188" s="53"/>
      <c r="IG188" s="53"/>
    </row>
    <row r="189" spans="1:241" s="25" customFormat="1" ht="28.5" customHeight="1">
      <c r="A189" s="8" t="s">
        <v>148</v>
      </c>
      <c r="B189" s="6"/>
      <c r="C189" s="6"/>
      <c r="D189" s="7">
        <v>11.549</v>
      </c>
      <c r="E189" s="7"/>
      <c r="F189" s="7">
        <f t="shared" si="23"/>
        <v>11.549</v>
      </c>
      <c r="G189" s="7">
        <v>11.549</v>
      </c>
      <c r="H189" s="7"/>
      <c r="I189" s="7"/>
      <c r="J189" s="7">
        <v>11.55</v>
      </c>
      <c r="K189" s="7"/>
      <c r="L189" s="7"/>
      <c r="M189" s="7"/>
      <c r="N189" s="7">
        <v>11.549</v>
      </c>
      <c r="O189" s="7"/>
      <c r="P189" s="7">
        <v>11.55</v>
      </c>
      <c r="IB189" s="53"/>
      <c r="IC189" s="53"/>
      <c r="ID189" s="53"/>
      <c r="IE189" s="53"/>
      <c r="IF189" s="53"/>
      <c r="IG189" s="53"/>
    </row>
    <row r="190" spans="1:241" s="25" customFormat="1" ht="28.5" customHeight="1">
      <c r="A190" s="8" t="s">
        <v>215</v>
      </c>
      <c r="B190" s="6"/>
      <c r="C190" s="6"/>
      <c r="D190" s="7">
        <v>5</v>
      </c>
      <c r="E190" s="7"/>
      <c r="F190" s="7">
        <f t="shared" si="23"/>
        <v>5</v>
      </c>
      <c r="G190" s="7">
        <v>10</v>
      </c>
      <c r="H190" s="7"/>
      <c r="I190" s="7"/>
      <c r="J190" s="7">
        <f>G190</f>
        <v>10</v>
      </c>
      <c r="K190" s="7"/>
      <c r="L190" s="7"/>
      <c r="M190" s="7"/>
      <c r="N190" s="7">
        <v>15</v>
      </c>
      <c r="O190" s="7"/>
      <c r="P190" s="7">
        <f>N190</f>
        <v>15</v>
      </c>
      <c r="IB190" s="53"/>
      <c r="IC190" s="53"/>
      <c r="ID190" s="53"/>
      <c r="IE190" s="53"/>
      <c r="IF190" s="53"/>
      <c r="IG190" s="53"/>
    </row>
    <row r="191" spans="1:241" s="25" customFormat="1" ht="34.5" customHeight="1">
      <c r="A191" s="8" t="s">
        <v>216</v>
      </c>
      <c r="B191" s="6"/>
      <c r="C191" s="6"/>
      <c r="D191" s="7"/>
      <c r="E191" s="7">
        <v>3.5</v>
      </c>
      <c r="F191" s="7">
        <f t="shared" si="23"/>
        <v>0</v>
      </c>
      <c r="G191" s="7"/>
      <c r="H191" s="7">
        <v>3.5</v>
      </c>
      <c r="I191" s="7"/>
      <c r="J191" s="7">
        <f>G191</f>
        <v>0</v>
      </c>
      <c r="K191" s="7"/>
      <c r="L191" s="7"/>
      <c r="M191" s="7"/>
      <c r="N191" s="7"/>
      <c r="O191" s="7">
        <v>3.5</v>
      </c>
      <c r="P191" s="7">
        <f>N191</f>
        <v>0</v>
      </c>
      <c r="IB191" s="53"/>
      <c r="IC191" s="53"/>
      <c r="ID191" s="53"/>
      <c r="IE191" s="53"/>
      <c r="IF191" s="53"/>
      <c r="IG191" s="53"/>
    </row>
    <row r="192" spans="1:241" s="25" customFormat="1" ht="33" customHeight="1">
      <c r="A192" s="8" t="s">
        <v>232</v>
      </c>
      <c r="B192" s="6"/>
      <c r="C192" s="6"/>
      <c r="D192" s="7"/>
      <c r="E192" s="7">
        <v>10</v>
      </c>
      <c r="F192" s="7"/>
      <c r="G192" s="7"/>
      <c r="H192" s="7">
        <v>5</v>
      </c>
      <c r="I192" s="7"/>
      <c r="J192" s="7"/>
      <c r="K192" s="7"/>
      <c r="L192" s="7"/>
      <c r="M192" s="7"/>
      <c r="N192" s="7"/>
      <c r="O192" s="7">
        <v>10</v>
      </c>
      <c r="P192" s="7"/>
      <c r="IB192" s="53"/>
      <c r="IC192" s="53"/>
      <c r="ID192" s="53"/>
      <c r="IE192" s="53"/>
      <c r="IF192" s="53"/>
      <c r="IG192" s="53"/>
    </row>
    <row r="193" spans="1:241" s="25" customFormat="1" ht="11.25">
      <c r="A193" s="5" t="s">
        <v>7</v>
      </c>
      <c r="B193" s="37"/>
      <c r="C193" s="37"/>
      <c r="D193" s="30"/>
      <c r="E193" s="30"/>
      <c r="F193" s="7"/>
      <c r="G193" s="30"/>
      <c r="H193" s="30"/>
      <c r="I193" s="30"/>
      <c r="J193" s="7"/>
      <c r="K193" s="7"/>
      <c r="L193" s="7"/>
      <c r="M193" s="7"/>
      <c r="N193" s="30"/>
      <c r="O193" s="30"/>
      <c r="P193" s="7"/>
      <c r="IB193" s="53"/>
      <c r="IC193" s="53"/>
      <c r="ID193" s="53"/>
      <c r="IE193" s="53"/>
      <c r="IF193" s="53"/>
      <c r="IG193" s="53"/>
    </row>
    <row r="194" spans="1:241" s="25" customFormat="1" ht="33.75">
      <c r="A194" s="8" t="s">
        <v>94</v>
      </c>
      <c r="B194" s="37"/>
      <c r="C194" s="37"/>
      <c r="D194" s="7">
        <v>46611.41</v>
      </c>
      <c r="E194" s="30"/>
      <c r="F194" s="7">
        <f>D194</f>
        <v>46611.41</v>
      </c>
      <c r="G194" s="7">
        <v>48277.615</v>
      </c>
      <c r="H194" s="30"/>
      <c r="I194" s="30"/>
      <c r="J194" s="7">
        <f aca="true" t="shared" si="24" ref="J194:J202">G194</f>
        <v>48277.615</v>
      </c>
      <c r="K194" s="7"/>
      <c r="L194" s="7"/>
      <c r="M194" s="7"/>
      <c r="N194" s="7">
        <v>50079.48</v>
      </c>
      <c r="O194" s="30"/>
      <c r="P194" s="7">
        <f aca="true" t="shared" si="25" ref="P194:P204">N194</f>
        <v>50079.48</v>
      </c>
      <c r="IB194" s="53"/>
      <c r="IC194" s="53"/>
      <c r="ID194" s="53"/>
      <c r="IE194" s="53"/>
      <c r="IF194" s="53"/>
      <c r="IG194" s="53"/>
    </row>
    <row r="195" spans="1:241" s="25" customFormat="1" ht="22.5">
      <c r="A195" s="8" t="s">
        <v>95</v>
      </c>
      <c r="B195" s="6"/>
      <c r="C195" s="6"/>
      <c r="D195" s="7">
        <v>1850.5</v>
      </c>
      <c r="E195" s="7"/>
      <c r="F195" s="7">
        <f>D195</f>
        <v>1850.5</v>
      </c>
      <c r="G195" s="7">
        <v>1910.35</v>
      </c>
      <c r="H195" s="7"/>
      <c r="I195" s="7"/>
      <c r="J195" s="7">
        <f t="shared" si="24"/>
        <v>1910.35</v>
      </c>
      <c r="K195" s="7"/>
      <c r="L195" s="7"/>
      <c r="M195" s="7"/>
      <c r="N195" s="7">
        <v>1950.3</v>
      </c>
      <c r="O195" s="7"/>
      <c r="P195" s="7">
        <f t="shared" si="25"/>
        <v>1950.3</v>
      </c>
      <c r="IB195" s="53"/>
      <c r="IC195" s="53"/>
      <c r="ID195" s="53"/>
      <c r="IE195" s="53"/>
      <c r="IF195" s="53"/>
      <c r="IG195" s="53"/>
    </row>
    <row r="196" spans="1:241" s="25" customFormat="1" ht="22.5">
      <c r="A196" s="8" t="s">
        <v>96</v>
      </c>
      <c r="B196" s="6"/>
      <c r="C196" s="6"/>
      <c r="D196" s="7">
        <v>943.75</v>
      </c>
      <c r="E196" s="7"/>
      <c r="F196" s="7">
        <f aca="true" t="shared" si="26" ref="F196:F204">D196</f>
        <v>943.75</v>
      </c>
      <c r="G196" s="7">
        <v>975</v>
      </c>
      <c r="H196" s="7"/>
      <c r="I196" s="7"/>
      <c r="J196" s="7">
        <f t="shared" si="24"/>
        <v>975</v>
      </c>
      <c r="K196" s="7"/>
      <c r="L196" s="7"/>
      <c r="M196" s="7"/>
      <c r="N196" s="7">
        <v>1018.75</v>
      </c>
      <c r="O196" s="7"/>
      <c r="P196" s="7">
        <f t="shared" si="25"/>
        <v>1018.75</v>
      </c>
      <c r="IB196" s="53"/>
      <c r="IC196" s="53"/>
      <c r="ID196" s="53"/>
      <c r="IE196" s="53"/>
      <c r="IF196" s="53"/>
      <c r="IG196" s="53"/>
    </row>
    <row r="197" spans="1:241" s="25" customFormat="1" ht="27" customHeight="1">
      <c r="A197" s="8" t="s">
        <v>209</v>
      </c>
      <c r="B197" s="6"/>
      <c r="C197" s="6"/>
      <c r="D197" s="7"/>
      <c r="E197" s="7">
        <v>700</v>
      </c>
      <c r="F197" s="7">
        <f>E197</f>
        <v>700</v>
      </c>
      <c r="G197" s="7"/>
      <c r="H197" s="7">
        <v>800</v>
      </c>
      <c r="I197" s="7"/>
      <c r="J197" s="7">
        <f>H197</f>
        <v>800</v>
      </c>
      <c r="K197" s="7"/>
      <c r="L197" s="7"/>
      <c r="M197" s="7"/>
      <c r="N197" s="7"/>
      <c r="O197" s="7">
        <v>850</v>
      </c>
      <c r="P197" s="7">
        <f>O197</f>
        <v>850</v>
      </c>
      <c r="IB197" s="53"/>
      <c r="IC197" s="53"/>
      <c r="ID197" s="53"/>
      <c r="IE197" s="53"/>
      <c r="IF197" s="53"/>
      <c r="IG197" s="53"/>
    </row>
    <row r="198" spans="1:241" s="25" customFormat="1" ht="27" customHeight="1">
      <c r="A198" s="8" t="s">
        <v>344</v>
      </c>
      <c r="B198" s="6"/>
      <c r="C198" s="6"/>
      <c r="D198" s="7">
        <v>500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97</v>
      </c>
      <c r="B199" s="6"/>
      <c r="C199" s="6"/>
      <c r="D199" s="7">
        <v>5866.6666666</v>
      </c>
      <c r="E199" s="7"/>
      <c r="F199" s="7">
        <f t="shared" si="26"/>
        <v>5866.6666666</v>
      </c>
      <c r="G199" s="7">
        <v>6433.333333</v>
      </c>
      <c r="H199" s="7"/>
      <c r="I199" s="7"/>
      <c r="J199" s="7">
        <f t="shared" si="24"/>
        <v>6433.333333</v>
      </c>
      <c r="K199" s="7"/>
      <c r="L199" s="7"/>
      <c r="M199" s="7"/>
      <c r="N199" s="7">
        <v>6966.666666</v>
      </c>
      <c r="O199" s="7"/>
      <c r="P199" s="7">
        <f t="shared" si="25"/>
        <v>6966.666666</v>
      </c>
      <c r="IB199" s="53"/>
      <c r="IC199" s="53"/>
      <c r="ID199" s="53"/>
      <c r="IE199" s="53"/>
      <c r="IF199" s="53"/>
      <c r="IG199" s="53"/>
    </row>
    <row r="200" spans="1:241" s="25" customFormat="1" ht="22.5">
      <c r="A200" s="8" t="s">
        <v>98</v>
      </c>
      <c r="B200" s="6"/>
      <c r="C200" s="6"/>
      <c r="D200" s="7">
        <v>89260.4248623</v>
      </c>
      <c r="E200" s="7"/>
      <c r="F200" s="7">
        <f t="shared" si="26"/>
        <v>89260.4248623</v>
      </c>
      <c r="G200" s="7">
        <v>93377.9176501</v>
      </c>
      <c r="H200" s="7"/>
      <c r="I200" s="7"/>
      <c r="J200" s="7">
        <f t="shared" si="24"/>
        <v>93377.9176501</v>
      </c>
      <c r="K200" s="7"/>
      <c r="L200" s="7"/>
      <c r="M200" s="7"/>
      <c r="N200" s="7">
        <v>98806.7138735</v>
      </c>
      <c r="O200" s="7"/>
      <c r="P200" s="7">
        <f t="shared" si="25"/>
        <v>98806.7138735</v>
      </c>
      <c r="IB200" s="53"/>
      <c r="IC200" s="53"/>
      <c r="ID200" s="53"/>
      <c r="IE200" s="53"/>
      <c r="IF200" s="53"/>
      <c r="IG200" s="53"/>
    </row>
    <row r="201" spans="1:241" s="25" customFormat="1" ht="29.25" customHeight="1">
      <c r="A201" s="8" t="s">
        <v>230</v>
      </c>
      <c r="B201" s="6"/>
      <c r="C201" s="6"/>
      <c r="D201" s="7">
        <v>38000</v>
      </c>
      <c r="E201" s="7"/>
      <c r="F201" s="7">
        <f t="shared" si="26"/>
        <v>38000</v>
      </c>
      <c r="G201" s="7">
        <v>38000</v>
      </c>
      <c r="H201" s="7"/>
      <c r="I201" s="7"/>
      <c r="J201" s="7">
        <f t="shared" si="24"/>
        <v>38000</v>
      </c>
      <c r="K201" s="7"/>
      <c r="L201" s="7"/>
      <c r="M201" s="7"/>
      <c r="N201" s="7">
        <v>38000</v>
      </c>
      <c r="O201" s="7"/>
      <c r="P201" s="7">
        <f t="shared" si="25"/>
        <v>38000</v>
      </c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137</v>
      </c>
      <c r="B202" s="6"/>
      <c r="C202" s="6"/>
      <c r="D202" s="7">
        <v>3988</v>
      </c>
      <c r="E202" s="7"/>
      <c r="F202" s="7">
        <f t="shared" si="26"/>
        <v>3988</v>
      </c>
      <c r="G202" s="7">
        <v>4000</v>
      </c>
      <c r="H202" s="7"/>
      <c r="I202" s="7"/>
      <c r="J202" s="7">
        <f t="shared" si="24"/>
        <v>4000</v>
      </c>
      <c r="K202" s="7"/>
      <c r="L202" s="7"/>
      <c r="M202" s="7"/>
      <c r="N202" s="7">
        <v>4100</v>
      </c>
      <c r="O202" s="7"/>
      <c r="P202" s="7">
        <f t="shared" si="25"/>
        <v>4100</v>
      </c>
      <c r="IB202" s="53"/>
      <c r="IC202" s="53"/>
      <c r="ID202" s="53"/>
      <c r="IE202" s="53"/>
      <c r="IF202" s="53"/>
      <c r="IG202" s="53"/>
    </row>
    <row r="203" spans="1:241" s="25" customFormat="1" ht="33.75" customHeight="1">
      <c r="A203" s="8" t="s">
        <v>149</v>
      </c>
      <c r="B203" s="6"/>
      <c r="C203" s="6"/>
      <c r="D203" s="7">
        <v>12122.2616676</v>
      </c>
      <c r="E203" s="7"/>
      <c r="F203" s="7">
        <f t="shared" si="26"/>
        <v>12122.2616676</v>
      </c>
      <c r="G203" s="7">
        <v>17317.5166681</v>
      </c>
      <c r="H203" s="7"/>
      <c r="I203" s="7"/>
      <c r="J203" s="7">
        <f>G203</f>
        <v>17317.5166681</v>
      </c>
      <c r="K203" s="7"/>
      <c r="L203" s="7"/>
      <c r="M203" s="7"/>
      <c r="N203" s="7">
        <v>22512.7716685</v>
      </c>
      <c r="O203" s="7"/>
      <c r="P203" s="7">
        <f t="shared" si="25"/>
        <v>22512.7716685</v>
      </c>
      <c r="IB203" s="53"/>
      <c r="IC203" s="53"/>
      <c r="ID203" s="53"/>
      <c r="IE203" s="53"/>
      <c r="IF203" s="53"/>
      <c r="IG203" s="53"/>
    </row>
    <row r="204" spans="1:241" s="25" customFormat="1" ht="33.75" customHeight="1">
      <c r="A204" s="8" t="s">
        <v>217</v>
      </c>
      <c r="B204" s="6"/>
      <c r="C204" s="6"/>
      <c r="D204" s="7">
        <v>200000</v>
      </c>
      <c r="E204" s="7"/>
      <c r="F204" s="7">
        <f t="shared" si="26"/>
        <v>200000</v>
      </c>
      <c r="G204" s="7">
        <v>120000</v>
      </c>
      <c r="H204" s="7"/>
      <c r="I204" s="7"/>
      <c r="J204" s="7">
        <f>G204</f>
        <v>120000</v>
      </c>
      <c r="K204" s="7"/>
      <c r="L204" s="7"/>
      <c r="M204" s="7"/>
      <c r="N204" s="7">
        <v>100000</v>
      </c>
      <c r="O204" s="7"/>
      <c r="P204" s="7">
        <f t="shared" si="25"/>
        <v>100000</v>
      </c>
      <c r="IB204" s="53"/>
      <c r="IC204" s="53"/>
      <c r="ID204" s="53"/>
      <c r="IE204" s="53"/>
      <c r="IF204" s="53"/>
      <c r="IG204" s="53"/>
    </row>
    <row r="205" spans="1:241" s="25" customFormat="1" ht="36" customHeight="1">
      <c r="A205" s="8" t="s">
        <v>237</v>
      </c>
      <c r="B205" s="6"/>
      <c r="C205" s="6"/>
      <c r="D205" s="7"/>
      <c r="E205" s="7">
        <v>1428571.42857</v>
      </c>
      <c r="F205" s="7"/>
      <c r="G205" s="7"/>
      <c r="H205" s="7">
        <v>1428571.42857</v>
      </c>
      <c r="I205" s="7"/>
      <c r="J205" s="7"/>
      <c r="K205" s="7"/>
      <c r="L205" s="7"/>
      <c r="M205" s="7"/>
      <c r="N205" s="7"/>
      <c r="O205" s="7">
        <v>1428571.42857</v>
      </c>
      <c r="P205" s="7"/>
      <c r="IB205" s="53"/>
      <c r="IC205" s="53"/>
      <c r="ID205" s="53"/>
      <c r="IE205" s="53"/>
      <c r="IF205" s="53"/>
      <c r="IG205" s="53"/>
    </row>
    <row r="206" spans="1:241" s="25" customFormat="1" ht="42" customHeight="1">
      <c r="A206" s="8" t="s">
        <v>233</v>
      </c>
      <c r="B206" s="6"/>
      <c r="C206" s="6"/>
      <c r="D206" s="7"/>
      <c r="E206" s="7">
        <v>1800000</v>
      </c>
      <c r="F206" s="7"/>
      <c r="G206" s="7"/>
      <c r="H206" s="7">
        <v>3600000</v>
      </c>
      <c r="I206" s="7"/>
      <c r="J206" s="7"/>
      <c r="K206" s="7"/>
      <c r="L206" s="7"/>
      <c r="M206" s="7"/>
      <c r="N206" s="7"/>
      <c r="O206" s="7">
        <v>1800000</v>
      </c>
      <c r="P206" s="7"/>
      <c r="IB206" s="53"/>
      <c r="IC206" s="53"/>
      <c r="ID206" s="53"/>
      <c r="IE206" s="53"/>
      <c r="IF206" s="53"/>
      <c r="IG206" s="53"/>
    </row>
    <row r="207" spans="1:241" s="25" customFormat="1" ht="11.25">
      <c r="A207" s="5" t="s">
        <v>6</v>
      </c>
      <c r="B207" s="37"/>
      <c r="C207" s="37"/>
      <c r="D207" s="30"/>
      <c r="E207" s="30"/>
      <c r="F207" s="7"/>
      <c r="G207" s="30"/>
      <c r="H207" s="30"/>
      <c r="I207" s="30"/>
      <c r="J207" s="7"/>
      <c r="K207" s="7"/>
      <c r="L207" s="7"/>
      <c r="M207" s="7"/>
      <c r="N207" s="30"/>
      <c r="O207" s="30"/>
      <c r="P207" s="7"/>
      <c r="IB207" s="53"/>
      <c r="IC207" s="53"/>
      <c r="ID207" s="53"/>
      <c r="IE207" s="53"/>
      <c r="IF207" s="53"/>
      <c r="IG207" s="53"/>
    </row>
    <row r="208" spans="1:241" s="25" customFormat="1" ht="39" customHeight="1">
      <c r="A208" s="8" t="s">
        <v>99</v>
      </c>
      <c r="B208" s="6"/>
      <c r="C208" s="6"/>
      <c r="D208" s="7">
        <f>D180/D169*100</f>
        <v>100</v>
      </c>
      <c r="E208" s="7"/>
      <c r="F208" s="7">
        <f aca="true" t="shared" si="27" ref="F208:G210">F180/F169*100</f>
        <v>100</v>
      </c>
      <c r="G208" s="7">
        <f t="shared" si="27"/>
        <v>100</v>
      </c>
      <c r="H208" s="7"/>
      <c r="I208" s="7"/>
      <c r="J208" s="7">
        <f aca="true" t="shared" si="28" ref="J208:N210">J180/J169*100</f>
        <v>100</v>
      </c>
      <c r="K208" s="7" t="e">
        <f t="shared" si="28"/>
        <v>#DIV/0!</v>
      </c>
      <c r="L208" s="7" t="e">
        <f t="shared" si="28"/>
        <v>#DIV/0!</v>
      </c>
      <c r="M208" s="7" t="e">
        <f t="shared" si="28"/>
        <v>#DIV/0!</v>
      </c>
      <c r="N208" s="7">
        <f t="shared" si="28"/>
        <v>100</v>
      </c>
      <c r="O208" s="7"/>
      <c r="P208" s="7">
        <f>P180/P169*100</f>
        <v>100</v>
      </c>
      <c r="IB208" s="53"/>
      <c r="IC208" s="53"/>
      <c r="ID208" s="53"/>
      <c r="IE208" s="53"/>
      <c r="IF208" s="53"/>
      <c r="IG208" s="53"/>
    </row>
    <row r="209" spans="1:241" s="25" customFormat="1" ht="41.25" customHeight="1">
      <c r="A209" s="8" t="s">
        <v>100</v>
      </c>
      <c r="B209" s="6"/>
      <c r="C209" s="6"/>
      <c r="D209" s="7">
        <f>D181/D170*100</f>
        <v>18.969072164948454</v>
      </c>
      <c r="E209" s="7"/>
      <c r="F209" s="7">
        <f t="shared" si="27"/>
        <v>18.969072164948454</v>
      </c>
      <c r="G209" s="7">
        <f t="shared" si="27"/>
        <v>18.969072164948454</v>
      </c>
      <c r="H209" s="7"/>
      <c r="I209" s="7"/>
      <c r="J209" s="7">
        <f t="shared" si="28"/>
        <v>18.969072164948454</v>
      </c>
      <c r="K209" s="7" t="e">
        <f t="shared" si="28"/>
        <v>#DIV/0!</v>
      </c>
      <c r="L209" s="7" t="e">
        <f t="shared" si="28"/>
        <v>#DIV/0!</v>
      </c>
      <c r="M209" s="7" t="e">
        <f t="shared" si="28"/>
        <v>#DIV/0!</v>
      </c>
      <c r="N209" s="7">
        <f t="shared" si="28"/>
        <v>18.969072164948454</v>
      </c>
      <c r="O209" s="7"/>
      <c r="P209" s="7">
        <f>P181/P170*100</f>
        <v>18.969072164948454</v>
      </c>
      <c r="IB209" s="53"/>
      <c r="IC209" s="53"/>
      <c r="ID209" s="53"/>
      <c r="IE209" s="53"/>
      <c r="IF209" s="53"/>
      <c r="IG209" s="53"/>
    </row>
    <row r="210" spans="1:241" s="25" customFormat="1" ht="35.25" customHeight="1">
      <c r="A210" s="8" t="s">
        <v>101</v>
      </c>
      <c r="B210" s="6"/>
      <c r="C210" s="6"/>
      <c r="D210" s="7">
        <f>D182/D171*100</f>
        <v>9.744214372716199</v>
      </c>
      <c r="E210" s="7"/>
      <c r="F210" s="7">
        <f t="shared" si="27"/>
        <v>9.744214372716199</v>
      </c>
      <c r="G210" s="7">
        <f t="shared" si="27"/>
        <v>9.744214372716199</v>
      </c>
      <c r="H210" s="7"/>
      <c r="I210" s="7"/>
      <c r="J210" s="7">
        <f t="shared" si="28"/>
        <v>9.744214372716199</v>
      </c>
      <c r="K210" s="7" t="e">
        <f t="shared" si="28"/>
        <v>#DIV/0!</v>
      </c>
      <c r="L210" s="7" t="e">
        <f t="shared" si="28"/>
        <v>#DIV/0!</v>
      </c>
      <c r="M210" s="7" t="e">
        <f t="shared" si="28"/>
        <v>#DIV/0!</v>
      </c>
      <c r="N210" s="7">
        <f t="shared" si="28"/>
        <v>9.744214372716199</v>
      </c>
      <c r="O210" s="7"/>
      <c r="P210" s="7">
        <f>P182/P171*100</f>
        <v>9.744214372716199</v>
      </c>
      <c r="IB210" s="53"/>
      <c r="IC210" s="53"/>
      <c r="ID210" s="53"/>
      <c r="IE210" s="53"/>
      <c r="IF210" s="53"/>
      <c r="IG210" s="53"/>
    </row>
    <row r="211" spans="1:241" s="25" customFormat="1" ht="35.25" customHeight="1">
      <c r="A211" s="34" t="s">
        <v>390</v>
      </c>
      <c r="B211" s="20"/>
      <c r="C211" s="20"/>
      <c r="D211" s="43"/>
      <c r="E211" s="57">
        <f>SUM(E213)</f>
        <v>138333</v>
      </c>
      <c r="F211" s="57">
        <f>SUM(E211)</f>
        <v>138333</v>
      </c>
      <c r="G211" s="45"/>
      <c r="H211" s="45">
        <f>H213</f>
        <v>700000</v>
      </c>
      <c r="I211" s="45"/>
      <c r="J211" s="45">
        <f>H211</f>
        <v>700000</v>
      </c>
      <c r="K211" s="45"/>
      <c r="L211" s="45"/>
      <c r="M211" s="45"/>
      <c r="N211" s="45"/>
      <c r="O211" s="45"/>
      <c r="P211" s="45"/>
      <c r="IB211" s="53"/>
      <c r="IC211" s="53"/>
      <c r="ID211" s="53"/>
      <c r="IE211" s="53"/>
      <c r="IF211" s="53"/>
      <c r="IG211" s="53"/>
    </row>
    <row r="212" spans="1:241" s="25" customFormat="1" ht="9.75" customHeight="1">
      <c r="A212" s="13" t="s">
        <v>4</v>
      </c>
      <c r="B212" s="20"/>
      <c r="C212" s="20"/>
      <c r="D212" s="43"/>
      <c r="E212" s="44"/>
      <c r="F212" s="44"/>
      <c r="G212" s="44"/>
      <c r="H212" s="44"/>
      <c r="I212" s="44"/>
      <c r="J212" s="44">
        <f aca="true" t="shared" si="29" ref="J212:J217">H212</f>
        <v>0</v>
      </c>
      <c r="K212" s="44"/>
      <c r="L212" s="44"/>
      <c r="M212" s="44"/>
      <c r="N212" s="44"/>
      <c r="O212" s="44"/>
      <c r="P212" s="44"/>
      <c r="IB212" s="53"/>
      <c r="IC212" s="53"/>
      <c r="ID212" s="53"/>
      <c r="IE212" s="53"/>
      <c r="IF212" s="53"/>
      <c r="IG212" s="53"/>
    </row>
    <row r="213" spans="1:241" s="25" customFormat="1" ht="18.75" customHeight="1">
      <c r="A213" s="16" t="s">
        <v>198</v>
      </c>
      <c r="B213" s="46"/>
      <c r="C213" s="46"/>
      <c r="D213" s="47"/>
      <c r="E213" s="48">
        <v>138333</v>
      </c>
      <c r="F213" s="48">
        <f>SUM(E213)</f>
        <v>138333</v>
      </c>
      <c r="G213" s="26"/>
      <c r="H213" s="48">
        <v>700000</v>
      </c>
      <c r="I213" s="26"/>
      <c r="J213" s="44">
        <f t="shared" si="29"/>
        <v>700000</v>
      </c>
      <c r="K213" s="48"/>
      <c r="L213" s="48"/>
      <c r="M213" s="48"/>
      <c r="N213" s="48"/>
      <c r="O213" s="48"/>
      <c r="P213" s="48"/>
      <c r="IB213" s="53"/>
      <c r="IC213" s="53"/>
      <c r="ID213" s="53"/>
      <c r="IE213" s="53"/>
      <c r="IF213" s="53"/>
      <c r="IG213" s="53"/>
    </row>
    <row r="214" spans="1:241" s="25" customFormat="1" ht="15" customHeight="1">
      <c r="A214" s="5" t="s">
        <v>5</v>
      </c>
      <c r="B214" s="20"/>
      <c r="C214" s="20"/>
      <c r="D214" s="49"/>
      <c r="E214" s="44"/>
      <c r="F214" s="48">
        <f>SUM(E214)</f>
        <v>0</v>
      </c>
      <c r="G214" s="50"/>
      <c r="H214" s="44"/>
      <c r="I214" s="50"/>
      <c r="J214" s="44">
        <f t="shared" si="29"/>
        <v>0</v>
      </c>
      <c r="K214" s="44"/>
      <c r="L214" s="44"/>
      <c r="M214" s="44"/>
      <c r="N214" s="44"/>
      <c r="O214" s="44"/>
      <c r="P214" s="44"/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8" t="s">
        <v>349</v>
      </c>
      <c r="B215" s="20"/>
      <c r="C215" s="20"/>
      <c r="D215" s="49"/>
      <c r="E215" s="44">
        <v>260</v>
      </c>
      <c r="F215" s="48">
        <f>SUM(E215)</f>
        <v>260</v>
      </c>
      <c r="G215" s="50"/>
      <c r="H215" s="44">
        <v>780</v>
      </c>
      <c r="I215" s="50"/>
      <c r="J215" s="44">
        <f t="shared" si="29"/>
        <v>780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2.75" customHeight="1">
      <c r="A216" s="19" t="s">
        <v>7</v>
      </c>
      <c r="B216" s="20"/>
      <c r="C216" s="20"/>
      <c r="D216" s="49"/>
      <c r="E216" s="44"/>
      <c r="F216" s="48">
        <f>SUM(E216)</f>
        <v>0</v>
      </c>
      <c r="G216" s="50"/>
      <c r="H216" s="44"/>
      <c r="I216" s="50"/>
      <c r="J216" s="44">
        <f t="shared" si="29"/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24.75" customHeight="1">
      <c r="A217" s="8" t="s">
        <v>350</v>
      </c>
      <c r="B217" s="6"/>
      <c r="C217" s="6"/>
      <c r="D217" s="7"/>
      <c r="E217" s="7">
        <f>SUM(E213)/E215</f>
        <v>532.05</v>
      </c>
      <c r="F217" s="48">
        <f>SUM(E217)</f>
        <v>532.05</v>
      </c>
      <c r="G217" s="7"/>
      <c r="H217" s="7">
        <f>H213/H215</f>
        <v>897.4358974358975</v>
      </c>
      <c r="I217" s="7"/>
      <c r="J217" s="44">
        <f t="shared" si="29"/>
        <v>897.4358974358975</v>
      </c>
      <c r="K217" s="7"/>
      <c r="L217" s="7"/>
      <c r="M217" s="7"/>
      <c r="N217" s="7"/>
      <c r="O217" s="7"/>
      <c r="P217" s="7"/>
      <c r="IB217" s="53"/>
      <c r="IC217" s="53"/>
      <c r="ID217" s="53"/>
      <c r="IE217" s="53"/>
      <c r="IF217" s="53"/>
      <c r="IG217" s="53"/>
    </row>
    <row r="218" spans="1:241" s="38" customFormat="1" ht="45">
      <c r="A218" s="34" t="s">
        <v>391</v>
      </c>
      <c r="B218" s="35"/>
      <c r="C218" s="35"/>
      <c r="D218" s="36">
        <f>D220+D221+D222+D224</f>
        <v>20696700</v>
      </c>
      <c r="E218" s="36">
        <f>E225</f>
        <v>1000000</v>
      </c>
      <c r="F218" s="36">
        <f>D218+E218</f>
        <v>21696700</v>
      </c>
      <c r="G218" s="36">
        <f>G220+G221+G222+G224+120000</f>
        <v>21211500</v>
      </c>
      <c r="H218" s="36">
        <f>H225</f>
        <v>1500000</v>
      </c>
      <c r="I218" s="36"/>
      <c r="J218" s="36">
        <f>G218+H218</f>
        <v>22711500</v>
      </c>
      <c r="K218" s="36" t="e">
        <f>(K220*K233)+(K228*K234)+(K229*K235)+(#REF!*#REF!)+11.5</f>
        <v>#REF!</v>
      </c>
      <c r="L218" s="36" t="e">
        <f>(L220*L233)+(L228*L234)+(L229*L235)+(#REF!*#REF!)+11.5</f>
        <v>#REF!</v>
      </c>
      <c r="M218" s="36" t="e">
        <f>(M220*M233)+(M228*M234)+(M229*M235)+(#REF!*#REF!)+11.5</f>
        <v>#REF!</v>
      </c>
      <c r="N218" s="36">
        <f>N220+N221+N222+N224+125000</f>
        <v>21329000</v>
      </c>
      <c r="O218" s="36">
        <f>O225</f>
        <v>2000000</v>
      </c>
      <c r="P218" s="36">
        <f>N218+O218</f>
        <v>23329000</v>
      </c>
      <c r="IB218" s="39"/>
      <c r="IC218" s="39"/>
      <c r="ID218" s="39"/>
      <c r="IE218" s="39"/>
      <c r="IF218" s="39"/>
      <c r="IG218" s="39"/>
    </row>
    <row r="219" spans="1:241" s="25" customFormat="1" ht="11.25">
      <c r="A219" s="5" t="s">
        <v>4</v>
      </c>
      <c r="B219" s="37"/>
      <c r="C219" s="37"/>
      <c r="D219" s="30"/>
      <c r="E219" s="30"/>
      <c r="F219" s="30"/>
      <c r="G219" s="30"/>
      <c r="H219" s="30"/>
      <c r="I219" s="30"/>
      <c r="J219" s="7"/>
      <c r="K219" s="7"/>
      <c r="L219" s="7"/>
      <c r="M219" s="7"/>
      <c r="N219" s="30"/>
      <c r="O219" s="30"/>
      <c r="P219" s="7"/>
      <c r="IB219" s="53"/>
      <c r="IC219" s="53"/>
      <c r="ID219" s="53"/>
      <c r="IE219" s="53"/>
      <c r="IF219" s="53"/>
      <c r="IG219" s="53"/>
    </row>
    <row r="220" spans="1:241" s="25" customFormat="1" ht="22.5">
      <c r="A220" s="8" t="s">
        <v>220</v>
      </c>
      <c r="B220" s="6"/>
      <c r="C220" s="6"/>
      <c r="D220" s="7">
        <f>15203900+116000</f>
        <v>15319900</v>
      </c>
      <c r="E220" s="7"/>
      <c r="F220" s="7">
        <f>D220+E220</f>
        <v>15319900</v>
      </c>
      <c r="G220" s="7">
        <f>15303500+98000</f>
        <v>15401500</v>
      </c>
      <c r="H220" s="7"/>
      <c r="I220" s="7"/>
      <c r="J220" s="7">
        <f>G220+H220</f>
        <v>15401500</v>
      </c>
      <c r="K220" s="7"/>
      <c r="L220" s="7"/>
      <c r="M220" s="7"/>
      <c r="N220" s="7">
        <v>15404000</v>
      </c>
      <c r="O220" s="7"/>
      <c r="P220" s="7">
        <f>N220+O220</f>
        <v>15404000</v>
      </c>
      <c r="IB220" s="53"/>
      <c r="IC220" s="53"/>
      <c r="ID220" s="53"/>
      <c r="IE220" s="53"/>
      <c r="IF220" s="53"/>
      <c r="IG220" s="53"/>
    </row>
    <row r="221" spans="1:241" s="25" customFormat="1" ht="22.5">
      <c r="A221" s="8" t="s">
        <v>218</v>
      </c>
      <c r="B221" s="6"/>
      <c r="C221" s="6"/>
      <c r="D221" s="7">
        <v>4800200</v>
      </c>
      <c r="E221" s="7"/>
      <c r="F221" s="7">
        <f aca="true" t="shared" si="30" ref="F221:F241">D221+E221</f>
        <v>4800200</v>
      </c>
      <c r="G221" s="7">
        <f>G228*G234</f>
        <v>5100000</v>
      </c>
      <c r="H221" s="7"/>
      <c r="I221" s="7"/>
      <c r="J221" s="7">
        <f aca="true" t="shared" si="31" ref="J221:J241">G221+H221</f>
        <v>5100000</v>
      </c>
      <c r="K221" s="7"/>
      <c r="L221" s="7"/>
      <c r="M221" s="7"/>
      <c r="N221" s="7">
        <f>N228*N234</f>
        <v>5200000</v>
      </c>
      <c r="O221" s="7"/>
      <c r="P221" s="7">
        <f aca="true" t="shared" si="32" ref="P221:P241">N221+O221</f>
        <v>5200000</v>
      </c>
      <c r="IB221" s="53"/>
      <c r="IC221" s="53"/>
      <c r="ID221" s="53"/>
      <c r="IE221" s="53"/>
      <c r="IF221" s="53"/>
      <c r="IG221" s="53"/>
    </row>
    <row r="222" spans="1:241" s="25" customFormat="1" ht="31.5" customHeight="1">
      <c r="A222" s="8" t="s">
        <v>219</v>
      </c>
      <c r="B222" s="6"/>
      <c r="C222" s="6"/>
      <c r="D222" s="7">
        <v>401600</v>
      </c>
      <c r="E222" s="7"/>
      <c r="F222" s="7">
        <f t="shared" si="30"/>
        <v>401600</v>
      </c>
      <c r="G222" s="7">
        <f>G229*G235</f>
        <v>410000</v>
      </c>
      <c r="H222" s="7"/>
      <c r="I222" s="7"/>
      <c r="J222" s="7">
        <f t="shared" si="31"/>
        <v>410000</v>
      </c>
      <c r="K222" s="7"/>
      <c r="L222" s="7"/>
      <c r="M222" s="7"/>
      <c r="N222" s="7">
        <f>N229*N235</f>
        <v>415000</v>
      </c>
      <c r="O222" s="7"/>
      <c r="P222" s="7">
        <f t="shared" si="32"/>
        <v>415000</v>
      </c>
      <c r="IB222" s="53"/>
      <c r="IC222" s="53"/>
      <c r="ID222" s="53"/>
      <c r="IE222" s="53"/>
      <c r="IF222" s="53"/>
      <c r="IG222" s="53"/>
    </row>
    <row r="223" spans="1:241" s="25" customFormat="1" ht="22.5" hidden="1">
      <c r="A223" s="8" t="s">
        <v>173</v>
      </c>
      <c r="B223" s="6"/>
      <c r="C223" s="6"/>
      <c r="D223" s="7"/>
      <c r="E223" s="7"/>
      <c r="F223" s="7">
        <f t="shared" si="30"/>
        <v>0</v>
      </c>
      <c r="G223" s="7"/>
      <c r="H223" s="7">
        <v>1</v>
      </c>
      <c r="I223" s="7"/>
      <c r="J223" s="7">
        <f t="shared" si="31"/>
        <v>1</v>
      </c>
      <c r="K223" s="7"/>
      <c r="L223" s="7"/>
      <c r="M223" s="7"/>
      <c r="N223" s="7"/>
      <c r="O223" s="7"/>
      <c r="P223" s="7">
        <f t="shared" si="32"/>
        <v>0</v>
      </c>
      <c r="IB223" s="53"/>
      <c r="IC223" s="53"/>
      <c r="ID223" s="53"/>
      <c r="IE223" s="53"/>
      <c r="IF223" s="53"/>
      <c r="IG223" s="53"/>
    </row>
    <row r="224" spans="1:241" s="25" customFormat="1" ht="30.75" customHeight="1">
      <c r="A224" s="8" t="s">
        <v>221</v>
      </c>
      <c r="B224" s="6"/>
      <c r="C224" s="6"/>
      <c r="D224" s="7">
        <f>SUM(D231)*D236</f>
        <v>175000</v>
      </c>
      <c r="E224" s="7"/>
      <c r="F224" s="7">
        <f>D224+E224</f>
        <v>175000</v>
      </c>
      <c r="G224" s="7">
        <f>SUM(G231)*G236</f>
        <v>180000</v>
      </c>
      <c r="H224" s="7"/>
      <c r="I224" s="7"/>
      <c r="J224" s="7">
        <f>G224+H224</f>
        <v>180000</v>
      </c>
      <c r="K224" s="7"/>
      <c r="L224" s="7"/>
      <c r="M224" s="7"/>
      <c r="N224" s="7">
        <f>SUM(N231)*N236</f>
        <v>185000</v>
      </c>
      <c r="O224" s="7"/>
      <c r="P224" s="7">
        <f>N224+O224</f>
        <v>185000</v>
      </c>
      <c r="IB224" s="53"/>
      <c r="IC224" s="53"/>
      <c r="ID224" s="53"/>
      <c r="IE224" s="53"/>
      <c r="IF224" s="53"/>
      <c r="IG224" s="53"/>
    </row>
    <row r="225" spans="1:241" s="25" customFormat="1" ht="33.75">
      <c r="A225" s="8" t="s">
        <v>222</v>
      </c>
      <c r="B225" s="6"/>
      <c r="C225" s="6"/>
      <c r="D225" s="7"/>
      <c r="E225" s="7">
        <v>1000000</v>
      </c>
      <c r="F225" s="7">
        <f t="shared" si="30"/>
        <v>1000000</v>
      </c>
      <c r="G225" s="7"/>
      <c r="H225" s="7">
        <v>1500000</v>
      </c>
      <c r="I225" s="7"/>
      <c r="J225" s="7">
        <f t="shared" si="31"/>
        <v>1500000</v>
      </c>
      <c r="K225" s="7"/>
      <c r="L225" s="7"/>
      <c r="M225" s="7"/>
      <c r="N225" s="7"/>
      <c r="O225" s="7">
        <v>2000000</v>
      </c>
      <c r="P225" s="7">
        <f t="shared" si="32"/>
        <v>2000000</v>
      </c>
      <c r="IB225" s="53"/>
      <c r="IC225" s="53"/>
      <c r="ID225" s="53"/>
      <c r="IE225" s="53"/>
      <c r="IF225" s="53"/>
      <c r="IG225" s="53"/>
    </row>
    <row r="226" spans="1:241" s="25" customFormat="1" ht="11.25">
      <c r="A226" s="5" t="s">
        <v>5</v>
      </c>
      <c r="B226" s="37"/>
      <c r="C226" s="37"/>
      <c r="D226" s="30"/>
      <c r="E226" s="30"/>
      <c r="F226" s="7">
        <f t="shared" si="30"/>
        <v>0</v>
      </c>
      <c r="G226" s="30"/>
      <c r="H226" s="30"/>
      <c r="I226" s="30"/>
      <c r="J226" s="7">
        <f t="shared" si="31"/>
        <v>0</v>
      </c>
      <c r="K226" s="7"/>
      <c r="L226" s="7"/>
      <c r="M226" s="7"/>
      <c r="N226" s="30"/>
      <c r="O226" s="30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22.5">
      <c r="A227" s="8" t="s">
        <v>223</v>
      </c>
      <c r="B227" s="6"/>
      <c r="C227" s="6"/>
      <c r="D227" s="7">
        <v>13</v>
      </c>
      <c r="E227" s="7"/>
      <c r="F227" s="7">
        <f t="shared" si="30"/>
        <v>13</v>
      </c>
      <c r="G227" s="7">
        <v>13</v>
      </c>
      <c r="H227" s="7"/>
      <c r="I227" s="7"/>
      <c r="J227" s="7">
        <f t="shared" si="31"/>
        <v>13</v>
      </c>
      <c r="K227" s="7"/>
      <c r="L227" s="7"/>
      <c r="M227" s="7"/>
      <c r="N227" s="7">
        <v>13</v>
      </c>
      <c r="O227" s="7"/>
      <c r="P227" s="7">
        <f t="shared" si="32"/>
        <v>13</v>
      </c>
      <c r="IB227" s="53"/>
      <c r="IC227" s="53"/>
      <c r="ID227" s="53"/>
      <c r="IE227" s="53"/>
      <c r="IF227" s="53"/>
      <c r="IG227" s="53"/>
    </row>
    <row r="228" spans="1:241" s="25" customFormat="1" ht="22.5">
      <c r="A228" s="8" t="s">
        <v>185</v>
      </c>
      <c r="B228" s="6"/>
      <c r="C228" s="6"/>
      <c r="D228" s="7">
        <v>1600</v>
      </c>
      <c r="E228" s="7"/>
      <c r="F228" s="7">
        <f t="shared" si="30"/>
        <v>1600</v>
      </c>
      <c r="G228" s="7">
        <v>1600</v>
      </c>
      <c r="H228" s="7"/>
      <c r="I228" s="7"/>
      <c r="J228" s="7">
        <f t="shared" si="31"/>
        <v>1600</v>
      </c>
      <c r="K228" s="7"/>
      <c r="L228" s="7"/>
      <c r="M228" s="7"/>
      <c r="N228" s="7">
        <v>1600</v>
      </c>
      <c r="O228" s="7"/>
      <c r="P228" s="7">
        <f t="shared" si="32"/>
        <v>1600</v>
      </c>
      <c r="IB228" s="53"/>
      <c r="IC228" s="53"/>
      <c r="ID228" s="53"/>
      <c r="IE228" s="53"/>
      <c r="IF228" s="53"/>
      <c r="IG228" s="53"/>
    </row>
    <row r="229" spans="1:241" s="25" customFormat="1" ht="21.75" customHeight="1">
      <c r="A229" s="8" t="s">
        <v>104</v>
      </c>
      <c r="B229" s="6"/>
      <c r="C229" s="6"/>
      <c r="D229" s="7">
        <v>2</v>
      </c>
      <c r="E229" s="7"/>
      <c r="F229" s="7">
        <f t="shared" si="30"/>
        <v>2</v>
      </c>
      <c r="G229" s="7">
        <v>2</v>
      </c>
      <c r="H229" s="7"/>
      <c r="I229" s="7"/>
      <c r="J229" s="7">
        <f t="shared" si="31"/>
        <v>2</v>
      </c>
      <c r="K229" s="7"/>
      <c r="L229" s="7"/>
      <c r="M229" s="7"/>
      <c r="N229" s="7">
        <v>2</v>
      </c>
      <c r="O229" s="7"/>
      <c r="P229" s="7">
        <f t="shared" si="32"/>
        <v>2</v>
      </c>
      <c r="IB229" s="53"/>
      <c r="IC229" s="53"/>
      <c r="ID229" s="53"/>
      <c r="IE229" s="53"/>
      <c r="IF229" s="53"/>
      <c r="IG229" s="53"/>
    </row>
    <row r="230" spans="1:241" s="25" customFormat="1" ht="30.75" customHeight="1">
      <c r="A230" s="8" t="s">
        <v>173</v>
      </c>
      <c r="B230" s="6"/>
      <c r="C230" s="6"/>
      <c r="D230" s="7"/>
      <c r="E230" s="7">
        <v>1</v>
      </c>
      <c r="F230" s="7">
        <f t="shared" si="30"/>
        <v>1</v>
      </c>
      <c r="G230" s="7"/>
      <c r="H230" s="7">
        <v>1</v>
      </c>
      <c r="I230" s="7"/>
      <c r="J230" s="7">
        <f t="shared" si="31"/>
        <v>1</v>
      </c>
      <c r="K230" s="7"/>
      <c r="L230" s="7"/>
      <c r="M230" s="7"/>
      <c r="N230" s="7"/>
      <c r="O230" s="7">
        <v>1</v>
      </c>
      <c r="P230" s="7">
        <f t="shared" si="32"/>
        <v>1</v>
      </c>
      <c r="IB230" s="53"/>
      <c r="IC230" s="53"/>
      <c r="ID230" s="53"/>
      <c r="IE230" s="53"/>
      <c r="IF230" s="53"/>
      <c r="IG230" s="53"/>
    </row>
    <row r="231" spans="1:241" s="25" customFormat="1" ht="30.75" customHeight="1">
      <c r="A231" s="8" t="s">
        <v>351</v>
      </c>
      <c r="B231" s="6"/>
      <c r="C231" s="6"/>
      <c r="D231" s="7">
        <v>80</v>
      </c>
      <c r="E231" s="7"/>
      <c r="F231" s="7">
        <v>80</v>
      </c>
      <c r="G231" s="7">
        <v>80</v>
      </c>
      <c r="H231" s="7"/>
      <c r="I231" s="7"/>
      <c r="J231" s="7">
        <v>80</v>
      </c>
      <c r="K231" s="7"/>
      <c r="L231" s="7"/>
      <c r="M231" s="7"/>
      <c r="N231" s="7">
        <v>80</v>
      </c>
      <c r="O231" s="7"/>
      <c r="P231" s="7">
        <v>80</v>
      </c>
      <c r="IB231" s="53"/>
      <c r="IC231" s="53"/>
      <c r="ID231" s="53"/>
      <c r="IE231" s="53"/>
      <c r="IF231" s="53"/>
      <c r="IG231" s="53"/>
    </row>
    <row r="232" spans="1:241" s="25" customFormat="1" ht="11.25">
      <c r="A232" s="5" t="s">
        <v>7</v>
      </c>
      <c r="B232" s="37"/>
      <c r="C232" s="37"/>
      <c r="D232" s="30"/>
      <c r="E232" s="30"/>
      <c r="F232" s="7">
        <f t="shared" si="30"/>
        <v>0</v>
      </c>
      <c r="G232" s="30"/>
      <c r="H232" s="30"/>
      <c r="I232" s="30"/>
      <c r="J232" s="7">
        <f t="shared" si="31"/>
        <v>0</v>
      </c>
      <c r="K232" s="7"/>
      <c r="L232" s="7"/>
      <c r="M232" s="7"/>
      <c r="N232" s="30"/>
      <c r="O232" s="30"/>
      <c r="P232" s="7">
        <f t="shared" si="32"/>
        <v>0</v>
      </c>
      <c r="IB232" s="53"/>
      <c r="IC232" s="53"/>
      <c r="ID232" s="53"/>
      <c r="IE232" s="53"/>
      <c r="IF232" s="53"/>
      <c r="IG232" s="53"/>
    </row>
    <row r="233" spans="1:241" s="25" customFormat="1" ht="22.5">
      <c r="A233" s="8" t="s">
        <v>224</v>
      </c>
      <c r="B233" s="6"/>
      <c r="C233" s="6"/>
      <c r="D233" s="7">
        <f>(11555000+3000)/13</f>
        <v>889076.9230769231</v>
      </c>
      <c r="E233" s="7"/>
      <c r="F233" s="7">
        <f t="shared" si="30"/>
        <v>889076.9230769231</v>
      </c>
      <c r="G233" s="7">
        <f>(12000000+3500)/13</f>
        <v>923346.1538461539</v>
      </c>
      <c r="H233" s="7"/>
      <c r="I233" s="7"/>
      <c r="J233" s="7">
        <f t="shared" si="31"/>
        <v>923346.1538461539</v>
      </c>
      <c r="K233" s="7"/>
      <c r="L233" s="7"/>
      <c r="M233" s="7"/>
      <c r="N233" s="7">
        <f>(12200000+4000)/13</f>
        <v>938769.2307692308</v>
      </c>
      <c r="O233" s="7"/>
      <c r="P233" s="7">
        <f t="shared" si="32"/>
        <v>938769.2307692308</v>
      </c>
      <c r="IB233" s="53"/>
      <c r="IC233" s="53"/>
      <c r="ID233" s="53"/>
      <c r="IE233" s="53"/>
      <c r="IF233" s="53"/>
      <c r="IG233" s="53"/>
    </row>
    <row r="234" spans="1:241" s="25" customFormat="1" ht="24.75" customHeight="1">
      <c r="A234" s="8" t="s">
        <v>105</v>
      </c>
      <c r="B234" s="6"/>
      <c r="C234" s="6"/>
      <c r="D234" s="7">
        <v>3062.5</v>
      </c>
      <c r="E234" s="7"/>
      <c r="F234" s="7">
        <f t="shared" si="30"/>
        <v>3062.5</v>
      </c>
      <c r="G234" s="7">
        <v>3187.5</v>
      </c>
      <c r="H234" s="7"/>
      <c r="I234" s="7"/>
      <c r="J234" s="7">
        <f t="shared" si="31"/>
        <v>3187.5</v>
      </c>
      <c r="K234" s="7"/>
      <c r="L234" s="7"/>
      <c r="M234" s="7"/>
      <c r="N234" s="7">
        <v>3250</v>
      </c>
      <c r="O234" s="7"/>
      <c r="P234" s="7">
        <f t="shared" si="32"/>
        <v>3250</v>
      </c>
      <c r="IB234" s="53"/>
      <c r="IC234" s="53"/>
      <c r="ID234" s="53"/>
      <c r="IE234" s="53"/>
      <c r="IF234" s="53"/>
      <c r="IG234" s="53"/>
    </row>
    <row r="235" spans="1:241" s="25" customFormat="1" ht="22.5">
      <c r="A235" s="8" t="s">
        <v>106</v>
      </c>
      <c r="B235" s="6"/>
      <c r="C235" s="6"/>
      <c r="D235" s="7">
        <v>202000</v>
      </c>
      <c r="E235" s="7"/>
      <c r="F235" s="7">
        <f t="shared" si="30"/>
        <v>202000</v>
      </c>
      <c r="G235" s="7">
        <v>205000</v>
      </c>
      <c r="H235" s="7"/>
      <c r="I235" s="7"/>
      <c r="J235" s="7">
        <f t="shared" si="31"/>
        <v>205000</v>
      </c>
      <c r="K235" s="7"/>
      <c r="L235" s="7"/>
      <c r="M235" s="7"/>
      <c r="N235" s="7">
        <v>207500</v>
      </c>
      <c r="O235" s="7"/>
      <c r="P235" s="7">
        <f t="shared" si="32"/>
        <v>207500</v>
      </c>
      <c r="IB235" s="53"/>
      <c r="IC235" s="53"/>
      <c r="ID235" s="53"/>
      <c r="IE235" s="53"/>
      <c r="IF235" s="53"/>
      <c r="IG235" s="53"/>
    </row>
    <row r="236" spans="1:241" s="25" customFormat="1" ht="27.75" customHeight="1">
      <c r="A236" s="8" t="s">
        <v>192</v>
      </c>
      <c r="B236" s="6"/>
      <c r="C236" s="6"/>
      <c r="D236" s="7">
        <v>2187.5</v>
      </c>
      <c r="E236" s="7"/>
      <c r="F236" s="7">
        <f t="shared" si="30"/>
        <v>2187.5</v>
      </c>
      <c r="G236" s="7">
        <v>2250</v>
      </c>
      <c r="H236" s="7"/>
      <c r="I236" s="7"/>
      <c r="J236" s="7">
        <f t="shared" si="31"/>
        <v>2250</v>
      </c>
      <c r="K236" s="7"/>
      <c r="L236" s="7"/>
      <c r="M236" s="7"/>
      <c r="N236" s="7">
        <v>2312.5</v>
      </c>
      <c r="O236" s="7"/>
      <c r="P236" s="7">
        <f t="shared" si="32"/>
        <v>2312.5</v>
      </c>
      <c r="IB236" s="53"/>
      <c r="IC236" s="53"/>
      <c r="ID236" s="53"/>
      <c r="IE236" s="53"/>
      <c r="IF236" s="53"/>
      <c r="IG236" s="53"/>
    </row>
    <row r="237" spans="1:241" s="138" customFormat="1" ht="22.5">
      <c r="A237" s="135" t="s">
        <v>174</v>
      </c>
      <c r="B237" s="136"/>
      <c r="C237" s="136"/>
      <c r="D237" s="137"/>
      <c r="E237" s="137">
        <v>1000000</v>
      </c>
      <c r="F237" s="137">
        <f t="shared" si="30"/>
        <v>1000000</v>
      </c>
      <c r="G237" s="137"/>
      <c r="H237" s="137">
        <v>1500000</v>
      </c>
      <c r="I237" s="137"/>
      <c r="J237" s="137">
        <f t="shared" si="31"/>
        <v>1500000</v>
      </c>
      <c r="K237" s="137"/>
      <c r="L237" s="137"/>
      <c r="M237" s="137"/>
      <c r="N237" s="137"/>
      <c r="O237" s="137">
        <v>2000000</v>
      </c>
      <c r="P237" s="137">
        <f t="shared" si="32"/>
        <v>2000000</v>
      </c>
      <c r="IB237" s="139"/>
      <c r="IC237" s="139"/>
      <c r="ID237" s="139"/>
      <c r="IE237" s="139"/>
      <c r="IF237" s="139"/>
      <c r="IG237" s="139"/>
    </row>
    <row r="238" spans="1:241" s="25" customFormat="1" ht="12" customHeight="1">
      <c r="A238" s="5" t="s">
        <v>6</v>
      </c>
      <c r="B238" s="6"/>
      <c r="C238" s="6"/>
      <c r="D238" s="7"/>
      <c r="E238" s="7"/>
      <c r="F238" s="7">
        <f t="shared" si="30"/>
        <v>0</v>
      </c>
      <c r="G238" s="7"/>
      <c r="H238" s="7"/>
      <c r="I238" s="7"/>
      <c r="J238" s="7">
        <f t="shared" si="31"/>
        <v>0</v>
      </c>
      <c r="K238" s="7"/>
      <c r="L238" s="7"/>
      <c r="M238" s="7"/>
      <c r="N238" s="7"/>
      <c r="O238" s="7"/>
      <c r="P238" s="7">
        <f t="shared" si="32"/>
        <v>0</v>
      </c>
      <c r="IB238" s="53"/>
      <c r="IC238" s="53"/>
      <c r="ID238" s="53"/>
      <c r="IE238" s="53"/>
      <c r="IF238" s="53"/>
      <c r="IG238" s="53"/>
    </row>
    <row r="239" spans="1:241" s="25" customFormat="1" ht="33.75">
      <c r="A239" s="8" t="s">
        <v>108</v>
      </c>
      <c r="B239" s="6"/>
      <c r="C239" s="6"/>
      <c r="D239" s="7">
        <v>100</v>
      </c>
      <c r="E239" s="7"/>
      <c r="F239" s="7">
        <f t="shared" si="30"/>
        <v>100</v>
      </c>
      <c r="G239" s="7">
        <f>G227/G220*100</f>
        <v>8.440736291919618E-05</v>
      </c>
      <c r="H239" s="7"/>
      <c r="I239" s="7"/>
      <c r="J239" s="7">
        <f t="shared" si="31"/>
        <v>8.440736291919618E-05</v>
      </c>
      <c r="K239" s="7" t="e">
        <f>K227/K220*100</f>
        <v>#DIV/0!</v>
      </c>
      <c r="L239" s="7" t="e">
        <f>L227/L220*100</f>
        <v>#DIV/0!</v>
      </c>
      <c r="M239" s="7" t="e">
        <f>M227/M220*100</f>
        <v>#DIV/0!</v>
      </c>
      <c r="N239" s="7">
        <f>N227/N220*100</f>
        <v>8.439366398338094E-05</v>
      </c>
      <c r="O239" s="7"/>
      <c r="P239" s="7">
        <f t="shared" si="32"/>
        <v>8.439366398338094E-05</v>
      </c>
      <c r="IB239" s="53"/>
      <c r="IC239" s="53"/>
      <c r="ID239" s="53"/>
      <c r="IE239" s="53"/>
      <c r="IF239" s="53"/>
      <c r="IG239" s="53"/>
    </row>
    <row r="240" spans="1:241" s="25" customFormat="1" ht="29.25" customHeight="1">
      <c r="A240" s="8" t="s">
        <v>107</v>
      </c>
      <c r="B240" s="6"/>
      <c r="C240" s="6"/>
      <c r="D240" s="7"/>
      <c r="E240" s="7"/>
      <c r="F240" s="7">
        <f t="shared" si="30"/>
        <v>0</v>
      </c>
      <c r="G240" s="7">
        <f>G234/D234*100</f>
        <v>104.08163265306123</v>
      </c>
      <c r="H240" s="7"/>
      <c r="I240" s="7"/>
      <c r="J240" s="7">
        <f t="shared" si="31"/>
        <v>104.08163265306123</v>
      </c>
      <c r="K240" s="7"/>
      <c r="L240" s="7"/>
      <c r="M240" s="7"/>
      <c r="N240" s="7">
        <f>N234/G234*100</f>
        <v>101.96078431372548</v>
      </c>
      <c r="O240" s="7"/>
      <c r="P240" s="7">
        <f t="shared" si="32"/>
        <v>101.96078431372548</v>
      </c>
      <c r="IB240" s="53"/>
      <c r="IC240" s="53"/>
      <c r="ID240" s="53"/>
      <c r="IE240" s="53"/>
      <c r="IF240" s="53"/>
      <c r="IG240" s="53"/>
    </row>
    <row r="241" spans="1:241" s="25" customFormat="1" ht="38.25" customHeight="1">
      <c r="A241" s="8" t="s">
        <v>109</v>
      </c>
      <c r="B241" s="6"/>
      <c r="C241" s="6"/>
      <c r="D241" s="7"/>
      <c r="E241" s="7"/>
      <c r="F241" s="7">
        <f t="shared" si="30"/>
        <v>0</v>
      </c>
      <c r="G241" s="7">
        <f>G235/D235*100</f>
        <v>101.48514851485149</v>
      </c>
      <c r="H241" s="7"/>
      <c r="I241" s="7"/>
      <c r="J241" s="7">
        <f t="shared" si="31"/>
        <v>101.48514851485149</v>
      </c>
      <c r="K241" s="7"/>
      <c r="L241" s="7"/>
      <c r="M241" s="7"/>
      <c r="N241" s="7">
        <f>N235/G235*100</f>
        <v>101.21951219512195</v>
      </c>
      <c r="O241" s="7"/>
      <c r="P241" s="7">
        <f t="shared" si="32"/>
        <v>101.21951219512195</v>
      </c>
      <c r="IB241" s="53"/>
      <c r="IC241" s="53"/>
      <c r="ID241" s="53"/>
      <c r="IE241" s="53"/>
      <c r="IF241" s="53"/>
      <c r="IG241" s="53"/>
    </row>
    <row r="242" spans="1:241" s="38" customFormat="1" ht="22.5">
      <c r="A242" s="34" t="s">
        <v>392</v>
      </c>
      <c r="B242" s="35"/>
      <c r="C242" s="35"/>
      <c r="D242" s="36">
        <f>D244+D245+D246+D247</f>
        <v>5421400</v>
      </c>
      <c r="E242" s="36">
        <f>(E249*E254)+(E250*E255)+(E252*E257)</f>
        <v>0</v>
      </c>
      <c r="F242" s="36">
        <f aca="true" t="shared" si="33" ref="F242:F247">D242+E242</f>
        <v>5421400</v>
      </c>
      <c r="G242" s="36">
        <f>G244+G245+G246+G247</f>
        <v>5500000</v>
      </c>
      <c r="H242" s="36">
        <f>(H249*H254)+(H250*H255)+(H252*H257)</f>
        <v>0</v>
      </c>
      <c r="I242" s="36">
        <f>(I249*I254)+(I250*I255)+(I252*I257)</f>
        <v>0</v>
      </c>
      <c r="J242" s="36">
        <f aca="true" t="shared" si="34" ref="J242:J247">G242+H242</f>
        <v>5500000</v>
      </c>
      <c r="K242" s="36">
        <f>(K249*K254)+(K250*K255)+(K252*K257)</f>
        <v>0</v>
      </c>
      <c r="L242" s="36">
        <f>(L249*L254)+(L250*L255)+(L252*L257)</f>
        <v>0</v>
      </c>
      <c r="M242" s="36">
        <f>(M249*M254)+(M250*M255)+(M252*M257)</f>
        <v>0</v>
      </c>
      <c r="N242" s="36">
        <f>N244+N245+N246+N247</f>
        <v>5660000</v>
      </c>
      <c r="O242" s="36">
        <f>(O249*O254)+(O250*O255)+(O252*O257)</f>
        <v>0</v>
      </c>
      <c r="P242" s="36">
        <f aca="true" t="shared" si="35" ref="P242:P247">N242+O242</f>
        <v>5660000</v>
      </c>
      <c r="Q242" s="36">
        <f>(Q249*Q254)+(Q250*Q255)+(Q252*Q257)</f>
        <v>0</v>
      </c>
      <c r="IB242" s="39"/>
      <c r="IC242" s="39"/>
      <c r="ID242" s="39"/>
      <c r="IE242" s="39"/>
      <c r="IF242" s="39"/>
      <c r="IG242" s="39"/>
    </row>
    <row r="243" spans="1:241" s="38" customFormat="1" ht="11.25">
      <c r="A243" s="5" t="s">
        <v>4</v>
      </c>
      <c r="B243" s="35"/>
      <c r="C243" s="35"/>
      <c r="D243" s="36"/>
      <c r="E243" s="36"/>
      <c r="F243" s="7">
        <f t="shared" si="33"/>
        <v>0</v>
      </c>
      <c r="G243" s="7"/>
      <c r="H243" s="7"/>
      <c r="I243" s="7"/>
      <c r="J243" s="7">
        <f t="shared" si="34"/>
        <v>0</v>
      </c>
      <c r="K243" s="7"/>
      <c r="L243" s="7"/>
      <c r="M243" s="7"/>
      <c r="N243" s="7"/>
      <c r="O243" s="7"/>
      <c r="P243" s="7">
        <f t="shared" si="35"/>
        <v>0</v>
      </c>
      <c r="Q243" s="42"/>
      <c r="IB243" s="39"/>
      <c r="IC243" s="39"/>
      <c r="ID243" s="39"/>
      <c r="IE243" s="39"/>
      <c r="IF243" s="39"/>
      <c r="IG243" s="39"/>
    </row>
    <row r="244" spans="1:241" s="38" customFormat="1" ht="33.75">
      <c r="A244" s="8" t="s">
        <v>238</v>
      </c>
      <c r="B244" s="35"/>
      <c r="C244" s="35"/>
      <c r="D244" s="7">
        <v>2971400</v>
      </c>
      <c r="E244" s="36"/>
      <c r="F244" s="7">
        <f t="shared" si="33"/>
        <v>2971400</v>
      </c>
      <c r="G244" s="7">
        <v>3000000</v>
      </c>
      <c r="H244" s="7"/>
      <c r="I244" s="7"/>
      <c r="J244" s="7">
        <f t="shared" si="34"/>
        <v>3000000</v>
      </c>
      <c r="K244" s="7"/>
      <c r="L244" s="7"/>
      <c r="M244" s="7"/>
      <c r="N244" s="7">
        <v>3100000</v>
      </c>
      <c r="O244" s="7"/>
      <c r="P244" s="7">
        <f t="shared" si="35"/>
        <v>3100000</v>
      </c>
      <c r="Q244" s="42"/>
      <c r="IB244" s="39"/>
      <c r="IC244" s="39"/>
      <c r="ID244" s="39"/>
      <c r="IE244" s="39"/>
      <c r="IF244" s="39"/>
      <c r="IG244" s="39"/>
    </row>
    <row r="245" spans="1:241" s="38" customFormat="1" ht="11.25">
      <c r="A245" s="8" t="s">
        <v>239</v>
      </c>
      <c r="B245" s="35"/>
      <c r="C245" s="35"/>
      <c r="D245" s="7">
        <v>200000</v>
      </c>
      <c r="E245" s="36"/>
      <c r="F245" s="7">
        <f t="shared" si="33"/>
        <v>200000</v>
      </c>
      <c r="G245" s="7">
        <v>200000</v>
      </c>
      <c r="H245" s="7"/>
      <c r="I245" s="7"/>
      <c r="J245" s="7">
        <f t="shared" si="34"/>
        <v>200000</v>
      </c>
      <c r="K245" s="7"/>
      <c r="L245" s="7"/>
      <c r="M245" s="7"/>
      <c r="N245" s="7">
        <v>200000</v>
      </c>
      <c r="O245" s="7"/>
      <c r="P245" s="7">
        <f t="shared" si="35"/>
        <v>200000</v>
      </c>
      <c r="Q245" s="42"/>
      <c r="IB245" s="39"/>
      <c r="IC245" s="39"/>
      <c r="ID245" s="39"/>
      <c r="IE245" s="39"/>
      <c r="IF245" s="39"/>
      <c r="IG245" s="39"/>
    </row>
    <row r="246" spans="1:241" s="38" customFormat="1" ht="33.75">
      <c r="A246" s="8" t="s">
        <v>240</v>
      </c>
      <c r="B246" s="35"/>
      <c r="C246" s="35"/>
      <c r="D246" s="7">
        <v>350000</v>
      </c>
      <c r="E246" s="36"/>
      <c r="F246" s="7">
        <f t="shared" si="33"/>
        <v>350000</v>
      </c>
      <c r="G246" s="7">
        <v>400000</v>
      </c>
      <c r="H246" s="7"/>
      <c r="I246" s="7"/>
      <c r="J246" s="7">
        <f t="shared" si="34"/>
        <v>400000</v>
      </c>
      <c r="K246" s="7"/>
      <c r="L246" s="7"/>
      <c r="M246" s="7"/>
      <c r="N246" s="7">
        <v>460000</v>
      </c>
      <c r="O246" s="7"/>
      <c r="P246" s="7">
        <f t="shared" si="35"/>
        <v>460000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241</v>
      </c>
      <c r="B247" s="35"/>
      <c r="C247" s="35"/>
      <c r="D247" s="7">
        <v>1900000</v>
      </c>
      <c r="E247" s="7"/>
      <c r="F247" s="7">
        <f t="shared" si="33"/>
        <v>1900000</v>
      </c>
      <c r="G247" s="7">
        <v>1900000</v>
      </c>
      <c r="H247" s="7"/>
      <c r="I247" s="7"/>
      <c r="J247" s="7">
        <f t="shared" si="34"/>
        <v>1900000</v>
      </c>
      <c r="K247" s="7"/>
      <c r="L247" s="7"/>
      <c r="M247" s="7"/>
      <c r="N247" s="7">
        <v>1900000</v>
      </c>
      <c r="O247" s="7"/>
      <c r="P247" s="7">
        <f t="shared" si="35"/>
        <v>1900000</v>
      </c>
      <c r="Q247" s="42"/>
      <c r="IB247" s="39"/>
      <c r="IC247" s="39"/>
      <c r="ID247" s="39"/>
      <c r="IE247" s="39"/>
      <c r="IF247" s="39"/>
      <c r="IG247" s="39"/>
    </row>
    <row r="248" spans="1:241" s="25" customFormat="1" ht="11.25">
      <c r="A248" s="5" t="s">
        <v>5</v>
      </c>
      <c r="B248" s="37"/>
      <c r="C248" s="37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IB248" s="53"/>
      <c r="IC248" s="53"/>
      <c r="ID248" s="53"/>
      <c r="IE248" s="53"/>
      <c r="IF248" s="53"/>
      <c r="IG248" s="53"/>
    </row>
    <row r="249" spans="1:241" s="25" customFormat="1" ht="35.25" customHeight="1">
      <c r="A249" s="8" t="s">
        <v>242</v>
      </c>
      <c r="B249" s="6"/>
      <c r="C249" s="6"/>
      <c r="D249" s="7">
        <v>155760</v>
      </c>
      <c r="E249" s="7"/>
      <c r="F249" s="7">
        <f>D249+E249</f>
        <v>155760</v>
      </c>
      <c r="G249" s="7">
        <f>F249</f>
        <v>155760</v>
      </c>
      <c r="H249" s="7"/>
      <c r="I249" s="7"/>
      <c r="J249" s="7">
        <f>G249+H249</f>
        <v>155760</v>
      </c>
      <c r="K249" s="7"/>
      <c r="L249" s="7"/>
      <c r="M249" s="7"/>
      <c r="N249" s="7">
        <f>G249</f>
        <v>155760</v>
      </c>
      <c r="O249" s="7"/>
      <c r="P249" s="7">
        <f>N249+O249</f>
        <v>155760</v>
      </c>
      <c r="IB249" s="53"/>
      <c r="IC249" s="53"/>
      <c r="ID249" s="53"/>
      <c r="IE249" s="53"/>
      <c r="IF249" s="53"/>
      <c r="IG249" s="53"/>
    </row>
    <row r="250" spans="1:241" s="25" customFormat="1" ht="22.5">
      <c r="A250" s="8" t="s">
        <v>111</v>
      </c>
      <c r="B250" s="6"/>
      <c r="C250" s="6"/>
      <c r="D250" s="7">
        <v>243</v>
      </c>
      <c r="E250" s="7"/>
      <c r="F250" s="7">
        <f aca="true" t="shared" si="36" ref="F250:F263">D250+E250</f>
        <v>243</v>
      </c>
      <c r="G250" s="7">
        <v>250</v>
      </c>
      <c r="H250" s="7"/>
      <c r="I250" s="7"/>
      <c r="J250" s="7">
        <f aca="true" t="shared" si="37" ref="J250:J263">G250+H250</f>
        <v>250</v>
      </c>
      <c r="K250" s="7"/>
      <c r="L250" s="7"/>
      <c r="M250" s="7"/>
      <c r="N250" s="7">
        <v>260</v>
      </c>
      <c r="O250" s="7"/>
      <c r="P250" s="7">
        <f aca="true" t="shared" si="38" ref="P250:P263">N250+O250</f>
        <v>260</v>
      </c>
      <c r="IB250" s="53"/>
      <c r="IC250" s="53"/>
      <c r="ID250" s="53"/>
      <c r="IE250" s="53"/>
      <c r="IF250" s="53"/>
      <c r="IG250" s="53"/>
    </row>
    <row r="251" spans="1:241" s="25" customFormat="1" ht="33.75">
      <c r="A251" s="8" t="s">
        <v>247</v>
      </c>
      <c r="B251" s="6"/>
      <c r="C251" s="6"/>
      <c r="D251" s="7">
        <v>11036.4</v>
      </c>
      <c r="E251" s="7"/>
      <c r="F251" s="7">
        <f t="shared" si="36"/>
        <v>11036.4</v>
      </c>
      <c r="G251" s="7">
        <f>E251+F251</f>
        <v>11036.4</v>
      </c>
      <c r="H251" s="7"/>
      <c r="I251" s="7">
        <f>G251+H251</f>
        <v>11036.4</v>
      </c>
      <c r="J251" s="7">
        <f>H251+I251</f>
        <v>11036.4</v>
      </c>
      <c r="K251" s="7">
        <f>I251+J251</f>
        <v>22072.8</v>
      </c>
      <c r="L251" s="7">
        <f>J251+K251</f>
        <v>33109.2</v>
      </c>
      <c r="M251" s="7">
        <f>K251+L251</f>
        <v>55182</v>
      </c>
      <c r="N251" s="7">
        <v>11036.4</v>
      </c>
      <c r="O251" s="7"/>
      <c r="P251" s="7">
        <f t="shared" si="38"/>
        <v>11036.4</v>
      </c>
      <c r="IB251" s="53"/>
      <c r="IC251" s="53"/>
      <c r="ID251" s="53"/>
      <c r="IE251" s="53"/>
      <c r="IF251" s="53"/>
      <c r="IG251" s="53"/>
    </row>
    <row r="252" spans="1:241" s="25" customFormat="1" ht="33" customHeight="1">
      <c r="A252" s="8" t="s">
        <v>244</v>
      </c>
      <c r="B252" s="6"/>
      <c r="C252" s="6"/>
      <c r="D252" s="7">
        <v>51.4</v>
      </c>
      <c r="E252" s="7"/>
      <c r="F252" s="7">
        <f t="shared" si="36"/>
        <v>51.4</v>
      </c>
      <c r="G252" s="7">
        <v>48</v>
      </c>
      <c r="H252" s="7"/>
      <c r="I252" s="7"/>
      <c r="J252" s="7">
        <f t="shared" si="37"/>
        <v>48</v>
      </c>
      <c r="K252" s="7"/>
      <c r="L252" s="7"/>
      <c r="M252" s="7"/>
      <c r="N252" s="7">
        <v>45</v>
      </c>
      <c r="O252" s="7"/>
      <c r="P252" s="7">
        <f t="shared" si="38"/>
        <v>45</v>
      </c>
      <c r="IB252" s="53"/>
      <c r="IC252" s="53"/>
      <c r="ID252" s="53"/>
      <c r="IE252" s="53"/>
      <c r="IF252" s="53"/>
      <c r="IG252" s="53"/>
    </row>
    <row r="253" spans="1:241" s="25" customFormat="1" ht="11.25">
      <c r="A253" s="5" t="s">
        <v>7</v>
      </c>
      <c r="B253" s="37"/>
      <c r="C253" s="37"/>
      <c r="D253" s="30"/>
      <c r="E253" s="30"/>
      <c r="F253" s="7">
        <f t="shared" si="36"/>
        <v>0</v>
      </c>
      <c r="G253" s="30"/>
      <c r="H253" s="30"/>
      <c r="I253" s="30"/>
      <c r="J253" s="7">
        <f t="shared" si="37"/>
        <v>0</v>
      </c>
      <c r="K253" s="7"/>
      <c r="L253" s="7"/>
      <c r="M253" s="7"/>
      <c r="N253" s="30"/>
      <c r="O253" s="30"/>
      <c r="P253" s="7">
        <f t="shared" si="38"/>
        <v>0</v>
      </c>
      <c r="IB253" s="53"/>
      <c r="IC253" s="53"/>
      <c r="ID253" s="53"/>
      <c r="IE253" s="53"/>
      <c r="IF253" s="53"/>
      <c r="IG253" s="53"/>
    </row>
    <row r="254" spans="1:241" s="25" customFormat="1" ht="48.75" customHeight="1">
      <c r="A254" s="8" t="s">
        <v>243</v>
      </c>
      <c r="B254" s="6"/>
      <c r="C254" s="6"/>
      <c r="D254" s="7">
        <f>D244/D249</f>
        <v>19.07678479712378</v>
      </c>
      <c r="E254" s="7"/>
      <c r="F254" s="7">
        <f t="shared" si="36"/>
        <v>19.07678479712378</v>
      </c>
      <c r="G254" s="7">
        <f>G244/G249</f>
        <v>19.26040061633282</v>
      </c>
      <c r="H254" s="7"/>
      <c r="I254" s="7"/>
      <c r="J254" s="7">
        <f t="shared" si="37"/>
        <v>19.26040061633282</v>
      </c>
      <c r="K254" s="7"/>
      <c r="L254" s="7"/>
      <c r="M254" s="7"/>
      <c r="N254" s="7">
        <f>N244/N249</f>
        <v>19.90241397021058</v>
      </c>
      <c r="O254" s="7"/>
      <c r="P254" s="7">
        <f t="shared" si="38"/>
        <v>19.90241397021058</v>
      </c>
      <c r="IB254" s="53"/>
      <c r="IC254" s="53"/>
      <c r="ID254" s="53"/>
      <c r="IE254" s="53"/>
      <c r="IF254" s="53"/>
      <c r="IG254" s="53"/>
    </row>
    <row r="255" spans="1:241" s="25" customFormat="1" ht="19.5" customHeight="1">
      <c r="A255" s="8" t="s">
        <v>112</v>
      </c>
      <c r="B255" s="6"/>
      <c r="C255" s="6"/>
      <c r="D255" s="7">
        <f>D245/D250</f>
        <v>823.0452674897119</v>
      </c>
      <c r="E255" s="7"/>
      <c r="F255" s="7">
        <f t="shared" si="36"/>
        <v>823.0452674897119</v>
      </c>
      <c r="G255" s="7">
        <f>G245/G250</f>
        <v>800</v>
      </c>
      <c r="H255" s="7"/>
      <c r="I255" s="7"/>
      <c r="J255" s="7">
        <f t="shared" si="37"/>
        <v>800</v>
      </c>
      <c r="K255" s="7"/>
      <c r="L255" s="7"/>
      <c r="M255" s="7"/>
      <c r="N255" s="7">
        <f>N245/N250</f>
        <v>769.2307692307693</v>
      </c>
      <c r="O255" s="7"/>
      <c r="P255" s="7">
        <f t="shared" si="38"/>
        <v>769.2307692307693</v>
      </c>
      <c r="IB255" s="53"/>
      <c r="IC255" s="53"/>
      <c r="ID255" s="53"/>
      <c r="IE255" s="53"/>
      <c r="IF255" s="53"/>
      <c r="IG255" s="53"/>
    </row>
    <row r="256" spans="1:241" s="25" customFormat="1" ht="28.5" customHeight="1">
      <c r="A256" s="8" t="s">
        <v>246</v>
      </c>
      <c r="B256" s="6"/>
      <c r="C256" s="6"/>
      <c r="D256" s="7">
        <f>D246/D251</f>
        <v>31.71323982458048</v>
      </c>
      <c r="E256" s="7"/>
      <c r="F256" s="7">
        <f t="shared" si="36"/>
        <v>31.71323982458048</v>
      </c>
      <c r="G256" s="7">
        <f>G246/G251</f>
        <v>36.24370265666341</v>
      </c>
      <c r="H256" s="7"/>
      <c r="I256" s="7"/>
      <c r="J256" s="7">
        <f t="shared" si="37"/>
        <v>36.24370265666341</v>
      </c>
      <c r="K256" s="7"/>
      <c r="L256" s="7"/>
      <c r="M256" s="7"/>
      <c r="N256" s="7">
        <f>N246/N251</f>
        <v>41.680258055162916</v>
      </c>
      <c r="O256" s="7"/>
      <c r="P256" s="7">
        <f t="shared" si="38"/>
        <v>41.680258055162916</v>
      </c>
      <c r="IB256" s="53"/>
      <c r="IC256" s="53"/>
      <c r="ID256" s="53"/>
      <c r="IE256" s="53"/>
      <c r="IF256" s="53"/>
      <c r="IG256" s="53"/>
    </row>
    <row r="257" spans="1:241" s="25" customFormat="1" ht="28.5" customHeight="1">
      <c r="A257" s="8" t="s">
        <v>245</v>
      </c>
      <c r="B257" s="6"/>
      <c r="C257" s="6"/>
      <c r="D257" s="7">
        <f>D247/D252</f>
        <v>36964.980544747086</v>
      </c>
      <c r="E257" s="7"/>
      <c r="F257" s="7">
        <f t="shared" si="36"/>
        <v>36964.980544747086</v>
      </c>
      <c r="G257" s="7">
        <f>G247/G252</f>
        <v>39583.333333333336</v>
      </c>
      <c r="H257" s="7"/>
      <c r="I257" s="7"/>
      <c r="J257" s="7">
        <f t="shared" si="37"/>
        <v>39583.333333333336</v>
      </c>
      <c r="K257" s="7"/>
      <c r="L257" s="7"/>
      <c r="M257" s="7"/>
      <c r="N257" s="7">
        <f>N247/N252</f>
        <v>42222.22222222222</v>
      </c>
      <c r="O257" s="7"/>
      <c r="P257" s="7">
        <f t="shared" si="38"/>
        <v>42222.22222222222</v>
      </c>
      <c r="IB257" s="53"/>
      <c r="IC257" s="53"/>
      <c r="ID257" s="53"/>
      <c r="IE257" s="53"/>
      <c r="IF257" s="53"/>
      <c r="IG257" s="53"/>
    </row>
    <row r="258" spans="1:241" s="25" customFormat="1" ht="45">
      <c r="A258" s="8" t="s">
        <v>225</v>
      </c>
      <c r="B258" s="6"/>
      <c r="C258" s="6"/>
      <c r="D258" s="7"/>
      <c r="E258" s="7"/>
      <c r="F258" s="7">
        <f t="shared" si="36"/>
        <v>0</v>
      </c>
      <c r="G258" s="7">
        <v>145.4502</v>
      </c>
      <c r="H258" s="7"/>
      <c r="I258" s="7"/>
      <c r="J258" s="7">
        <f t="shared" si="37"/>
        <v>145.4502</v>
      </c>
      <c r="K258" s="7"/>
      <c r="L258" s="7"/>
      <c r="M258" s="7"/>
      <c r="N258" s="7">
        <v>145.461241023</v>
      </c>
      <c r="O258" s="7"/>
      <c r="P258" s="7">
        <f t="shared" si="38"/>
        <v>145.461241023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6</v>
      </c>
      <c r="B259" s="6"/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IB259" s="53"/>
      <c r="IC259" s="53"/>
      <c r="ID259" s="53"/>
      <c r="IE259" s="53"/>
      <c r="IF259" s="53"/>
      <c r="IG259" s="53"/>
    </row>
    <row r="260" spans="1:241" s="25" customFormat="1" ht="36" customHeight="1">
      <c r="A260" s="8" t="s">
        <v>113</v>
      </c>
      <c r="B260" s="6"/>
      <c r="C260" s="6"/>
      <c r="D260" s="7"/>
      <c r="E260" s="7"/>
      <c r="F260" s="7">
        <f t="shared" si="36"/>
        <v>0</v>
      </c>
      <c r="G260" s="7">
        <f>G254/D254*100</f>
        <v>100.96250925489669</v>
      </c>
      <c r="H260" s="7"/>
      <c r="I260" s="7"/>
      <c r="J260" s="7">
        <f t="shared" si="37"/>
        <v>100.96250925489669</v>
      </c>
      <c r="K260" s="7"/>
      <c r="L260" s="7"/>
      <c r="M260" s="7"/>
      <c r="N260" s="7">
        <f>N254/G254*100</f>
        <v>103.33333333333334</v>
      </c>
      <c r="O260" s="7"/>
      <c r="P260" s="7">
        <f t="shared" si="38"/>
        <v>103.33333333333334</v>
      </c>
      <c r="IB260" s="53"/>
      <c r="IC260" s="53"/>
      <c r="ID260" s="53"/>
      <c r="IE260" s="53"/>
      <c r="IF260" s="53"/>
      <c r="IG260" s="53"/>
    </row>
    <row r="261" spans="1:241" s="25" customFormat="1" ht="36" customHeight="1">
      <c r="A261" s="8" t="s">
        <v>226</v>
      </c>
      <c r="B261" s="6"/>
      <c r="C261" s="6"/>
      <c r="D261" s="7"/>
      <c r="E261" s="7"/>
      <c r="F261" s="7">
        <f t="shared" si="36"/>
        <v>0</v>
      </c>
      <c r="G261" s="7">
        <f>G256/D256*100</f>
        <v>114.2857142857143</v>
      </c>
      <c r="H261" s="7"/>
      <c r="I261" s="7"/>
      <c r="J261" s="7">
        <f t="shared" si="37"/>
        <v>114.2857142857143</v>
      </c>
      <c r="K261" s="7"/>
      <c r="L261" s="7"/>
      <c r="M261" s="7"/>
      <c r="N261" s="7">
        <f>N255/G255*100</f>
        <v>96.15384615384616</v>
      </c>
      <c r="O261" s="7"/>
      <c r="P261" s="7">
        <f t="shared" si="38"/>
        <v>96.15384615384616</v>
      </c>
      <c r="IB261" s="53"/>
      <c r="IC261" s="53"/>
      <c r="ID261" s="53"/>
      <c r="IE261" s="53"/>
      <c r="IF261" s="53"/>
      <c r="IG261" s="53"/>
    </row>
    <row r="262" spans="1:241" s="25" customFormat="1" ht="36" customHeight="1">
      <c r="A262" s="8" t="s">
        <v>248</v>
      </c>
      <c r="B262" s="6"/>
      <c r="C262" s="6"/>
      <c r="D262" s="7"/>
      <c r="E262" s="7"/>
      <c r="F262" s="7">
        <f t="shared" si="36"/>
        <v>0</v>
      </c>
      <c r="G262" s="7">
        <f>G257/D257*100</f>
        <v>107.08333333333333</v>
      </c>
      <c r="H262" s="7"/>
      <c r="I262" s="7"/>
      <c r="J262" s="7">
        <f t="shared" si="37"/>
        <v>107.08333333333333</v>
      </c>
      <c r="K262" s="7"/>
      <c r="L262" s="7"/>
      <c r="M262" s="7"/>
      <c r="N262" s="7">
        <f>N256/G256*100</f>
        <v>114.99999999999999</v>
      </c>
      <c r="O262" s="7"/>
      <c r="P262" s="7">
        <f t="shared" si="38"/>
        <v>114.99999999999999</v>
      </c>
      <c r="IB262" s="53"/>
      <c r="IC262" s="53"/>
      <c r="ID262" s="53"/>
      <c r="IE262" s="53"/>
      <c r="IF262" s="53"/>
      <c r="IG262" s="53"/>
    </row>
    <row r="263" spans="1:241" s="25" customFormat="1" ht="33.75">
      <c r="A263" s="8" t="s">
        <v>249</v>
      </c>
      <c r="B263" s="6"/>
      <c r="C263" s="6"/>
      <c r="D263" s="7"/>
      <c r="E263" s="7"/>
      <c r="F263" s="7">
        <f t="shared" si="36"/>
        <v>0</v>
      </c>
      <c r="G263" s="7">
        <f>G257/D257*100</f>
        <v>107.08333333333333</v>
      </c>
      <c r="H263" s="7"/>
      <c r="I263" s="7"/>
      <c r="J263" s="7">
        <f t="shared" si="37"/>
        <v>107.08333333333333</v>
      </c>
      <c r="K263" s="7"/>
      <c r="L263" s="7"/>
      <c r="M263" s="7"/>
      <c r="N263" s="7">
        <f>N257/G257*100</f>
        <v>106.66666666666664</v>
      </c>
      <c r="O263" s="7"/>
      <c r="P263" s="7">
        <f t="shared" si="38"/>
        <v>106.66666666666664</v>
      </c>
      <c r="IB263" s="53"/>
      <c r="IC263" s="53"/>
      <c r="ID263" s="53"/>
      <c r="IE263" s="53"/>
      <c r="IF263" s="53"/>
      <c r="IG263" s="53"/>
    </row>
    <row r="264" spans="1:241" s="38" customFormat="1" ht="22.5">
      <c r="A264" s="34" t="s">
        <v>393</v>
      </c>
      <c r="B264" s="35"/>
      <c r="C264" s="35"/>
      <c r="D264" s="36">
        <f>(D265*D269)+(D266*D270)+(D267*D272)-1.78+25000</f>
        <v>20099999.999959998</v>
      </c>
      <c r="E264" s="36">
        <f>(E265*E269)+(E266*E270)+(E267*E272)</f>
        <v>0</v>
      </c>
      <c r="F264" s="36">
        <f>D264</f>
        <v>20099999.999959998</v>
      </c>
      <c r="G264" s="36">
        <f>(G265*G269)+(G266*G270)+(G267*G272)+2928700</f>
        <v>23183699.999900002</v>
      </c>
      <c r="H264" s="36">
        <f>(H265*H269)+(H266*H270)+(H267*H272)</f>
        <v>0</v>
      </c>
      <c r="I264" s="36">
        <v>0</v>
      </c>
      <c r="J264" s="36">
        <f>G264+H264</f>
        <v>23183699.999900002</v>
      </c>
      <c r="K264" s="36">
        <f>(K265*K269)+(K266*K270)+(K267*K272)</f>
        <v>0</v>
      </c>
      <c r="L264" s="36">
        <f>(L265*L269)+(L266*L270)+(L267*L272)</f>
        <v>0</v>
      </c>
      <c r="M264" s="36">
        <f>(M265*M269)+(M266*M270)+(M267*M272)</f>
        <v>0</v>
      </c>
      <c r="N264" s="36">
        <f>(N265*N269)+(N266*N270)+(N267*N272)</f>
        <v>21574999.99998</v>
      </c>
      <c r="O264" s="36">
        <f>(O265*O269)+(O266*O270)+(O267*O272)</f>
        <v>0</v>
      </c>
      <c r="P264" s="36">
        <f>N264+O264</f>
        <v>21574999.99998</v>
      </c>
      <c r="Q264" s="36">
        <f>(Q265*Q269)+(Q266*Q270)+(Q267*Q272)</f>
        <v>0</v>
      </c>
      <c r="IB264" s="39"/>
      <c r="IC264" s="39"/>
      <c r="ID264" s="39"/>
      <c r="IE264" s="39"/>
      <c r="IF264" s="39"/>
      <c r="IG264" s="39"/>
    </row>
    <row r="265" spans="1:241" s="25" customFormat="1" ht="22.5">
      <c r="A265" s="8" t="s">
        <v>114</v>
      </c>
      <c r="B265" s="6"/>
      <c r="C265" s="6"/>
      <c r="D265" s="7">
        <v>33</v>
      </c>
      <c r="E265" s="7"/>
      <c r="F265" s="7">
        <f>D265+E265</f>
        <v>33</v>
      </c>
      <c r="G265" s="7">
        <v>30</v>
      </c>
      <c r="H265" s="7"/>
      <c r="I265" s="7"/>
      <c r="J265" s="7">
        <f>G265+H265</f>
        <v>30</v>
      </c>
      <c r="K265" s="7"/>
      <c r="L265" s="7"/>
      <c r="M265" s="7"/>
      <c r="N265" s="7">
        <v>28</v>
      </c>
      <c r="O265" s="7"/>
      <c r="P265" s="7">
        <f>N265+O265</f>
        <v>28</v>
      </c>
      <c r="IB265" s="53"/>
      <c r="IC265" s="53"/>
      <c r="ID265" s="53"/>
      <c r="IE265" s="53"/>
      <c r="IF265" s="53"/>
      <c r="IG265" s="53"/>
    </row>
    <row r="266" spans="1:241" s="25" customFormat="1" ht="22.5" customHeight="1">
      <c r="A266" s="8" t="s">
        <v>115</v>
      </c>
      <c r="B266" s="6"/>
      <c r="C266" s="6"/>
      <c r="D266" s="7">
        <v>6</v>
      </c>
      <c r="E266" s="7"/>
      <c r="F266" s="7">
        <f aca="true" t="shared" si="39" ref="F266:F276">D266+E266</f>
        <v>6</v>
      </c>
      <c r="G266" s="7">
        <f>D266</f>
        <v>6</v>
      </c>
      <c r="H266" s="7"/>
      <c r="I266" s="7"/>
      <c r="J266" s="7">
        <f aca="true" t="shared" si="40" ref="J266:J276">G266+H266</f>
        <v>6</v>
      </c>
      <c r="K266" s="7"/>
      <c r="L266" s="7"/>
      <c r="M266" s="7"/>
      <c r="N266" s="7">
        <v>6</v>
      </c>
      <c r="O266" s="7"/>
      <c r="P266" s="7">
        <f aca="true" t="shared" si="41" ref="P266:P276">N266+O266</f>
        <v>6</v>
      </c>
      <c r="IB266" s="53"/>
      <c r="IC266" s="53"/>
      <c r="ID266" s="53"/>
      <c r="IE266" s="53"/>
      <c r="IF266" s="53"/>
      <c r="IG266" s="53"/>
    </row>
    <row r="267" spans="1:241" s="25" customFormat="1" ht="22.5" customHeight="1">
      <c r="A267" s="8" t="s">
        <v>161</v>
      </c>
      <c r="B267" s="6"/>
      <c r="C267" s="6"/>
      <c r="D267" s="7">
        <v>77</v>
      </c>
      <c r="E267" s="7"/>
      <c r="F267" s="7">
        <f t="shared" si="39"/>
        <v>77</v>
      </c>
      <c r="G267" s="7">
        <v>80</v>
      </c>
      <c r="H267" s="7"/>
      <c r="I267" s="7"/>
      <c r="J267" s="7">
        <f t="shared" si="40"/>
        <v>80</v>
      </c>
      <c r="K267" s="7"/>
      <c r="L267" s="7"/>
      <c r="M267" s="7"/>
      <c r="N267" s="7">
        <v>90</v>
      </c>
      <c r="O267" s="7"/>
      <c r="P267" s="7">
        <f t="shared" si="41"/>
        <v>90</v>
      </c>
      <c r="IB267" s="53"/>
      <c r="IC267" s="53"/>
      <c r="ID267" s="53"/>
      <c r="IE267" s="53"/>
      <c r="IF267" s="53"/>
      <c r="IG267" s="53"/>
    </row>
    <row r="268" spans="1:241" s="25" customFormat="1" ht="12" customHeight="1">
      <c r="A268" s="5" t="s">
        <v>7</v>
      </c>
      <c r="B268" s="37"/>
      <c r="C268" s="37"/>
      <c r="D268" s="30"/>
      <c r="E268" s="30"/>
      <c r="F268" s="7"/>
      <c r="G268" s="30"/>
      <c r="H268" s="30"/>
      <c r="I268" s="7"/>
      <c r="J268" s="7"/>
      <c r="K268" s="7"/>
      <c r="L268" s="7"/>
      <c r="M268" s="7"/>
      <c r="N268" s="30"/>
      <c r="O268" s="30"/>
      <c r="P268" s="7"/>
      <c r="IB268" s="53"/>
      <c r="IC268" s="53"/>
      <c r="ID268" s="53"/>
      <c r="IE268" s="53"/>
      <c r="IF268" s="53"/>
      <c r="IG268" s="53"/>
    </row>
    <row r="269" spans="1:241" s="25" customFormat="1" ht="22.5" customHeight="1">
      <c r="A269" s="8" t="s">
        <v>116</v>
      </c>
      <c r="B269" s="6"/>
      <c r="C269" s="6"/>
      <c r="D269" s="7">
        <v>506060.66</v>
      </c>
      <c r="E269" s="7"/>
      <c r="F269" s="7">
        <f t="shared" si="39"/>
        <v>506060.66</v>
      </c>
      <c r="G269" s="7">
        <v>593333.33333</v>
      </c>
      <c r="H269" s="7"/>
      <c r="I269" s="7"/>
      <c r="J269" s="7">
        <f t="shared" si="40"/>
        <v>593333.33333</v>
      </c>
      <c r="K269" s="7"/>
      <c r="L269" s="7"/>
      <c r="M269" s="7"/>
      <c r="N269" s="7">
        <v>675000</v>
      </c>
      <c r="O269" s="7"/>
      <c r="P269" s="7">
        <f t="shared" si="41"/>
        <v>675000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117</v>
      </c>
      <c r="B270" s="6"/>
      <c r="C270" s="6"/>
      <c r="D270" s="7">
        <v>529166.66666</v>
      </c>
      <c r="E270" s="7"/>
      <c r="F270" s="7">
        <f t="shared" si="39"/>
        <v>529166.66666</v>
      </c>
      <c r="G270" s="7">
        <v>367500</v>
      </c>
      <c r="H270" s="7"/>
      <c r="I270" s="7"/>
      <c r="J270" s="7">
        <f t="shared" si="40"/>
        <v>367500</v>
      </c>
      <c r="K270" s="7"/>
      <c r="L270" s="7"/>
      <c r="M270" s="7"/>
      <c r="N270" s="7">
        <v>395833.33333</v>
      </c>
      <c r="O270" s="7"/>
      <c r="P270" s="7">
        <f t="shared" si="41"/>
        <v>395833.33333</v>
      </c>
      <c r="IB270" s="53"/>
      <c r="IC270" s="53"/>
      <c r="ID270" s="53"/>
      <c r="IE270" s="53"/>
      <c r="IF270" s="53"/>
      <c r="IG270" s="53"/>
    </row>
    <row r="271" spans="1:241" s="25" customFormat="1" ht="12" customHeight="1">
      <c r="A271" s="5" t="s">
        <v>6</v>
      </c>
      <c r="B271" s="37"/>
      <c r="C271" s="37"/>
      <c r="D271" s="30"/>
      <c r="E271" s="30"/>
      <c r="F271" s="7"/>
      <c r="G271" s="30"/>
      <c r="H271" s="30"/>
      <c r="I271" s="7"/>
      <c r="J271" s="7"/>
      <c r="K271" s="7"/>
      <c r="L271" s="7"/>
      <c r="M271" s="7"/>
      <c r="N271" s="30"/>
      <c r="O271" s="30"/>
      <c r="P271" s="7"/>
      <c r="IB271" s="53"/>
      <c r="IC271" s="53"/>
      <c r="ID271" s="53"/>
      <c r="IE271" s="53"/>
      <c r="IF271" s="53"/>
      <c r="IG271" s="53"/>
    </row>
    <row r="272" spans="1:241" s="25" customFormat="1" ht="32.25" customHeight="1">
      <c r="A272" s="8" t="s">
        <v>186</v>
      </c>
      <c r="B272" s="6"/>
      <c r="C272" s="6"/>
      <c r="D272" s="7">
        <f>200000/77</f>
        <v>2597.4025974025976</v>
      </c>
      <c r="E272" s="7"/>
      <c r="F272" s="7">
        <f t="shared" si="39"/>
        <v>2597.4025974025976</v>
      </c>
      <c r="G272" s="7">
        <v>3125</v>
      </c>
      <c r="H272" s="7"/>
      <c r="I272" s="7"/>
      <c r="J272" s="7">
        <f t="shared" si="40"/>
        <v>3125</v>
      </c>
      <c r="K272" s="7"/>
      <c r="L272" s="7"/>
      <c r="M272" s="7"/>
      <c r="N272" s="7">
        <f>300000/90</f>
        <v>3333.3333333333335</v>
      </c>
      <c r="O272" s="7"/>
      <c r="P272" s="7">
        <f t="shared" si="41"/>
        <v>3333.3333333333335</v>
      </c>
      <c r="IB272" s="53"/>
      <c r="IC272" s="53"/>
      <c r="ID272" s="53"/>
      <c r="IE272" s="53"/>
      <c r="IF272" s="53"/>
      <c r="IG272" s="53"/>
    </row>
    <row r="273" spans="1:241" s="25" customFormat="1" ht="11.25">
      <c r="A273" s="5" t="s">
        <v>6</v>
      </c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IB273" s="53"/>
      <c r="IC273" s="53"/>
      <c r="ID273" s="53"/>
      <c r="IE273" s="53"/>
      <c r="IF273" s="53"/>
      <c r="IG273" s="53"/>
    </row>
    <row r="274" spans="1:241" s="25" customFormat="1" ht="33.75">
      <c r="A274" s="8" t="s">
        <v>118</v>
      </c>
      <c r="B274" s="6"/>
      <c r="C274" s="6"/>
      <c r="D274" s="7"/>
      <c r="E274" s="7"/>
      <c r="F274" s="7">
        <f t="shared" si="39"/>
        <v>0</v>
      </c>
      <c r="G274" s="7">
        <f>G269/F269*100</f>
        <v>117.2454964845519</v>
      </c>
      <c r="H274" s="7"/>
      <c r="I274" s="7"/>
      <c r="J274" s="7">
        <f t="shared" si="40"/>
        <v>117.2454964845519</v>
      </c>
      <c r="K274" s="7"/>
      <c r="L274" s="7"/>
      <c r="M274" s="7"/>
      <c r="N274" s="7">
        <f>N269/J269*100</f>
        <v>113.76404494445933</v>
      </c>
      <c r="O274" s="7"/>
      <c r="P274" s="7">
        <f t="shared" si="41"/>
        <v>113.76404494445933</v>
      </c>
      <c r="IB274" s="53"/>
      <c r="IC274" s="53"/>
      <c r="ID274" s="53"/>
      <c r="IE274" s="53"/>
      <c r="IF274" s="53"/>
      <c r="IG274" s="53"/>
    </row>
    <row r="275" spans="1:241" s="25" customFormat="1" ht="33.75">
      <c r="A275" s="8" t="s">
        <v>119</v>
      </c>
      <c r="B275" s="6"/>
      <c r="C275" s="6"/>
      <c r="D275" s="7"/>
      <c r="E275" s="7"/>
      <c r="F275" s="7">
        <f t="shared" si="39"/>
        <v>0</v>
      </c>
      <c r="G275" s="7">
        <f>G270/D270*100</f>
        <v>69.44881889851274</v>
      </c>
      <c r="H275" s="7"/>
      <c r="I275" s="7"/>
      <c r="J275" s="7">
        <f t="shared" si="40"/>
        <v>69.44881889851274</v>
      </c>
      <c r="K275" s="7"/>
      <c r="L275" s="7"/>
      <c r="M275" s="7"/>
      <c r="N275" s="7">
        <f>N270/G270*100</f>
        <v>107.7097505659864</v>
      </c>
      <c r="O275" s="7"/>
      <c r="P275" s="7">
        <f t="shared" si="41"/>
        <v>107.7097505659864</v>
      </c>
      <c r="IB275" s="53"/>
      <c r="IC275" s="53"/>
      <c r="ID275" s="53"/>
      <c r="IE275" s="53"/>
      <c r="IF275" s="53"/>
      <c r="IG275" s="53"/>
    </row>
    <row r="276" spans="1:241" s="25" customFormat="1" ht="27" customHeight="1">
      <c r="A276" s="8" t="s">
        <v>227</v>
      </c>
      <c r="B276" s="6"/>
      <c r="C276" s="6"/>
      <c r="D276" s="7"/>
      <c r="E276" s="7"/>
      <c r="F276" s="7">
        <f t="shared" si="39"/>
        <v>0</v>
      </c>
      <c r="G276" s="7">
        <f>G272/D272*100</f>
        <v>120.3125</v>
      </c>
      <c r="H276" s="7"/>
      <c r="I276" s="7"/>
      <c r="J276" s="7">
        <f t="shared" si="40"/>
        <v>120.3125</v>
      </c>
      <c r="K276" s="7"/>
      <c r="L276" s="7"/>
      <c r="M276" s="7"/>
      <c r="N276" s="7">
        <f>N272/G272*100</f>
        <v>106.66666666666667</v>
      </c>
      <c r="O276" s="7"/>
      <c r="P276" s="7">
        <f t="shared" si="41"/>
        <v>106.66666666666667</v>
      </c>
      <c r="IB276" s="53"/>
      <c r="IC276" s="53"/>
      <c r="ID276" s="53"/>
      <c r="IE276" s="53"/>
      <c r="IF276" s="53"/>
      <c r="IG276" s="53"/>
    </row>
    <row r="277" spans="1:241" s="38" customFormat="1" ht="24" customHeight="1">
      <c r="A277" s="34" t="s">
        <v>394</v>
      </c>
      <c r="B277" s="35"/>
      <c r="C277" s="35"/>
      <c r="D277" s="36">
        <v>1000000</v>
      </c>
      <c r="E277" s="36"/>
      <c r="F277" s="36">
        <f>D277</f>
        <v>1000000</v>
      </c>
      <c r="G277" s="36">
        <v>1200000</v>
      </c>
      <c r="H277" s="36"/>
      <c r="I277" s="36"/>
      <c r="J277" s="36">
        <f>G277</f>
        <v>1200000</v>
      </c>
      <c r="K277" s="36">
        <f>(K279*K281)</f>
        <v>0</v>
      </c>
      <c r="L277" s="36">
        <f>(L279*L281)</f>
        <v>0</v>
      </c>
      <c r="M277" s="36">
        <f>(M279*M281)</f>
        <v>0</v>
      </c>
      <c r="N277" s="36">
        <v>1400000</v>
      </c>
      <c r="O277" s="36">
        <f>(O279*O281)</f>
        <v>0</v>
      </c>
      <c r="P277" s="36">
        <f>N277</f>
        <v>1400000</v>
      </c>
      <c r="IB277" s="39"/>
      <c r="IC277" s="39"/>
      <c r="ID277" s="39"/>
      <c r="IE277" s="39"/>
      <c r="IF277" s="39"/>
      <c r="IG277" s="39"/>
    </row>
    <row r="278" spans="1:241" s="25" customFormat="1" ht="11.25">
      <c r="A278" s="5" t="s">
        <v>5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250</v>
      </c>
      <c r="B279" s="6"/>
      <c r="C279" s="6"/>
      <c r="D279" s="7">
        <v>750</v>
      </c>
      <c r="E279" s="7"/>
      <c r="F279" s="7">
        <f>D279</f>
        <v>750</v>
      </c>
      <c r="G279" s="7">
        <v>700</v>
      </c>
      <c r="H279" s="7"/>
      <c r="I279" s="7"/>
      <c r="J279" s="7">
        <f>G279</f>
        <v>700</v>
      </c>
      <c r="K279" s="7"/>
      <c r="L279" s="7"/>
      <c r="M279" s="7"/>
      <c r="N279" s="7">
        <v>650</v>
      </c>
      <c r="O279" s="7"/>
      <c r="P279" s="7">
        <f>N279</f>
        <v>650</v>
      </c>
      <c r="IB279" s="53"/>
      <c r="IC279" s="53"/>
      <c r="ID279" s="53"/>
      <c r="IE279" s="53"/>
      <c r="IF279" s="53"/>
      <c r="IG279" s="53"/>
    </row>
    <row r="280" spans="1:241" s="25" customFormat="1" ht="11.25">
      <c r="A280" s="5" t="s">
        <v>7</v>
      </c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IB280" s="53"/>
      <c r="IC280" s="53"/>
      <c r="ID280" s="53"/>
      <c r="IE280" s="53"/>
      <c r="IF280" s="53"/>
      <c r="IG280" s="53"/>
    </row>
    <row r="281" spans="1:241" s="25" customFormat="1" ht="22.5" customHeight="1">
      <c r="A281" s="8" t="s">
        <v>251</v>
      </c>
      <c r="B281" s="6"/>
      <c r="C281" s="6"/>
      <c r="D281" s="7">
        <f>D277/D279</f>
        <v>1333.3333333333333</v>
      </c>
      <c r="E281" s="7"/>
      <c r="F281" s="7">
        <f>D281</f>
        <v>1333.3333333333333</v>
      </c>
      <c r="G281" s="7">
        <f>G277/G279</f>
        <v>1714.2857142857142</v>
      </c>
      <c r="H281" s="7"/>
      <c r="I281" s="7"/>
      <c r="J281" s="7">
        <f>G281</f>
        <v>1714.2857142857142</v>
      </c>
      <c r="K281" s="7"/>
      <c r="L281" s="7"/>
      <c r="M281" s="7"/>
      <c r="N281" s="7">
        <f>1400000/750</f>
        <v>1866.6666666666667</v>
      </c>
      <c r="O281" s="7"/>
      <c r="P281" s="7">
        <f>N281</f>
        <v>1866.6666666666667</v>
      </c>
      <c r="IB281" s="53"/>
      <c r="IC281" s="53"/>
      <c r="ID281" s="53"/>
      <c r="IE281" s="53"/>
      <c r="IF281" s="53"/>
      <c r="IG281" s="53"/>
    </row>
    <row r="282" spans="1:241" s="25" customFormat="1" ht="11.25">
      <c r="A282" s="5" t="s">
        <v>6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24" customHeight="1">
      <c r="A283" s="8" t="s">
        <v>179</v>
      </c>
      <c r="B283" s="6"/>
      <c r="C283" s="6"/>
      <c r="D283" s="7"/>
      <c r="E283" s="7"/>
      <c r="F283" s="7"/>
      <c r="G283" s="7">
        <f>G279/D279*100</f>
        <v>93.33333333333333</v>
      </c>
      <c r="H283" s="7"/>
      <c r="I283" s="7"/>
      <c r="J283" s="7">
        <f>G283</f>
        <v>93.33333333333333</v>
      </c>
      <c r="K283" s="7"/>
      <c r="L283" s="7"/>
      <c r="M283" s="7"/>
      <c r="N283" s="7">
        <f>N279/G279*100</f>
        <v>92.85714285714286</v>
      </c>
      <c r="O283" s="7"/>
      <c r="P283" s="7">
        <f>N283</f>
        <v>92.85714285714286</v>
      </c>
      <c r="IB283" s="53"/>
      <c r="IC283" s="53"/>
      <c r="ID283" s="53"/>
      <c r="IE283" s="53"/>
      <c r="IF283" s="53"/>
      <c r="IG283" s="53"/>
    </row>
    <row r="284" spans="1:241" s="25" customFormat="1" ht="31.5" customHeight="1">
      <c r="A284" s="8" t="s">
        <v>180</v>
      </c>
      <c r="B284" s="6"/>
      <c r="C284" s="6"/>
      <c r="D284" s="7"/>
      <c r="E284" s="7"/>
      <c r="F284" s="7"/>
      <c r="G284" s="7">
        <f>G281/D281*100</f>
        <v>128.57142857142858</v>
      </c>
      <c r="H284" s="7"/>
      <c r="I284" s="7"/>
      <c r="J284" s="7">
        <f>G284</f>
        <v>128.57142857142858</v>
      </c>
      <c r="K284" s="7"/>
      <c r="L284" s="7"/>
      <c r="M284" s="7"/>
      <c r="N284" s="7">
        <f>N281/G281*100</f>
        <v>108.8888888888889</v>
      </c>
      <c r="O284" s="7"/>
      <c r="P284" s="7">
        <f>N284</f>
        <v>108.8888888888889</v>
      </c>
      <c r="IB284" s="53"/>
      <c r="IC284" s="53"/>
      <c r="ID284" s="53"/>
      <c r="IE284" s="53"/>
      <c r="IF284" s="53"/>
      <c r="IG284" s="53"/>
    </row>
    <row r="285" spans="1:241" s="38" customFormat="1" ht="22.5" customHeight="1">
      <c r="A285" s="34" t="s">
        <v>395</v>
      </c>
      <c r="B285" s="35"/>
      <c r="C285" s="35"/>
      <c r="D285" s="36"/>
      <c r="E285" s="36">
        <v>11780000</v>
      </c>
      <c r="F285" s="36">
        <f>E285</f>
        <v>11780000</v>
      </c>
      <c r="G285" s="36">
        <f>G287*G289</f>
        <v>0</v>
      </c>
      <c r="H285" s="36">
        <v>12000000</v>
      </c>
      <c r="I285" s="36">
        <f>I287*I289</f>
        <v>0</v>
      </c>
      <c r="J285" s="36">
        <f>G285+H285</f>
        <v>12000000</v>
      </c>
      <c r="K285" s="36">
        <f>K287*K289</f>
        <v>0</v>
      </c>
      <c r="L285" s="36">
        <f>L287*L289</f>
        <v>0</v>
      </c>
      <c r="M285" s="36">
        <f>M287*M289</f>
        <v>0</v>
      </c>
      <c r="N285" s="36">
        <f>N287*N289</f>
        <v>0</v>
      </c>
      <c r="O285" s="36">
        <v>12100000</v>
      </c>
      <c r="P285" s="36">
        <f>N285+O285</f>
        <v>12100000</v>
      </c>
      <c r="IB285" s="39"/>
      <c r="IC285" s="39"/>
      <c r="ID285" s="39"/>
      <c r="IE285" s="39"/>
      <c r="IF285" s="39"/>
      <c r="IG285" s="39"/>
    </row>
    <row r="286" spans="1:241" s="25" customFormat="1" ht="11.25">
      <c r="A286" s="5" t="s">
        <v>5</v>
      </c>
      <c r="B286" s="37"/>
      <c r="C286" s="37"/>
      <c r="D286" s="30"/>
      <c r="E286" s="30"/>
      <c r="F286" s="7"/>
      <c r="G286" s="30"/>
      <c r="H286" s="30"/>
      <c r="I286" s="30"/>
      <c r="J286" s="7"/>
      <c r="K286" s="7"/>
      <c r="L286" s="7"/>
      <c r="M286" s="7"/>
      <c r="N286" s="30"/>
      <c r="O286" s="30"/>
      <c r="P286" s="7"/>
      <c r="IB286" s="53"/>
      <c r="IC286" s="53"/>
      <c r="ID286" s="53"/>
      <c r="IE286" s="53"/>
      <c r="IF286" s="53"/>
      <c r="IG286" s="53"/>
    </row>
    <row r="287" spans="1:241" s="25" customFormat="1" ht="21.75" customHeight="1">
      <c r="A287" s="8" t="s">
        <v>120</v>
      </c>
      <c r="B287" s="6"/>
      <c r="C287" s="6"/>
      <c r="D287" s="7"/>
      <c r="E287" s="7">
        <v>20</v>
      </c>
      <c r="F287" s="7">
        <f>E287</f>
        <v>20</v>
      </c>
      <c r="G287" s="7"/>
      <c r="H287" s="7">
        <v>18</v>
      </c>
      <c r="I287" s="7"/>
      <c r="J287" s="7">
        <f>G287+H287</f>
        <v>18</v>
      </c>
      <c r="K287" s="7"/>
      <c r="L287" s="7"/>
      <c r="M287" s="7"/>
      <c r="N287" s="7"/>
      <c r="O287" s="7">
        <v>15</v>
      </c>
      <c r="P287" s="7">
        <f>O287</f>
        <v>15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7</v>
      </c>
      <c r="B288" s="37"/>
      <c r="C288" s="37"/>
      <c r="D288" s="30"/>
      <c r="E288" s="30"/>
      <c r="F288" s="7"/>
      <c r="G288" s="30"/>
      <c r="H288" s="30"/>
      <c r="I288" s="30"/>
      <c r="J288" s="7"/>
      <c r="K288" s="7"/>
      <c r="L288" s="7"/>
      <c r="M288" s="7"/>
      <c r="N288" s="30"/>
      <c r="O288" s="30"/>
      <c r="P288" s="7"/>
      <c r="IB288" s="53"/>
      <c r="IC288" s="53"/>
      <c r="ID288" s="53"/>
      <c r="IE288" s="53"/>
      <c r="IF288" s="53"/>
      <c r="IG288" s="53"/>
    </row>
    <row r="289" spans="1:241" s="25" customFormat="1" ht="23.25" customHeight="1">
      <c r="A289" s="8" t="s">
        <v>121</v>
      </c>
      <c r="B289" s="6"/>
      <c r="C289" s="6"/>
      <c r="D289" s="7"/>
      <c r="E289" s="7">
        <f>E285/E287</f>
        <v>589000</v>
      </c>
      <c r="F289" s="7">
        <f>E289</f>
        <v>589000</v>
      </c>
      <c r="G289" s="7"/>
      <c r="H289" s="7">
        <f>H285/H287</f>
        <v>666666.6666666666</v>
      </c>
      <c r="I289" s="7"/>
      <c r="J289" s="7">
        <f>G289+H289</f>
        <v>666666.6666666666</v>
      </c>
      <c r="K289" s="7"/>
      <c r="L289" s="7"/>
      <c r="M289" s="7"/>
      <c r="N289" s="7"/>
      <c r="O289" s="7">
        <f>O285/O287</f>
        <v>806666.6666666666</v>
      </c>
      <c r="P289" s="7">
        <f>O289</f>
        <v>806666.6666666666</v>
      </c>
      <c r="IB289" s="53"/>
      <c r="IC289" s="53"/>
      <c r="ID289" s="53"/>
      <c r="IE289" s="53"/>
      <c r="IF289" s="53"/>
      <c r="IG289" s="53"/>
    </row>
    <row r="290" spans="1:241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IB290" s="53"/>
      <c r="IC290" s="53"/>
      <c r="ID290" s="53"/>
      <c r="IE290" s="53"/>
      <c r="IF290" s="53"/>
      <c r="IG290" s="53"/>
    </row>
    <row r="291" spans="1:241" s="25" customFormat="1" ht="35.25" customHeight="1">
      <c r="A291" s="8" t="s">
        <v>122</v>
      </c>
      <c r="B291" s="6"/>
      <c r="C291" s="6"/>
      <c r="D291" s="7"/>
      <c r="E291" s="7">
        <v>0</v>
      </c>
      <c r="F291" s="7">
        <v>0</v>
      </c>
      <c r="G291" s="7"/>
      <c r="H291" s="7">
        <f>H289/E289*100</f>
        <v>113.18619128466327</v>
      </c>
      <c r="I291" s="7"/>
      <c r="J291" s="7">
        <f>G291+H291</f>
        <v>113.18619128466327</v>
      </c>
      <c r="K291" s="7"/>
      <c r="L291" s="7"/>
      <c r="M291" s="7"/>
      <c r="N291" s="7"/>
      <c r="O291" s="7">
        <f>O289/H289*100</f>
        <v>121</v>
      </c>
      <c r="P291" s="7">
        <f>O291</f>
        <v>121</v>
      </c>
      <c r="IB291" s="53"/>
      <c r="IC291" s="53"/>
      <c r="ID291" s="53"/>
      <c r="IE291" s="53"/>
      <c r="IF291" s="53"/>
      <c r="IG291" s="53"/>
    </row>
    <row r="292" spans="1:16" ht="15" customHeight="1">
      <c r="A292" s="37" t="s">
        <v>365</v>
      </c>
      <c r="B292" s="37"/>
      <c r="C292" s="37"/>
      <c r="D292" s="30"/>
      <c r="E292" s="30">
        <f>E294+E308+E323</f>
        <v>67727703</v>
      </c>
      <c r="F292" s="30">
        <f aca="true" t="shared" si="42" ref="F292:P292">F294+F308+F323</f>
        <v>67727703</v>
      </c>
      <c r="G292" s="30">
        <f t="shared" si="42"/>
        <v>0</v>
      </c>
      <c r="H292" s="30">
        <f t="shared" si="42"/>
        <v>68742599.9975</v>
      </c>
      <c r="I292" s="30">
        <f t="shared" si="42"/>
        <v>742600</v>
      </c>
      <c r="J292" s="30">
        <f t="shared" si="42"/>
        <v>68742599.9975</v>
      </c>
      <c r="K292" s="30">
        <f t="shared" si="42"/>
        <v>10668.66666388889</v>
      </c>
      <c r="L292" s="30">
        <f t="shared" si="42"/>
        <v>2</v>
      </c>
      <c r="M292" s="30">
        <f t="shared" si="42"/>
        <v>2</v>
      </c>
      <c r="N292" s="30">
        <f t="shared" si="42"/>
        <v>0</v>
      </c>
      <c r="O292" s="30">
        <f t="shared" si="42"/>
        <v>70000000.002</v>
      </c>
      <c r="P292" s="30">
        <f t="shared" si="42"/>
        <v>70000000.002</v>
      </c>
    </row>
    <row r="293" spans="1:16" ht="45" customHeight="1">
      <c r="A293" s="34" t="s">
        <v>123</v>
      </c>
      <c r="B293" s="6"/>
      <c r="C293" s="6"/>
      <c r="D293" s="7"/>
      <c r="E293" s="36"/>
      <c r="F293" s="36"/>
      <c r="G293" s="7"/>
      <c r="H293" s="36"/>
      <c r="I293" s="36"/>
      <c r="J293" s="36"/>
      <c r="K293" s="7" t="e">
        <f>H293/E293*100</f>
        <v>#DIV/0!</v>
      </c>
      <c r="L293" s="36"/>
      <c r="M293" s="36"/>
      <c r="N293" s="7"/>
      <c r="O293" s="36"/>
      <c r="P293" s="36"/>
    </row>
    <row r="294" spans="1:16" ht="22.5" customHeight="1">
      <c r="A294" s="34" t="s">
        <v>128</v>
      </c>
      <c r="B294" s="6"/>
      <c r="C294" s="6"/>
      <c r="D294" s="7"/>
      <c r="E294" s="36">
        <f>E295</f>
        <v>46927700</v>
      </c>
      <c r="F294" s="36">
        <f>D294+E294</f>
        <v>46927700</v>
      </c>
      <c r="G294" s="36"/>
      <c r="H294" s="36">
        <f>H295</f>
        <v>47999999.997499995</v>
      </c>
      <c r="I294" s="36"/>
      <c r="J294" s="36">
        <f>G294+H294</f>
        <v>47999999.997499995</v>
      </c>
      <c r="K294" s="36">
        <f>K295+K309+K316</f>
        <v>10667.66666388889</v>
      </c>
      <c r="L294" s="36">
        <f>L295+L309+L316</f>
        <v>1</v>
      </c>
      <c r="M294" s="36">
        <f>M295+M309+M316</f>
        <v>1</v>
      </c>
      <c r="N294" s="36"/>
      <c r="O294" s="36">
        <f>O295</f>
        <v>50000000.002</v>
      </c>
      <c r="P294" s="36">
        <f>N294+O294</f>
        <v>50000000.002</v>
      </c>
    </row>
    <row r="295" spans="1:235" s="39" customFormat="1" ht="22.5">
      <c r="A295" s="34" t="s">
        <v>396</v>
      </c>
      <c r="B295" s="35"/>
      <c r="C295" s="35"/>
      <c r="D295" s="36"/>
      <c r="E295" s="145">
        <f>(E299*E301)+E305+E306+E307</f>
        <v>46927700</v>
      </c>
      <c r="F295" s="36">
        <f>E295</f>
        <v>46927700</v>
      </c>
      <c r="G295" s="36"/>
      <c r="H295" s="36">
        <f>H299*H301+0.01</f>
        <v>47999999.997499995</v>
      </c>
      <c r="I295" s="36"/>
      <c r="J295" s="36">
        <f>H295</f>
        <v>47999999.997499995</v>
      </c>
      <c r="K295" s="36">
        <f>K299*K301</f>
        <v>10666.66666388889</v>
      </c>
      <c r="L295" s="36">
        <f>L299*L301</f>
        <v>0</v>
      </c>
      <c r="M295" s="36">
        <f>M299*M301</f>
        <v>0</v>
      </c>
      <c r="N295" s="36"/>
      <c r="O295" s="36">
        <f>O299*O301+0.01</f>
        <v>50000000.002</v>
      </c>
      <c r="P295" s="36">
        <f>N295+O295</f>
        <v>50000000.002</v>
      </c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  <c r="HZ295" s="38"/>
      <c r="IA295" s="38"/>
    </row>
    <row r="296" spans="1:16" ht="11.25">
      <c r="A296" s="5" t="s">
        <v>4</v>
      </c>
      <c r="B296" s="37"/>
      <c r="C296" s="37"/>
      <c r="D296" s="7"/>
      <c r="E296" s="36"/>
      <c r="F296" s="36"/>
      <c r="G296" s="7"/>
      <c r="H296" s="36"/>
      <c r="I296" s="36"/>
      <c r="J296" s="36"/>
      <c r="K296" s="7"/>
      <c r="L296" s="36"/>
      <c r="M296" s="36"/>
      <c r="N296" s="7"/>
      <c r="O296" s="36"/>
      <c r="P296" s="36"/>
    </row>
    <row r="297" spans="1:16" ht="22.5">
      <c r="A297" s="8" t="s">
        <v>124</v>
      </c>
      <c r="B297" s="6"/>
      <c r="C297" s="6"/>
      <c r="D297" s="7"/>
      <c r="E297" s="7">
        <v>1072</v>
      </c>
      <c r="F297" s="7">
        <f>E297</f>
        <v>1072</v>
      </c>
      <c r="G297" s="7"/>
      <c r="H297" s="7">
        <v>892</v>
      </c>
      <c r="I297" s="7"/>
      <c r="J297" s="7">
        <f>H297</f>
        <v>892</v>
      </c>
      <c r="K297" s="7"/>
      <c r="L297" s="36"/>
      <c r="M297" s="36"/>
      <c r="N297" s="7"/>
      <c r="O297" s="7">
        <v>617</v>
      </c>
      <c r="P297" s="7">
        <f>O297</f>
        <v>617</v>
      </c>
    </row>
    <row r="298" spans="1:16" ht="11.25">
      <c r="A298" s="5" t="s">
        <v>5</v>
      </c>
      <c r="B298" s="37"/>
      <c r="C298" s="37"/>
      <c r="D298" s="7"/>
      <c r="E298" s="30"/>
      <c r="F298" s="30"/>
      <c r="G298" s="7"/>
      <c r="H298" s="30"/>
      <c r="I298" s="30"/>
      <c r="J298" s="30"/>
      <c r="K298" s="7" t="e">
        <f>H298/E298*100</f>
        <v>#DIV/0!</v>
      </c>
      <c r="L298" s="30"/>
      <c r="M298" s="30"/>
      <c r="N298" s="7"/>
      <c r="O298" s="30"/>
      <c r="P298" s="30"/>
    </row>
    <row r="299" spans="1:16" ht="22.5">
      <c r="A299" s="8" t="s">
        <v>125</v>
      </c>
      <c r="B299" s="6"/>
      <c r="C299" s="6"/>
      <c r="D299" s="7"/>
      <c r="E299" s="7">
        <v>180</v>
      </c>
      <c r="F299" s="7">
        <f>E299</f>
        <v>180</v>
      </c>
      <c r="G299" s="7"/>
      <c r="H299" s="7">
        <v>275</v>
      </c>
      <c r="I299" s="7"/>
      <c r="J299" s="7">
        <f>H299</f>
        <v>275</v>
      </c>
      <c r="K299" s="7">
        <f>H299/E299*100</f>
        <v>152.77777777777777</v>
      </c>
      <c r="L299" s="7"/>
      <c r="M299" s="7"/>
      <c r="N299" s="7"/>
      <c r="O299" s="7">
        <v>240</v>
      </c>
      <c r="P299" s="7">
        <f>O299</f>
        <v>240</v>
      </c>
    </row>
    <row r="300" spans="1:16" ht="11.25">
      <c r="A300" s="5" t="s">
        <v>7</v>
      </c>
      <c r="B300" s="37"/>
      <c r="C300" s="37"/>
      <c r="D300" s="7"/>
      <c r="E300" s="30"/>
      <c r="F300" s="30"/>
      <c r="G300" s="7"/>
      <c r="H300" s="30"/>
      <c r="I300" s="30"/>
      <c r="J300" s="30"/>
      <c r="K300" s="7" t="e">
        <f>H300/E300*100</f>
        <v>#DIV/0!</v>
      </c>
      <c r="L300" s="30"/>
      <c r="M300" s="30"/>
      <c r="N300" s="7"/>
      <c r="O300" s="30"/>
      <c r="P300" s="30"/>
    </row>
    <row r="301" spans="1:16" ht="24" customHeight="1">
      <c r="A301" s="8" t="s">
        <v>126</v>
      </c>
      <c r="B301" s="6"/>
      <c r="C301" s="6"/>
      <c r="D301" s="7"/>
      <c r="E301" s="7">
        <v>250000</v>
      </c>
      <c r="F301" s="7">
        <f>E301</f>
        <v>250000</v>
      </c>
      <c r="G301" s="7"/>
      <c r="H301" s="7">
        <v>174545.4545</v>
      </c>
      <c r="I301" s="7"/>
      <c r="J301" s="7">
        <f>H301</f>
        <v>174545.4545</v>
      </c>
      <c r="K301" s="7">
        <f>H301/E301*100</f>
        <v>69.8181818</v>
      </c>
      <c r="L301" s="7"/>
      <c r="M301" s="7"/>
      <c r="N301" s="7"/>
      <c r="O301" s="7">
        <v>208333.3333</v>
      </c>
      <c r="P301" s="7">
        <f>O301</f>
        <v>208333.3333</v>
      </c>
    </row>
    <row r="302" spans="1:16" ht="11.25">
      <c r="A302" s="5" t="s">
        <v>6</v>
      </c>
      <c r="B302" s="37"/>
      <c r="C302" s="3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50.25" customHeight="1">
      <c r="A303" s="8" t="s">
        <v>127</v>
      </c>
      <c r="B303" s="6"/>
      <c r="C303" s="6"/>
      <c r="D303" s="7"/>
      <c r="E303" s="7">
        <f>E299/E297*100</f>
        <v>16.791044776119403</v>
      </c>
      <c r="F303" s="7">
        <f>D303+E303</f>
        <v>16.791044776119403</v>
      </c>
      <c r="G303" s="7"/>
      <c r="H303" s="7">
        <f>H299/H297*100</f>
        <v>30.829596412556054</v>
      </c>
      <c r="I303" s="7"/>
      <c r="J303" s="7">
        <f>J299/J297*100</f>
        <v>30.829596412556054</v>
      </c>
      <c r="K303" s="7" t="e">
        <f>K299/K297*100</f>
        <v>#DIV/0!</v>
      </c>
      <c r="L303" s="7" t="e">
        <f>L299/L297*100</f>
        <v>#DIV/0!</v>
      </c>
      <c r="M303" s="7" t="e">
        <f>M299/M297*100</f>
        <v>#DIV/0!</v>
      </c>
      <c r="N303" s="7"/>
      <c r="O303" s="7">
        <f>O299/O297*100</f>
        <v>38.897893030794165</v>
      </c>
      <c r="P303" s="7">
        <f>P299/P297*100</f>
        <v>38.897893030794165</v>
      </c>
    </row>
    <row r="304" spans="1:16" ht="11.25">
      <c r="A304" s="5" t="s">
        <v>5</v>
      </c>
      <c r="B304" s="35"/>
      <c r="C304" s="35"/>
      <c r="D304" s="7"/>
      <c r="E304" s="36"/>
      <c r="F304" s="36"/>
      <c r="G304" s="7"/>
      <c r="H304" s="36"/>
      <c r="I304" s="36"/>
      <c r="J304" s="36"/>
      <c r="K304" s="36"/>
      <c r="L304" s="36"/>
      <c r="M304" s="36"/>
      <c r="N304" s="7"/>
      <c r="O304" s="36"/>
      <c r="P304" s="36"/>
    </row>
    <row r="305" spans="1:16" ht="33.75">
      <c r="A305" s="8" t="s">
        <v>281</v>
      </c>
      <c r="B305" s="37"/>
      <c r="C305" s="37"/>
      <c r="D305" s="30"/>
      <c r="E305" s="7">
        <v>160000</v>
      </c>
      <c r="F305" s="7">
        <v>160000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1.25">
      <c r="A306" s="8" t="s">
        <v>366</v>
      </c>
      <c r="B306" s="37"/>
      <c r="C306" s="37"/>
      <c r="D306" s="30"/>
      <c r="E306" s="7">
        <v>1522000</v>
      </c>
      <c r="F306" s="7">
        <f>E306</f>
        <v>1522000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22.5">
      <c r="A307" s="8" t="s">
        <v>377</v>
      </c>
      <c r="B307" s="37"/>
      <c r="C307" s="37"/>
      <c r="D307" s="30"/>
      <c r="E307" s="7">
        <v>245700</v>
      </c>
      <c r="F307" s="7">
        <f>E307</f>
        <v>245700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235" s="39" customFormat="1" ht="36" customHeight="1">
      <c r="A308" s="34" t="s">
        <v>347</v>
      </c>
      <c r="B308" s="35"/>
      <c r="C308" s="35"/>
      <c r="D308" s="36"/>
      <c r="E308" s="36">
        <f aca="true" t="shared" si="43" ref="E308:P308">SUM(E309)+E316</f>
        <v>20000000</v>
      </c>
      <c r="F308" s="36">
        <f t="shared" si="43"/>
        <v>20000000</v>
      </c>
      <c r="G308" s="36">
        <f t="shared" si="43"/>
        <v>0</v>
      </c>
      <c r="H308" s="36">
        <f t="shared" si="43"/>
        <v>20000000</v>
      </c>
      <c r="I308" s="36">
        <f t="shared" si="43"/>
        <v>0</v>
      </c>
      <c r="J308" s="36">
        <f t="shared" si="43"/>
        <v>20000000</v>
      </c>
      <c r="K308" s="36">
        <f t="shared" si="43"/>
        <v>1</v>
      </c>
      <c r="L308" s="36">
        <f t="shared" si="43"/>
        <v>1</v>
      </c>
      <c r="M308" s="36">
        <f t="shared" si="43"/>
        <v>1</v>
      </c>
      <c r="N308" s="36">
        <f t="shared" si="43"/>
        <v>0</v>
      </c>
      <c r="O308" s="36">
        <f t="shared" si="43"/>
        <v>20000000</v>
      </c>
      <c r="P308" s="36">
        <f t="shared" si="43"/>
        <v>20000000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ET308" s="38"/>
      <c r="EU308" s="38"/>
      <c r="EV308" s="38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8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8"/>
      <c r="GE308" s="38"/>
      <c r="GF308" s="38"/>
      <c r="GG308" s="38"/>
      <c r="GH308" s="38"/>
      <c r="GI308" s="38"/>
      <c r="GJ308" s="38"/>
      <c r="GK308" s="38"/>
      <c r="GL308" s="38"/>
      <c r="GM308" s="38"/>
      <c r="GN308" s="38"/>
      <c r="GO308" s="38"/>
      <c r="GP308" s="38"/>
      <c r="GQ308" s="38"/>
      <c r="GR308" s="38"/>
      <c r="GS308" s="38"/>
      <c r="GT308" s="38"/>
      <c r="GU308" s="38"/>
      <c r="GV308" s="38"/>
      <c r="GW308" s="38"/>
      <c r="GX308" s="38"/>
      <c r="GY308" s="38"/>
      <c r="GZ308" s="38"/>
      <c r="HA308" s="38"/>
      <c r="HB308" s="38"/>
      <c r="HC308" s="38"/>
      <c r="HD308" s="38"/>
      <c r="HE308" s="38"/>
      <c r="HF308" s="38"/>
      <c r="HG308" s="38"/>
      <c r="HH308" s="38"/>
      <c r="HI308" s="38"/>
      <c r="HJ308" s="38"/>
      <c r="HK308" s="38"/>
      <c r="HL308" s="38"/>
      <c r="HM308" s="38"/>
      <c r="HN308" s="38"/>
      <c r="HO308" s="38"/>
      <c r="HP308" s="38"/>
      <c r="HQ308" s="38"/>
      <c r="HR308" s="38"/>
      <c r="HS308" s="38"/>
      <c r="HT308" s="38"/>
      <c r="HU308" s="38"/>
      <c r="HV308" s="38"/>
      <c r="HW308" s="38"/>
      <c r="HX308" s="38"/>
      <c r="HY308" s="38"/>
      <c r="HZ308" s="38"/>
      <c r="IA308" s="38"/>
    </row>
    <row r="309" spans="1:235" s="39" customFormat="1" ht="41.25" customHeight="1">
      <c r="A309" s="34" t="s">
        <v>397</v>
      </c>
      <c r="B309" s="35"/>
      <c r="C309" s="35"/>
      <c r="D309" s="36"/>
      <c r="E309" s="36">
        <f>E313*E315</f>
        <v>14999999.999999998</v>
      </c>
      <c r="F309" s="36">
        <f>F313*F315</f>
        <v>14999999.999999998</v>
      </c>
      <c r="G309" s="36"/>
      <c r="H309" s="36">
        <f>H313*H315</f>
        <v>14000000</v>
      </c>
      <c r="I309" s="36"/>
      <c r="J309" s="36">
        <f>H309</f>
        <v>14000000</v>
      </c>
      <c r="K309" s="36">
        <f>K313*K315+1</f>
        <v>1</v>
      </c>
      <c r="L309" s="36">
        <f>L313*L315+1</f>
        <v>1</v>
      </c>
      <c r="M309" s="36">
        <f>M313*M315+1</f>
        <v>1</v>
      </c>
      <c r="N309" s="36"/>
      <c r="O309" s="36">
        <f>O311</f>
        <v>13000000</v>
      </c>
      <c r="P309" s="36">
        <f>O309</f>
        <v>13000000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38"/>
      <c r="EB309" s="38"/>
      <c r="EC309" s="38"/>
      <c r="ED309" s="38"/>
      <c r="EE309" s="38"/>
      <c r="EF309" s="38"/>
      <c r="EG309" s="38"/>
      <c r="EH309" s="38"/>
      <c r="EI309" s="38"/>
      <c r="EJ309" s="38"/>
      <c r="EK309" s="38"/>
      <c r="EL309" s="38"/>
      <c r="EM309" s="38"/>
      <c r="EN309" s="38"/>
      <c r="EO309" s="38"/>
      <c r="EP309" s="38"/>
      <c r="EQ309" s="38"/>
      <c r="ER309" s="38"/>
      <c r="ES309" s="38"/>
      <c r="ET309" s="38"/>
      <c r="EU309" s="38"/>
      <c r="EV309" s="38"/>
      <c r="EW309" s="38"/>
      <c r="EX309" s="38"/>
      <c r="EY309" s="38"/>
      <c r="EZ309" s="38"/>
      <c r="FA309" s="38"/>
      <c r="FB309" s="38"/>
      <c r="FC309" s="38"/>
      <c r="FD309" s="38"/>
      <c r="FE309" s="38"/>
      <c r="FF309" s="38"/>
      <c r="FG309" s="38"/>
      <c r="FH309" s="38"/>
      <c r="FI309" s="38"/>
      <c r="FJ309" s="38"/>
      <c r="FK309" s="38"/>
      <c r="FL309" s="38"/>
      <c r="FM309" s="38"/>
      <c r="FN309" s="38"/>
      <c r="FO309" s="38"/>
      <c r="FP309" s="38"/>
      <c r="FQ309" s="38"/>
      <c r="FR309" s="38"/>
      <c r="FS309" s="38"/>
      <c r="FT309" s="38"/>
      <c r="FU309" s="38"/>
      <c r="FV309" s="38"/>
      <c r="FW309" s="38"/>
      <c r="FX309" s="38"/>
      <c r="FY309" s="38"/>
      <c r="FZ309" s="38"/>
      <c r="GA309" s="38"/>
      <c r="GB309" s="38"/>
      <c r="GC309" s="38"/>
      <c r="GD309" s="38"/>
      <c r="GE309" s="38"/>
      <c r="GF309" s="38"/>
      <c r="GG309" s="38"/>
      <c r="GH309" s="38"/>
      <c r="GI309" s="38"/>
      <c r="GJ309" s="38"/>
      <c r="GK309" s="38"/>
      <c r="GL309" s="38"/>
      <c r="GM309" s="38"/>
      <c r="GN309" s="38"/>
      <c r="GO309" s="38"/>
      <c r="GP309" s="38"/>
      <c r="GQ309" s="38"/>
      <c r="GR309" s="38"/>
      <c r="GS309" s="38"/>
      <c r="GT309" s="38"/>
      <c r="GU309" s="38"/>
      <c r="GV309" s="38"/>
      <c r="GW309" s="38"/>
      <c r="GX309" s="38"/>
      <c r="GY309" s="38"/>
      <c r="GZ309" s="38"/>
      <c r="HA309" s="38"/>
      <c r="HB309" s="38"/>
      <c r="HC309" s="38"/>
      <c r="HD309" s="38"/>
      <c r="HE309" s="38"/>
      <c r="HF309" s="38"/>
      <c r="HG309" s="38"/>
      <c r="HH309" s="38"/>
      <c r="HI309" s="38"/>
      <c r="HJ309" s="38"/>
      <c r="HK309" s="38"/>
      <c r="HL309" s="38"/>
      <c r="HM309" s="38"/>
      <c r="HN309" s="38"/>
      <c r="HO309" s="38"/>
      <c r="HP309" s="38"/>
      <c r="HQ309" s="38"/>
      <c r="HR309" s="38"/>
      <c r="HS309" s="38"/>
      <c r="HT309" s="38"/>
      <c r="HU309" s="38"/>
      <c r="HV309" s="38"/>
      <c r="HW309" s="38"/>
      <c r="HX309" s="38"/>
      <c r="HY309" s="38"/>
      <c r="HZ309" s="38"/>
      <c r="IA309" s="38"/>
    </row>
    <row r="310" spans="1:16" ht="11.25">
      <c r="A310" s="5" t="s">
        <v>4</v>
      </c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22.5">
      <c r="A311" s="8" t="s">
        <v>194</v>
      </c>
      <c r="B311" s="6"/>
      <c r="C311" s="6"/>
      <c r="D311" s="7"/>
      <c r="E311" s="7">
        <f>E313*E315</f>
        <v>14999999.999999998</v>
      </c>
      <c r="F311" s="7">
        <f>E311</f>
        <v>14999999.999999998</v>
      </c>
      <c r="G311" s="7"/>
      <c r="H311" s="7">
        <f>H313*H315</f>
        <v>14000000</v>
      </c>
      <c r="I311" s="7"/>
      <c r="J311" s="7">
        <f>H311</f>
        <v>14000000</v>
      </c>
      <c r="K311" s="7"/>
      <c r="L311" s="7"/>
      <c r="M311" s="7"/>
      <c r="N311" s="7"/>
      <c r="O311" s="7">
        <f>O313*O315</f>
        <v>13000000</v>
      </c>
      <c r="P311" s="7">
        <f>O311</f>
        <v>13000000</v>
      </c>
    </row>
    <row r="312" spans="1:16" ht="11.25">
      <c r="A312" s="5" t="s">
        <v>5</v>
      </c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2.5">
      <c r="A313" s="8" t="s">
        <v>193</v>
      </c>
      <c r="B313" s="6"/>
      <c r="C313" s="6"/>
      <c r="D313" s="7"/>
      <c r="E313" s="7">
        <v>43</v>
      </c>
      <c r="F313" s="7">
        <f>E313</f>
        <v>43</v>
      </c>
      <c r="G313" s="7"/>
      <c r="H313" s="7">
        <v>40</v>
      </c>
      <c r="I313" s="7"/>
      <c r="J313" s="7">
        <f>H313</f>
        <v>40</v>
      </c>
      <c r="K313" s="7"/>
      <c r="L313" s="7"/>
      <c r="M313" s="7"/>
      <c r="N313" s="7"/>
      <c r="O313" s="7">
        <v>36</v>
      </c>
      <c r="P313" s="7">
        <f>O313</f>
        <v>36</v>
      </c>
    </row>
    <row r="314" spans="1:16" ht="11.25">
      <c r="A314" s="5" t="s">
        <v>7</v>
      </c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22.5">
      <c r="A315" s="8" t="s">
        <v>126</v>
      </c>
      <c r="B315" s="6"/>
      <c r="C315" s="6"/>
      <c r="D315" s="7"/>
      <c r="E315" s="7">
        <f>15000000/43</f>
        <v>348837.20930232556</v>
      </c>
      <c r="F315" s="7">
        <f>E315</f>
        <v>348837.20930232556</v>
      </c>
      <c r="G315" s="7"/>
      <c r="H315" s="7">
        <f>14000000/40</f>
        <v>350000</v>
      </c>
      <c r="I315" s="7"/>
      <c r="J315" s="7">
        <f>H315</f>
        <v>350000</v>
      </c>
      <c r="K315" s="7"/>
      <c r="L315" s="7"/>
      <c r="M315" s="7"/>
      <c r="N315" s="7"/>
      <c r="O315" s="7">
        <f>13000000/36</f>
        <v>361111.1111111111</v>
      </c>
      <c r="P315" s="7">
        <f>O315</f>
        <v>361111.1111111111</v>
      </c>
    </row>
    <row r="316" spans="1:16" ht="40.5" customHeight="1">
      <c r="A316" s="34" t="s">
        <v>398</v>
      </c>
      <c r="B316" s="37"/>
      <c r="C316" s="37"/>
      <c r="D316" s="30">
        <f>D318</f>
        <v>0</v>
      </c>
      <c r="E316" s="30">
        <f>E318</f>
        <v>5000000</v>
      </c>
      <c r="F316" s="30">
        <f>D316+E316</f>
        <v>5000000</v>
      </c>
      <c r="G316" s="30"/>
      <c r="H316" s="30">
        <f>H318</f>
        <v>6000000</v>
      </c>
      <c r="I316" s="30">
        <f aca="true" t="shared" si="44" ref="I316:P316">I318</f>
        <v>0</v>
      </c>
      <c r="J316" s="30">
        <f t="shared" si="44"/>
        <v>6000000</v>
      </c>
      <c r="K316" s="30">
        <f t="shared" si="44"/>
        <v>0</v>
      </c>
      <c r="L316" s="30">
        <f t="shared" si="44"/>
        <v>0</v>
      </c>
      <c r="M316" s="30">
        <f t="shared" si="44"/>
        <v>0</v>
      </c>
      <c r="N316" s="30">
        <f t="shared" si="44"/>
        <v>0</v>
      </c>
      <c r="O316" s="30">
        <f t="shared" si="44"/>
        <v>7000000</v>
      </c>
      <c r="P316" s="30">
        <f t="shared" si="44"/>
        <v>7000000</v>
      </c>
    </row>
    <row r="317" spans="1:16" ht="17.25" customHeight="1">
      <c r="A317" s="5" t="s">
        <v>4</v>
      </c>
      <c r="B317" s="37"/>
      <c r="C317" s="37"/>
      <c r="D317" s="3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5.5" customHeight="1">
      <c r="A318" s="8" t="s">
        <v>195</v>
      </c>
      <c r="B318" s="37"/>
      <c r="C318" s="37"/>
      <c r="D318" s="30"/>
      <c r="E318" s="7">
        <f>E320*E322</f>
        <v>5000000</v>
      </c>
      <c r="F318" s="7">
        <f>D318+E318</f>
        <v>5000000</v>
      </c>
      <c r="G318" s="7"/>
      <c r="H318" s="7">
        <f>H320*H322</f>
        <v>6000000</v>
      </c>
      <c r="I318" s="7"/>
      <c r="J318" s="7">
        <f>H318</f>
        <v>6000000</v>
      </c>
      <c r="K318" s="7"/>
      <c r="L318" s="7"/>
      <c r="M318" s="7"/>
      <c r="N318" s="7"/>
      <c r="O318" s="7">
        <f>O320*O322</f>
        <v>7000000</v>
      </c>
      <c r="P318" s="7">
        <f>O318</f>
        <v>7000000</v>
      </c>
    </row>
    <row r="319" spans="1:16" ht="15.75" customHeight="1">
      <c r="A319" s="5" t="s">
        <v>5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5.5" customHeight="1">
      <c r="A320" s="8" t="s">
        <v>125</v>
      </c>
      <c r="B320" s="37"/>
      <c r="C320" s="37"/>
      <c r="D320" s="30"/>
      <c r="E320" s="7">
        <v>16</v>
      </c>
      <c r="F320" s="7">
        <f>D320+E320</f>
        <v>16</v>
      </c>
      <c r="G320" s="7"/>
      <c r="H320" s="7">
        <v>16</v>
      </c>
      <c r="I320" s="7"/>
      <c r="J320" s="7">
        <f>H320</f>
        <v>16</v>
      </c>
      <c r="K320" s="7"/>
      <c r="L320" s="7"/>
      <c r="M320" s="7"/>
      <c r="N320" s="7"/>
      <c r="O320" s="7">
        <v>16</v>
      </c>
      <c r="P320" s="7">
        <v>16</v>
      </c>
    </row>
    <row r="321" spans="1:16" ht="15.75" customHeight="1">
      <c r="A321" s="5" t="s">
        <v>7</v>
      </c>
      <c r="B321" s="37"/>
      <c r="C321" s="37"/>
      <c r="D321" s="3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7.5" customHeight="1">
      <c r="A322" s="8" t="s">
        <v>196</v>
      </c>
      <c r="B322" s="37"/>
      <c r="C322" s="37"/>
      <c r="D322" s="30"/>
      <c r="E322" s="7">
        <v>312500</v>
      </c>
      <c r="F322" s="7">
        <f>D322+E322</f>
        <v>312500</v>
      </c>
      <c r="G322" s="7"/>
      <c r="H322" s="7">
        <v>375000</v>
      </c>
      <c r="I322" s="7"/>
      <c r="J322" s="7">
        <f>H322</f>
        <v>375000</v>
      </c>
      <c r="K322" s="7"/>
      <c r="L322" s="7"/>
      <c r="M322" s="7"/>
      <c r="N322" s="7"/>
      <c r="O322" s="7">
        <v>437500</v>
      </c>
      <c r="P322" s="7">
        <f>O322</f>
        <v>437500</v>
      </c>
    </row>
    <row r="323" spans="1:235" s="52" customFormat="1" ht="37.5" customHeight="1">
      <c r="A323" s="5" t="s">
        <v>399</v>
      </c>
      <c r="B323" s="37"/>
      <c r="C323" s="37"/>
      <c r="D323" s="30"/>
      <c r="E323" s="30">
        <f aca="true" t="shared" si="45" ref="E323:P323">SUM(E325)</f>
        <v>800003</v>
      </c>
      <c r="F323" s="30">
        <f t="shared" si="45"/>
        <v>800003</v>
      </c>
      <c r="G323" s="30">
        <f t="shared" si="45"/>
        <v>0</v>
      </c>
      <c r="H323" s="30">
        <f t="shared" si="45"/>
        <v>742600</v>
      </c>
      <c r="I323" s="30">
        <f t="shared" si="45"/>
        <v>742600</v>
      </c>
      <c r="J323" s="30">
        <f t="shared" si="45"/>
        <v>742600</v>
      </c>
      <c r="K323" s="30">
        <f t="shared" si="45"/>
        <v>0</v>
      </c>
      <c r="L323" s="30">
        <f t="shared" si="45"/>
        <v>0</v>
      </c>
      <c r="M323" s="30">
        <f t="shared" si="45"/>
        <v>0</v>
      </c>
      <c r="N323" s="30">
        <f t="shared" si="45"/>
        <v>0</v>
      </c>
      <c r="O323" s="30">
        <f t="shared" si="45"/>
        <v>0</v>
      </c>
      <c r="P323" s="30">
        <f t="shared" si="45"/>
        <v>0</v>
      </c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  <c r="HU323" s="51"/>
      <c r="HV323" s="51"/>
      <c r="HW323" s="51"/>
      <c r="HX323" s="51"/>
      <c r="HY323" s="51"/>
      <c r="HZ323" s="51"/>
      <c r="IA323" s="51"/>
    </row>
    <row r="324" spans="1:16" ht="10.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32.25" customHeight="1">
      <c r="A325" s="8" t="s">
        <v>345</v>
      </c>
      <c r="B325" s="37"/>
      <c r="C325" s="37"/>
      <c r="D325" s="30"/>
      <c r="E325" s="7">
        <v>800003</v>
      </c>
      <c r="F325" s="7">
        <v>800003</v>
      </c>
      <c r="G325" s="7"/>
      <c r="H325" s="7">
        <v>742600</v>
      </c>
      <c r="I325" s="7">
        <v>742600</v>
      </c>
      <c r="J325" s="7">
        <v>742600</v>
      </c>
      <c r="K325" s="7"/>
      <c r="L325" s="7"/>
      <c r="M325" s="7"/>
      <c r="N325" s="7"/>
      <c r="O325" s="7"/>
      <c r="P325" s="7"/>
    </row>
    <row r="326" spans="1:16" ht="16.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6.25" customHeight="1">
      <c r="A327" s="8" t="s">
        <v>125</v>
      </c>
      <c r="B327" s="37"/>
      <c r="C327" s="37"/>
      <c r="D327" s="30"/>
      <c r="E327" s="7">
        <v>10</v>
      </c>
      <c r="F327" s="7">
        <v>10</v>
      </c>
      <c r="G327" s="7"/>
      <c r="H327" s="7">
        <v>10</v>
      </c>
      <c r="I327" s="7">
        <v>10</v>
      </c>
      <c r="J327" s="7">
        <v>10</v>
      </c>
      <c r="K327" s="7"/>
      <c r="L327" s="7"/>
      <c r="M327" s="7"/>
      <c r="N327" s="7"/>
      <c r="O327" s="7"/>
      <c r="P327" s="7"/>
    </row>
    <row r="328" spans="1:235" s="52" customFormat="1" ht="18" customHeight="1">
      <c r="A328" s="5" t="s">
        <v>7</v>
      </c>
      <c r="B328" s="37"/>
      <c r="C328" s="37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  <c r="HW328" s="51"/>
      <c r="HX328" s="51"/>
      <c r="HY328" s="51"/>
      <c r="HZ328" s="51"/>
      <c r="IA328" s="51"/>
    </row>
    <row r="329" spans="1:16" ht="37.5" customHeight="1">
      <c r="A329" s="8" t="s">
        <v>346</v>
      </c>
      <c r="B329" s="37"/>
      <c r="C329" s="37"/>
      <c r="D329" s="30"/>
      <c r="E329" s="7">
        <f>SUM(E325)/E327</f>
        <v>80000.3</v>
      </c>
      <c r="F329" s="7">
        <f>SUM(F325)/F327</f>
        <v>80000.3</v>
      </c>
      <c r="G329" s="7"/>
      <c r="H329" s="7">
        <f>H325/H327</f>
        <v>74260</v>
      </c>
      <c r="I329" s="7">
        <f>I325/I327</f>
        <v>74260</v>
      </c>
      <c r="J329" s="7">
        <f>J325/J327</f>
        <v>74260</v>
      </c>
      <c r="K329" s="7"/>
      <c r="L329" s="7"/>
      <c r="M329" s="7"/>
      <c r="N329" s="7"/>
      <c r="O329" s="7"/>
      <c r="P329" s="7"/>
    </row>
    <row r="330" spans="1:16" ht="16.5" customHeight="1">
      <c r="A330" s="37" t="s">
        <v>371</v>
      </c>
      <c r="B330" s="37"/>
      <c r="C330" s="37"/>
      <c r="D330" s="30">
        <f>D331+D332</f>
        <v>3794380.0029998</v>
      </c>
      <c r="E330" s="30">
        <f>E331+E332</f>
        <v>692840</v>
      </c>
      <c r="F330" s="30">
        <f>D330+E330</f>
        <v>4487220.002999799</v>
      </c>
      <c r="G330" s="30">
        <f>G331+G332</f>
        <v>3713255</v>
      </c>
      <c r="H330" s="30">
        <f>H331+H332</f>
        <v>742600</v>
      </c>
      <c r="I330" s="30">
        <f>I331+I332</f>
        <v>0</v>
      </c>
      <c r="J330" s="30">
        <f>G330+H330</f>
        <v>4455855</v>
      </c>
      <c r="K330" s="30" t="e">
        <f>K331+K332</f>
        <v>#REF!</v>
      </c>
      <c r="L330" s="30">
        <f>L331+L332</f>
        <v>0</v>
      </c>
      <c r="M330" s="30">
        <f>M331+M332</f>
        <v>0</v>
      </c>
      <c r="N330" s="30">
        <f>N331+N332</f>
        <v>3742519.99999968</v>
      </c>
      <c r="O330" s="30">
        <f>O331+O332</f>
        <v>787532</v>
      </c>
      <c r="P330" s="30">
        <f>N330+O330</f>
        <v>4530051.99999968</v>
      </c>
    </row>
    <row r="331" spans="1:16" ht="13.5" customHeight="1">
      <c r="A331" s="37" t="s">
        <v>54</v>
      </c>
      <c r="B331" s="37"/>
      <c r="C331" s="37"/>
      <c r="D331" s="30">
        <f>D334+D341+D410+D415</f>
        <v>3331999.9999997998</v>
      </c>
      <c r="E331" s="30">
        <f>E334+E341+E410+E415</f>
        <v>0</v>
      </c>
      <c r="F331" s="30">
        <f>D331+E331</f>
        <v>3331999.9999997998</v>
      </c>
      <c r="G331" s="30">
        <f>G334+G341+G410+G415</f>
        <v>3278000</v>
      </c>
      <c r="H331" s="30">
        <f>H334+H341+H410+H415</f>
        <v>0</v>
      </c>
      <c r="I331" s="30">
        <f>I334+I341+I410+I415</f>
        <v>0</v>
      </c>
      <c r="J331" s="30">
        <f>G331+H331</f>
        <v>3278000</v>
      </c>
      <c r="K331" s="30" t="e">
        <f>K334+K341+K410+K415</f>
        <v>#REF!</v>
      </c>
      <c r="L331" s="30">
        <f>L334+L341+L410+L415</f>
        <v>0</v>
      </c>
      <c r="M331" s="30">
        <f>M334+M341+M410+M415</f>
        <v>0</v>
      </c>
      <c r="N331" s="30">
        <f>N334+N341+N410+N415</f>
        <v>3389999.99999968</v>
      </c>
      <c r="O331" s="30">
        <f>O334+O341+O410+O415</f>
        <v>0</v>
      </c>
      <c r="P331" s="30">
        <f>N331+O331</f>
        <v>3389999.99999968</v>
      </c>
    </row>
    <row r="332" spans="1:235" s="139" customFormat="1" ht="11.25">
      <c r="A332" s="154" t="s">
        <v>190</v>
      </c>
      <c r="B332" s="154"/>
      <c r="C332" s="154"/>
      <c r="D332" s="155">
        <f>D351+D430</f>
        <v>462380.003</v>
      </c>
      <c r="E332" s="155">
        <f>E385</f>
        <v>692840</v>
      </c>
      <c r="F332" s="155">
        <f>D332+E332</f>
        <v>1155220.003</v>
      </c>
      <c r="G332" s="155">
        <f>G351+G430</f>
        <v>435255</v>
      </c>
      <c r="H332" s="155">
        <f>H385</f>
        <v>742600</v>
      </c>
      <c r="I332" s="155">
        <f>I353+I363</f>
        <v>0</v>
      </c>
      <c r="J332" s="155">
        <f>G332+H332</f>
        <v>1177855</v>
      </c>
      <c r="K332" s="155">
        <f>K353+K363</f>
        <v>0</v>
      </c>
      <c r="L332" s="155">
        <f>L353+L363</f>
        <v>0</v>
      </c>
      <c r="M332" s="155">
        <f>M353+M363</f>
        <v>0</v>
      </c>
      <c r="N332" s="155">
        <f>N351</f>
        <v>352520</v>
      </c>
      <c r="O332" s="155">
        <f>O385</f>
        <v>787532</v>
      </c>
      <c r="P332" s="155">
        <f>N332+O332</f>
        <v>1140052</v>
      </c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  <c r="CG332" s="138"/>
      <c r="CH332" s="138"/>
      <c r="CI332" s="138"/>
      <c r="CJ332" s="138"/>
      <c r="CK332" s="138"/>
      <c r="CL332" s="138"/>
      <c r="CM332" s="138"/>
      <c r="CN332" s="138"/>
      <c r="CO332" s="138"/>
      <c r="CP332" s="138"/>
      <c r="CQ332" s="138"/>
      <c r="CR332" s="138"/>
      <c r="CS332" s="138"/>
      <c r="CT332" s="138"/>
      <c r="CU332" s="138"/>
      <c r="CV332" s="138"/>
      <c r="CW332" s="138"/>
      <c r="CX332" s="138"/>
      <c r="CY332" s="138"/>
      <c r="CZ332" s="138"/>
      <c r="DA332" s="138"/>
      <c r="DB332" s="138"/>
      <c r="DC332" s="138"/>
      <c r="DD332" s="138"/>
      <c r="DE332" s="138"/>
      <c r="DF332" s="138"/>
      <c r="DG332" s="138"/>
      <c r="DH332" s="138"/>
      <c r="DI332" s="138"/>
      <c r="DJ332" s="138"/>
      <c r="DK332" s="138"/>
      <c r="DL332" s="138"/>
      <c r="DM332" s="138"/>
      <c r="DN332" s="138"/>
      <c r="DO332" s="138"/>
      <c r="DP332" s="138"/>
      <c r="DQ332" s="138"/>
      <c r="DR332" s="138"/>
      <c r="DS332" s="138"/>
      <c r="DT332" s="138"/>
      <c r="DU332" s="138"/>
      <c r="DV332" s="138"/>
      <c r="DW332" s="138"/>
      <c r="DX332" s="138"/>
      <c r="DY332" s="138"/>
      <c r="DZ332" s="138"/>
      <c r="EA332" s="138"/>
      <c r="EB332" s="138"/>
      <c r="EC332" s="138"/>
      <c r="ED332" s="138"/>
      <c r="EE332" s="138"/>
      <c r="EF332" s="138"/>
      <c r="EG332" s="138"/>
      <c r="EH332" s="138"/>
      <c r="EI332" s="138"/>
      <c r="EJ332" s="138"/>
      <c r="EK332" s="138"/>
      <c r="EL332" s="138"/>
      <c r="EM332" s="138"/>
      <c r="EN332" s="138"/>
      <c r="EO332" s="138"/>
      <c r="EP332" s="138"/>
      <c r="EQ332" s="138"/>
      <c r="ER332" s="138"/>
      <c r="ES332" s="138"/>
      <c r="ET332" s="138"/>
      <c r="EU332" s="138"/>
      <c r="EV332" s="138"/>
      <c r="EW332" s="138"/>
      <c r="EX332" s="138"/>
      <c r="EY332" s="138"/>
      <c r="EZ332" s="138"/>
      <c r="FA332" s="138"/>
      <c r="FB332" s="138"/>
      <c r="FC332" s="138"/>
      <c r="FD332" s="138"/>
      <c r="FE332" s="138"/>
      <c r="FF332" s="138"/>
      <c r="FG332" s="138"/>
      <c r="FH332" s="138"/>
      <c r="FI332" s="138"/>
      <c r="FJ332" s="138"/>
      <c r="FK332" s="138"/>
      <c r="FL332" s="138"/>
      <c r="FM332" s="138"/>
      <c r="FN332" s="138"/>
      <c r="FO332" s="138"/>
      <c r="FP332" s="138"/>
      <c r="FQ332" s="138"/>
      <c r="FR332" s="138"/>
      <c r="FS332" s="138"/>
      <c r="FT332" s="138"/>
      <c r="FU332" s="138"/>
      <c r="FV332" s="138"/>
      <c r="FW332" s="138"/>
      <c r="FX332" s="138"/>
      <c r="FY332" s="138"/>
      <c r="FZ332" s="138"/>
      <c r="GA332" s="138"/>
      <c r="GB332" s="138"/>
      <c r="GC332" s="138"/>
      <c r="GD332" s="138"/>
      <c r="GE332" s="138"/>
      <c r="GF332" s="138"/>
      <c r="GG332" s="138"/>
      <c r="GH332" s="138"/>
      <c r="GI332" s="138"/>
      <c r="GJ332" s="138"/>
      <c r="GK332" s="138"/>
      <c r="GL332" s="138"/>
      <c r="GM332" s="138"/>
      <c r="GN332" s="138"/>
      <c r="GO332" s="138"/>
      <c r="GP332" s="138"/>
      <c r="GQ332" s="138"/>
      <c r="GR332" s="138"/>
      <c r="GS332" s="138"/>
      <c r="GT332" s="138"/>
      <c r="GU332" s="138"/>
      <c r="GV332" s="138"/>
      <c r="GW332" s="138"/>
      <c r="GX332" s="138"/>
      <c r="GY332" s="138"/>
      <c r="GZ332" s="138"/>
      <c r="HA332" s="138"/>
      <c r="HB332" s="138"/>
      <c r="HC332" s="138"/>
      <c r="HD332" s="138"/>
      <c r="HE332" s="138"/>
      <c r="HF332" s="138"/>
      <c r="HG332" s="138"/>
      <c r="HH332" s="138"/>
      <c r="HI332" s="138"/>
      <c r="HJ332" s="138"/>
      <c r="HK332" s="138"/>
      <c r="HL332" s="138"/>
      <c r="HM332" s="138"/>
      <c r="HN332" s="138"/>
      <c r="HO332" s="138"/>
      <c r="HP332" s="138"/>
      <c r="HQ332" s="138"/>
      <c r="HR332" s="138"/>
      <c r="HS332" s="138"/>
      <c r="HT332" s="138"/>
      <c r="HU332" s="138"/>
      <c r="HV332" s="138"/>
      <c r="HW332" s="138"/>
      <c r="HX332" s="138"/>
      <c r="HY332" s="138"/>
      <c r="HZ332" s="138"/>
      <c r="IA332" s="138"/>
    </row>
    <row r="333" spans="1:16" ht="36" customHeight="1">
      <c r="A333" s="8" t="s">
        <v>129</v>
      </c>
      <c r="B333" s="6"/>
      <c r="C333" s="6"/>
      <c r="D333" s="36"/>
      <c r="E333" s="36"/>
      <c r="F333" s="36"/>
      <c r="G333" s="36"/>
      <c r="H333" s="36"/>
      <c r="I333" s="36"/>
      <c r="J333" s="36"/>
      <c r="K333" s="7"/>
      <c r="L333" s="36"/>
      <c r="M333" s="36"/>
      <c r="N333" s="36"/>
      <c r="O333" s="36"/>
      <c r="P333" s="36"/>
    </row>
    <row r="334" spans="1:235" s="39" customFormat="1" ht="22.5">
      <c r="A334" s="34" t="s">
        <v>400</v>
      </c>
      <c r="B334" s="35"/>
      <c r="C334" s="35"/>
      <c r="D334" s="36">
        <f>D336</f>
        <v>2700000</v>
      </c>
      <c r="E334" s="36"/>
      <c r="F334" s="36">
        <f>F336</f>
        <v>2700000</v>
      </c>
      <c r="G334" s="36">
        <f>G338*G340+800000</f>
        <v>2800000</v>
      </c>
      <c r="H334" s="36"/>
      <c r="I334" s="36"/>
      <c r="J334" s="36">
        <f>J336</f>
        <v>2800000</v>
      </c>
      <c r="K334" s="36"/>
      <c r="L334" s="36"/>
      <c r="M334" s="36"/>
      <c r="N334" s="36">
        <f>N336</f>
        <v>2900000</v>
      </c>
      <c r="O334" s="36"/>
      <c r="P334" s="36">
        <f>N334</f>
        <v>2900000</v>
      </c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  <c r="HJ334" s="38"/>
      <c r="HK334" s="38"/>
      <c r="HL334" s="38"/>
      <c r="HM334" s="38"/>
      <c r="HN334" s="38"/>
      <c r="HO334" s="38"/>
      <c r="HP334" s="38"/>
      <c r="HQ334" s="38"/>
      <c r="HR334" s="38"/>
      <c r="HS334" s="38"/>
      <c r="HT334" s="38"/>
      <c r="HU334" s="38"/>
      <c r="HV334" s="38"/>
      <c r="HW334" s="38"/>
      <c r="HX334" s="38"/>
      <c r="HY334" s="38"/>
      <c r="HZ334" s="38"/>
      <c r="IA334" s="38"/>
    </row>
    <row r="335" spans="1:16" ht="11.25">
      <c r="A335" s="5" t="s">
        <v>38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7"/>
      <c r="L335" s="30"/>
      <c r="M335" s="30"/>
      <c r="N335" s="30"/>
      <c r="O335" s="30"/>
      <c r="P335" s="30"/>
    </row>
    <row r="336" spans="1:16" ht="23.25" customHeight="1">
      <c r="A336" s="8" t="s">
        <v>273</v>
      </c>
      <c r="B336" s="6"/>
      <c r="C336" s="6"/>
      <c r="D336" s="7">
        <f>(D338*D340)+280000+700000</f>
        <v>2700000</v>
      </c>
      <c r="E336" s="7"/>
      <c r="F336" s="7">
        <f>D336</f>
        <v>2700000</v>
      </c>
      <c r="G336" s="7">
        <f>G338*G340+800000</f>
        <v>2800000</v>
      </c>
      <c r="H336" s="7"/>
      <c r="I336" s="7"/>
      <c r="J336" s="7">
        <f>G336</f>
        <v>2800000</v>
      </c>
      <c r="K336" s="7">
        <f>G336/D336*100</f>
        <v>103.7037037037037</v>
      </c>
      <c r="L336" s="7"/>
      <c r="M336" s="7"/>
      <c r="N336" s="7">
        <f>N338*N340+700000</f>
        <v>2900000</v>
      </c>
      <c r="O336" s="7"/>
      <c r="P336" s="7">
        <f>N336</f>
        <v>2900000</v>
      </c>
    </row>
    <row r="337" spans="1:16" ht="11.25">
      <c r="A337" s="5" t="s">
        <v>5</v>
      </c>
      <c r="B337" s="37"/>
      <c r="C337" s="37"/>
      <c r="D337" s="30"/>
      <c r="E337" s="30"/>
      <c r="F337" s="7"/>
      <c r="G337" s="30"/>
      <c r="H337" s="30"/>
      <c r="I337" s="30"/>
      <c r="J337" s="7"/>
      <c r="K337" s="7"/>
      <c r="L337" s="30"/>
      <c r="M337" s="30"/>
      <c r="N337" s="30"/>
      <c r="O337" s="30"/>
      <c r="P337" s="7"/>
    </row>
    <row r="338" spans="1:16" ht="22.5">
      <c r="A338" s="8" t="s">
        <v>272</v>
      </c>
      <c r="B338" s="6"/>
      <c r="C338" s="6"/>
      <c r="D338" s="7">
        <v>8</v>
      </c>
      <c r="E338" s="7"/>
      <c r="F338" s="7">
        <f>D338</f>
        <v>8</v>
      </c>
      <c r="G338" s="7">
        <v>8</v>
      </c>
      <c r="H338" s="7"/>
      <c r="I338" s="7"/>
      <c r="J338" s="7">
        <f>G338</f>
        <v>8</v>
      </c>
      <c r="K338" s="7">
        <f>G338/D338*100</f>
        <v>100</v>
      </c>
      <c r="L338" s="7"/>
      <c r="M338" s="7"/>
      <c r="N338" s="7">
        <v>8</v>
      </c>
      <c r="O338" s="7"/>
      <c r="P338" s="7">
        <f>N338</f>
        <v>8</v>
      </c>
    </row>
    <row r="339" spans="1:16" ht="11.25">
      <c r="A339" s="5" t="s">
        <v>7</v>
      </c>
      <c r="B339" s="37"/>
      <c r="C339" s="37"/>
      <c r="D339" s="30"/>
      <c r="E339" s="30"/>
      <c r="F339" s="7"/>
      <c r="G339" s="30"/>
      <c r="H339" s="30"/>
      <c r="I339" s="30"/>
      <c r="J339" s="7"/>
      <c r="K339" s="7"/>
      <c r="L339" s="30"/>
      <c r="M339" s="30"/>
      <c r="N339" s="30"/>
      <c r="O339" s="30"/>
      <c r="P339" s="7"/>
    </row>
    <row r="340" spans="1:16" ht="22.5">
      <c r="A340" s="8" t="s">
        <v>274</v>
      </c>
      <c r="B340" s="6"/>
      <c r="C340" s="6"/>
      <c r="D340" s="7">
        <v>215000</v>
      </c>
      <c r="E340" s="7"/>
      <c r="F340" s="7">
        <f>D340</f>
        <v>215000</v>
      </c>
      <c r="G340" s="7">
        <v>250000</v>
      </c>
      <c r="H340" s="7"/>
      <c r="I340" s="7"/>
      <c r="J340" s="7">
        <f>G340</f>
        <v>250000</v>
      </c>
      <c r="K340" s="7">
        <f>G340/D340*100</f>
        <v>116.27906976744187</v>
      </c>
      <c r="L340" s="7"/>
      <c r="M340" s="7"/>
      <c r="N340" s="7">
        <v>275000</v>
      </c>
      <c r="O340" s="7"/>
      <c r="P340" s="7">
        <f>N340</f>
        <v>275000</v>
      </c>
    </row>
    <row r="341" spans="1:235" s="39" customFormat="1" ht="36" customHeight="1">
      <c r="A341" s="34" t="s">
        <v>401</v>
      </c>
      <c r="B341" s="35"/>
      <c r="C341" s="35"/>
      <c r="D341" s="45">
        <f>D345*D348</f>
        <v>163000</v>
      </c>
      <c r="E341" s="45"/>
      <c r="F341" s="45">
        <f>D341+E341</f>
        <v>163000</v>
      </c>
      <c r="G341" s="45">
        <f aca="true" t="shared" si="46" ref="G341:M341">G345*G348</f>
        <v>300000</v>
      </c>
      <c r="H341" s="45"/>
      <c r="I341" s="45"/>
      <c r="J341" s="45">
        <f t="shared" si="46"/>
        <v>300000</v>
      </c>
      <c r="K341" s="45" t="e">
        <f t="shared" si="46"/>
        <v>#REF!</v>
      </c>
      <c r="L341" s="45">
        <f t="shared" si="46"/>
        <v>0</v>
      </c>
      <c r="M341" s="45">
        <f t="shared" si="46"/>
        <v>0</v>
      </c>
      <c r="N341" s="45">
        <f>N345*N348</f>
        <v>350000</v>
      </c>
      <c r="O341" s="45"/>
      <c r="P341" s="45" t="e">
        <f>P345*P348+P346*#REF!</f>
        <v>#REF!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44"/>
      <c r="E342" s="44"/>
      <c r="F342" s="44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132</v>
      </c>
      <c r="B343" s="6"/>
      <c r="C343" s="6"/>
      <c r="D343" s="44">
        <v>2752</v>
      </c>
      <c r="E343" s="44"/>
      <c r="F343" s="44">
        <f>D343</f>
        <v>2752</v>
      </c>
      <c r="G343" s="44">
        <v>1752</v>
      </c>
      <c r="H343" s="44"/>
      <c r="I343" s="44"/>
      <c r="J343" s="44">
        <f>G343</f>
        <v>1752</v>
      </c>
      <c r="K343" s="7" t="e">
        <f>#REF!/G343*100</f>
        <v>#REF!</v>
      </c>
      <c r="L343" s="7"/>
      <c r="M343" s="7"/>
      <c r="N343" s="44">
        <v>952</v>
      </c>
      <c r="O343" s="44"/>
      <c r="P343" s="44">
        <f>N343</f>
        <v>952</v>
      </c>
    </row>
    <row r="344" spans="1:16" ht="11.25">
      <c r="A344" s="5" t="s">
        <v>5</v>
      </c>
      <c r="B344" s="37"/>
      <c r="C344" s="37"/>
      <c r="D344" s="44"/>
      <c r="E344" s="44"/>
      <c r="F344" s="44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4" customHeight="1">
      <c r="A345" s="8" t="s">
        <v>130</v>
      </c>
      <c r="B345" s="6"/>
      <c r="C345" s="6"/>
      <c r="D345" s="44">
        <v>1000</v>
      </c>
      <c r="E345" s="44"/>
      <c r="F345" s="44">
        <f>D345</f>
        <v>1000</v>
      </c>
      <c r="G345" s="44">
        <v>800</v>
      </c>
      <c r="H345" s="44"/>
      <c r="I345" s="44"/>
      <c r="J345" s="44">
        <f>G345</f>
        <v>800</v>
      </c>
      <c r="K345" s="7" t="e">
        <f>#REF!/G345*100</f>
        <v>#REF!</v>
      </c>
      <c r="L345" s="7"/>
      <c r="M345" s="7"/>
      <c r="N345" s="44">
        <v>875</v>
      </c>
      <c r="O345" s="44"/>
      <c r="P345" s="44">
        <f>N345</f>
        <v>875</v>
      </c>
    </row>
    <row r="346" spans="1:16" ht="33.75" customHeight="1">
      <c r="A346" s="8" t="s">
        <v>203</v>
      </c>
      <c r="B346" s="6"/>
      <c r="C346" s="6"/>
      <c r="D346" s="44"/>
      <c r="E346" s="44"/>
      <c r="F346" s="44"/>
      <c r="G346" s="44">
        <v>0</v>
      </c>
      <c r="H346" s="44"/>
      <c r="I346" s="44"/>
      <c r="J346" s="44"/>
      <c r="K346" s="7"/>
      <c r="L346" s="7"/>
      <c r="M346" s="7"/>
      <c r="N346" s="44">
        <v>5</v>
      </c>
      <c r="O346" s="44"/>
      <c r="P346" s="44">
        <f>N346</f>
        <v>5</v>
      </c>
    </row>
    <row r="347" spans="1:16" ht="11.25">
      <c r="A347" s="5" t="s">
        <v>7</v>
      </c>
      <c r="B347" s="37"/>
      <c r="C347" s="37"/>
      <c r="D347" s="44"/>
      <c r="E347" s="44"/>
      <c r="F347" s="44"/>
      <c r="G347" s="44"/>
      <c r="H347" s="44"/>
      <c r="I347" s="44"/>
      <c r="J347" s="44"/>
      <c r="K347" s="7"/>
      <c r="L347" s="30"/>
      <c r="M347" s="30"/>
      <c r="N347" s="44"/>
      <c r="O347" s="44"/>
      <c r="P347" s="44"/>
    </row>
    <row r="348" spans="1:16" ht="24" customHeight="1">
      <c r="A348" s="8" t="s">
        <v>40</v>
      </c>
      <c r="B348" s="6"/>
      <c r="C348" s="6"/>
      <c r="D348" s="44">
        <v>163</v>
      </c>
      <c r="E348" s="44"/>
      <c r="F348" s="44">
        <f>D348</f>
        <v>163</v>
      </c>
      <c r="G348" s="44">
        <v>375</v>
      </c>
      <c r="H348" s="44"/>
      <c r="I348" s="44"/>
      <c r="J348" s="44">
        <f>G348</f>
        <v>375</v>
      </c>
      <c r="K348" s="7" t="e">
        <f>#REF!/G348*100</f>
        <v>#REF!</v>
      </c>
      <c r="L348" s="7"/>
      <c r="M348" s="7"/>
      <c r="N348" s="44">
        <v>400</v>
      </c>
      <c r="O348" s="44"/>
      <c r="P348" s="44">
        <f>N348</f>
        <v>400</v>
      </c>
    </row>
    <row r="349" spans="1:16" ht="11.25">
      <c r="A349" s="54" t="s">
        <v>6</v>
      </c>
      <c r="B349" s="55"/>
      <c r="C349" s="55"/>
      <c r="D349" s="48"/>
      <c r="E349" s="48"/>
      <c r="F349" s="48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235" s="22" customFormat="1" ht="39" customHeight="1">
      <c r="A350" s="8" t="s">
        <v>131</v>
      </c>
      <c r="B350" s="6"/>
      <c r="C350" s="6"/>
      <c r="D350" s="44">
        <f>D345/D343*100</f>
        <v>36.337209302325576</v>
      </c>
      <c r="E350" s="44"/>
      <c r="F350" s="44">
        <f>D350</f>
        <v>36.337209302325576</v>
      </c>
      <c r="G350" s="44">
        <f>G345/G343*100</f>
        <v>45.662100456621005</v>
      </c>
      <c r="H350" s="44"/>
      <c r="I350" s="44"/>
      <c r="J350" s="44">
        <f>G350</f>
        <v>45.662100456621005</v>
      </c>
      <c r="K350" s="7"/>
      <c r="L350" s="7"/>
      <c r="M350" s="7"/>
      <c r="N350" s="44">
        <f>N345/N343*100</f>
        <v>91.91176470588235</v>
      </c>
      <c r="O350" s="44"/>
      <c r="P350" s="44">
        <f>N350</f>
        <v>91.91176470588235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  <c r="HF350" s="56"/>
      <c r="HG350" s="56"/>
      <c r="HH350" s="56"/>
      <c r="HI350" s="56"/>
      <c r="HJ350" s="56"/>
      <c r="HK350" s="56"/>
      <c r="HL350" s="56"/>
      <c r="HM350" s="56"/>
      <c r="HN350" s="56"/>
      <c r="HO350" s="56"/>
      <c r="HP350" s="56"/>
      <c r="HQ350" s="56"/>
      <c r="HR350" s="56"/>
      <c r="HS350" s="56"/>
      <c r="HT350" s="56"/>
      <c r="HU350" s="56"/>
      <c r="HV350" s="56"/>
      <c r="HW350" s="56"/>
      <c r="HX350" s="56"/>
      <c r="HY350" s="56"/>
      <c r="HZ350" s="56"/>
      <c r="IA350" s="56"/>
    </row>
    <row r="351" spans="1:235" s="22" customFormat="1" ht="24" customHeight="1">
      <c r="A351" s="37" t="s">
        <v>310</v>
      </c>
      <c r="B351" s="20"/>
      <c r="C351" s="20"/>
      <c r="D351" s="57">
        <f>D353+D363</f>
        <v>312380.003</v>
      </c>
      <c r="E351" s="57"/>
      <c r="F351" s="57">
        <f>F353+F363</f>
        <v>312380.003</v>
      </c>
      <c r="G351" s="57">
        <f>G353+G363</f>
        <v>335255</v>
      </c>
      <c r="H351" s="57"/>
      <c r="I351" s="57"/>
      <c r="J351" s="57">
        <f>J353+J363</f>
        <v>335255</v>
      </c>
      <c r="K351" s="57"/>
      <c r="L351" s="57"/>
      <c r="M351" s="57"/>
      <c r="N351" s="57">
        <f>N353+N363</f>
        <v>352520</v>
      </c>
      <c r="O351" s="57"/>
      <c r="P351" s="57">
        <f>P353+P363</f>
        <v>352520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  <c r="HF351" s="56"/>
      <c r="HG351" s="56"/>
      <c r="HH351" s="56"/>
      <c r="HI351" s="56"/>
      <c r="HJ351" s="56"/>
      <c r="HK351" s="56"/>
      <c r="HL351" s="56"/>
      <c r="HM351" s="56"/>
      <c r="HN351" s="56"/>
      <c r="HO351" s="56"/>
      <c r="HP351" s="56"/>
      <c r="HQ351" s="56"/>
      <c r="HR351" s="56"/>
      <c r="HS351" s="56"/>
      <c r="HT351" s="56"/>
      <c r="HU351" s="56"/>
      <c r="HV351" s="56"/>
      <c r="HW351" s="56"/>
      <c r="HX351" s="56"/>
      <c r="HY351" s="56"/>
      <c r="HZ351" s="56"/>
      <c r="IA351" s="56"/>
    </row>
    <row r="352" spans="1:235" s="22" customFormat="1" ht="24" customHeight="1">
      <c r="A352" s="8" t="s">
        <v>285</v>
      </c>
      <c r="B352" s="20"/>
      <c r="C352" s="20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  <c r="HZ352" s="56"/>
      <c r="IA352" s="56"/>
    </row>
    <row r="353" spans="1:235" s="60" customFormat="1" ht="36.75" customHeight="1">
      <c r="A353" s="58" t="s">
        <v>402</v>
      </c>
      <c r="B353" s="58"/>
      <c r="C353" s="58"/>
      <c r="D353" s="45">
        <f>D355+D356</f>
        <v>209000.003</v>
      </c>
      <c r="E353" s="45"/>
      <c r="F353" s="45">
        <f>F355+F356</f>
        <v>209000.003</v>
      </c>
      <c r="G353" s="45">
        <f>G355+G356</f>
        <v>224075</v>
      </c>
      <c r="H353" s="45"/>
      <c r="I353" s="45"/>
      <c r="J353" s="45">
        <f>J355+J356</f>
        <v>224075</v>
      </c>
      <c r="K353" s="45"/>
      <c r="L353" s="45"/>
      <c r="M353" s="45"/>
      <c r="N353" s="45">
        <f>N355+N356</f>
        <v>237530</v>
      </c>
      <c r="O353" s="45"/>
      <c r="P353" s="45">
        <f>P355+P356</f>
        <v>237530</v>
      </c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  <c r="GG353" s="59"/>
      <c r="GH353" s="59"/>
      <c r="GI353" s="59"/>
      <c r="GJ353" s="59"/>
      <c r="GK353" s="59"/>
      <c r="GL353" s="59"/>
      <c r="GM353" s="59"/>
      <c r="GN353" s="59"/>
      <c r="GO353" s="59"/>
      <c r="GP353" s="59"/>
      <c r="GQ353" s="59"/>
      <c r="GR353" s="59"/>
      <c r="GS353" s="59"/>
      <c r="GT353" s="59"/>
      <c r="GU353" s="59"/>
      <c r="GV353" s="59"/>
      <c r="GW353" s="59"/>
      <c r="GX353" s="59"/>
      <c r="GY353" s="59"/>
      <c r="GZ353" s="59"/>
      <c r="HA353" s="59"/>
      <c r="HB353" s="59"/>
      <c r="HC353" s="59"/>
      <c r="HD353" s="59"/>
      <c r="HE353" s="59"/>
      <c r="HF353" s="59"/>
      <c r="HG353" s="59"/>
      <c r="HH353" s="59"/>
      <c r="HI353" s="59"/>
      <c r="HJ353" s="59"/>
      <c r="HK353" s="59"/>
      <c r="HL353" s="59"/>
      <c r="HM353" s="59"/>
      <c r="HN353" s="59"/>
      <c r="HO353" s="59"/>
      <c r="HP353" s="59"/>
      <c r="HQ353" s="59"/>
      <c r="HR353" s="59"/>
      <c r="HS353" s="59"/>
      <c r="HT353" s="59"/>
      <c r="HU353" s="59"/>
      <c r="HV353" s="59"/>
      <c r="HW353" s="59"/>
      <c r="HX353" s="59"/>
      <c r="HY353" s="59"/>
      <c r="HZ353" s="59"/>
      <c r="IA353" s="59"/>
    </row>
    <row r="354" spans="1:16" ht="11.25">
      <c r="A354" s="61" t="s">
        <v>4</v>
      </c>
      <c r="B354" s="61"/>
      <c r="C354" s="61"/>
      <c r="D354" s="62"/>
      <c r="E354" s="62"/>
      <c r="F354" s="62"/>
      <c r="G354" s="62"/>
      <c r="H354" s="62"/>
      <c r="I354" s="62"/>
      <c r="J354" s="62"/>
      <c r="K354" s="63"/>
      <c r="L354" s="62"/>
      <c r="M354" s="62"/>
      <c r="N354" s="62"/>
      <c r="O354" s="62"/>
      <c r="P354" s="62"/>
    </row>
    <row r="355" spans="1:16" ht="33.75">
      <c r="A355" s="11" t="s">
        <v>286</v>
      </c>
      <c r="B355" s="11"/>
      <c r="C355" s="11"/>
      <c r="D355" s="43">
        <f>D358*D361</f>
        <v>132000.003</v>
      </c>
      <c r="E355" s="43"/>
      <c r="F355" s="43">
        <f>F358*F361</f>
        <v>132000.003</v>
      </c>
      <c r="G355" s="43">
        <f>G358*G361</f>
        <v>141525</v>
      </c>
      <c r="H355" s="43"/>
      <c r="I355" s="43"/>
      <c r="J355" s="43">
        <f>J358*J361</f>
        <v>141525</v>
      </c>
      <c r="K355" s="43">
        <f>G355/D355*100</f>
        <v>107.21590665418394</v>
      </c>
      <c r="L355" s="43"/>
      <c r="M355" s="43"/>
      <c r="N355" s="43">
        <f>N358*N361</f>
        <v>150030</v>
      </c>
      <c r="O355" s="43"/>
      <c r="P355" s="43">
        <f>P358*P361</f>
        <v>150030</v>
      </c>
    </row>
    <row r="356" spans="1:16" ht="22.5">
      <c r="A356" s="11" t="s">
        <v>287</v>
      </c>
      <c r="B356" s="11"/>
      <c r="C356" s="11"/>
      <c r="D356" s="43">
        <f>D359*D362</f>
        <v>77000</v>
      </c>
      <c r="E356" s="43"/>
      <c r="F356" s="43">
        <f>F359*F362</f>
        <v>77000</v>
      </c>
      <c r="G356" s="43">
        <f>G359*G362</f>
        <v>82550</v>
      </c>
      <c r="H356" s="43"/>
      <c r="I356" s="43"/>
      <c r="J356" s="43">
        <f>J359*J362</f>
        <v>82550</v>
      </c>
      <c r="K356" s="43"/>
      <c r="L356" s="43"/>
      <c r="M356" s="43"/>
      <c r="N356" s="43">
        <f>N359*N362</f>
        <v>87500</v>
      </c>
      <c r="O356" s="43"/>
      <c r="P356" s="43">
        <f>P359*P362</f>
        <v>87500</v>
      </c>
    </row>
    <row r="357" spans="1:16" ht="11.25">
      <c r="A357" s="13" t="s">
        <v>5</v>
      </c>
      <c r="B357" s="13"/>
      <c r="C357" s="13"/>
      <c r="D357" s="10"/>
      <c r="E357" s="10"/>
      <c r="F357" s="43"/>
      <c r="G357" s="10"/>
      <c r="H357" s="10"/>
      <c r="I357" s="10"/>
      <c r="J357" s="43"/>
      <c r="K357" s="43"/>
      <c r="L357" s="10"/>
      <c r="M357" s="10"/>
      <c r="N357" s="10"/>
      <c r="O357" s="10"/>
      <c r="P357" s="43"/>
    </row>
    <row r="358" spans="1:16" ht="25.5" customHeight="1">
      <c r="A358" s="11" t="s">
        <v>289</v>
      </c>
      <c r="B358" s="11"/>
      <c r="C358" s="11"/>
      <c r="D358" s="43">
        <v>9</v>
      </c>
      <c r="E358" s="43"/>
      <c r="F358" s="43">
        <f>D358</f>
        <v>9</v>
      </c>
      <c r="G358" s="43">
        <v>9</v>
      </c>
      <c r="H358" s="43"/>
      <c r="I358" s="43"/>
      <c r="J358" s="43">
        <f>G358+H358</f>
        <v>9</v>
      </c>
      <c r="K358" s="43">
        <f>G358/D358*100</f>
        <v>100</v>
      </c>
      <c r="L358" s="43"/>
      <c r="M358" s="43"/>
      <c r="N358" s="43">
        <v>9</v>
      </c>
      <c r="O358" s="43"/>
      <c r="P358" s="43">
        <f>N358</f>
        <v>9</v>
      </c>
    </row>
    <row r="359" spans="1:16" ht="25.5" customHeight="1">
      <c r="A359" s="11" t="s">
        <v>288</v>
      </c>
      <c r="B359" s="11"/>
      <c r="C359" s="11"/>
      <c r="D359" s="43">
        <v>10</v>
      </c>
      <c r="E359" s="43"/>
      <c r="F359" s="43">
        <v>10</v>
      </c>
      <c r="G359" s="43">
        <v>10</v>
      </c>
      <c r="H359" s="43"/>
      <c r="I359" s="43"/>
      <c r="J359" s="43">
        <v>10</v>
      </c>
      <c r="K359" s="43"/>
      <c r="L359" s="43"/>
      <c r="M359" s="43"/>
      <c r="N359" s="43">
        <v>10</v>
      </c>
      <c r="O359" s="43"/>
      <c r="P359" s="43">
        <v>10</v>
      </c>
    </row>
    <row r="360" spans="1:16" ht="11.25">
      <c r="A360" s="13" t="s">
        <v>7</v>
      </c>
      <c r="B360" s="13"/>
      <c r="C360" s="13"/>
      <c r="D360" s="64"/>
      <c r="E360" s="64"/>
      <c r="F360" s="65"/>
      <c r="G360" s="64"/>
      <c r="H360" s="64"/>
      <c r="I360" s="64"/>
      <c r="J360" s="65"/>
      <c r="K360" s="65"/>
      <c r="L360" s="64"/>
      <c r="M360" s="64"/>
      <c r="N360" s="64"/>
      <c r="O360" s="64"/>
      <c r="P360" s="65"/>
    </row>
    <row r="361" spans="1:16" ht="33.75">
      <c r="A361" s="11" t="s">
        <v>290</v>
      </c>
      <c r="B361" s="11"/>
      <c r="C361" s="11"/>
      <c r="D361" s="65">
        <v>14666.667</v>
      </c>
      <c r="E361" s="65"/>
      <c r="F361" s="65">
        <f>D361</f>
        <v>14666.667</v>
      </c>
      <c r="G361" s="65">
        <v>15725</v>
      </c>
      <c r="H361" s="65"/>
      <c r="I361" s="65"/>
      <c r="J361" s="65">
        <f>G361</f>
        <v>15725</v>
      </c>
      <c r="K361" s="65">
        <f>G361/D361*100</f>
        <v>107.21590665418394</v>
      </c>
      <c r="L361" s="65"/>
      <c r="M361" s="65"/>
      <c r="N361" s="65">
        <v>16670</v>
      </c>
      <c r="O361" s="65"/>
      <c r="P361" s="65">
        <f>N361</f>
        <v>16670</v>
      </c>
    </row>
    <row r="362" spans="1:16" ht="24" customHeight="1">
      <c r="A362" s="11" t="s">
        <v>291</v>
      </c>
      <c r="B362" s="11"/>
      <c r="C362" s="11"/>
      <c r="D362" s="43">
        <v>7700</v>
      </c>
      <c r="E362" s="43"/>
      <c r="F362" s="43">
        <v>7700</v>
      </c>
      <c r="G362" s="43">
        <v>8255</v>
      </c>
      <c r="H362" s="43"/>
      <c r="I362" s="43"/>
      <c r="J362" s="43">
        <v>8255</v>
      </c>
      <c r="K362" s="65"/>
      <c r="L362" s="65"/>
      <c r="M362" s="65"/>
      <c r="N362" s="43">
        <v>8750</v>
      </c>
      <c r="O362" s="43"/>
      <c r="P362" s="43">
        <v>8750</v>
      </c>
    </row>
    <row r="363" spans="1:235" s="39" customFormat="1" ht="33.75">
      <c r="A363" s="9" t="s">
        <v>403</v>
      </c>
      <c r="B363" s="9"/>
      <c r="C363" s="9"/>
      <c r="D363" s="10">
        <f>D365+D366+D367+D368+D369+D370</f>
        <v>103380</v>
      </c>
      <c r="E363" s="10"/>
      <c r="F363" s="10">
        <f>D363+E363</f>
        <v>103380</v>
      </c>
      <c r="G363" s="10">
        <f>G365+G366+G367+G368+G369+G370</f>
        <v>111180</v>
      </c>
      <c r="H363" s="10"/>
      <c r="I363" s="10"/>
      <c r="J363" s="10">
        <f>G363+H363</f>
        <v>111180</v>
      </c>
      <c r="K363" s="10"/>
      <c r="L363" s="10"/>
      <c r="M363" s="10"/>
      <c r="N363" s="10">
        <f>N365+N366+N367+N368+N369+N370</f>
        <v>114990</v>
      </c>
      <c r="O363" s="10"/>
      <c r="P363" s="10">
        <f>N363</f>
        <v>114990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</row>
    <row r="364" spans="1:235" s="39" customFormat="1" ht="11.25">
      <c r="A364" s="61" t="s">
        <v>4</v>
      </c>
      <c r="B364" s="9"/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  <c r="EV364" s="38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8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8"/>
      <c r="GE364" s="38"/>
      <c r="GF364" s="38"/>
      <c r="GG364" s="38"/>
      <c r="GH364" s="38"/>
      <c r="GI364" s="38"/>
      <c r="GJ364" s="38"/>
      <c r="GK364" s="38"/>
      <c r="GL364" s="38"/>
      <c r="GM364" s="38"/>
      <c r="GN364" s="38"/>
      <c r="GO364" s="38"/>
      <c r="GP364" s="38"/>
      <c r="GQ364" s="38"/>
      <c r="GR364" s="38"/>
      <c r="GS364" s="38"/>
      <c r="GT364" s="38"/>
      <c r="GU364" s="38"/>
      <c r="GV364" s="38"/>
      <c r="GW364" s="38"/>
      <c r="GX364" s="38"/>
      <c r="GY364" s="38"/>
      <c r="GZ364" s="38"/>
      <c r="HA364" s="38"/>
      <c r="HB364" s="38"/>
      <c r="HC364" s="38"/>
      <c r="HD364" s="38"/>
      <c r="HE364" s="38"/>
      <c r="HF364" s="38"/>
      <c r="HG364" s="38"/>
      <c r="HH364" s="38"/>
      <c r="HI364" s="38"/>
      <c r="HJ364" s="38"/>
      <c r="HK364" s="38"/>
      <c r="HL364" s="38"/>
      <c r="HM364" s="38"/>
      <c r="HN364" s="38"/>
      <c r="HO364" s="38"/>
      <c r="HP364" s="38"/>
      <c r="HQ364" s="38"/>
      <c r="HR364" s="38"/>
      <c r="HS364" s="38"/>
      <c r="HT364" s="38"/>
      <c r="HU364" s="38"/>
      <c r="HV364" s="38"/>
      <c r="HW364" s="38"/>
      <c r="HX364" s="38"/>
      <c r="HY364" s="38"/>
      <c r="HZ364" s="38"/>
      <c r="IA364" s="38"/>
    </row>
    <row r="365" spans="1:235" s="39" customFormat="1" ht="30" customHeight="1">
      <c r="A365" s="9" t="s">
        <v>292</v>
      </c>
      <c r="B365" s="9"/>
      <c r="C365" s="9"/>
      <c r="D365" s="10">
        <f>D372*D379</f>
        <v>7200</v>
      </c>
      <c r="E365" s="10"/>
      <c r="F365" s="10">
        <f aca="true" t="shared" si="47" ref="F365:F370">D365+E365</f>
        <v>7200</v>
      </c>
      <c r="G365" s="10">
        <f>G372*G379</f>
        <v>7800</v>
      </c>
      <c r="H365" s="10"/>
      <c r="I365" s="10"/>
      <c r="J365" s="10">
        <f aca="true" t="shared" si="48" ref="J365:J370">G365+H365</f>
        <v>7800</v>
      </c>
      <c r="K365" s="10"/>
      <c r="L365" s="10"/>
      <c r="M365" s="10"/>
      <c r="N365" s="10">
        <f>N372*N379</f>
        <v>8250</v>
      </c>
      <c r="O365" s="10"/>
      <c r="P365" s="10">
        <f aca="true" t="shared" si="49" ref="P365:P370">N365+O365</f>
        <v>8250</v>
      </c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</row>
    <row r="366" spans="1:235" s="39" customFormat="1" ht="33.75">
      <c r="A366" s="9" t="s">
        <v>293</v>
      </c>
      <c r="B366" s="9"/>
      <c r="C366" s="9"/>
      <c r="D366" s="10">
        <f>D380*D373</f>
        <v>22800</v>
      </c>
      <c r="E366" s="10"/>
      <c r="F366" s="10">
        <f t="shared" si="47"/>
        <v>22800</v>
      </c>
      <c r="G366" s="10">
        <f>G380*G373</f>
        <v>24600</v>
      </c>
      <c r="H366" s="10"/>
      <c r="I366" s="10"/>
      <c r="J366" s="10">
        <f t="shared" si="48"/>
        <v>24600</v>
      </c>
      <c r="K366" s="10"/>
      <c r="L366" s="10"/>
      <c r="M366" s="10"/>
      <c r="N366" s="10">
        <f>N380*N373</f>
        <v>26100</v>
      </c>
      <c r="O366" s="10"/>
      <c r="P366" s="10">
        <f t="shared" si="49"/>
        <v>26100</v>
      </c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</row>
    <row r="367" spans="1:235" s="39" customFormat="1" ht="33.75">
      <c r="A367" s="9" t="s">
        <v>294</v>
      </c>
      <c r="B367" s="9"/>
      <c r="C367" s="9"/>
      <c r="D367" s="10">
        <f>D374*D381</f>
        <v>40500</v>
      </c>
      <c r="E367" s="10"/>
      <c r="F367" s="10">
        <f t="shared" si="47"/>
        <v>40500</v>
      </c>
      <c r="G367" s="10">
        <f>G374*G381</f>
        <v>43500</v>
      </c>
      <c r="H367" s="10"/>
      <c r="I367" s="10"/>
      <c r="J367" s="10">
        <f t="shared" si="48"/>
        <v>43500</v>
      </c>
      <c r="K367" s="10"/>
      <c r="L367" s="10"/>
      <c r="M367" s="10"/>
      <c r="N367" s="10">
        <f>N374*N381</f>
        <v>46200</v>
      </c>
      <c r="O367" s="10"/>
      <c r="P367" s="10">
        <f t="shared" si="49"/>
        <v>46200</v>
      </c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</row>
    <row r="368" spans="1:235" s="39" customFormat="1" ht="33.75">
      <c r="A368" s="9" t="s">
        <v>295</v>
      </c>
      <c r="B368" s="9"/>
      <c r="C368" s="9"/>
      <c r="D368" s="10">
        <f>D382*D375</f>
        <v>25200</v>
      </c>
      <c r="E368" s="10"/>
      <c r="F368" s="10">
        <f t="shared" si="47"/>
        <v>25200</v>
      </c>
      <c r="G368" s="10">
        <f>G375*G382</f>
        <v>27000</v>
      </c>
      <c r="H368" s="10"/>
      <c r="I368" s="10"/>
      <c r="J368" s="10">
        <f t="shared" si="48"/>
        <v>27000</v>
      </c>
      <c r="K368" s="10"/>
      <c r="L368" s="10"/>
      <c r="M368" s="10"/>
      <c r="N368" s="10">
        <f>N382*N375</f>
        <v>28800</v>
      </c>
      <c r="O368" s="10"/>
      <c r="P368" s="10">
        <f t="shared" si="49"/>
        <v>28800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</row>
    <row r="369" spans="1:235" s="39" customFormat="1" ht="22.5">
      <c r="A369" s="9" t="s">
        <v>296</v>
      </c>
      <c r="B369" s="9"/>
      <c r="C369" s="9"/>
      <c r="D369" s="10">
        <f>D376*D383</f>
        <v>6120</v>
      </c>
      <c r="E369" s="10"/>
      <c r="F369" s="10">
        <f t="shared" si="47"/>
        <v>6120</v>
      </c>
      <c r="G369" s="10">
        <f>G376*G383</f>
        <v>6600</v>
      </c>
      <c r="H369" s="10"/>
      <c r="I369" s="10"/>
      <c r="J369" s="10">
        <f t="shared" si="48"/>
        <v>6600</v>
      </c>
      <c r="K369" s="10"/>
      <c r="L369" s="10"/>
      <c r="M369" s="10"/>
      <c r="N369" s="10">
        <f>N376*N382</f>
        <v>3840</v>
      </c>
      <c r="O369" s="10"/>
      <c r="P369" s="10">
        <f t="shared" si="49"/>
        <v>3840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</row>
    <row r="370" spans="1:235" s="39" customFormat="1" ht="33.75">
      <c r="A370" s="9" t="s">
        <v>297</v>
      </c>
      <c r="B370" s="9"/>
      <c r="C370" s="9"/>
      <c r="D370" s="10">
        <f>D377*D384</f>
        <v>1560</v>
      </c>
      <c r="E370" s="10"/>
      <c r="F370" s="10">
        <f t="shared" si="47"/>
        <v>1560</v>
      </c>
      <c r="G370" s="10">
        <f>G377*G384</f>
        <v>1680</v>
      </c>
      <c r="H370" s="10"/>
      <c r="I370" s="10"/>
      <c r="J370" s="10">
        <f t="shared" si="48"/>
        <v>1680</v>
      </c>
      <c r="K370" s="10"/>
      <c r="L370" s="10"/>
      <c r="M370" s="10"/>
      <c r="N370" s="10">
        <f>N377*N384</f>
        <v>1800</v>
      </c>
      <c r="O370" s="10"/>
      <c r="P370" s="10">
        <f t="shared" si="49"/>
        <v>1800</v>
      </c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</row>
    <row r="371" spans="1:16" ht="11.25">
      <c r="A371" s="13" t="s">
        <v>5</v>
      </c>
      <c r="B371" s="13"/>
      <c r="C371" s="13"/>
      <c r="D371" s="64"/>
      <c r="E371" s="64"/>
      <c r="F371" s="65"/>
      <c r="G371" s="64"/>
      <c r="H371" s="64"/>
      <c r="I371" s="64"/>
      <c r="J371" s="65"/>
      <c r="K371" s="65"/>
      <c r="L371" s="64"/>
      <c r="M371" s="64"/>
      <c r="N371" s="64"/>
      <c r="O371" s="64"/>
      <c r="P371" s="65"/>
    </row>
    <row r="372" spans="1:16" ht="33.75" customHeight="1">
      <c r="A372" s="11" t="s">
        <v>298</v>
      </c>
      <c r="B372" s="11"/>
      <c r="C372" s="11"/>
      <c r="D372" s="66">
        <v>30</v>
      </c>
      <c r="E372" s="66"/>
      <c r="F372" s="66">
        <f aca="true" t="shared" si="50" ref="F372:F377">D372+E372</f>
        <v>30</v>
      </c>
      <c r="G372" s="66">
        <v>30</v>
      </c>
      <c r="H372" s="66"/>
      <c r="I372" s="66"/>
      <c r="J372" s="66">
        <f aca="true" t="shared" si="51" ref="J372:J377">G372+H372</f>
        <v>30</v>
      </c>
      <c r="K372" s="66">
        <f aca="true" t="shared" si="52" ref="K372:K377">G372/D372*100</f>
        <v>100</v>
      </c>
      <c r="L372" s="66"/>
      <c r="M372" s="66"/>
      <c r="N372" s="66">
        <v>30</v>
      </c>
      <c r="O372" s="66"/>
      <c r="P372" s="66">
        <f>N372+O372</f>
        <v>30</v>
      </c>
    </row>
    <row r="373" spans="1:16" ht="39" customHeight="1">
      <c r="A373" s="11" t="s">
        <v>299</v>
      </c>
      <c r="B373" s="11"/>
      <c r="C373" s="11"/>
      <c r="D373" s="66">
        <v>30</v>
      </c>
      <c r="E373" s="66"/>
      <c r="F373" s="66">
        <f t="shared" si="50"/>
        <v>30</v>
      </c>
      <c r="G373" s="66">
        <v>30</v>
      </c>
      <c r="H373" s="66"/>
      <c r="I373" s="66"/>
      <c r="J373" s="66">
        <f t="shared" si="51"/>
        <v>30</v>
      </c>
      <c r="K373" s="66">
        <f t="shared" si="52"/>
        <v>100</v>
      </c>
      <c r="L373" s="66"/>
      <c r="M373" s="66"/>
      <c r="N373" s="66">
        <v>30</v>
      </c>
      <c r="O373" s="66"/>
      <c r="P373" s="66">
        <f>N373+O373</f>
        <v>30</v>
      </c>
    </row>
    <row r="374" spans="1:16" ht="33.75" customHeight="1">
      <c r="A374" s="11" t="s">
        <v>300</v>
      </c>
      <c r="B374" s="11"/>
      <c r="C374" s="11"/>
      <c r="D374" s="66">
        <v>30</v>
      </c>
      <c r="E374" s="66"/>
      <c r="F374" s="66">
        <f t="shared" si="50"/>
        <v>30</v>
      </c>
      <c r="G374" s="66">
        <v>30</v>
      </c>
      <c r="H374" s="66"/>
      <c r="I374" s="66"/>
      <c r="J374" s="66">
        <f t="shared" si="51"/>
        <v>30</v>
      </c>
      <c r="K374" s="66">
        <f t="shared" si="52"/>
        <v>100</v>
      </c>
      <c r="L374" s="66"/>
      <c r="M374" s="66"/>
      <c r="N374" s="66">
        <v>30</v>
      </c>
      <c r="O374" s="66"/>
      <c r="P374" s="66">
        <f>N374+O374</f>
        <v>30</v>
      </c>
    </row>
    <row r="375" spans="1:16" ht="39" customHeight="1">
      <c r="A375" s="11" t="s">
        <v>301</v>
      </c>
      <c r="B375" s="11"/>
      <c r="C375" s="11"/>
      <c r="D375" s="66">
        <v>90</v>
      </c>
      <c r="E375" s="66"/>
      <c r="F375" s="66">
        <f t="shared" si="50"/>
        <v>90</v>
      </c>
      <c r="G375" s="66">
        <v>90</v>
      </c>
      <c r="H375" s="66"/>
      <c r="I375" s="66"/>
      <c r="J375" s="66">
        <f t="shared" si="51"/>
        <v>90</v>
      </c>
      <c r="K375" s="66">
        <f t="shared" si="52"/>
        <v>100</v>
      </c>
      <c r="L375" s="66"/>
      <c r="M375" s="66"/>
      <c r="N375" s="66">
        <v>90</v>
      </c>
      <c r="O375" s="66"/>
      <c r="P375" s="66">
        <f>N375+O375</f>
        <v>90</v>
      </c>
    </row>
    <row r="376" spans="1:16" ht="22.5">
      <c r="A376" s="11" t="s">
        <v>302</v>
      </c>
      <c r="B376" s="11"/>
      <c r="C376" s="11"/>
      <c r="D376" s="66">
        <v>12</v>
      </c>
      <c r="E376" s="66"/>
      <c r="F376" s="66">
        <f t="shared" si="50"/>
        <v>12</v>
      </c>
      <c r="G376" s="66">
        <v>12</v>
      </c>
      <c r="H376" s="66"/>
      <c r="I376" s="66"/>
      <c r="J376" s="66">
        <f t="shared" si="51"/>
        <v>12</v>
      </c>
      <c r="K376" s="66">
        <f t="shared" si="52"/>
        <v>100</v>
      </c>
      <c r="L376" s="66"/>
      <c r="M376" s="66"/>
      <c r="N376" s="66">
        <v>12</v>
      </c>
      <c r="O376" s="66"/>
      <c r="P376" s="66">
        <f>N376</f>
        <v>12</v>
      </c>
    </row>
    <row r="377" spans="1:16" ht="22.5">
      <c r="A377" s="11" t="s">
        <v>303</v>
      </c>
      <c r="B377" s="11"/>
      <c r="C377" s="11"/>
      <c r="D377" s="66">
        <v>12</v>
      </c>
      <c r="E377" s="66"/>
      <c r="F377" s="66">
        <f t="shared" si="50"/>
        <v>12</v>
      </c>
      <c r="G377" s="66">
        <v>12</v>
      </c>
      <c r="H377" s="66"/>
      <c r="I377" s="66"/>
      <c r="J377" s="66">
        <f t="shared" si="51"/>
        <v>12</v>
      </c>
      <c r="K377" s="66">
        <f t="shared" si="52"/>
        <v>100</v>
      </c>
      <c r="L377" s="66"/>
      <c r="M377" s="66"/>
      <c r="N377" s="66">
        <v>12</v>
      </c>
      <c r="O377" s="66"/>
      <c r="P377" s="66">
        <f>N377</f>
        <v>12</v>
      </c>
    </row>
    <row r="378" spans="1:16" ht="11.25">
      <c r="A378" s="13" t="s">
        <v>7</v>
      </c>
      <c r="B378" s="13"/>
      <c r="C378" s="13"/>
      <c r="D378" s="10"/>
      <c r="E378" s="10"/>
      <c r="F378" s="43"/>
      <c r="G378" s="10"/>
      <c r="H378" s="10"/>
      <c r="I378" s="10"/>
      <c r="J378" s="43"/>
      <c r="K378" s="43"/>
      <c r="L378" s="10"/>
      <c r="M378" s="10"/>
      <c r="N378" s="10"/>
      <c r="O378" s="10"/>
      <c r="P378" s="43"/>
    </row>
    <row r="379" spans="1:16" ht="41.25" customHeight="1">
      <c r="A379" s="11" t="s">
        <v>304</v>
      </c>
      <c r="B379" s="11"/>
      <c r="C379" s="11"/>
      <c r="D379" s="43">
        <v>240</v>
      </c>
      <c r="E379" s="43"/>
      <c r="F379" s="43">
        <f aca="true" t="shared" si="53" ref="F379:F384">D379+E379</f>
        <v>240</v>
      </c>
      <c r="G379" s="43">
        <v>260</v>
      </c>
      <c r="H379" s="43"/>
      <c r="I379" s="43"/>
      <c r="J379" s="43">
        <f aca="true" t="shared" si="54" ref="J379:J384">G379+H379</f>
        <v>260</v>
      </c>
      <c r="K379" s="43">
        <f>G379/D379*100</f>
        <v>108.33333333333333</v>
      </c>
      <c r="L379" s="43"/>
      <c r="M379" s="43"/>
      <c r="N379" s="43">
        <v>275</v>
      </c>
      <c r="O379" s="43"/>
      <c r="P379" s="43">
        <f>N379+O379</f>
        <v>275</v>
      </c>
    </row>
    <row r="380" spans="1:16" ht="33.75">
      <c r="A380" s="11" t="s">
        <v>305</v>
      </c>
      <c r="B380" s="11"/>
      <c r="C380" s="11"/>
      <c r="D380" s="65">
        <v>760</v>
      </c>
      <c r="E380" s="65"/>
      <c r="F380" s="65">
        <f t="shared" si="53"/>
        <v>760</v>
      </c>
      <c r="G380" s="65">
        <v>820</v>
      </c>
      <c r="H380" s="65"/>
      <c r="I380" s="65"/>
      <c r="J380" s="65">
        <f t="shared" si="54"/>
        <v>820</v>
      </c>
      <c r="K380" s="65">
        <f>G380/D380*100</f>
        <v>107.89473684210526</v>
      </c>
      <c r="L380" s="65"/>
      <c r="M380" s="65"/>
      <c r="N380" s="65">
        <v>870</v>
      </c>
      <c r="O380" s="65"/>
      <c r="P380" s="65">
        <f>N380+O380</f>
        <v>870</v>
      </c>
    </row>
    <row r="381" spans="1:16" ht="33.75" customHeight="1">
      <c r="A381" s="11" t="s">
        <v>306</v>
      </c>
      <c r="B381" s="11"/>
      <c r="C381" s="11"/>
      <c r="D381" s="43">
        <v>1350</v>
      </c>
      <c r="E381" s="43"/>
      <c r="F381" s="43">
        <f t="shared" si="53"/>
        <v>1350</v>
      </c>
      <c r="G381" s="43">
        <v>1450</v>
      </c>
      <c r="H381" s="43"/>
      <c r="I381" s="43"/>
      <c r="J381" s="43">
        <f t="shared" si="54"/>
        <v>1450</v>
      </c>
      <c r="K381" s="65"/>
      <c r="L381" s="65"/>
      <c r="M381" s="65"/>
      <c r="N381" s="43">
        <v>1540</v>
      </c>
      <c r="O381" s="43"/>
      <c r="P381" s="43">
        <f>N381</f>
        <v>1540</v>
      </c>
    </row>
    <row r="382" spans="1:16" ht="38.25" customHeight="1">
      <c r="A382" s="11" t="s">
        <v>307</v>
      </c>
      <c r="B382" s="11"/>
      <c r="C382" s="11"/>
      <c r="D382" s="43">
        <v>280</v>
      </c>
      <c r="E382" s="43"/>
      <c r="F382" s="43">
        <f t="shared" si="53"/>
        <v>280</v>
      </c>
      <c r="G382" s="43">
        <v>300</v>
      </c>
      <c r="H382" s="43"/>
      <c r="I382" s="43"/>
      <c r="J382" s="43">
        <f t="shared" si="54"/>
        <v>300</v>
      </c>
      <c r="K382" s="65"/>
      <c r="L382" s="65"/>
      <c r="M382" s="65"/>
      <c r="N382" s="43">
        <v>320</v>
      </c>
      <c r="O382" s="43"/>
      <c r="P382" s="43">
        <f>N382</f>
        <v>320</v>
      </c>
    </row>
    <row r="383" spans="1:16" ht="22.5">
      <c r="A383" s="11" t="s">
        <v>308</v>
      </c>
      <c r="B383" s="11"/>
      <c r="C383" s="11"/>
      <c r="D383" s="43">
        <v>510</v>
      </c>
      <c r="E383" s="43"/>
      <c r="F383" s="43">
        <f t="shared" si="53"/>
        <v>510</v>
      </c>
      <c r="G383" s="43">
        <v>550</v>
      </c>
      <c r="H383" s="43"/>
      <c r="I383" s="43"/>
      <c r="J383" s="43">
        <f t="shared" si="54"/>
        <v>550</v>
      </c>
      <c r="K383" s="65"/>
      <c r="L383" s="65"/>
      <c r="M383" s="65"/>
      <c r="N383" s="43">
        <v>585</v>
      </c>
      <c r="O383" s="43"/>
      <c r="P383" s="43">
        <f>N383</f>
        <v>585</v>
      </c>
    </row>
    <row r="384" spans="1:16" ht="22.5">
      <c r="A384" s="11" t="s">
        <v>309</v>
      </c>
      <c r="B384" s="11"/>
      <c r="C384" s="11"/>
      <c r="D384" s="43">
        <v>130</v>
      </c>
      <c r="E384" s="43"/>
      <c r="F384" s="43">
        <f t="shared" si="53"/>
        <v>130</v>
      </c>
      <c r="G384" s="43">
        <v>140</v>
      </c>
      <c r="H384" s="43"/>
      <c r="I384" s="43"/>
      <c r="J384" s="43">
        <f t="shared" si="54"/>
        <v>140</v>
      </c>
      <c r="K384" s="65"/>
      <c r="L384" s="65"/>
      <c r="M384" s="65"/>
      <c r="N384" s="43">
        <v>150</v>
      </c>
      <c r="O384" s="43"/>
      <c r="P384" s="43">
        <f>N384+O384</f>
        <v>150</v>
      </c>
    </row>
    <row r="385" spans="1:16" ht="11.25">
      <c r="A385" s="125" t="s">
        <v>311</v>
      </c>
      <c r="B385" s="13"/>
      <c r="C385" s="13"/>
      <c r="D385" s="10"/>
      <c r="E385" s="10">
        <f>E387+E403</f>
        <v>692840</v>
      </c>
      <c r="F385" s="10">
        <f>F387+F403</f>
        <v>692840</v>
      </c>
      <c r="G385" s="10"/>
      <c r="H385" s="10">
        <f>H387+H403</f>
        <v>742600</v>
      </c>
      <c r="I385" s="10"/>
      <c r="J385" s="10">
        <f>J387+J403</f>
        <v>742600</v>
      </c>
      <c r="K385" s="64"/>
      <c r="L385" s="64"/>
      <c r="M385" s="64"/>
      <c r="N385" s="10"/>
      <c r="O385" s="10">
        <f>O387+O403</f>
        <v>787532</v>
      </c>
      <c r="P385" s="10">
        <f>P387+P403</f>
        <v>787532</v>
      </c>
    </row>
    <row r="386" spans="1:16" ht="101.25">
      <c r="A386" s="12" t="s">
        <v>312</v>
      </c>
      <c r="B386" s="11"/>
      <c r="C386" s="11"/>
      <c r="D386" s="43"/>
      <c r="E386" s="43"/>
      <c r="F386" s="43"/>
      <c r="G386" s="43"/>
      <c r="H386" s="43"/>
      <c r="I386" s="43"/>
      <c r="J386" s="43"/>
      <c r="K386" s="65"/>
      <c r="L386" s="65"/>
      <c r="M386" s="65"/>
      <c r="N386" s="43"/>
      <c r="O386" s="43"/>
      <c r="P386" s="43"/>
    </row>
    <row r="387" spans="1:16" ht="78.75">
      <c r="A387" s="67" t="s">
        <v>404</v>
      </c>
      <c r="B387" s="11"/>
      <c r="C387" s="11"/>
      <c r="D387" s="43"/>
      <c r="E387" s="43">
        <f>E389+E390+E391+E392</f>
        <v>428840</v>
      </c>
      <c r="F387" s="43">
        <f>D387+E387</f>
        <v>428840</v>
      </c>
      <c r="G387" s="43"/>
      <c r="H387" s="43">
        <f>H389+H390+H391+H392</f>
        <v>459400</v>
      </c>
      <c r="I387" s="43"/>
      <c r="J387" s="43">
        <f>J389+J390+J391+J392</f>
        <v>459400</v>
      </c>
      <c r="K387" s="65"/>
      <c r="L387" s="65"/>
      <c r="M387" s="65"/>
      <c r="N387" s="43"/>
      <c r="O387" s="43">
        <f>O389+O390+O391+O392</f>
        <v>487340</v>
      </c>
      <c r="P387" s="43">
        <f>P389+P390+P391+P392</f>
        <v>487340</v>
      </c>
    </row>
    <row r="388" spans="1:16" ht="11.25">
      <c r="A388" s="13" t="s">
        <v>4</v>
      </c>
      <c r="B388" s="11"/>
      <c r="C388" s="11"/>
      <c r="D388" s="43"/>
      <c r="E388" s="43"/>
      <c r="F388" s="43"/>
      <c r="G388" s="43"/>
      <c r="H388" s="43"/>
      <c r="I388" s="43"/>
      <c r="J388" s="43"/>
      <c r="K388" s="65"/>
      <c r="L388" s="65"/>
      <c r="M388" s="65"/>
      <c r="N388" s="43"/>
      <c r="O388" s="43"/>
      <c r="P388" s="43"/>
    </row>
    <row r="389" spans="1:16" ht="33.75">
      <c r="A389" s="8" t="s">
        <v>314</v>
      </c>
      <c r="B389" s="11"/>
      <c r="C389" s="11"/>
      <c r="D389" s="43"/>
      <c r="E389" s="43">
        <f>E394*E399</f>
        <v>387500</v>
      </c>
      <c r="F389" s="43">
        <f>D389+E389</f>
        <v>387500</v>
      </c>
      <c r="G389" s="43"/>
      <c r="H389" s="43">
        <f>H394*H399</f>
        <v>415000</v>
      </c>
      <c r="I389" s="43"/>
      <c r="J389" s="43">
        <f>G389+H389</f>
        <v>415000</v>
      </c>
      <c r="K389" s="65"/>
      <c r="L389" s="65"/>
      <c r="M389" s="65"/>
      <c r="N389" s="43"/>
      <c r="O389" s="43">
        <f>O394*O399</f>
        <v>440000</v>
      </c>
      <c r="P389" s="43">
        <f>N389+O389</f>
        <v>440000</v>
      </c>
    </row>
    <row r="390" spans="1:16" ht="22.5">
      <c r="A390" s="8" t="s">
        <v>313</v>
      </c>
      <c r="B390" s="11"/>
      <c r="C390" s="11"/>
      <c r="D390" s="43"/>
      <c r="E390" s="43">
        <f>E395*E400</f>
        <v>12240</v>
      </c>
      <c r="F390" s="43">
        <f>D390+E390</f>
        <v>12240</v>
      </c>
      <c r="G390" s="43"/>
      <c r="H390" s="43">
        <f>H395*H400</f>
        <v>13200</v>
      </c>
      <c r="I390" s="43"/>
      <c r="J390" s="43">
        <f>G390+H390</f>
        <v>13200</v>
      </c>
      <c r="K390" s="65"/>
      <c r="L390" s="65"/>
      <c r="M390" s="65"/>
      <c r="N390" s="43"/>
      <c r="O390" s="43">
        <f>O395*O400</f>
        <v>14040</v>
      </c>
      <c r="P390" s="43">
        <f>N390+O390</f>
        <v>14040</v>
      </c>
    </row>
    <row r="391" spans="1:16" ht="33.75">
      <c r="A391" s="8" t="s">
        <v>315</v>
      </c>
      <c r="B391" s="11"/>
      <c r="C391" s="11"/>
      <c r="D391" s="43"/>
      <c r="E391" s="43">
        <f>E396*E401</f>
        <v>25200</v>
      </c>
      <c r="F391" s="43">
        <f>D391+E391</f>
        <v>25200</v>
      </c>
      <c r="G391" s="43"/>
      <c r="H391" s="43">
        <f>H396*H401</f>
        <v>27000</v>
      </c>
      <c r="I391" s="43"/>
      <c r="J391" s="43">
        <f>G391+H391</f>
        <v>27000</v>
      </c>
      <c r="K391" s="65"/>
      <c r="L391" s="65"/>
      <c r="M391" s="65"/>
      <c r="N391" s="43"/>
      <c r="O391" s="43">
        <f>O396*O401</f>
        <v>28800</v>
      </c>
      <c r="P391" s="43">
        <f>N391+O391</f>
        <v>28800</v>
      </c>
    </row>
    <row r="392" spans="1:16" ht="33.75">
      <c r="A392" s="8" t="s">
        <v>316</v>
      </c>
      <c r="B392" s="11"/>
      <c r="C392" s="11"/>
      <c r="D392" s="43"/>
      <c r="E392" s="43">
        <f>E397*E402</f>
        <v>3900</v>
      </c>
      <c r="F392" s="43">
        <f>D392+E392</f>
        <v>3900</v>
      </c>
      <c r="G392" s="43"/>
      <c r="H392" s="43">
        <f>H397*H402</f>
        <v>4200</v>
      </c>
      <c r="I392" s="43"/>
      <c r="J392" s="43">
        <f>G392+H392</f>
        <v>4200</v>
      </c>
      <c r="K392" s="65"/>
      <c r="L392" s="65"/>
      <c r="M392" s="65"/>
      <c r="N392" s="43"/>
      <c r="O392" s="43">
        <f>O397*O402</f>
        <v>4500</v>
      </c>
      <c r="P392" s="43">
        <f>N392+O392</f>
        <v>4500</v>
      </c>
    </row>
    <row r="393" spans="1:16" ht="11.25">
      <c r="A393" s="13" t="s">
        <v>5</v>
      </c>
      <c r="B393" s="11"/>
      <c r="C393" s="11"/>
      <c r="D393" s="43"/>
      <c r="E393" s="43"/>
      <c r="F393" s="43"/>
      <c r="G393" s="43"/>
      <c r="H393" s="43"/>
      <c r="I393" s="43"/>
      <c r="J393" s="43"/>
      <c r="K393" s="65"/>
      <c r="L393" s="65"/>
      <c r="M393" s="65"/>
      <c r="N393" s="43"/>
      <c r="O393" s="43"/>
      <c r="P393" s="43"/>
    </row>
    <row r="394" spans="1:16" ht="33.75">
      <c r="A394" s="8" t="s">
        <v>317</v>
      </c>
      <c r="B394" s="11"/>
      <c r="C394" s="11"/>
      <c r="D394" s="43"/>
      <c r="E394" s="14">
        <f>60+160+30</f>
        <v>250</v>
      </c>
      <c r="F394" s="43">
        <f aca="true" t="shared" si="55" ref="F394:F402">D394+E394</f>
        <v>250</v>
      </c>
      <c r="G394" s="43"/>
      <c r="H394" s="14">
        <f>60+160+30</f>
        <v>250</v>
      </c>
      <c r="I394" s="43"/>
      <c r="J394" s="43">
        <f aca="true" t="shared" si="56" ref="J394:J402">G394+H394</f>
        <v>250</v>
      </c>
      <c r="K394" s="65"/>
      <c r="L394" s="65"/>
      <c r="M394" s="65"/>
      <c r="N394" s="43"/>
      <c r="O394" s="14">
        <f>60+160+30</f>
        <v>250</v>
      </c>
      <c r="P394" s="43">
        <f aca="true" t="shared" si="57" ref="P394:P402">N394+O394</f>
        <v>250</v>
      </c>
    </row>
    <row r="395" spans="1:16" ht="33.75">
      <c r="A395" s="8" t="s">
        <v>318</v>
      </c>
      <c r="B395" s="11"/>
      <c r="C395" s="11"/>
      <c r="D395" s="43"/>
      <c r="E395" s="14">
        <v>24</v>
      </c>
      <c r="F395" s="43">
        <f t="shared" si="55"/>
        <v>24</v>
      </c>
      <c r="G395" s="43"/>
      <c r="H395" s="14">
        <v>24</v>
      </c>
      <c r="I395" s="43"/>
      <c r="J395" s="43">
        <f t="shared" si="56"/>
        <v>24</v>
      </c>
      <c r="K395" s="65"/>
      <c r="L395" s="65"/>
      <c r="M395" s="65"/>
      <c r="N395" s="43"/>
      <c r="O395" s="14">
        <v>24</v>
      </c>
      <c r="P395" s="43">
        <f t="shared" si="57"/>
        <v>24</v>
      </c>
    </row>
    <row r="396" spans="1:16" ht="33.75">
      <c r="A396" s="8" t="s">
        <v>319</v>
      </c>
      <c r="B396" s="11"/>
      <c r="C396" s="11"/>
      <c r="D396" s="43"/>
      <c r="E396" s="14">
        <v>90</v>
      </c>
      <c r="F396" s="43">
        <f t="shared" si="55"/>
        <v>90</v>
      </c>
      <c r="G396" s="43"/>
      <c r="H396" s="14">
        <v>90</v>
      </c>
      <c r="I396" s="43"/>
      <c r="J396" s="43">
        <f t="shared" si="56"/>
        <v>90</v>
      </c>
      <c r="K396" s="65"/>
      <c r="L396" s="65"/>
      <c r="M396" s="65"/>
      <c r="N396" s="43"/>
      <c r="O396" s="14">
        <v>90</v>
      </c>
      <c r="P396" s="43">
        <f t="shared" si="57"/>
        <v>90</v>
      </c>
    </row>
    <row r="397" spans="1:16" ht="22.5">
      <c r="A397" s="8" t="s">
        <v>320</v>
      </c>
      <c r="B397" s="11"/>
      <c r="C397" s="11"/>
      <c r="D397" s="43"/>
      <c r="E397" s="14">
        <v>30</v>
      </c>
      <c r="F397" s="43">
        <f t="shared" si="55"/>
        <v>30</v>
      </c>
      <c r="G397" s="43"/>
      <c r="H397" s="14">
        <v>30</v>
      </c>
      <c r="I397" s="43"/>
      <c r="J397" s="43">
        <f t="shared" si="56"/>
        <v>30</v>
      </c>
      <c r="K397" s="65"/>
      <c r="L397" s="65"/>
      <c r="M397" s="65"/>
      <c r="N397" s="43"/>
      <c r="O397" s="14">
        <v>30</v>
      </c>
      <c r="P397" s="43">
        <f t="shared" si="57"/>
        <v>30</v>
      </c>
    </row>
    <row r="398" spans="1:16" ht="11.25">
      <c r="A398" s="13" t="s">
        <v>7</v>
      </c>
      <c r="B398" s="68"/>
      <c r="C398" s="11"/>
      <c r="D398" s="43"/>
      <c r="E398" s="15">
        <f>E399+E400+E401+E402</f>
        <v>2470</v>
      </c>
      <c r="F398" s="43">
        <f t="shared" si="55"/>
        <v>2470</v>
      </c>
      <c r="G398" s="43"/>
      <c r="H398" s="15">
        <f>H399+H400+H401+H402</f>
        <v>2650</v>
      </c>
      <c r="I398" s="43"/>
      <c r="J398" s="43">
        <f t="shared" si="56"/>
        <v>2650</v>
      </c>
      <c r="K398" s="65"/>
      <c r="L398" s="65"/>
      <c r="M398" s="65"/>
      <c r="N398" s="43"/>
      <c r="O398" s="15">
        <f>O399+O400+O401+O402</f>
        <v>2815</v>
      </c>
      <c r="P398" s="43">
        <f t="shared" si="57"/>
        <v>2815</v>
      </c>
    </row>
    <row r="399" spans="1:16" ht="33.75">
      <c r="A399" s="11" t="s">
        <v>321</v>
      </c>
      <c r="B399" s="68"/>
      <c r="C399" s="11"/>
      <c r="D399" s="43"/>
      <c r="E399" s="15">
        <v>1550</v>
      </c>
      <c r="F399" s="43">
        <f t="shared" si="55"/>
        <v>1550</v>
      </c>
      <c r="G399" s="43"/>
      <c r="H399" s="15">
        <v>1660</v>
      </c>
      <c r="I399" s="43"/>
      <c r="J399" s="43">
        <f t="shared" si="56"/>
        <v>1660</v>
      </c>
      <c r="K399" s="65"/>
      <c r="L399" s="65"/>
      <c r="M399" s="65"/>
      <c r="N399" s="43"/>
      <c r="O399" s="15">
        <v>1760</v>
      </c>
      <c r="P399" s="43">
        <f t="shared" si="57"/>
        <v>1760</v>
      </c>
    </row>
    <row r="400" spans="1:16" ht="24.75" customHeight="1">
      <c r="A400" s="11" t="s">
        <v>322</v>
      </c>
      <c r="B400" s="68"/>
      <c r="C400" s="11"/>
      <c r="D400" s="43"/>
      <c r="E400" s="15">
        <v>510</v>
      </c>
      <c r="F400" s="43">
        <f t="shared" si="55"/>
        <v>510</v>
      </c>
      <c r="G400" s="43"/>
      <c r="H400" s="15">
        <v>550</v>
      </c>
      <c r="I400" s="43"/>
      <c r="J400" s="43">
        <f t="shared" si="56"/>
        <v>550</v>
      </c>
      <c r="K400" s="65"/>
      <c r="L400" s="65"/>
      <c r="M400" s="65"/>
      <c r="N400" s="43"/>
      <c r="O400" s="15">
        <v>585</v>
      </c>
      <c r="P400" s="43">
        <f t="shared" si="57"/>
        <v>585</v>
      </c>
    </row>
    <row r="401" spans="1:16" ht="33.75">
      <c r="A401" s="11" t="s">
        <v>323</v>
      </c>
      <c r="B401" s="11"/>
      <c r="C401" s="11"/>
      <c r="D401" s="43"/>
      <c r="E401" s="15">
        <v>280</v>
      </c>
      <c r="F401" s="43">
        <f t="shared" si="55"/>
        <v>280</v>
      </c>
      <c r="G401" s="43"/>
      <c r="H401" s="15">
        <v>300</v>
      </c>
      <c r="I401" s="43"/>
      <c r="J401" s="43">
        <f t="shared" si="56"/>
        <v>300</v>
      </c>
      <c r="K401" s="65"/>
      <c r="L401" s="65"/>
      <c r="M401" s="65"/>
      <c r="N401" s="43"/>
      <c r="O401" s="15">
        <v>320</v>
      </c>
      <c r="P401" s="43">
        <f t="shared" si="57"/>
        <v>320</v>
      </c>
    </row>
    <row r="402" spans="1:16" ht="22.5">
      <c r="A402" s="16" t="s">
        <v>324</v>
      </c>
      <c r="B402" s="11"/>
      <c r="C402" s="11"/>
      <c r="D402" s="43"/>
      <c r="E402" s="17">
        <v>130</v>
      </c>
      <c r="F402" s="43">
        <f t="shared" si="55"/>
        <v>130</v>
      </c>
      <c r="G402" s="43"/>
      <c r="H402" s="17">
        <v>140</v>
      </c>
      <c r="I402" s="43"/>
      <c r="J402" s="43">
        <f t="shared" si="56"/>
        <v>140</v>
      </c>
      <c r="K402" s="65"/>
      <c r="L402" s="65"/>
      <c r="M402" s="65"/>
      <c r="N402" s="43"/>
      <c r="O402" s="18">
        <v>150</v>
      </c>
      <c r="P402" s="43">
        <f t="shared" si="57"/>
        <v>150</v>
      </c>
    </row>
    <row r="403" spans="1:16" ht="45">
      <c r="A403" s="58" t="s">
        <v>405</v>
      </c>
      <c r="B403" s="11"/>
      <c r="C403" s="11"/>
      <c r="D403" s="43">
        <f>D405</f>
        <v>0</v>
      </c>
      <c r="E403" s="43">
        <f>E405</f>
        <v>264000</v>
      </c>
      <c r="F403" s="43">
        <f>F405</f>
        <v>264000</v>
      </c>
      <c r="G403" s="43"/>
      <c r="H403" s="43">
        <f>H405</f>
        <v>283200</v>
      </c>
      <c r="I403" s="43"/>
      <c r="J403" s="43">
        <f>J405</f>
        <v>283200</v>
      </c>
      <c r="K403" s="65"/>
      <c r="L403" s="65"/>
      <c r="M403" s="65"/>
      <c r="N403" s="43"/>
      <c r="O403" s="43">
        <f>O405</f>
        <v>300192</v>
      </c>
      <c r="P403" s="43">
        <f>P405</f>
        <v>300192</v>
      </c>
    </row>
    <row r="404" spans="1:16" ht="11.25">
      <c r="A404" s="19" t="s">
        <v>4</v>
      </c>
      <c r="B404" s="11"/>
      <c r="C404" s="11"/>
      <c r="D404" s="43"/>
      <c r="E404" s="17"/>
      <c r="F404" s="43"/>
      <c r="G404" s="43"/>
      <c r="H404" s="17"/>
      <c r="I404" s="43"/>
      <c r="J404" s="43"/>
      <c r="K404" s="65"/>
      <c r="L404" s="65"/>
      <c r="M404" s="65"/>
      <c r="N404" s="43"/>
      <c r="O404" s="18"/>
      <c r="P404" s="43"/>
    </row>
    <row r="405" spans="1:16" ht="22.5">
      <c r="A405" s="8" t="s">
        <v>325</v>
      </c>
      <c r="B405" s="11"/>
      <c r="C405" s="11"/>
      <c r="D405" s="43"/>
      <c r="E405" s="17">
        <v>264000</v>
      </c>
      <c r="F405" s="43">
        <f>D405+E405</f>
        <v>264000</v>
      </c>
      <c r="G405" s="43"/>
      <c r="H405" s="17">
        <f>H407*H409</f>
        <v>283200</v>
      </c>
      <c r="I405" s="43"/>
      <c r="J405" s="43">
        <f>G405+H405</f>
        <v>283200</v>
      </c>
      <c r="K405" s="65"/>
      <c r="L405" s="65"/>
      <c r="M405" s="65"/>
      <c r="N405" s="43"/>
      <c r="O405" s="18">
        <f>O407*O409</f>
        <v>300192</v>
      </c>
      <c r="P405" s="43">
        <f>N405+O405</f>
        <v>300192</v>
      </c>
    </row>
    <row r="406" spans="1:16" ht="11.25">
      <c r="A406" s="19" t="s">
        <v>5</v>
      </c>
      <c r="B406" s="11"/>
      <c r="C406" s="11"/>
      <c r="D406" s="43"/>
      <c r="E406" s="17"/>
      <c r="F406" s="43"/>
      <c r="G406" s="43"/>
      <c r="H406" s="17"/>
      <c r="I406" s="43"/>
      <c r="J406" s="43"/>
      <c r="K406" s="65"/>
      <c r="L406" s="65"/>
      <c r="M406" s="65"/>
      <c r="N406" s="43"/>
      <c r="O406" s="18"/>
      <c r="P406" s="43"/>
    </row>
    <row r="407" spans="1:16" ht="22.5">
      <c r="A407" s="20" t="s">
        <v>326</v>
      </c>
      <c r="B407" s="11"/>
      <c r="C407" s="11"/>
      <c r="D407" s="43"/>
      <c r="E407" s="21">
        <v>236</v>
      </c>
      <c r="F407" s="69">
        <f>D407+E407</f>
        <v>236</v>
      </c>
      <c r="G407" s="69"/>
      <c r="H407" s="21">
        <v>236</v>
      </c>
      <c r="I407" s="69"/>
      <c r="J407" s="69">
        <f>G407+H407</f>
        <v>236</v>
      </c>
      <c r="K407" s="70"/>
      <c r="L407" s="70"/>
      <c r="M407" s="70"/>
      <c r="N407" s="69"/>
      <c r="O407" s="21">
        <v>236</v>
      </c>
      <c r="P407" s="69">
        <f>N407+O407</f>
        <v>236</v>
      </c>
    </row>
    <row r="408" spans="1:16" ht="11.25">
      <c r="A408" s="19" t="s">
        <v>7</v>
      </c>
      <c r="B408" s="11"/>
      <c r="C408" s="11"/>
      <c r="D408" s="43"/>
      <c r="E408" s="17"/>
      <c r="F408" s="43"/>
      <c r="G408" s="43"/>
      <c r="H408" s="17"/>
      <c r="I408" s="43"/>
      <c r="J408" s="43"/>
      <c r="K408" s="65"/>
      <c r="L408" s="65"/>
      <c r="M408" s="65"/>
      <c r="N408" s="43"/>
      <c r="O408" s="18"/>
      <c r="P408" s="43"/>
    </row>
    <row r="409" spans="1:16" ht="22.5">
      <c r="A409" s="20" t="s">
        <v>327</v>
      </c>
      <c r="B409" s="11"/>
      <c r="C409" s="11"/>
      <c r="D409" s="43"/>
      <c r="E409" s="43">
        <v>1118.64</v>
      </c>
      <c r="F409" s="43">
        <f>D409+E409</f>
        <v>1118.64</v>
      </c>
      <c r="G409" s="43"/>
      <c r="H409" s="43">
        <v>1200</v>
      </c>
      <c r="I409" s="43"/>
      <c r="J409" s="43">
        <f>G409+H409</f>
        <v>1200</v>
      </c>
      <c r="K409" s="65"/>
      <c r="L409" s="65"/>
      <c r="M409" s="65"/>
      <c r="N409" s="43"/>
      <c r="O409" s="43">
        <v>1272</v>
      </c>
      <c r="P409" s="43">
        <f>N409+O409</f>
        <v>1272</v>
      </c>
    </row>
    <row r="410" spans="1:235" s="39" customFormat="1" ht="24" customHeight="1">
      <c r="A410" s="9" t="s">
        <v>406</v>
      </c>
      <c r="B410" s="9"/>
      <c r="C410" s="9"/>
      <c r="D410" s="10">
        <f>(D412*D414)</f>
        <v>64999.9999998</v>
      </c>
      <c r="E410" s="10"/>
      <c r="F410" s="10">
        <f>D410</f>
        <v>64999.9999998</v>
      </c>
      <c r="G410" s="10">
        <f>G412*G414</f>
        <v>70000</v>
      </c>
      <c r="H410" s="10"/>
      <c r="I410" s="10"/>
      <c r="J410" s="10">
        <f>G410</f>
        <v>70000</v>
      </c>
      <c r="K410" s="10"/>
      <c r="L410" s="10"/>
      <c r="M410" s="10"/>
      <c r="N410" s="10">
        <f>N412*N414</f>
        <v>74999.99999968</v>
      </c>
      <c r="O410" s="10"/>
      <c r="P410" s="10">
        <f>N410</f>
        <v>74999.99999968</v>
      </c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38"/>
      <c r="IA410" s="38"/>
    </row>
    <row r="411" spans="1:16" ht="12.75" customHeight="1">
      <c r="A411" s="13" t="s">
        <v>152</v>
      </c>
      <c r="B411" s="9"/>
      <c r="C411" s="9"/>
      <c r="D411" s="10"/>
      <c r="E411" s="10"/>
      <c r="F411" s="10"/>
      <c r="G411" s="10"/>
      <c r="H411" s="10"/>
      <c r="I411" s="10"/>
      <c r="J411" s="10"/>
      <c r="K411" s="65"/>
      <c r="L411" s="10"/>
      <c r="M411" s="10"/>
      <c r="N411" s="10"/>
      <c r="O411" s="10"/>
      <c r="P411" s="10"/>
    </row>
    <row r="412" spans="1:16" ht="24" customHeight="1">
      <c r="A412" s="8" t="s">
        <v>151</v>
      </c>
      <c r="B412" s="11"/>
      <c r="C412" s="11"/>
      <c r="D412" s="43">
        <v>5400</v>
      </c>
      <c r="E412" s="43"/>
      <c r="F412" s="43">
        <f>D412</f>
        <v>5400</v>
      </c>
      <c r="G412" s="43">
        <v>5600</v>
      </c>
      <c r="H412" s="43"/>
      <c r="I412" s="43"/>
      <c r="J412" s="43">
        <f>G412</f>
        <v>5600</v>
      </c>
      <c r="K412" s="65"/>
      <c r="L412" s="65"/>
      <c r="M412" s="65"/>
      <c r="N412" s="43">
        <v>5600</v>
      </c>
      <c r="O412" s="43"/>
      <c r="P412" s="43">
        <f>N412</f>
        <v>5600</v>
      </c>
    </row>
    <row r="413" spans="1:16" ht="11.25">
      <c r="A413" s="13" t="s">
        <v>7</v>
      </c>
      <c r="B413" s="11"/>
      <c r="C413" s="11"/>
      <c r="D413" s="43"/>
      <c r="E413" s="43"/>
      <c r="F413" s="43"/>
      <c r="G413" s="43"/>
      <c r="H413" s="43"/>
      <c r="I413" s="43"/>
      <c r="J413" s="43"/>
      <c r="K413" s="65"/>
      <c r="L413" s="65"/>
      <c r="M413" s="65"/>
      <c r="N413" s="43"/>
      <c r="O413" s="43"/>
      <c r="P413" s="43"/>
    </row>
    <row r="414" spans="1:16" ht="24" customHeight="1">
      <c r="A414" s="11" t="s">
        <v>153</v>
      </c>
      <c r="B414" s="11"/>
      <c r="C414" s="11"/>
      <c r="D414" s="43">
        <v>12.037037037</v>
      </c>
      <c r="E414" s="43"/>
      <c r="F414" s="43">
        <f>D414</f>
        <v>12.037037037</v>
      </c>
      <c r="G414" s="43">
        <v>12.5</v>
      </c>
      <c r="H414" s="43"/>
      <c r="I414" s="43"/>
      <c r="J414" s="43">
        <f>G414</f>
        <v>12.5</v>
      </c>
      <c r="K414" s="65"/>
      <c r="L414" s="65"/>
      <c r="M414" s="65"/>
      <c r="N414" s="43">
        <v>13.3928571428</v>
      </c>
      <c r="O414" s="43"/>
      <c r="P414" s="43">
        <f>N414</f>
        <v>13.3928571428</v>
      </c>
    </row>
    <row r="415" spans="1:235" s="39" customFormat="1" ht="90">
      <c r="A415" s="67" t="s">
        <v>407</v>
      </c>
      <c r="B415" s="9"/>
      <c r="C415" s="9"/>
      <c r="D415" s="148">
        <f>D417*D424+D419*D426+D418*D425+D420*D427+D421*D428+D422*D429</f>
        <v>404000</v>
      </c>
      <c r="E415" s="10"/>
      <c r="F415" s="10">
        <f>F417*F424+F419*F426+F418*F425+F420*F427+F421*F428+F422*F429</f>
        <v>404000</v>
      </c>
      <c r="G415" s="10">
        <f>G417*G424+G419*G426+G418*G425+G420*G427+G421*G428+G422*G429</f>
        <v>108000</v>
      </c>
      <c r="H415" s="10"/>
      <c r="I415" s="10"/>
      <c r="J415" s="10">
        <f>G415</f>
        <v>108000</v>
      </c>
      <c r="K415" s="10"/>
      <c r="L415" s="10"/>
      <c r="M415" s="10"/>
      <c r="N415" s="10">
        <f>N419*N426+N417*N424</f>
        <v>65000</v>
      </c>
      <c r="O415" s="10"/>
      <c r="P415" s="10">
        <f>N415</f>
        <v>65000</v>
      </c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ET415" s="38"/>
      <c r="EU415" s="38"/>
      <c r="EV415" s="38"/>
      <c r="EW415" s="38"/>
      <c r="EX415" s="38"/>
      <c r="EY415" s="38"/>
      <c r="EZ415" s="38"/>
      <c r="FA415" s="38"/>
      <c r="FB415" s="38"/>
      <c r="FC415" s="38"/>
      <c r="FD415" s="38"/>
      <c r="FE415" s="38"/>
      <c r="FF415" s="38"/>
      <c r="FG415" s="38"/>
      <c r="FH415" s="38"/>
      <c r="FI415" s="38"/>
      <c r="FJ415" s="38"/>
      <c r="FK415" s="38"/>
      <c r="FL415" s="38"/>
      <c r="FM415" s="38"/>
      <c r="FN415" s="38"/>
      <c r="FO415" s="38"/>
      <c r="FP415" s="38"/>
      <c r="FQ415" s="38"/>
      <c r="FR415" s="38"/>
      <c r="FS415" s="38"/>
      <c r="FT415" s="38"/>
      <c r="FU415" s="38"/>
      <c r="FV415" s="38"/>
      <c r="FW415" s="38"/>
      <c r="FX415" s="38"/>
      <c r="FY415" s="38"/>
      <c r="FZ415" s="38"/>
      <c r="GA415" s="38"/>
      <c r="GB415" s="38"/>
      <c r="GC415" s="38"/>
      <c r="GD415" s="38"/>
      <c r="GE415" s="38"/>
      <c r="GF415" s="38"/>
      <c r="GG415" s="38"/>
      <c r="GH415" s="38"/>
      <c r="GI415" s="38"/>
      <c r="GJ415" s="38"/>
      <c r="GK415" s="38"/>
      <c r="GL415" s="38"/>
      <c r="GM415" s="38"/>
      <c r="GN415" s="38"/>
      <c r="GO415" s="38"/>
      <c r="GP415" s="38"/>
      <c r="GQ415" s="38"/>
      <c r="GR415" s="38"/>
      <c r="GS415" s="38"/>
      <c r="GT415" s="38"/>
      <c r="GU415" s="38"/>
      <c r="GV415" s="38"/>
      <c r="GW415" s="38"/>
      <c r="GX415" s="38"/>
      <c r="GY415" s="38"/>
      <c r="GZ415" s="38"/>
      <c r="HA415" s="38"/>
      <c r="HB415" s="38"/>
      <c r="HC415" s="38"/>
      <c r="HD415" s="38"/>
      <c r="HE415" s="38"/>
      <c r="HF415" s="38"/>
      <c r="HG415" s="38"/>
      <c r="HH415" s="38"/>
      <c r="HI415" s="38"/>
      <c r="HJ415" s="38"/>
      <c r="HK415" s="38"/>
      <c r="HL415" s="38"/>
      <c r="HM415" s="38"/>
      <c r="HN415" s="38"/>
      <c r="HO415" s="38"/>
      <c r="HP415" s="38"/>
      <c r="HQ415" s="38"/>
      <c r="HR415" s="38"/>
      <c r="HS415" s="38"/>
      <c r="HT415" s="38"/>
      <c r="HU415" s="38"/>
      <c r="HV415" s="38"/>
      <c r="HW415" s="38"/>
      <c r="HX415" s="38"/>
      <c r="HY415" s="38"/>
      <c r="HZ415" s="38"/>
      <c r="IA415" s="38"/>
    </row>
    <row r="416" spans="1:16" ht="11.25">
      <c r="A416" s="13" t="s">
        <v>152</v>
      </c>
      <c r="B416" s="9"/>
      <c r="C416" s="9"/>
      <c r="D416" s="10"/>
      <c r="E416" s="10"/>
      <c r="F416" s="10"/>
      <c r="G416" s="10"/>
      <c r="H416" s="10"/>
      <c r="I416" s="10"/>
      <c r="J416" s="10"/>
      <c r="K416" s="65"/>
      <c r="L416" s="65"/>
      <c r="M416" s="65"/>
      <c r="N416" s="43"/>
      <c r="O416" s="43"/>
      <c r="P416" s="43"/>
    </row>
    <row r="417" spans="1:16" ht="33" customHeight="1">
      <c r="A417" s="8" t="s">
        <v>271</v>
      </c>
      <c r="B417" s="9"/>
      <c r="C417" s="9"/>
      <c r="D417" s="43">
        <v>5</v>
      </c>
      <c r="E417" s="10"/>
      <c r="F417" s="43">
        <f>D417+E417</f>
        <v>5</v>
      </c>
      <c r="G417" s="43">
        <v>5</v>
      </c>
      <c r="H417" s="10"/>
      <c r="I417" s="43"/>
      <c r="J417" s="43">
        <f>G417+H417</f>
        <v>5</v>
      </c>
      <c r="K417" s="65"/>
      <c r="L417" s="65"/>
      <c r="M417" s="65"/>
      <c r="N417" s="43">
        <v>5</v>
      </c>
      <c r="O417" s="43"/>
      <c r="P417" s="43">
        <f>N417</f>
        <v>5</v>
      </c>
    </row>
    <row r="418" spans="1:16" ht="26.25" customHeight="1">
      <c r="A418" s="8" t="s">
        <v>276</v>
      </c>
      <c r="B418" s="9"/>
      <c r="C418" s="9"/>
      <c r="D418" s="43">
        <v>1</v>
      </c>
      <c r="E418" s="10"/>
      <c r="F418" s="43">
        <v>1</v>
      </c>
      <c r="G418" s="43"/>
      <c r="H418" s="10"/>
      <c r="I418" s="43"/>
      <c r="J418" s="43"/>
      <c r="K418" s="65"/>
      <c r="L418" s="65"/>
      <c r="M418" s="65"/>
      <c r="N418" s="43"/>
      <c r="O418" s="43"/>
      <c r="P418" s="43"/>
    </row>
    <row r="419" spans="1:16" ht="39" customHeight="1">
      <c r="A419" s="8" t="s">
        <v>228</v>
      </c>
      <c r="B419" s="11"/>
      <c r="C419" s="11"/>
      <c r="D419" s="43">
        <v>12</v>
      </c>
      <c r="E419" s="43"/>
      <c r="F419" s="43">
        <f>D419+E419</f>
        <v>12</v>
      </c>
      <c r="G419" s="43">
        <v>12</v>
      </c>
      <c r="H419" s="43"/>
      <c r="I419" s="43"/>
      <c r="J419" s="43">
        <f>G419+H419</f>
        <v>12</v>
      </c>
      <c r="K419" s="65"/>
      <c r="L419" s="65"/>
      <c r="M419" s="65"/>
      <c r="N419" s="43">
        <v>12</v>
      </c>
      <c r="O419" s="43"/>
      <c r="P419" s="43">
        <f>N419</f>
        <v>12</v>
      </c>
    </row>
    <row r="420" spans="1:16" ht="27.75" customHeight="1">
      <c r="A420" s="71" t="s">
        <v>331</v>
      </c>
      <c r="B420" s="11"/>
      <c r="C420" s="11"/>
      <c r="D420" s="43">
        <v>1</v>
      </c>
      <c r="E420" s="43"/>
      <c r="F420" s="43">
        <f>D420+E420</f>
        <v>1</v>
      </c>
      <c r="G420" s="43"/>
      <c r="H420" s="43"/>
      <c r="I420" s="43"/>
      <c r="J420" s="43"/>
      <c r="K420" s="65"/>
      <c r="L420" s="65"/>
      <c r="M420" s="65"/>
      <c r="N420" s="43"/>
      <c r="O420" s="43"/>
      <c r="P420" s="43"/>
    </row>
    <row r="421" spans="1:16" ht="30" customHeight="1">
      <c r="A421" s="71" t="s">
        <v>333</v>
      </c>
      <c r="B421" s="11"/>
      <c r="C421" s="11"/>
      <c r="D421" s="43">
        <v>1</v>
      </c>
      <c r="E421" s="43"/>
      <c r="F421" s="43">
        <f>D421+E421</f>
        <v>1</v>
      </c>
      <c r="G421" s="43"/>
      <c r="H421" s="43"/>
      <c r="I421" s="43"/>
      <c r="J421" s="43"/>
      <c r="K421" s="65"/>
      <c r="L421" s="65"/>
      <c r="M421" s="65"/>
      <c r="N421" s="43"/>
      <c r="O421" s="43"/>
      <c r="P421" s="43"/>
    </row>
    <row r="422" spans="1:16" ht="21.75" customHeight="1">
      <c r="A422" s="146" t="s">
        <v>367</v>
      </c>
      <c r="B422" s="11"/>
      <c r="C422" s="11"/>
      <c r="D422" s="43">
        <v>4</v>
      </c>
      <c r="E422" s="43"/>
      <c r="F422" s="43">
        <f>D422+E422</f>
        <v>4</v>
      </c>
      <c r="G422" s="43">
        <v>6</v>
      </c>
      <c r="H422" s="43"/>
      <c r="I422" s="43"/>
      <c r="J422" s="43">
        <v>6</v>
      </c>
      <c r="K422" s="65"/>
      <c r="L422" s="65"/>
      <c r="M422" s="65"/>
      <c r="N422" s="43"/>
      <c r="O422" s="43"/>
      <c r="P422" s="43"/>
    </row>
    <row r="423" spans="1:16" ht="11.25">
      <c r="A423" s="13" t="s">
        <v>7</v>
      </c>
      <c r="B423" s="11"/>
      <c r="C423" s="11"/>
      <c r="D423" s="43"/>
      <c r="E423" s="43"/>
      <c r="F423" s="43"/>
      <c r="G423" s="43"/>
      <c r="H423" s="43"/>
      <c r="I423" s="43"/>
      <c r="J423" s="43"/>
      <c r="K423" s="65"/>
      <c r="L423" s="65"/>
      <c r="M423" s="65"/>
      <c r="N423" s="43"/>
      <c r="O423" s="43"/>
      <c r="P423" s="43"/>
    </row>
    <row r="424" spans="1:16" ht="22.5">
      <c r="A424" s="11" t="s">
        <v>270</v>
      </c>
      <c r="B424" s="11"/>
      <c r="C424" s="11"/>
      <c r="D424" s="43">
        <v>8400</v>
      </c>
      <c r="E424" s="43"/>
      <c r="F424" s="43">
        <f>D424+E424</f>
        <v>8400</v>
      </c>
      <c r="G424" s="43">
        <v>9000</v>
      </c>
      <c r="H424" s="43"/>
      <c r="I424" s="43"/>
      <c r="J424" s="43">
        <f>G424+H424</f>
        <v>9000</v>
      </c>
      <c r="K424" s="65"/>
      <c r="L424" s="65"/>
      <c r="M424" s="65"/>
      <c r="N424" s="43">
        <v>10000</v>
      </c>
      <c r="O424" s="43"/>
      <c r="P424" s="43">
        <f>N424</f>
        <v>10000</v>
      </c>
    </row>
    <row r="425" spans="1:16" ht="22.5">
      <c r="A425" s="11" t="s">
        <v>275</v>
      </c>
      <c r="B425" s="11"/>
      <c r="C425" s="11"/>
      <c r="D425" s="43">
        <v>167000</v>
      </c>
      <c r="E425" s="43"/>
      <c r="F425" s="43">
        <f>D425+E425</f>
        <v>167000</v>
      </c>
      <c r="G425" s="43"/>
      <c r="H425" s="43"/>
      <c r="I425" s="43"/>
      <c r="J425" s="43"/>
      <c r="K425" s="65"/>
      <c r="L425" s="65"/>
      <c r="M425" s="65"/>
      <c r="N425" s="43"/>
      <c r="O425" s="43"/>
      <c r="P425" s="43"/>
    </row>
    <row r="426" spans="1:16" ht="33.75" customHeight="1">
      <c r="A426" s="11" t="s">
        <v>175</v>
      </c>
      <c r="B426" s="11"/>
      <c r="C426" s="11"/>
      <c r="D426" s="43">
        <f>10000/12</f>
        <v>833.3333333333334</v>
      </c>
      <c r="E426" s="43"/>
      <c r="F426" s="43">
        <f>D426+E426</f>
        <v>833.3333333333334</v>
      </c>
      <c r="G426" s="43">
        <f>12000/12</f>
        <v>1000</v>
      </c>
      <c r="H426" s="43"/>
      <c r="I426" s="43"/>
      <c r="J426" s="43">
        <f>G426+H426</f>
        <v>1000</v>
      </c>
      <c r="K426" s="65"/>
      <c r="L426" s="65"/>
      <c r="M426" s="65"/>
      <c r="N426" s="43">
        <f>15000/12</f>
        <v>1250</v>
      </c>
      <c r="O426" s="43"/>
      <c r="P426" s="43">
        <f>N426</f>
        <v>1250</v>
      </c>
    </row>
    <row r="427" spans="1:16" ht="30.75" customHeight="1">
      <c r="A427" s="11" t="s">
        <v>332</v>
      </c>
      <c r="B427" s="20"/>
      <c r="C427" s="20"/>
      <c r="D427" s="43">
        <v>150000</v>
      </c>
      <c r="E427" s="44"/>
      <c r="F427" s="44">
        <v>150000</v>
      </c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30.75" customHeight="1">
      <c r="A428" s="11" t="s">
        <v>334</v>
      </c>
      <c r="B428" s="20"/>
      <c r="C428" s="20"/>
      <c r="D428" s="44">
        <v>1000</v>
      </c>
      <c r="E428" s="44"/>
      <c r="F428" s="44">
        <v>1000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21.75" customHeight="1">
      <c r="A429" s="147" t="s">
        <v>368</v>
      </c>
      <c r="B429" s="20"/>
      <c r="C429" s="20"/>
      <c r="D429" s="44">
        <v>8500</v>
      </c>
      <c r="E429" s="44"/>
      <c r="F429" s="44">
        <v>8500</v>
      </c>
      <c r="G429" s="44">
        <v>8500</v>
      </c>
      <c r="H429" s="44"/>
      <c r="I429" s="44"/>
      <c r="J429" s="44">
        <v>8500</v>
      </c>
      <c r="K429" s="44"/>
      <c r="L429" s="44"/>
      <c r="M429" s="44"/>
      <c r="N429" s="44"/>
      <c r="O429" s="44"/>
      <c r="P429" s="44"/>
    </row>
    <row r="430" spans="1:16" ht="21.75" customHeight="1">
      <c r="A430" s="153" t="s">
        <v>376</v>
      </c>
      <c r="B430" s="20"/>
      <c r="C430" s="20"/>
      <c r="D430" s="57">
        <f>D432</f>
        <v>150000</v>
      </c>
      <c r="E430" s="57"/>
      <c r="F430" s="57">
        <f>F432</f>
        <v>150000</v>
      </c>
      <c r="G430" s="57">
        <f>G432</f>
        <v>100000</v>
      </c>
      <c r="H430" s="57"/>
      <c r="I430" s="57">
        <f>I432</f>
        <v>0</v>
      </c>
      <c r="J430" s="57">
        <f>J432</f>
        <v>100000</v>
      </c>
      <c r="K430" s="44"/>
      <c r="L430" s="44"/>
      <c r="M430" s="44"/>
      <c r="N430" s="44"/>
      <c r="O430" s="44"/>
      <c r="P430" s="44"/>
    </row>
    <row r="431" spans="1:16" ht="21.75" customHeight="1">
      <c r="A431" s="149" t="s">
        <v>372</v>
      </c>
      <c r="B431" s="20"/>
      <c r="C431" s="20"/>
      <c r="D431" s="57"/>
      <c r="E431" s="57"/>
      <c r="F431" s="57"/>
      <c r="G431" s="57"/>
      <c r="H431" s="57"/>
      <c r="I431" s="57"/>
      <c r="J431" s="57"/>
      <c r="K431" s="44"/>
      <c r="L431" s="44"/>
      <c r="M431" s="44"/>
      <c r="N431" s="44"/>
      <c r="O431" s="44"/>
      <c r="P431" s="44"/>
    </row>
    <row r="432" spans="1:16" ht="21.75" customHeight="1">
      <c r="A432" s="150" t="s">
        <v>408</v>
      </c>
      <c r="B432" s="20"/>
      <c r="C432" s="20"/>
      <c r="D432" s="57">
        <f>D434</f>
        <v>150000</v>
      </c>
      <c r="E432" s="57"/>
      <c r="F432" s="57">
        <f>F434</f>
        <v>150000</v>
      </c>
      <c r="G432" s="57">
        <f>G434</f>
        <v>100000</v>
      </c>
      <c r="H432" s="57"/>
      <c r="I432" s="57">
        <f>I434</f>
        <v>0</v>
      </c>
      <c r="J432" s="57">
        <f>J434</f>
        <v>100000</v>
      </c>
      <c r="K432" s="44"/>
      <c r="L432" s="44"/>
      <c r="M432" s="44"/>
      <c r="N432" s="44"/>
      <c r="O432" s="44"/>
      <c r="P432" s="44"/>
    </row>
    <row r="433" spans="1:16" ht="21.75" customHeight="1">
      <c r="A433" s="151" t="s">
        <v>4</v>
      </c>
      <c r="B433" s="20"/>
      <c r="C433" s="20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21.75" customHeight="1">
      <c r="A434" s="149" t="s">
        <v>373</v>
      </c>
      <c r="B434" s="20"/>
      <c r="C434" s="20"/>
      <c r="D434" s="44">
        <f>D436*D438</f>
        <v>150000</v>
      </c>
      <c r="E434" s="44"/>
      <c r="F434" s="44">
        <f>F436*F438</f>
        <v>150000</v>
      </c>
      <c r="G434" s="44">
        <f>G436*G438</f>
        <v>100000</v>
      </c>
      <c r="H434" s="44"/>
      <c r="I434" s="44">
        <f>I436*I438</f>
        <v>0</v>
      </c>
      <c r="J434" s="44">
        <f>J436*J438</f>
        <v>100000</v>
      </c>
      <c r="K434" s="44"/>
      <c r="L434" s="44"/>
      <c r="M434" s="44"/>
      <c r="N434" s="44"/>
      <c r="O434" s="44"/>
      <c r="P434" s="44"/>
    </row>
    <row r="435" spans="1:16" ht="21.75" customHeight="1">
      <c r="A435" s="151" t="s">
        <v>5</v>
      </c>
      <c r="B435" s="20"/>
      <c r="C435" s="20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21.75" customHeight="1">
      <c r="A436" s="149" t="s">
        <v>374</v>
      </c>
      <c r="B436" s="20"/>
      <c r="C436" s="20"/>
      <c r="D436" s="44">
        <v>1</v>
      </c>
      <c r="E436" s="44"/>
      <c r="F436" s="44">
        <v>1</v>
      </c>
      <c r="G436" s="44">
        <v>2</v>
      </c>
      <c r="H436" s="44"/>
      <c r="I436" s="44"/>
      <c r="J436" s="44">
        <v>2</v>
      </c>
      <c r="K436" s="44"/>
      <c r="L436" s="44"/>
      <c r="M436" s="44"/>
      <c r="N436" s="44"/>
      <c r="O436" s="44"/>
      <c r="P436" s="44"/>
    </row>
    <row r="437" spans="1:16" ht="21.75" customHeight="1">
      <c r="A437" s="151" t="s">
        <v>7</v>
      </c>
      <c r="B437" s="20"/>
      <c r="C437" s="20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21.75" customHeight="1">
      <c r="A438" s="152" t="s">
        <v>375</v>
      </c>
      <c r="B438" s="20"/>
      <c r="C438" s="20"/>
      <c r="D438" s="44">
        <v>150000</v>
      </c>
      <c r="E438" s="44"/>
      <c r="F438" s="44">
        <v>150000</v>
      </c>
      <c r="G438" s="44">
        <v>50000</v>
      </c>
      <c r="H438" s="44"/>
      <c r="I438" s="44"/>
      <c r="J438" s="44">
        <v>50000</v>
      </c>
      <c r="K438" s="44"/>
      <c r="L438" s="44"/>
      <c r="M438" s="44"/>
      <c r="N438" s="44"/>
      <c r="O438" s="44"/>
      <c r="P438" s="44"/>
    </row>
    <row r="439" spans="1:16" ht="16.5" customHeight="1">
      <c r="A439" s="37" t="s">
        <v>252</v>
      </c>
      <c r="B439" s="37"/>
      <c r="C439" s="37"/>
      <c r="D439" s="30">
        <f>D440</f>
        <v>8124700</v>
      </c>
      <c r="E439" s="30">
        <f>E440</f>
        <v>13705000</v>
      </c>
      <c r="F439" s="30">
        <f>F440</f>
        <v>21829700</v>
      </c>
      <c r="G439" s="30">
        <f>G440</f>
        <v>1600000</v>
      </c>
      <c r="H439" s="30"/>
      <c r="I439" s="30">
        <f>I440</f>
        <v>0</v>
      </c>
      <c r="J439" s="30">
        <f>G439</f>
        <v>1600000</v>
      </c>
      <c r="K439" s="30" t="e">
        <f>#REF!+K440</f>
        <v>#REF!</v>
      </c>
      <c r="L439" s="30" t="e">
        <f>#REF!+L440</f>
        <v>#REF!</v>
      </c>
      <c r="M439" s="30" t="e">
        <f>#REF!+M440</f>
        <v>#REF!</v>
      </c>
      <c r="N439" s="30">
        <f>N440</f>
        <v>1650000</v>
      </c>
      <c r="O439" s="30">
        <f>O440</f>
        <v>0</v>
      </c>
      <c r="P439" s="30">
        <f>N439</f>
        <v>1650000</v>
      </c>
    </row>
    <row r="440" spans="1:235" s="39" customFormat="1" ht="21.75" customHeight="1">
      <c r="A440" s="34" t="s">
        <v>409</v>
      </c>
      <c r="B440" s="35"/>
      <c r="C440" s="35"/>
      <c r="D440" s="36">
        <f>D442</f>
        <v>8124700</v>
      </c>
      <c r="E440" s="36">
        <f>SUM(E443)</f>
        <v>13705000</v>
      </c>
      <c r="F440" s="36">
        <f>D440+E440</f>
        <v>21829700</v>
      </c>
      <c r="G440" s="36">
        <f>G442</f>
        <v>1600000</v>
      </c>
      <c r="H440" s="36"/>
      <c r="I440" s="36">
        <f>I442</f>
        <v>0</v>
      </c>
      <c r="J440" s="36">
        <f>G440</f>
        <v>1600000</v>
      </c>
      <c r="K440" s="36"/>
      <c r="L440" s="36"/>
      <c r="M440" s="36"/>
      <c r="N440" s="36">
        <f>N442</f>
        <v>1650000</v>
      </c>
      <c r="O440" s="36">
        <f>O442</f>
        <v>0</v>
      </c>
      <c r="P440" s="36">
        <f>N440</f>
        <v>1650000</v>
      </c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  <c r="DL440" s="38"/>
      <c r="DM440" s="38"/>
      <c r="DN440" s="38"/>
      <c r="DO440" s="38"/>
      <c r="DP440" s="38"/>
      <c r="DQ440" s="38"/>
      <c r="DR440" s="38"/>
      <c r="DS440" s="38"/>
      <c r="DT440" s="38"/>
      <c r="DU440" s="38"/>
      <c r="DV440" s="38"/>
      <c r="DW440" s="38"/>
      <c r="DX440" s="38"/>
      <c r="DY440" s="38"/>
      <c r="DZ440" s="38"/>
      <c r="EA440" s="38"/>
      <c r="EB440" s="38"/>
      <c r="EC440" s="38"/>
      <c r="ED440" s="38"/>
      <c r="EE440" s="38"/>
      <c r="EF440" s="38"/>
      <c r="EG440" s="38"/>
      <c r="EH440" s="38"/>
      <c r="EI440" s="38"/>
      <c r="EJ440" s="38"/>
      <c r="EK440" s="38"/>
      <c r="EL440" s="38"/>
      <c r="EM440" s="38"/>
      <c r="EN440" s="38"/>
      <c r="EO440" s="38"/>
      <c r="EP440" s="38"/>
      <c r="EQ440" s="38"/>
      <c r="ER440" s="38"/>
      <c r="ES440" s="38"/>
      <c r="ET440" s="38"/>
      <c r="EU440" s="38"/>
      <c r="EV440" s="38"/>
      <c r="EW440" s="38"/>
      <c r="EX440" s="38"/>
      <c r="EY440" s="38"/>
      <c r="EZ440" s="38"/>
      <c r="FA440" s="38"/>
      <c r="FB440" s="38"/>
      <c r="FC440" s="38"/>
      <c r="FD440" s="38"/>
      <c r="FE440" s="38"/>
      <c r="FF440" s="38"/>
      <c r="FG440" s="38"/>
      <c r="FH440" s="38"/>
      <c r="FI440" s="38"/>
      <c r="FJ440" s="38"/>
      <c r="FK440" s="38"/>
      <c r="FL440" s="38"/>
      <c r="FM440" s="38"/>
      <c r="FN440" s="38"/>
      <c r="FO440" s="38"/>
      <c r="FP440" s="38"/>
      <c r="FQ440" s="38"/>
      <c r="FR440" s="38"/>
      <c r="FS440" s="38"/>
      <c r="FT440" s="38"/>
      <c r="FU440" s="38"/>
      <c r="FV440" s="38"/>
      <c r="FW440" s="38"/>
      <c r="FX440" s="38"/>
      <c r="FY440" s="38"/>
      <c r="FZ440" s="38"/>
      <c r="GA440" s="38"/>
      <c r="GB440" s="38"/>
      <c r="GC440" s="38"/>
      <c r="GD440" s="38"/>
      <c r="GE440" s="38"/>
      <c r="GF440" s="38"/>
      <c r="GG440" s="38"/>
      <c r="GH440" s="38"/>
      <c r="GI440" s="38"/>
      <c r="GJ440" s="38"/>
      <c r="GK440" s="38"/>
      <c r="GL440" s="38"/>
      <c r="GM440" s="38"/>
      <c r="GN440" s="38"/>
      <c r="GO440" s="38"/>
      <c r="GP440" s="38"/>
      <c r="GQ440" s="38"/>
      <c r="GR440" s="38"/>
      <c r="GS440" s="38"/>
      <c r="GT440" s="38"/>
      <c r="GU440" s="38"/>
      <c r="GV440" s="38"/>
      <c r="GW440" s="38"/>
      <c r="GX440" s="38"/>
      <c r="GY440" s="38"/>
      <c r="GZ440" s="38"/>
      <c r="HA440" s="38"/>
      <c r="HB440" s="38"/>
      <c r="HC440" s="38"/>
      <c r="HD440" s="38"/>
      <c r="HE440" s="38"/>
      <c r="HF440" s="38"/>
      <c r="HG440" s="38"/>
      <c r="HH440" s="38"/>
      <c r="HI440" s="38"/>
      <c r="HJ440" s="38"/>
      <c r="HK440" s="38"/>
      <c r="HL440" s="38"/>
      <c r="HM440" s="38"/>
      <c r="HN440" s="38"/>
      <c r="HO440" s="38"/>
      <c r="HP440" s="38"/>
      <c r="HQ440" s="38"/>
      <c r="HR440" s="38"/>
      <c r="HS440" s="38"/>
      <c r="HT440" s="38"/>
      <c r="HU440" s="38"/>
      <c r="HV440" s="38"/>
      <c r="HW440" s="38"/>
      <c r="HX440" s="38"/>
      <c r="HY440" s="38"/>
      <c r="HZ440" s="38"/>
      <c r="IA440" s="38"/>
    </row>
    <row r="441" spans="1:16" ht="11.25">
      <c r="A441" s="5" t="s">
        <v>4</v>
      </c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35.25" customHeight="1">
      <c r="A442" s="8" t="s">
        <v>253</v>
      </c>
      <c r="B442" s="6"/>
      <c r="C442" s="6"/>
      <c r="D442" s="7">
        <v>8124700</v>
      </c>
      <c r="E442" s="7"/>
      <c r="F442" s="7">
        <f>D442</f>
        <v>8124700</v>
      </c>
      <c r="G442" s="7">
        <f>G445*G447</f>
        <v>1600000</v>
      </c>
      <c r="H442" s="7"/>
      <c r="I442" s="7"/>
      <c r="J442" s="7">
        <f>G442+H442</f>
        <v>1600000</v>
      </c>
      <c r="K442" s="7"/>
      <c r="L442" s="7"/>
      <c r="M442" s="7"/>
      <c r="N442" s="7">
        <f>N445*N447</f>
        <v>1650000</v>
      </c>
      <c r="O442" s="7"/>
      <c r="P442" s="7">
        <f>N442</f>
        <v>1650000</v>
      </c>
    </row>
    <row r="443" spans="1:16" ht="164.25" customHeight="1">
      <c r="A443" s="8" t="s">
        <v>335</v>
      </c>
      <c r="B443" s="6"/>
      <c r="C443" s="6"/>
      <c r="D443" s="7"/>
      <c r="E443" s="7">
        <v>13705000</v>
      </c>
      <c r="F443" s="7">
        <f>D443+E443</f>
        <v>13705000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1.25">
      <c r="A444" s="5" t="s">
        <v>5</v>
      </c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39.75" customHeight="1">
      <c r="A445" s="8" t="s">
        <v>254</v>
      </c>
      <c r="B445" s="6"/>
      <c r="C445" s="6"/>
      <c r="D445" s="7">
        <v>2</v>
      </c>
      <c r="E445" s="7"/>
      <c r="F445" s="7">
        <f>D445</f>
        <v>2</v>
      </c>
      <c r="G445" s="7">
        <v>1</v>
      </c>
      <c r="H445" s="7"/>
      <c r="I445" s="7"/>
      <c r="J445" s="7">
        <f>G445+H445</f>
        <v>1</v>
      </c>
      <c r="K445" s="7"/>
      <c r="L445" s="7"/>
      <c r="M445" s="7"/>
      <c r="N445" s="7">
        <v>1</v>
      </c>
      <c r="O445" s="7"/>
      <c r="P445" s="7">
        <f>N445</f>
        <v>1</v>
      </c>
    </row>
    <row r="446" spans="1:16" ht="11.25">
      <c r="A446" s="5" t="s">
        <v>7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40.5" customHeight="1">
      <c r="A447" s="8" t="s">
        <v>255</v>
      </c>
      <c r="B447" s="6"/>
      <c r="C447" s="6"/>
      <c r="D447" s="7">
        <v>3812350</v>
      </c>
      <c r="E447" s="7"/>
      <c r="F447" s="7">
        <f>F442/F445</f>
        <v>4062350</v>
      </c>
      <c r="G447" s="7">
        <v>1600000</v>
      </c>
      <c r="H447" s="7"/>
      <c r="I447" s="7"/>
      <c r="J447" s="7">
        <f>G447+H447</f>
        <v>1600000</v>
      </c>
      <c r="K447" s="7"/>
      <c r="L447" s="7"/>
      <c r="M447" s="7"/>
      <c r="N447" s="7">
        <v>1650000</v>
      </c>
      <c r="O447" s="7"/>
      <c r="P447" s="7">
        <f>P442/P445</f>
        <v>1650000</v>
      </c>
    </row>
    <row r="448" spans="1:17" ht="15" customHeight="1">
      <c r="A448" s="37" t="s">
        <v>258</v>
      </c>
      <c r="B448" s="6"/>
      <c r="C448" s="6"/>
      <c r="D448" s="36">
        <f>D450+D461+D468+D477+D484+D495+D502+D509+D516</f>
        <v>20075399.999999568</v>
      </c>
      <c r="E448" s="36">
        <f>E450+E461+E468+E477+E484+E495+E502+E509+E516</f>
        <v>1370000</v>
      </c>
      <c r="F448" s="36">
        <f>F450+F461+F468+F477+F484+F495+F502+F509+F516</f>
        <v>21445399.999999568</v>
      </c>
      <c r="G448" s="36">
        <f>G450+G461+G468+G477+G484+G495+G523</f>
        <v>9780000.4</v>
      </c>
      <c r="H448" s="36">
        <f aca="true" t="shared" si="58" ref="H448:Q448">H450+H461+H468+H477+H484+H495</f>
        <v>1300000</v>
      </c>
      <c r="I448" s="36">
        <f t="shared" si="58"/>
        <v>0</v>
      </c>
      <c r="J448" s="36">
        <f>J450+J461+J468+J477+J484+J495+J523</f>
        <v>11080000.4</v>
      </c>
      <c r="K448" s="36">
        <f t="shared" si="58"/>
        <v>0</v>
      </c>
      <c r="L448" s="36">
        <f t="shared" si="58"/>
        <v>0</v>
      </c>
      <c r="M448" s="36">
        <f t="shared" si="58"/>
        <v>0</v>
      </c>
      <c r="N448" s="36">
        <f t="shared" si="58"/>
        <v>7650000.00205</v>
      </c>
      <c r="O448" s="36">
        <f t="shared" si="58"/>
        <v>2000000</v>
      </c>
      <c r="P448" s="36">
        <f t="shared" si="58"/>
        <v>9650000.002050001</v>
      </c>
      <c r="Q448" s="36">
        <f t="shared" si="58"/>
        <v>0</v>
      </c>
    </row>
    <row r="449" spans="1:16" ht="23.25" customHeight="1">
      <c r="A449" s="8" t="s">
        <v>133</v>
      </c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235" s="39" customFormat="1" ht="55.5" customHeight="1">
      <c r="A450" s="34" t="s">
        <v>410</v>
      </c>
      <c r="B450" s="35"/>
      <c r="C450" s="35"/>
      <c r="D450" s="36">
        <f>SUM(D451)+D458</f>
        <v>17830000</v>
      </c>
      <c r="E450" s="36"/>
      <c r="F450" s="36">
        <f>SUM(F451)+F458</f>
        <v>17830000</v>
      </c>
      <c r="G450" s="36">
        <f>SUM(G451)+G458</f>
        <v>6500000</v>
      </c>
      <c r="H450" s="36"/>
      <c r="I450" s="36">
        <f aca="true" t="shared" si="59" ref="I450:N450">SUM(I451)+I458</f>
        <v>0</v>
      </c>
      <c r="J450" s="36">
        <f t="shared" si="59"/>
        <v>6500000</v>
      </c>
      <c r="K450" s="36">
        <f t="shared" si="59"/>
        <v>0</v>
      </c>
      <c r="L450" s="36">
        <f t="shared" si="59"/>
        <v>0</v>
      </c>
      <c r="M450" s="36">
        <f t="shared" si="59"/>
        <v>0</v>
      </c>
      <c r="N450" s="36">
        <f t="shared" si="59"/>
        <v>7000000</v>
      </c>
      <c r="O450" s="36"/>
      <c r="P450" s="36">
        <f>SUM(P451)+P458</f>
        <v>7000000</v>
      </c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</row>
    <row r="451" spans="1:235" s="39" customFormat="1" ht="39.75" customHeight="1">
      <c r="A451" s="34" t="s">
        <v>411</v>
      </c>
      <c r="B451" s="35"/>
      <c r="C451" s="35"/>
      <c r="D451" s="36">
        <f>SUM(D453)</f>
        <v>5830000</v>
      </c>
      <c r="E451" s="36"/>
      <c r="F451" s="36">
        <f>SUM(D451)</f>
        <v>5830000</v>
      </c>
      <c r="G451" s="36">
        <f>SUM(G453)</f>
        <v>6500000</v>
      </c>
      <c r="H451" s="36"/>
      <c r="I451" s="36"/>
      <c r="J451" s="36">
        <f>SUM(J453)</f>
        <v>6500000</v>
      </c>
      <c r="K451" s="36"/>
      <c r="L451" s="36"/>
      <c r="M451" s="36"/>
      <c r="N451" s="36">
        <f>SUM(N453)</f>
        <v>7000000</v>
      </c>
      <c r="O451" s="36"/>
      <c r="P451" s="36">
        <f>P453</f>
        <v>7000000</v>
      </c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ET451" s="38"/>
      <c r="EU451" s="38"/>
      <c r="EV451" s="38"/>
      <c r="EW451" s="38"/>
      <c r="EX451" s="38"/>
      <c r="EY451" s="38"/>
      <c r="EZ451" s="38"/>
      <c r="FA451" s="38"/>
      <c r="FB451" s="38"/>
      <c r="FC451" s="38"/>
      <c r="FD451" s="38"/>
      <c r="FE451" s="38"/>
      <c r="FF451" s="38"/>
      <c r="FG451" s="38"/>
      <c r="FH451" s="38"/>
      <c r="FI451" s="38"/>
      <c r="FJ451" s="38"/>
      <c r="FK451" s="38"/>
      <c r="FL451" s="38"/>
      <c r="FM451" s="38"/>
      <c r="FN451" s="38"/>
      <c r="FO451" s="38"/>
      <c r="FP451" s="38"/>
      <c r="FQ451" s="38"/>
      <c r="FR451" s="38"/>
      <c r="FS451" s="38"/>
      <c r="FT451" s="38"/>
      <c r="FU451" s="38"/>
      <c r="FV451" s="38"/>
      <c r="FW451" s="38"/>
      <c r="FX451" s="38"/>
      <c r="FY451" s="38"/>
      <c r="FZ451" s="38"/>
      <c r="GA451" s="38"/>
      <c r="GB451" s="38"/>
      <c r="GC451" s="38"/>
      <c r="GD451" s="38"/>
      <c r="GE451" s="38"/>
      <c r="GF451" s="38"/>
      <c r="GG451" s="38"/>
      <c r="GH451" s="38"/>
      <c r="GI451" s="38"/>
      <c r="GJ451" s="38"/>
      <c r="GK451" s="38"/>
      <c r="GL451" s="38"/>
      <c r="GM451" s="38"/>
      <c r="GN451" s="38"/>
      <c r="GO451" s="38"/>
      <c r="GP451" s="38"/>
      <c r="GQ451" s="38"/>
      <c r="GR451" s="38"/>
      <c r="GS451" s="38"/>
      <c r="GT451" s="38"/>
      <c r="GU451" s="38"/>
      <c r="GV451" s="38"/>
      <c r="GW451" s="38"/>
      <c r="GX451" s="38"/>
      <c r="GY451" s="38"/>
      <c r="GZ451" s="38"/>
      <c r="HA451" s="38"/>
      <c r="HB451" s="38"/>
      <c r="HC451" s="38"/>
      <c r="HD451" s="38"/>
      <c r="HE451" s="38"/>
      <c r="HF451" s="38"/>
      <c r="HG451" s="38"/>
      <c r="HH451" s="38"/>
      <c r="HI451" s="38"/>
      <c r="HJ451" s="38"/>
      <c r="HK451" s="38"/>
      <c r="HL451" s="38"/>
      <c r="HM451" s="38"/>
      <c r="HN451" s="38"/>
      <c r="HO451" s="38"/>
      <c r="HP451" s="38"/>
      <c r="HQ451" s="38"/>
      <c r="HR451" s="38"/>
      <c r="HS451" s="38"/>
      <c r="HT451" s="38"/>
      <c r="HU451" s="38"/>
      <c r="HV451" s="38"/>
      <c r="HW451" s="38"/>
      <c r="HX451" s="38"/>
      <c r="HY451" s="38"/>
      <c r="HZ451" s="38"/>
      <c r="IA451" s="38"/>
    </row>
    <row r="452" spans="1:16" ht="12" customHeight="1">
      <c r="A452" s="5" t="s">
        <v>4</v>
      </c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3.5" customHeight="1">
      <c r="A453" s="8" t="s">
        <v>43</v>
      </c>
      <c r="B453" s="6"/>
      <c r="C453" s="6"/>
      <c r="D453" s="7">
        <f>6000000-180000-320000+180000+60000+90000</f>
        <v>5830000</v>
      </c>
      <c r="E453" s="7"/>
      <c r="F453" s="7">
        <f>D453</f>
        <v>5830000</v>
      </c>
      <c r="G453" s="7">
        <v>6500000</v>
      </c>
      <c r="H453" s="7"/>
      <c r="I453" s="7"/>
      <c r="J453" s="7">
        <f>SUM(G453)</f>
        <v>6500000</v>
      </c>
      <c r="K453" s="7"/>
      <c r="L453" s="7"/>
      <c r="M453" s="7"/>
      <c r="N453" s="7">
        <v>7000000</v>
      </c>
      <c r="O453" s="7"/>
      <c r="P453" s="7">
        <f>N453</f>
        <v>7000000</v>
      </c>
    </row>
    <row r="454" spans="1:16" ht="12" customHeight="1">
      <c r="A454" s="5" t="s">
        <v>5</v>
      </c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51" customHeight="1">
      <c r="A455" s="8" t="s">
        <v>256</v>
      </c>
      <c r="B455" s="6"/>
      <c r="C455" s="6"/>
      <c r="D455" s="7">
        <v>12</v>
      </c>
      <c r="E455" s="7"/>
      <c r="F455" s="7">
        <v>12</v>
      </c>
      <c r="G455" s="7">
        <v>12</v>
      </c>
      <c r="H455" s="7"/>
      <c r="I455" s="7"/>
      <c r="J455" s="7">
        <v>12</v>
      </c>
      <c r="K455" s="7"/>
      <c r="L455" s="7"/>
      <c r="M455" s="7"/>
      <c r="N455" s="7">
        <v>12</v>
      </c>
      <c r="O455" s="7"/>
      <c r="P455" s="7">
        <v>12</v>
      </c>
    </row>
    <row r="456" spans="1:16" ht="11.25">
      <c r="A456" s="5" t="s">
        <v>7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6" customHeight="1">
      <c r="A457" s="8" t="s">
        <v>257</v>
      </c>
      <c r="B457" s="6"/>
      <c r="C457" s="6"/>
      <c r="D457" s="7">
        <f>SUM(D453)/D455</f>
        <v>485833.3333333333</v>
      </c>
      <c r="E457" s="7"/>
      <c r="F457" s="7">
        <f>D457</f>
        <v>485833.3333333333</v>
      </c>
      <c r="G457" s="7">
        <f>SUM(G453)/G455</f>
        <v>541666.6666666666</v>
      </c>
      <c r="H457" s="7"/>
      <c r="I457" s="7"/>
      <c r="J457" s="7">
        <f>SUM(J453)/J455</f>
        <v>541666.6666666666</v>
      </c>
      <c r="K457" s="7"/>
      <c r="L457" s="7"/>
      <c r="M457" s="7"/>
      <c r="N457" s="7">
        <f>SUM(N453)/N455</f>
        <v>583333.3333333334</v>
      </c>
      <c r="O457" s="7"/>
      <c r="P457" s="7">
        <f>SUM(P453)/P455</f>
        <v>583333.3333333334</v>
      </c>
    </row>
    <row r="458" spans="1:16" ht="36" customHeight="1">
      <c r="A458" s="34" t="s">
        <v>412</v>
      </c>
      <c r="B458" s="6"/>
      <c r="C458" s="6"/>
      <c r="D458" s="7">
        <f>D460</f>
        <v>12000000</v>
      </c>
      <c r="E458" s="7"/>
      <c r="F458" s="7">
        <f>F460</f>
        <v>12000000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6.5" customHeight="1">
      <c r="A459" s="5" t="s">
        <v>4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 customHeight="1">
      <c r="A460" s="5" t="s">
        <v>43</v>
      </c>
      <c r="B460" s="6"/>
      <c r="C460" s="6"/>
      <c r="D460" s="7">
        <f>3000000+2000000+3000000+1000000+3000000</f>
        <v>12000000</v>
      </c>
      <c r="E460" s="7"/>
      <c r="F460" s="7">
        <f>3000000+2000000+3000000+1000000+3000000</f>
        <v>12000000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235" s="39" customFormat="1" ht="25.5" customHeight="1">
      <c r="A461" s="34" t="s">
        <v>413</v>
      </c>
      <c r="B461" s="35"/>
      <c r="C461" s="35"/>
      <c r="D461" s="36">
        <f>D463</f>
        <v>70000</v>
      </c>
      <c r="E461" s="36"/>
      <c r="F461" s="36">
        <f>D461+E461</f>
        <v>70000</v>
      </c>
      <c r="G461" s="36">
        <f>G465*G467</f>
        <v>0</v>
      </c>
      <c r="H461" s="36"/>
      <c r="I461" s="36"/>
      <c r="J461" s="36">
        <f>G461</f>
        <v>0</v>
      </c>
      <c r="K461" s="36"/>
      <c r="L461" s="36"/>
      <c r="M461" s="36"/>
      <c r="N461" s="36">
        <f>N467*N465</f>
        <v>0</v>
      </c>
      <c r="O461" s="36"/>
      <c r="P461" s="36">
        <f>N461</f>
        <v>0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38"/>
      <c r="FJ461" s="38"/>
      <c r="FK461" s="38"/>
      <c r="FL461" s="38"/>
      <c r="FM461" s="38"/>
      <c r="FN461" s="38"/>
      <c r="FO461" s="38"/>
      <c r="FP461" s="38"/>
      <c r="FQ461" s="38"/>
      <c r="FR461" s="38"/>
      <c r="FS461" s="38"/>
      <c r="FT461" s="38"/>
      <c r="FU461" s="38"/>
      <c r="FV461" s="38"/>
      <c r="FW461" s="38"/>
      <c r="FX461" s="38"/>
      <c r="FY461" s="38"/>
      <c r="FZ461" s="38"/>
      <c r="GA461" s="38"/>
      <c r="GB461" s="38"/>
      <c r="GC461" s="38"/>
      <c r="GD461" s="38"/>
      <c r="GE461" s="38"/>
      <c r="GF461" s="38"/>
      <c r="GG461" s="38"/>
      <c r="GH461" s="38"/>
      <c r="GI461" s="38"/>
      <c r="GJ461" s="38"/>
      <c r="GK461" s="38"/>
      <c r="GL461" s="38"/>
      <c r="GM461" s="38"/>
      <c r="GN461" s="38"/>
      <c r="GO461" s="38"/>
      <c r="GP461" s="38"/>
      <c r="GQ461" s="38"/>
      <c r="GR461" s="38"/>
      <c r="GS461" s="38"/>
      <c r="GT461" s="38"/>
      <c r="GU461" s="38"/>
      <c r="GV461" s="38"/>
      <c r="GW461" s="38"/>
      <c r="GX461" s="38"/>
      <c r="GY461" s="38"/>
      <c r="GZ461" s="38"/>
      <c r="HA461" s="38"/>
      <c r="HB461" s="38"/>
      <c r="HC461" s="38"/>
      <c r="HD461" s="38"/>
      <c r="HE461" s="38"/>
      <c r="HF461" s="38"/>
      <c r="HG461" s="38"/>
      <c r="HH461" s="38"/>
      <c r="HI461" s="38"/>
      <c r="HJ461" s="38"/>
      <c r="HK461" s="38"/>
      <c r="HL461" s="38"/>
      <c r="HM461" s="38"/>
      <c r="HN461" s="38"/>
      <c r="HO461" s="38"/>
      <c r="HP461" s="38"/>
      <c r="HQ461" s="38"/>
      <c r="HR461" s="38"/>
      <c r="HS461" s="38"/>
      <c r="HT461" s="38"/>
      <c r="HU461" s="38"/>
      <c r="HV461" s="38"/>
      <c r="HW461" s="38"/>
      <c r="HX461" s="38"/>
      <c r="HY461" s="38"/>
      <c r="HZ461" s="38"/>
      <c r="IA461" s="38"/>
    </row>
    <row r="462" spans="1:16" ht="11.25">
      <c r="A462" s="5" t="s">
        <v>4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4.25" customHeight="1">
      <c r="A463" s="8" t="s">
        <v>43</v>
      </c>
      <c r="B463" s="6"/>
      <c r="C463" s="6"/>
      <c r="D463" s="7">
        <f>D465*D467</f>
        <v>70000</v>
      </c>
      <c r="E463" s="7"/>
      <c r="F463" s="7">
        <f>D463+E463</f>
        <v>70000</v>
      </c>
      <c r="G463" s="7"/>
      <c r="H463" s="7"/>
      <c r="I463" s="7"/>
      <c r="J463" s="7">
        <f>G463</f>
        <v>0</v>
      </c>
      <c r="K463" s="7"/>
      <c r="L463" s="7"/>
      <c r="M463" s="7"/>
      <c r="N463" s="7"/>
      <c r="O463" s="7"/>
      <c r="P463" s="7">
        <f>N463</f>
        <v>0</v>
      </c>
    </row>
    <row r="464" spans="1:16" ht="11.25">
      <c r="A464" s="5" t="s">
        <v>5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23.25" customHeight="1">
      <c r="A465" s="8" t="s">
        <v>134</v>
      </c>
      <c r="B465" s="6"/>
      <c r="C465" s="6"/>
      <c r="D465" s="7">
        <v>2</v>
      </c>
      <c r="E465" s="7"/>
      <c r="F465" s="7">
        <f>D465+E465</f>
        <v>2</v>
      </c>
      <c r="G465" s="7"/>
      <c r="H465" s="7"/>
      <c r="I465" s="7"/>
      <c r="J465" s="7">
        <v>0</v>
      </c>
      <c r="K465" s="7"/>
      <c r="L465" s="7"/>
      <c r="M465" s="7"/>
      <c r="N465" s="7"/>
      <c r="O465" s="7"/>
      <c r="P465" s="7">
        <v>0</v>
      </c>
    </row>
    <row r="466" spans="1:16" ht="11.25">
      <c r="A466" s="5" t="s">
        <v>7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4.75" customHeight="1">
      <c r="A467" s="8" t="s">
        <v>135</v>
      </c>
      <c r="B467" s="6"/>
      <c r="C467" s="6"/>
      <c r="D467" s="7">
        <v>35000</v>
      </c>
      <c r="E467" s="7"/>
      <c r="F467" s="7">
        <f>D467+E467</f>
        <v>35000</v>
      </c>
      <c r="G467" s="7"/>
      <c r="H467" s="7"/>
      <c r="I467" s="7"/>
      <c r="J467" s="7">
        <f>G467</f>
        <v>0</v>
      </c>
      <c r="K467" s="7"/>
      <c r="L467" s="7"/>
      <c r="M467" s="7"/>
      <c r="N467" s="7"/>
      <c r="O467" s="7"/>
      <c r="P467" s="7">
        <v>0</v>
      </c>
    </row>
    <row r="468" spans="1:235" s="39" customFormat="1" ht="15" customHeight="1">
      <c r="A468" s="34" t="s">
        <v>414</v>
      </c>
      <c r="B468" s="35"/>
      <c r="C468" s="35"/>
      <c r="D468" s="36">
        <f>D470</f>
        <v>150399.999999935</v>
      </c>
      <c r="E468" s="36"/>
      <c r="F468" s="36">
        <f>D468</f>
        <v>150399.999999935</v>
      </c>
      <c r="G468" s="36">
        <f>G470</f>
        <v>200000.4</v>
      </c>
      <c r="H468" s="36"/>
      <c r="I468" s="36"/>
      <c r="J468" s="30">
        <f aca="true" t="shared" si="60" ref="J468:J476">G468</f>
        <v>200000.4</v>
      </c>
      <c r="K468" s="36"/>
      <c r="L468" s="36"/>
      <c r="M468" s="36"/>
      <c r="N468" s="36"/>
      <c r="O468" s="36"/>
      <c r="P468" s="36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>
        <f t="shared" si="60"/>
        <v>0</v>
      </c>
      <c r="K469" s="7"/>
      <c r="L469" s="7"/>
      <c r="M469" s="7"/>
      <c r="N469" s="7"/>
      <c r="O469" s="7"/>
      <c r="P469" s="7"/>
    </row>
    <row r="470" spans="1:16" ht="12" customHeight="1">
      <c r="A470" s="8" t="s">
        <v>43</v>
      </c>
      <c r="B470" s="6"/>
      <c r="C470" s="6"/>
      <c r="D470" s="7">
        <f>(D472*D475)+(D473*D476)</f>
        <v>150399.999999935</v>
      </c>
      <c r="E470" s="7"/>
      <c r="F470" s="7">
        <f>D470</f>
        <v>150399.999999935</v>
      </c>
      <c r="G470" s="7">
        <f>(G472*G475)+(G473*G476)</f>
        <v>200000.4</v>
      </c>
      <c r="H470" s="7"/>
      <c r="I470" s="7"/>
      <c r="J470" s="7">
        <f t="shared" si="60"/>
        <v>200000.4</v>
      </c>
      <c r="K470" s="7"/>
      <c r="L470" s="7"/>
      <c r="M470" s="7"/>
      <c r="N470" s="7"/>
      <c r="O470" s="7"/>
      <c r="P470" s="7"/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>
        <f t="shared" si="60"/>
        <v>0</v>
      </c>
      <c r="K471" s="7"/>
      <c r="L471" s="7"/>
      <c r="M471" s="7"/>
      <c r="N471" s="7"/>
      <c r="O471" s="7"/>
      <c r="P471" s="7"/>
    </row>
    <row r="472" spans="1:16" ht="24.75" customHeight="1">
      <c r="A472" s="8" t="s">
        <v>156</v>
      </c>
      <c r="B472" s="6"/>
      <c r="C472" s="6"/>
      <c r="D472" s="7">
        <v>57</v>
      </c>
      <c r="E472" s="7"/>
      <c r="F472" s="7">
        <v>57</v>
      </c>
      <c r="G472" s="7">
        <v>57</v>
      </c>
      <c r="H472" s="7"/>
      <c r="I472" s="7"/>
      <c r="J472" s="7">
        <f t="shared" si="60"/>
        <v>57</v>
      </c>
      <c r="K472" s="7"/>
      <c r="L472" s="7"/>
      <c r="M472" s="7"/>
      <c r="N472" s="7"/>
      <c r="O472" s="7"/>
      <c r="P472" s="7"/>
    </row>
    <row r="473" spans="1:16" ht="15.75" customHeight="1">
      <c r="A473" s="8" t="s">
        <v>154</v>
      </c>
      <c r="B473" s="6"/>
      <c r="C473" s="6"/>
      <c r="D473" s="7">
        <v>145</v>
      </c>
      <c r="E473" s="7"/>
      <c r="F473" s="7">
        <f>D473</f>
        <v>145</v>
      </c>
      <c r="G473" s="7">
        <v>145</v>
      </c>
      <c r="H473" s="7"/>
      <c r="I473" s="7"/>
      <c r="J473" s="7">
        <f t="shared" si="60"/>
        <v>145</v>
      </c>
      <c r="K473" s="7"/>
      <c r="L473" s="7"/>
      <c r="M473" s="7"/>
      <c r="N473" s="7"/>
      <c r="O473" s="7"/>
      <c r="P473" s="7"/>
    </row>
    <row r="474" spans="1:16" ht="12.75" customHeight="1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>
        <f t="shared" si="60"/>
        <v>0</v>
      </c>
      <c r="K474" s="7"/>
      <c r="L474" s="7"/>
      <c r="M474" s="7"/>
      <c r="N474" s="7"/>
      <c r="O474" s="7"/>
      <c r="P474" s="7"/>
    </row>
    <row r="475" spans="1:16" ht="24.75" customHeight="1">
      <c r="A475" s="8" t="s">
        <v>155</v>
      </c>
      <c r="B475" s="6"/>
      <c r="C475" s="6"/>
      <c r="D475" s="7">
        <v>1950.89</v>
      </c>
      <c r="E475" s="7"/>
      <c r="F475" s="7">
        <f>D475</f>
        <v>1950.89</v>
      </c>
      <c r="G475" s="7">
        <v>2596.5</v>
      </c>
      <c r="H475" s="7"/>
      <c r="I475" s="7"/>
      <c r="J475" s="7">
        <f t="shared" si="60"/>
        <v>2596.5</v>
      </c>
      <c r="K475" s="7"/>
      <c r="L475" s="7"/>
      <c r="M475" s="7"/>
      <c r="N475" s="7"/>
      <c r="O475" s="7"/>
      <c r="P475" s="7"/>
    </row>
    <row r="476" spans="1:16" ht="24.75" customHeight="1">
      <c r="A476" s="8" t="s">
        <v>157</v>
      </c>
      <c r="B476" s="6"/>
      <c r="C476" s="6"/>
      <c r="D476" s="7">
        <v>270.339793103</v>
      </c>
      <c r="E476" s="7"/>
      <c r="F476" s="7">
        <f>D476</f>
        <v>270.339793103</v>
      </c>
      <c r="G476" s="7">
        <v>358.62</v>
      </c>
      <c r="H476" s="7"/>
      <c r="I476" s="7"/>
      <c r="J476" s="7">
        <f t="shared" si="60"/>
        <v>358.62</v>
      </c>
      <c r="K476" s="7"/>
      <c r="L476" s="7"/>
      <c r="M476" s="7"/>
      <c r="N476" s="7"/>
      <c r="O476" s="7"/>
      <c r="P476" s="7"/>
    </row>
    <row r="477" spans="1:235" s="39" customFormat="1" ht="25.5" customHeight="1">
      <c r="A477" s="34" t="s">
        <v>415</v>
      </c>
      <c r="B477" s="35"/>
      <c r="C477" s="35"/>
      <c r="D477" s="36">
        <f>D479</f>
        <v>399999.99999963003</v>
      </c>
      <c r="E477" s="36"/>
      <c r="F477" s="36">
        <f>D477</f>
        <v>399999.99999963003</v>
      </c>
      <c r="G477" s="36">
        <f>G479</f>
        <v>450000</v>
      </c>
      <c r="H477" s="36"/>
      <c r="I477" s="36"/>
      <c r="J477" s="36">
        <f>G477+H477</f>
        <v>450000</v>
      </c>
      <c r="K477" s="36"/>
      <c r="L477" s="36"/>
      <c r="M477" s="36"/>
      <c r="N477" s="36">
        <f>N479</f>
        <v>500000.00204999995</v>
      </c>
      <c r="O477" s="36"/>
      <c r="P477" s="36">
        <f>N477</f>
        <v>500000.00204999995</v>
      </c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ET477" s="38"/>
      <c r="EU477" s="38"/>
      <c r="EV477" s="38"/>
      <c r="EW477" s="38"/>
      <c r="EX477" s="38"/>
      <c r="EY477" s="38"/>
      <c r="EZ477" s="38"/>
      <c r="FA477" s="38"/>
      <c r="FB477" s="38"/>
      <c r="FC477" s="38"/>
      <c r="FD477" s="38"/>
      <c r="FE477" s="38"/>
      <c r="FF477" s="38"/>
      <c r="FG477" s="38"/>
      <c r="FH477" s="38"/>
      <c r="FI477" s="38"/>
      <c r="FJ477" s="38"/>
      <c r="FK477" s="38"/>
      <c r="FL477" s="38"/>
      <c r="FM477" s="38"/>
      <c r="FN477" s="38"/>
      <c r="FO477" s="38"/>
      <c r="FP477" s="38"/>
      <c r="FQ477" s="38"/>
      <c r="FR477" s="38"/>
      <c r="FS477" s="38"/>
      <c r="FT477" s="38"/>
      <c r="FU477" s="38"/>
      <c r="FV477" s="38"/>
      <c r="FW477" s="38"/>
      <c r="FX477" s="38"/>
      <c r="FY477" s="38"/>
      <c r="FZ477" s="38"/>
      <c r="GA477" s="38"/>
      <c r="GB477" s="38"/>
      <c r="GC477" s="38"/>
      <c r="GD477" s="38"/>
      <c r="GE477" s="38"/>
      <c r="GF477" s="38"/>
      <c r="GG477" s="38"/>
      <c r="GH477" s="38"/>
      <c r="GI477" s="38"/>
      <c r="GJ477" s="38"/>
      <c r="GK477" s="38"/>
      <c r="GL477" s="38"/>
      <c r="GM477" s="38"/>
      <c r="GN477" s="38"/>
      <c r="GO477" s="38"/>
      <c r="GP477" s="38"/>
      <c r="GQ477" s="38"/>
      <c r="GR477" s="38"/>
      <c r="GS477" s="38"/>
      <c r="GT477" s="38"/>
      <c r="GU477" s="38"/>
      <c r="GV477" s="38"/>
      <c r="GW477" s="38"/>
      <c r="GX477" s="38"/>
      <c r="GY477" s="38"/>
      <c r="GZ477" s="38"/>
      <c r="HA477" s="38"/>
      <c r="HB477" s="38"/>
      <c r="HC477" s="38"/>
      <c r="HD477" s="38"/>
      <c r="HE477" s="38"/>
      <c r="HF477" s="38"/>
      <c r="HG477" s="38"/>
      <c r="HH477" s="38"/>
      <c r="HI477" s="38"/>
      <c r="HJ477" s="38"/>
      <c r="HK477" s="38"/>
      <c r="HL477" s="38"/>
      <c r="HM477" s="38"/>
      <c r="HN477" s="38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</row>
    <row r="478" spans="1:16" ht="11.25" customHeight="1">
      <c r="A478" s="5" t="s">
        <v>4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36"/>
    </row>
    <row r="479" spans="1:16" ht="14.25" customHeight="1">
      <c r="A479" s="8" t="s">
        <v>43</v>
      </c>
      <c r="B479" s="6"/>
      <c r="C479" s="6"/>
      <c r="D479" s="7">
        <f>D481*D483</f>
        <v>399999.99999963003</v>
      </c>
      <c r="E479" s="7"/>
      <c r="F479" s="7">
        <f>D479+E479</f>
        <v>399999.99999963003</v>
      </c>
      <c r="G479" s="7">
        <f>G481*G483</f>
        <v>450000</v>
      </c>
      <c r="H479" s="7"/>
      <c r="I479" s="7"/>
      <c r="J479" s="7">
        <f>G479+H479</f>
        <v>450000</v>
      </c>
      <c r="K479" s="7"/>
      <c r="L479" s="7"/>
      <c r="M479" s="7"/>
      <c r="N479" s="7">
        <f>N481*N483</f>
        <v>500000.00204999995</v>
      </c>
      <c r="O479" s="7"/>
      <c r="P479" s="36">
        <f>N479</f>
        <v>500000.00204999995</v>
      </c>
    </row>
    <row r="480" spans="1:16" ht="10.5" customHeight="1">
      <c r="A480" s="5" t="s">
        <v>5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36"/>
    </row>
    <row r="481" spans="1:16" ht="24.75" customHeight="1">
      <c r="A481" s="8" t="s">
        <v>162</v>
      </c>
      <c r="B481" s="6"/>
      <c r="C481" s="6"/>
      <c r="D481" s="7">
        <v>307</v>
      </c>
      <c r="E481" s="7"/>
      <c r="F481" s="7">
        <f>D481</f>
        <v>307</v>
      </c>
      <c r="G481" s="7">
        <v>300</v>
      </c>
      <c r="H481" s="7"/>
      <c r="I481" s="7"/>
      <c r="J481" s="7">
        <f>G481+H481</f>
        <v>300</v>
      </c>
      <c r="K481" s="7"/>
      <c r="L481" s="7"/>
      <c r="M481" s="7"/>
      <c r="N481" s="7">
        <v>213</v>
      </c>
      <c r="O481" s="7"/>
      <c r="P481" s="36">
        <f>N481</f>
        <v>213</v>
      </c>
    </row>
    <row r="482" spans="1:16" ht="11.25">
      <c r="A482" s="5" t="s">
        <v>7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36"/>
    </row>
    <row r="483" spans="1:16" ht="24.75" customHeight="1">
      <c r="A483" s="8" t="s">
        <v>163</v>
      </c>
      <c r="B483" s="6"/>
      <c r="C483" s="6"/>
      <c r="D483" s="7">
        <v>1302.93159609</v>
      </c>
      <c r="E483" s="7"/>
      <c r="F483" s="7">
        <f>D483</f>
        <v>1302.93159609</v>
      </c>
      <c r="G483" s="7">
        <f>450000/300</f>
        <v>1500</v>
      </c>
      <c r="H483" s="7"/>
      <c r="I483" s="7"/>
      <c r="J483" s="7">
        <f>G483+H483</f>
        <v>1500</v>
      </c>
      <c r="K483" s="7"/>
      <c r="L483" s="7"/>
      <c r="M483" s="7"/>
      <c r="N483" s="7">
        <v>2347.41785</v>
      </c>
      <c r="O483" s="7"/>
      <c r="P483" s="36">
        <f>N483</f>
        <v>2347.41785</v>
      </c>
    </row>
    <row r="484" spans="1:235" s="39" customFormat="1" ht="36.75" customHeight="1">
      <c r="A484" s="34" t="s">
        <v>416</v>
      </c>
      <c r="B484" s="35"/>
      <c r="C484" s="35"/>
      <c r="D484" s="36">
        <f>700000+35000</f>
        <v>735000</v>
      </c>
      <c r="E484" s="36">
        <f>E486</f>
        <v>1000000</v>
      </c>
      <c r="F484" s="36">
        <f>D484+E484</f>
        <v>1735000</v>
      </c>
      <c r="G484" s="36">
        <v>200000</v>
      </c>
      <c r="H484" s="36">
        <v>1300000</v>
      </c>
      <c r="I484" s="36"/>
      <c r="J484" s="36">
        <f>G484+H484</f>
        <v>1500000</v>
      </c>
      <c r="K484" s="36"/>
      <c r="L484" s="36"/>
      <c r="M484" s="36"/>
      <c r="N484" s="36">
        <f>N489*N492</f>
        <v>0</v>
      </c>
      <c r="O484" s="36">
        <f>O489*O492</f>
        <v>2000000</v>
      </c>
      <c r="P484" s="36">
        <f>O484+N484</f>
        <v>2000000</v>
      </c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  <c r="DH484" s="38"/>
      <c r="DI484" s="38"/>
      <c r="DJ484" s="38"/>
      <c r="DK484" s="38"/>
      <c r="DL484" s="38"/>
      <c r="DM484" s="38"/>
      <c r="DN484" s="38"/>
      <c r="DO484" s="38"/>
      <c r="DP484" s="38"/>
      <c r="DQ484" s="38"/>
      <c r="DR484" s="38"/>
      <c r="DS484" s="38"/>
      <c r="DT484" s="38"/>
      <c r="DU484" s="38"/>
      <c r="DV484" s="38"/>
      <c r="DW484" s="38"/>
      <c r="DX484" s="38"/>
      <c r="DY484" s="38"/>
      <c r="DZ484" s="38"/>
      <c r="EA484" s="38"/>
      <c r="EB484" s="38"/>
      <c r="EC484" s="38"/>
      <c r="ED484" s="38"/>
      <c r="EE484" s="38"/>
      <c r="EF484" s="38"/>
      <c r="EG484" s="38"/>
      <c r="EH484" s="38"/>
      <c r="EI484" s="38"/>
      <c r="EJ484" s="38"/>
      <c r="EK484" s="38"/>
      <c r="EL484" s="38"/>
      <c r="EM484" s="38"/>
      <c r="EN484" s="38"/>
      <c r="EO484" s="38"/>
      <c r="EP484" s="38"/>
      <c r="EQ484" s="38"/>
      <c r="ER484" s="38"/>
      <c r="ES484" s="38"/>
      <c r="ET484" s="38"/>
      <c r="EU484" s="38"/>
      <c r="EV484" s="38"/>
      <c r="EW484" s="38"/>
      <c r="EX484" s="38"/>
      <c r="EY484" s="38"/>
      <c r="EZ484" s="38"/>
      <c r="FA484" s="38"/>
      <c r="FB484" s="38"/>
      <c r="FC484" s="38"/>
      <c r="FD484" s="38"/>
      <c r="FE484" s="38"/>
      <c r="FF484" s="38"/>
      <c r="FG484" s="38"/>
      <c r="FH484" s="38"/>
      <c r="FI484" s="38"/>
      <c r="FJ484" s="38"/>
      <c r="FK484" s="38"/>
      <c r="FL484" s="38"/>
      <c r="FM484" s="38"/>
      <c r="FN484" s="38"/>
      <c r="FO484" s="38"/>
      <c r="FP484" s="38"/>
      <c r="FQ484" s="38"/>
      <c r="FR484" s="38"/>
      <c r="FS484" s="38"/>
      <c r="FT484" s="38"/>
      <c r="FU484" s="38"/>
      <c r="FV484" s="38"/>
      <c r="FW484" s="38"/>
      <c r="FX484" s="38"/>
      <c r="FY484" s="38"/>
      <c r="FZ484" s="38"/>
      <c r="GA484" s="38"/>
      <c r="GB484" s="38"/>
      <c r="GC484" s="38"/>
      <c r="GD484" s="38"/>
      <c r="GE484" s="38"/>
      <c r="GF484" s="38"/>
      <c r="GG484" s="38"/>
      <c r="GH484" s="38"/>
      <c r="GI484" s="38"/>
      <c r="GJ484" s="38"/>
      <c r="GK484" s="38"/>
      <c r="GL484" s="38"/>
      <c r="GM484" s="38"/>
      <c r="GN484" s="38"/>
      <c r="GO484" s="38"/>
      <c r="GP484" s="38"/>
      <c r="GQ484" s="38"/>
      <c r="GR484" s="38"/>
      <c r="GS484" s="38"/>
      <c r="GT484" s="38"/>
      <c r="GU484" s="38"/>
      <c r="GV484" s="38"/>
      <c r="GW484" s="38"/>
      <c r="GX484" s="38"/>
      <c r="GY484" s="38"/>
      <c r="GZ484" s="38"/>
      <c r="HA484" s="38"/>
      <c r="HB484" s="38"/>
      <c r="HC484" s="38"/>
      <c r="HD484" s="38"/>
      <c r="HE484" s="38"/>
      <c r="HF484" s="38"/>
      <c r="HG484" s="38"/>
      <c r="HH484" s="38"/>
      <c r="HI484" s="38"/>
      <c r="HJ484" s="38"/>
      <c r="HK484" s="38"/>
      <c r="HL484" s="38"/>
      <c r="HM484" s="38"/>
      <c r="HN484" s="38"/>
      <c r="HO484" s="38"/>
      <c r="HP484" s="38"/>
      <c r="HQ484" s="38"/>
      <c r="HR484" s="38"/>
      <c r="HS484" s="38"/>
      <c r="HT484" s="38"/>
      <c r="HU484" s="38"/>
      <c r="HV484" s="38"/>
      <c r="HW484" s="38"/>
      <c r="HX484" s="38"/>
      <c r="HY484" s="38"/>
      <c r="HZ484" s="38"/>
      <c r="IA484" s="38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36"/>
    </row>
    <row r="486" spans="1:16" ht="22.5">
      <c r="A486" s="8" t="s">
        <v>359</v>
      </c>
      <c r="B486" s="6"/>
      <c r="C486" s="6"/>
      <c r="D486" s="7">
        <v>700000</v>
      </c>
      <c r="E486" s="7">
        <f>E489*E492</f>
        <v>1000000</v>
      </c>
      <c r="F486" s="7">
        <f>D486+E486</f>
        <v>1700000</v>
      </c>
      <c r="G486" s="7">
        <v>200000</v>
      </c>
      <c r="H486" s="7">
        <v>1300000</v>
      </c>
      <c r="I486" s="7"/>
      <c r="J486" s="7">
        <f>G486+H486</f>
        <v>1500000</v>
      </c>
      <c r="K486" s="7"/>
      <c r="L486" s="7"/>
      <c r="M486" s="7"/>
      <c r="N486" s="7"/>
      <c r="O486" s="7">
        <f>O489*O492</f>
        <v>2000000</v>
      </c>
      <c r="P486" s="7">
        <f>O486+N486</f>
        <v>2000000</v>
      </c>
    </row>
    <row r="487" spans="1:16" ht="22.5">
      <c r="A487" s="8" t="s">
        <v>362</v>
      </c>
      <c r="B487" s="6"/>
      <c r="C487" s="6"/>
      <c r="D487" s="7">
        <v>35000</v>
      </c>
      <c r="E487" s="7"/>
      <c r="F487" s="7">
        <f>D487+E487</f>
        <v>35000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22.5">
      <c r="A489" s="72" t="s">
        <v>184</v>
      </c>
      <c r="B489" s="6"/>
      <c r="C489" s="6"/>
      <c r="D489" s="7">
        <v>6</v>
      </c>
      <c r="E489" s="7">
        <v>2</v>
      </c>
      <c r="F489" s="7">
        <f>D489+E489</f>
        <v>8</v>
      </c>
      <c r="G489" s="7">
        <v>1</v>
      </c>
      <c r="H489" s="7">
        <v>3</v>
      </c>
      <c r="I489" s="7"/>
      <c r="J489" s="7">
        <f>G489+H489</f>
        <v>4</v>
      </c>
      <c r="K489" s="7"/>
      <c r="L489" s="7"/>
      <c r="M489" s="7"/>
      <c r="N489" s="7"/>
      <c r="O489" s="7">
        <v>4</v>
      </c>
      <c r="P489" s="7">
        <f>O489+N489</f>
        <v>4</v>
      </c>
    </row>
    <row r="490" spans="1:16" ht="22.5">
      <c r="A490" s="72" t="s">
        <v>360</v>
      </c>
      <c r="B490" s="6"/>
      <c r="C490" s="6"/>
      <c r="D490" s="7">
        <v>1</v>
      </c>
      <c r="E490" s="7"/>
      <c r="F490" s="7">
        <f>D490+E490</f>
        <v>1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1.25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33.75">
      <c r="A492" s="8" t="s">
        <v>204</v>
      </c>
      <c r="B492" s="6"/>
      <c r="C492" s="6"/>
      <c r="D492" s="7">
        <v>116666.66</v>
      </c>
      <c r="E492" s="7">
        <v>500000</v>
      </c>
      <c r="F492" s="7">
        <f>D492+E492</f>
        <v>616666.66</v>
      </c>
      <c r="G492" s="7">
        <v>200000</v>
      </c>
      <c r="H492" s="7">
        <v>433333.33</v>
      </c>
      <c r="I492" s="7"/>
      <c r="J492" s="7">
        <f>G492+H492</f>
        <v>633333.3300000001</v>
      </c>
      <c r="K492" s="7"/>
      <c r="L492" s="7"/>
      <c r="M492" s="7"/>
      <c r="N492" s="7"/>
      <c r="O492" s="7">
        <v>500000</v>
      </c>
      <c r="P492" s="7">
        <f>O492+N492</f>
        <v>500000</v>
      </c>
    </row>
    <row r="493" spans="1:16" ht="22.5">
      <c r="A493" s="8" t="s">
        <v>361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1.25">
      <c r="A494" s="8"/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235" s="39" customFormat="1" ht="24.75" customHeight="1">
      <c r="A495" s="34" t="s">
        <v>417</v>
      </c>
      <c r="B495" s="35"/>
      <c r="C495" s="35"/>
      <c r="D495" s="36">
        <f>D497</f>
        <v>100000</v>
      </c>
      <c r="E495" s="36"/>
      <c r="F495" s="36">
        <f>D495+E495</f>
        <v>100000</v>
      </c>
      <c r="G495" s="36">
        <f>G499*G501</f>
        <v>130000</v>
      </c>
      <c r="H495" s="36"/>
      <c r="I495" s="36"/>
      <c r="J495" s="36">
        <f>G495+H495</f>
        <v>130000</v>
      </c>
      <c r="K495" s="36"/>
      <c r="L495" s="36"/>
      <c r="M495" s="36"/>
      <c r="N495" s="36">
        <f>N501*N499</f>
        <v>150000</v>
      </c>
      <c r="O495" s="36">
        <f>O501*O499</f>
        <v>0</v>
      </c>
      <c r="P495" s="36">
        <f>P501*P499</f>
        <v>150000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1.25">
      <c r="A497" s="8" t="s">
        <v>43</v>
      </c>
      <c r="B497" s="6"/>
      <c r="C497" s="6"/>
      <c r="D497" s="7">
        <f>D499*D501</f>
        <v>100000</v>
      </c>
      <c r="E497" s="7"/>
      <c r="F497" s="7">
        <f>D497+E497</f>
        <v>100000</v>
      </c>
      <c r="G497" s="7">
        <f>G499*G501</f>
        <v>130000</v>
      </c>
      <c r="H497" s="7"/>
      <c r="I497" s="7"/>
      <c r="J497" s="7">
        <f>G497+H497</f>
        <v>130000</v>
      </c>
      <c r="K497" s="7"/>
      <c r="L497" s="7"/>
      <c r="M497" s="7"/>
      <c r="N497" s="7">
        <f>N499*N501</f>
        <v>150000</v>
      </c>
      <c r="O497" s="7"/>
      <c r="P497" s="7">
        <f>N497+O497</f>
        <v>150000</v>
      </c>
    </row>
    <row r="498" spans="1:16" ht="11.25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>
      <c r="A499" s="8" t="s">
        <v>197</v>
      </c>
      <c r="B499" s="6"/>
      <c r="C499" s="6"/>
      <c r="D499" s="7">
        <v>8</v>
      </c>
      <c r="E499" s="7"/>
      <c r="F499" s="7">
        <f>D499+E499</f>
        <v>8</v>
      </c>
      <c r="G499" s="7">
        <v>8</v>
      </c>
      <c r="H499" s="7"/>
      <c r="I499" s="7"/>
      <c r="J499" s="7">
        <f>G499+H499</f>
        <v>8</v>
      </c>
      <c r="K499" s="7"/>
      <c r="L499" s="7"/>
      <c r="M499" s="7"/>
      <c r="N499" s="7">
        <v>8</v>
      </c>
      <c r="O499" s="7"/>
      <c r="P499" s="7">
        <f>N499+O499</f>
        <v>8</v>
      </c>
    </row>
    <row r="500" spans="1:16" ht="12" customHeight="1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.75" customHeight="1">
      <c r="A501" s="8" t="s">
        <v>178</v>
      </c>
      <c r="B501" s="6"/>
      <c r="C501" s="6"/>
      <c r="D501" s="7">
        <f>100000/8</f>
        <v>12500</v>
      </c>
      <c r="E501" s="7"/>
      <c r="F501" s="7">
        <f>D501+E501</f>
        <v>12500</v>
      </c>
      <c r="G501" s="7">
        <f>130000/8</f>
        <v>16250</v>
      </c>
      <c r="H501" s="7"/>
      <c r="I501" s="7"/>
      <c r="J501" s="7">
        <f>G501+H501</f>
        <v>16250</v>
      </c>
      <c r="K501" s="7"/>
      <c r="L501" s="7"/>
      <c r="M501" s="7"/>
      <c r="N501" s="7">
        <f>150000/8</f>
        <v>18750</v>
      </c>
      <c r="O501" s="7"/>
      <c r="P501" s="7">
        <f>N501+O501</f>
        <v>18750</v>
      </c>
    </row>
    <row r="502" spans="1:17" ht="33.75">
      <c r="A502" s="34" t="s">
        <v>418</v>
      </c>
      <c r="B502" s="35"/>
      <c r="C502" s="35"/>
      <c r="D502" s="22"/>
      <c r="E502" s="36">
        <f>E504</f>
        <v>50000</v>
      </c>
      <c r="F502" s="36">
        <f>F504</f>
        <v>50000</v>
      </c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73"/>
    </row>
    <row r="503" spans="1:17" ht="11.25">
      <c r="A503" s="5" t="s">
        <v>4</v>
      </c>
      <c r="B503" s="6"/>
      <c r="C503" s="6"/>
      <c r="D503" s="2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3"/>
    </row>
    <row r="504" spans="1:17" ht="11.25">
      <c r="A504" s="8" t="s">
        <v>43</v>
      </c>
      <c r="B504" s="6"/>
      <c r="C504" s="6"/>
      <c r="D504" s="22"/>
      <c r="E504" s="7">
        <f>E506*E508</f>
        <v>50000</v>
      </c>
      <c r="F504" s="7">
        <f>F506*F508</f>
        <v>50000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4"/>
    </row>
    <row r="505" spans="1:17" ht="11.25">
      <c r="A505" s="5" t="s">
        <v>5</v>
      </c>
      <c r="B505" s="6"/>
      <c r="C505" s="6"/>
      <c r="D505" s="2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4"/>
    </row>
    <row r="506" spans="1:17" ht="22.5">
      <c r="A506" s="8" t="s">
        <v>197</v>
      </c>
      <c r="B506" s="6"/>
      <c r="C506" s="6"/>
      <c r="D506" s="22"/>
      <c r="E506" s="7">
        <v>1</v>
      </c>
      <c r="F506" s="7">
        <v>1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4">
        <v>5500</v>
      </c>
    </row>
    <row r="507" spans="1:17" ht="11.25">
      <c r="A507" s="5" t="s">
        <v>7</v>
      </c>
      <c r="B507" s="6"/>
      <c r="C507" s="6"/>
      <c r="D507" s="2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24"/>
    </row>
    <row r="508" spans="1:17" ht="22.5">
      <c r="A508" s="8" t="s">
        <v>178</v>
      </c>
      <c r="B508" s="6"/>
      <c r="C508" s="6"/>
      <c r="D508" s="22"/>
      <c r="E508" s="7">
        <v>50000</v>
      </c>
      <c r="F508" s="7">
        <v>50000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24"/>
    </row>
    <row r="509" spans="1:17" ht="33.75">
      <c r="A509" s="34" t="s">
        <v>419</v>
      </c>
      <c r="B509" s="35"/>
      <c r="C509" s="35"/>
      <c r="D509" s="36">
        <f>D511</f>
        <v>790000</v>
      </c>
      <c r="E509" s="36"/>
      <c r="F509" s="36">
        <f>F511</f>
        <v>790000</v>
      </c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24"/>
    </row>
    <row r="510" spans="1:17" ht="11.25">
      <c r="A510" s="5" t="s">
        <v>4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24"/>
    </row>
    <row r="511" spans="1:17" ht="11.25">
      <c r="A511" s="8" t="s">
        <v>43</v>
      </c>
      <c r="B511" s="6"/>
      <c r="C511" s="6"/>
      <c r="D511" s="7">
        <f>D513*D515</f>
        <v>790000</v>
      </c>
      <c r="E511" s="7"/>
      <c r="F511" s="7">
        <f>F513*F515</f>
        <v>790000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24"/>
    </row>
    <row r="512" spans="1:17" ht="11.25">
      <c r="A512" s="5" t="s">
        <v>5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24"/>
    </row>
    <row r="513" spans="1:17" ht="22.5">
      <c r="A513" s="8" t="s">
        <v>197</v>
      </c>
      <c r="B513" s="6"/>
      <c r="C513" s="6"/>
      <c r="D513" s="7">
        <v>1</v>
      </c>
      <c r="E513" s="7"/>
      <c r="F513" s="7">
        <v>1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24"/>
    </row>
    <row r="514" spans="1:17" ht="11.25">
      <c r="A514" s="5" t="s">
        <v>7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24"/>
    </row>
    <row r="515" spans="1:17" ht="22.5">
      <c r="A515" s="8" t="s">
        <v>178</v>
      </c>
      <c r="B515" s="6"/>
      <c r="C515" s="6"/>
      <c r="D515" s="7">
        <v>790000</v>
      </c>
      <c r="E515" s="7"/>
      <c r="F515" s="7">
        <v>790000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24"/>
    </row>
    <row r="516" spans="1:17" ht="36" customHeight="1">
      <c r="A516" s="34" t="s">
        <v>420</v>
      </c>
      <c r="B516" s="35"/>
      <c r="C516" s="35"/>
      <c r="D516" s="36"/>
      <c r="E516" s="36">
        <f>E518</f>
        <v>320000</v>
      </c>
      <c r="F516" s="36">
        <f>F518</f>
        <v>320000</v>
      </c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24"/>
    </row>
    <row r="517" spans="1:17" ht="11.25">
      <c r="A517" s="5" t="s">
        <v>4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24"/>
    </row>
    <row r="518" spans="1:17" ht="11.25">
      <c r="A518" s="8" t="s">
        <v>43</v>
      </c>
      <c r="B518" s="6"/>
      <c r="C518" s="6"/>
      <c r="D518" s="7"/>
      <c r="E518" s="7">
        <f>E520*E522</f>
        <v>320000</v>
      </c>
      <c r="F518" s="7">
        <f>F520*F522</f>
        <v>320000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24"/>
    </row>
    <row r="519" spans="1:17" ht="11.25">
      <c r="A519" s="5" t="s">
        <v>5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24"/>
    </row>
    <row r="520" spans="1:17" ht="22.5">
      <c r="A520" s="8" t="s">
        <v>197</v>
      </c>
      <c r="B520" s="6"/>
      <c r="C520" s="6"/>
      <c r="D520" s="7"/>
      <c r="E520" s="7">
        <v>1</v>
      </c>
      <c r="F520" s="7">
        <v>1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24"/>
    </row>
    <row r="521" spans="1:17" ht="11.25">
      <c r="A521" s="5" t="s">
        <v>7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</row>
    <row r="522" spans="1:235" ht="11.25">
      <c r="A522" s="8" t="s">
        <v>336</v>
      </c>
      <c r="B522" s="6"/>
      <c r="C522" s="6"/>
      <c r="D522" s="7"/>
      <c r="E522" s="7">
        <v>320000</v>
      </c>
      <c r="F522" s="7">
        <v>320000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  <c r="DG522" s="53"/>
      <c r="DH522" s="53"/>
      <c r="DI522" s="53"/>
      <c r="DJ522" s="53"/>
      <c r="DK522" s="53"/>
      <c r="DL522" s="53"/>
      <c r="DM522" s="53"/>
      <c r="DN522" s="53"/>
      <c r="DO522" s="53"/>
      <c r="DP522" s="53"/>
      <c r="DQ522" s="53"/>
      <c r="DR522" s="53"/>
      <c r="DS522" s="53"/>
      <c r="DT522" s="53"/>
      <c r="DU522" s="53"/>
      <c r="DV522" s="53"/>
      <c r="DW522" s="53"/>
      <c r="DX522" s="53"/>
      <c r="DY522" s="53"/>
      <c r="DZ522" s="53"/>
      <c r="EA522" s="53"/>
      <c r="EB522" s="53"/>
      <c r="EC522" s="53"/>
      <c r="ED522" s="53"/>
      <c r="EE522" s="53"/>
      <c r="EF522" s="53"/>
      <c r="EG522" s="53"/>
      <c r="EH522" s="53"/>
      <c r="EI522" s="53"/>
      <c r="EJ522" s="53"/>
      <c r="EK522" s="53"/>
      <c r="EL522" s="53"/>
      <c r="EM522" s="53"/>
      <c r="EN522" s="53"/>
      <c r="EO522" s="53"/>
      <c r="EP522" s="53"/>
      <c r="EQ522" s="53"/>
      <c r="ER522" s="53"/>
      <c r="ES522" s="53"/>
      <c r="ET522" s="53"/>
      <c r="EU522" s="53"/>
      <c r="EV522" s="53"/>
      <c r="EW522" s="53"/>
      <c r="EX522" s="53"/>
      <c r="EY522" s="53"/>
      <c r="EZ522" s="53"/>
      <c r="FA522" s="53"/>
      <c r="FB522" s="53"/>
      <c r="FC522" s="53"/>
      <c r="FD522" s="53"/>
      <c r="FE522" s="53"/>
      <c r="FF522" s="53"/>
      <c r="FG522" s="53"/>
      <c r="FH522" s="53"/>
      <c r="FI522" s="53"/>
      <c r="FJ522" s="53"/>
      <c r="FK522" s="53"/>
      <c r="FL522" s="53"/>
      <c r="FM522" s="53"/>
      <c r="FN522" s="53"/>
      <c r="FO522" s="53"/>
      <c r="FP522" s="53"/>
      <c r="FQ522" s="53"/>
      <c r="FR522" s="53"/>
      <c r="FS522" s="53"/>
      <c r="FT522" s="53"/>
      <c r="FU522" s="53"/>
      <c r="FV522" s="53"/>
      <c r="FW522" s="53"/>
      <c r="FX522" s="53"/>
      <c r="FY522" s="53"/>
      <c r="FZ522" s="53"/>
      <c r="GA522" s="53"/>
      <c r="GB522" s="53"/>
      <c r="GC522" s="53"/>
      <c r="GD522" s="53"/>
      <c r="GE522" s="53"/>
      <c r="GF522" s="53"/>
      <c r="GG522" s="53"/>
      <c r="GH522" s="53"/>
      <c r="GI522" s="53"/>
      <c r="GJ522" s="53"/>
      <c r="GK522" s="53"/>
      <c r="GL522" s="53"/>
      <c r="GM522" s="53"/>
      <c r="GN522" s="53"/>
      <c r="GO522" s="53"/>
      <c r="GP522" s="53"/>
      <c r="GQ522" s="53"/>
      <c r="GR522" s="53"/>
      <c r="GS522" s="53"/>
      <c r="GT522" s="53"/>
      <c r="GU522" s="53"/>
      <c r="GV522" s="53"/>
      <c r="GW522" s="53"/>
      <c r="GX522" s="53"/>
      <c r="GY522" s="53"/>
      <c r="GZ522" s="53"/>
      <c r="HA522" s="53"/>
      <c r="HB522" s="53"/>
      <c r="HC522" s="53"/>
      <c r="HD522" s="53"/>
      <c r="HE522" s="53"/>
      <c r="HF522" s="53"/>
      <c r="HG522" s="53"/>
      <c r="HH522" s="53"/>
      <c r="HI522" s="53"/>
      <c r="HJ522" s="53"/>
      <c r="HK522" s="53"/>
      <c r="HL522" s="53"/>
      <c r="HM522" s="53"/>
      <c r="HN522" s="53"/>
      <c r="HO522" s="53"/>
      <c r="HP522" s="53"/>
      <c r="HQ522" s="53"/>
      <c r="HR522" s="53"/>
      <c r="HS522" s="53"/>
      <c r="HT522" s="53"/>
      <c r="HU522" s="53"/>
      <c r="HV522" s="53"/>
      <c r="HW522" s="53"/>
      <c r="HX522" s="53"/>
      <c r="HY522" s="53"/>
      <c r="HZ522" s="53"/>
      <c r="IA522" s="53"/>
    </row>
    <row r="523" spans="1:17" ht="24" customHeight="1">
      <c r="A523" s="34" t="s">
        <v>421</v>
      </c>
      <c r="B523" s="35"/>
      <c r="C523" s="35"/>
      <c r="D523" s="36"/>
      <c r="E523" s="36">
        <f>E525</f>
        <v>0</v>
      </c>
      <c r="F523" s="36">
        <f>F525</f>
        <v>0</v>
      </c>
      <c r="G523" s="36">
        <f>G525</f>
        <v>2300000</v>
      </c>
      <c r="H523" s="36"/>
      <c r="I523" s="36"/>
      <c r="J523" s="36">
        <f>J525</f>
        <v>2300000</v>
      </c>
      <c r="K523" s="36"/>
      <c r="L523" s="36"/>
      <c r="M523" s="36"/>
      <c r="N523" s="36"/>
      <c r="O523" s="36"/>
      <c r="P523" s="36"/>
      <c r="Q523" s="24"/>
    </row>
    <row r="524" spans="1:17" ht="11.25">
      <c r="A524" s="5" t="s">
        <v>4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11.25">
      <c r="A525" s="8" t="s">
        <v>43</v>
      </c>
      <c r="B525" s="6"/>
      <c r="C525" s="6"/>
      <c r="D525" s="7"/>
      <c r="E525" s="7">
        <f>E527*E529</f>
        <v>0</v>
      </c>
      <c r="F525" s="7">
        <f>F527*F529</f>
        <v>0</v>
      </c>
      <c r="G525" s="7">
        <f>G527*G529</f>
        <v>2300000</v>
      </c>
      <c r="H525" s="7"/>
      <c r="I525" s="7"/>
      <c r="J525" s="7">
        <f>G525</f>
        <v>2300000</v>
      </c>
      <c r="K525" s="7"/>
      <c r="L525" s="7"/>
      <c r="M525" s="7"/>
      <c r="N525" s="7"/>
      <c r="O525" s="7"/>
      <c r="P525" s="7"/>
      <c r="Q525" s="24"/>
    </row>
    <row r="526" spans="1:17" ht="11.25">
      <c r="A526" s="5" t="s">
        <v>5</v>
      </c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22.5">
      <c r="A527" s="8" t="s">
        <v>197</v>
      </c>
      <c r="B527" s="6"/>
      <c r="C527" s="6"/>
      <c r="D527" s="7"/>
      <c r="E527" s="7">
        <v>0</v>
      </c>
      <c r="F527" s="7">
        <v>0</v>
      </c>
      <c r="G527" s="7">
        <v>1</v>
      </c>
      <c r="H527" s="7"/>
      <c r="I527" s="7"/>
      <c r="J527" s="7">
        <f>G527</f>
        <v>1</v>
      </c>
      <c r="K527" s="7"/>
      <c r="L527" s="7"/>
      <c r="M527" s="7"/>
      <c r="N527" s="7"/>
      <c r="O527" s="7"/>
      <c r="P527" s="7"/>
      <c r="Q527" s="24"/>
    </row>
    <row r="528" spans="1:17" ht="11.25">
      <c r="A528" s="5" t="s">
        <v>7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235" ht="11.25">
      <c r="A529" s="8" t="s">
        <v>336</v>
      </c>
      <c r="B529" s="6"/>
      <c r="C529" s="6"/>
      <c r="D529" s="7"/>
      <c r="E529" s="7"/>
      <c r="F529" s="7">
        <v>0</v>
      </c>
      <c r="G529" s="7">
        <v>2300000</v>
      </c>
      <c r="H529" s="7"/>
      <c r="I529" s="7"/>
      <c r="J529" s="7">
        <f>G529</f>
        <v>2300000</v>
      </c>
      <c r="K529" s="7"/>
      <c r="L529" s="7"/>
      <c r="M529" s="7"/>
      <c r="N529" s="7"/>
      <c r="O529" s="7"/>
      <c r="P529" s="7"/>
      <c r="Q529" s="24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  <c r="HZ529" s="53"/>
      <c r="IA529" s="53"/>
    </row>
    <row r="530" spans="1:17" s="139" customFormat="1" ht="11.25">
      <c r="A530" s="154" t="s">
        <v>259</v>
      </c>
      <c r="B530" s="136"/>
      <c r="C530" s="136"/>
      <c r="D530" s="145">
        <f>D532</f>
        <v>1500000</v>
      </c>
      <c r="E530" s="145">
        <v>0</v>
      </c>
      <c r="F530" s="145">
        <f>D530</f>
        <v>1500000</v>
      </c>
      <c r="G530" s="145">
        <f>G532</f>
        <v>1800000</v>
      </c>
      <c r="H530" s="145"/>
      <c r="I530" s="145">
        <f>I532</f>
        <v>0</v>
      </c>
      <c r="J530" s="145">
        <f>J532</f>
        <v>1800000</v>
      </c>
      <c r="K530" s="145"/>
      <c r="L530" s="145"/>
      <c r="M530" s="145"/>
      <c r="N530" s="145">
        <f>N532</f>
        <v>1500000</v>
      </c>
      <c r="O530" s="145"/>
      <c r="P530" s="145">
        <f>P532</f>
        <v>1500000</v>
      </c>
      <c r="Q530" s="156"/>
    </row>
    <row r="531" spans="1:235" ht="54.75" customHeight="1">
      <c r="A531" s="8" t="s">
        <v>165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  <c r="GB531" s="53"/>
      <c r="GC531" s="53"/>
      <c r="GD531" s="53"/>
      <c r="GE531" s="53"/>
      <c r="GF531" s="53"/>
      <c r="GG531" s="53"/>
      <c r="GH531" s="53"/>
      <c r="GI531" s="53"/>
      <c r="GJ531" s="53"/>
      <c r="GK531" s="53"/>
      <c r="GL531" s="53"/>
      <c r="GM531" s="53"/>
      <c r="GN531" s="53"/>
      <c r="GO531" s="53"/>
      <c r="GP531" s="53"/>
      <c r="GQ531" s="53"/>
      <c r="GR531" s="53"/>
      <c r="GS531" s="53"/>
      <c r="GT531" s="53"/>
      <c r="GU531" s="53"/>
      <c r="GV531" s="53"/>
      <c r="GW531" s="53"/>
      <c r="GX531" s="53"/>
      <c r="GY531" s="53"/>
      <c r="GZ531" s="53"/>
      <c r="HA531" s="53"/>
      <c r="HB531" s="53"/>
      <c r="HC531" s="53"/>
      <c r="HD531" s="53"/>
      <c r="HE531" s="53"/>
      <c r="HF531" s="53"/>
      <c r="HG531" s="53"/>
      <c r="HH531" s="53"/>
      <c r="HI531" s="53"/>
      <c r="HJ531" s="53"/>
      <c r="HK531" s="53"/>
      <c r="HL531" s="53"/>
      <c r="HM531" s="53"/>
      <c r="HN531" s="53"/>
      <c r="HO531" s="53"/>
      <c r="HP531" s="53"/>
      <c r="HQ531" s="53"/>
      <c r="HR531" s="53"/>
      <c r="HS531" s="53"/>
      <c r="HT531" s="53"/>
      <c r="HU531" s="53"/>
      <c r="HV531" s="53"/>
      <c r="HW531" s="53"/>
      <c r="HX531" s="53"/>
      <c r="HY531" s="53"/>
      <c r="HZ531" s="53"/>
      <c r="IA531" s="53"/>
    </row>
    <row r="532" spans="1:17" s="76" customFormat="1" ht="22.5">
      <c r="A532" s="34" t="s">
        <v>422</v>
      </c>
      <c r="B532" s="37"/>
      <c r="C532" s="37"/>
      <c r="D532" s="57">
        <f>D533+D540</f>
        <v>1500000</v>
      </c>
      <c r="E532" s="57"/>
      <c r="F532" s="57">
        <f>D532</f>
        <v>1500000</v>
      </c>
      <c r="G532" s="30">
        <f>G533+G540</f>
        <v>1800000</v>
      </c>
      <c r="H532" s="30"/>
      <c r="I532" s="30"/>
      <c r="J532" s="30">
        <f>G532</f>
        <v>1800000</v>
      </c>
      <c r="K532" s="30"/>
      <c r="L532" s="30"/>
      <c r="M532" s="30"/>
      <c r="N532" s="30">
        <f>N533+N540</f>
        <v>1500000</v>
      </c>
      <c r="O532" s="30"/>
      <c r="P532" s="30">
        <f>N532</f>
        <v>1500000</v>
      </c>
      <c r="Q532" s="75"/>
    </row>
    <row r="533" spans="1:17" s="79" customFormat="1" ht="45">
      <c r="A533" s="77" t="s">
        <v>423</v>
      </c>
      <c r="B533" s="35"/>
      <c r="C533" s="35"/>
      <c r="D533" s="45">
        <f>D537*D539</f>
        <v>1300000</v>
      </c>
      <c r="E533" s="45"/>
      <c r="F533" s="45">
        <f>D533+E533</f>
        <v>1300000</v>
      </c>
      <c r="G533" s="36">
        <f>G537*G539</f>
        <v>1500000</v>
      </c>
      <c r="H533" s="36">
        <f aca="true" t="shared" si="61" ref="H533:O533">H537*H539</f>
        <v>0</v>
      </c>
      <c r="I533" s="36">
        <f t="shared" si="61"/>
        <v>0</v>
      </c>
      <c r="J533" s="36">
        <f>G533</f>
        <v>1500000</v>
      </c>
      <c r="K533" s="36">
        <f t="shared" si="61"/>
        <v>0</v>
      </c>
      <c r="L533" s="36">
        <f t="shared" si="61"/>
        <v>0</v>
      </c>
      <c r="M533" s="36">
        <f t="shared" si="61"/>
        <v>0</v>
      </c>
      <c r="N533" s="36">
        <f>N537*N539</f>
        <v>1300000</v>
      </c>
      <c r="O533" s="36">
        <f t="shared" si="61"/>
        <v>0</v>
      </c>
      <c r="P533" s="36">
        <f>N533</f>
        <v>1300000</v>
      </c>
      <c r="Q533" s="78"/>
    </row>
    <row r="534" spans="1:17" s="52" customFormat="1" ht="11.25">
      <c r="A534" s="5" t="s">
        <v>4</v>
      </c>
      <c r="B534" s="37"/>
      <c r="C534" s="37"/>
      <c r="D534" s="80"/>
      <c r="E534" s="80"/>
      <c r="F534" s="81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75"/>
    </row>
    <row r="535" spans="1:17" s="52" customFormat="1" ht="27.75" customHeight="1">
      <c r="A535" s="8" t="s">
        <v>166</v>
      </c>
      <c r="B535" s="37"/>
      <c r="C535" s="37"/>
      <c r="D535" s="49">
        <v>520</v>
      </c>
      <c r="E535" s="80"/>
      <c r="F535" s="81"/>
      <c r="G535" s="7">
        <v>500</v>
      </c>
      <c r="H535" s="30"/>
      <c r="I535" s="30"/>
      <c r="J535" s="7">
        <f>G535+H535</f>
        <v>500</v>
      </c>
      <c r="K535" s="30"/>
      <c r="L535" s="30"/>
      <c r="M535" s="30"/>
      <c r="N535" s="7">
        <v>520</v>
      </c>
      <c r="O535" s="7"/>
      <c r="P535" s="7">
        <f>N535+O535</f>
        <v>520</v>
      </c>
      <c r="Q535" s="75"/>
    </row>
    <row r="536" spans="1:17" s="52" customFormat="1" ht="11.25">
      <c r="A536" s="5" t="s">
        <v>5</v>
      </c>
      <c r="B536" s="37"/>
      <c r="C536" s="37"/>
      <c r="D536" s="80"/>
      <c r="E536" s="80"/>
      <c r="F536" s="81"/>
      <c r="G536" s="30"/>
      <c r="H536" s="30"/>
      <c r="I536" s="30"/>
      <c r="J536" s="7"/>
      <c r="K536" s="30"/>
      <c r="L536" s="30"/>
      <c r="M536" s="30"/>
      <c r="N536" s="30"/>
      <c r="O536" s="30"/>
      <c r="P536" s="7"/>
      <c r="Q536" s="75"/>
    </row>
    <row r="537" spans="1:17" s="52" customFormat="1" ht="22.5">
      <c r="A537" s="8" t="s">
        <v>167</v>
      </c>
      <c r="B537" s="37"/>
      <c r="C537" s="37"/>
      <c r="D537" s="49">
        <v>520</v>
      </c>
      <c r="E537" s="80"/>
      <c r="F537" s="81"/>
      <c r="G537" s="7">
        <f>G535</f>
        <v>500</v>
      </c>
      <c r="H537" s="7"/>
      <c r="I537" s="7"/>
      <c r="J537" s="7">
        <f>G537+H537</f>
        <v>500</v>
      </c>
      <c r="K537" s="7">
        <f>K535</f>
        <v>0</v>
      </c>
      <c r="L537" s="7">
        <f>L535</f>
        <v>0</v>
      </c>
      <c r="M537" s="7">
        <f>M535</f>
        <v>0</v>
      </c>
      <c r="N537" s="7">
        <v>520</v>
      </c>
      <c r="O537" s="7"/>
      <c r="P537" s="7">
        <f>N537+O537</f>
        <v>520</v>
      </c>
      <c r="Q537" s="75"/>
    </row>
    <row r="538" spans="1:17" s="52" customFormat="1" ht="11.25">
      <c r="A538" s="5" t="s">
        <v>7</v>
      </c>
      <c r="B538" s="37"/>
      <c r="C538" s="37"/>
      <c r="D538" s="80"/>
      <c r="E538" s="80"/>
      <c r="F538" s="81"/>
      <c r="G538" s="30"/>
      <c r="H538" s="30"/>
      <c r="I538" s="30"/>
      <c r="J538" s="7"/>
      <c r="K538" s="30"/>
      <c r="L538" s="30"/>
      <c r="M538" s="30"/>
      <c r="N538" s="30"/>
      <c r="O538" s="30"/>
      <c r="P538" s="7"/>
      <c r="Q538" s="75"/>
    </row>
    <row r="539" spans="1:17" s="52" customFormat="1" ht="17.25" customHeight="1">
      <c r="A539" s="8" t="s">
        <v>168</v>
      </c>
      <c r="B539" s="37"/>
      <c r="C539" s="37"/>
      <c r="D539" s="80">
        <v>2500</v>
      </c>
      <c r="E539" s="80"/>
      <c r="F539" s="81"/>
      <c r="G539" s="7">
        <v>3000</v>
      </c>
      <c r="H539" s="30"/>
      <c r="I539" s="30"/>
      <c r="J539" s="7">
        <f>G539+H539</f>
        <v>3000</v>
      </c>
      <c r="K539" s="30"/>
      <c r="L539" s="30"/>
      <c r="M539" s="30"/>
      <c r="N539" s="7">
        <v>2500</v>
      </c>
      <c r="O539" s="7"/>
      <c r="P539" s="7">
        <f>N539+O539</f>
        <v>2500</v>
      </c>
      <c r="Q539" s="75"/>
    </row>
    <row r="540" spans="1:17" s="83" customFormat="1" ht="65.25" customHeight="1">
      <c r="A540" s="77" t="s">
        <v>424</v>
      </c>
      <c r="B540" s="34"/>
      <c r="C540" s="34"/>
      <c r="D540" s="45">
        <f>D544*D547</f>
        <v>200000</v>
      </c>
      <c r="E540" s="45"/>
      <c r="F540" s="45">
        <f>D540+E540</f>
        <v>200000</v>
      </c>
      <c r="G540" s="36">
        <f>G544*G547</f>
        <v>300000</v>
      </c>
      <c r="H540" s="36">
        <f aca="true" t="shared" si="62" ref="H540:P540">H544*H547</f>
        <v>0</v>
      </c>
      <c r="I540" s="36">
        <f t="shared" si="62"/>
        <v>0</v>
      </c>
      <c r="J540" s="36">
        <f t="shared" si="62"/>
        <v>300000</v>
      </c>
      <c r="K540" s="36">
        <f t="shared" si="62"/>
        <v>0</v>
      </c>
      <c r="L540" s="36">
        <f t="shared" si="62"/>
        <v>0</v>
      </c>
      <c r="M540" s="36">
        <f t="shared" si="62"/>
        <v>0</v>
      </c>
      <c r="N540" s="36">
        <f t="shared" si="62"/>
        <v>200000</v>
      </c>
      <c r="O540" s="36">
        <f t="shared" si="62"/>
        <v>0</v>
      </c>
      <c r="P540" s="36">
        <f t="shared" si="62"/>
        <v>200000</v>
      </c>
      <c r="Q540" s="82"/>
    </row>
    <row r="541" spans="1:235" ht="11.25">
      <c r="A541" s="5" t="s">
        <v>4</v>
      </c>
      <c r="B541" s="6"/>
      <c r="C541" s="6"/>
      <c r="D541" s="84"/>
      <c r="E541" s="84"/>
      <c r="F541" s="84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  <c r="GB541" s="53"/>
      <c r="GC541" s="53"/>
      <c r="GD541" s="53"/>
      <c r="GE541" s="53"/>
      <c r="GF541" s="53"/>
      <c r="GG541" s="53"/>
      <c r="GH541" s="53"/>
      <c r="GI541" s="53"/>
      <c r="GJ541" s="53"/>
      <c r="GK541" s="53"/>
      <c r="GL541" s="53"/>
      <c r="GM541" s="53"/>
      <c r="GN541" s="53"/>
      <c r="GO541" s="53"/>
      <c r="GP541" s="53"/>
      <c r="GQ541" s="53"/>
      <c r="GR541" s="53"/>
      <c r="GS541" s="53"/>
      <c r="GT541" s="53"/>
      <c r="GU541" s="53"/>
      <c r="GV541" s="53"/>
      <c r="GW541" s="53"/>
      <c r="GX541" s="53"/>
      <c r="GY541" s="53"/>
      <c r="GZ541" s="53"/>
      <c r="HA541" s="53"/>
      <c r="HB541" s="53"/>
      <c r="HC541" s="53"/>
      <c r="HD541" s="53"/>
      <c r="HE541" s="53"/>
      <c r="HF541" s="53"/>
      <c r="HG541" s="53"/>
      <c r="HH541" s="53"/>
      <c r="HI541" s="53"/>
      <c r="HJ541" s="53"/>
      <c r="HK541" s="53"/>
      <c r="HL541" s="53"/>
      <c r="HM541" s="53"/>
      <c r="HN541" s="53"/>
      <c r="HO541" s="53"/>
      <c r="HP541" s="53"/>
      <c r="HQ541" s="53"/>
      <c r="HR541" s="53"/>
      <c r="HS541" s="53"/>
      <c r="HT541" s="53"/>
      <c r="HU541" s="53"/>
      <c r="HV541" s="53"/>
      <c r="HW541" s="53"/>
      <c r="HX541" s="53"/>
      <c r="HY541" s="53"/>
      <c r="HZ541" s="53"/>
      <c r="IA541" s="53"/>
    </row>
    <row r="542" spans="1:235" ht="33.75">
      <c r="A542" s="8" t="s">
        <v>166</v>
      </c>
      <c r="B542" s="6"/>
      <c r="C542" s="6"/>
      <c r="D542" s="44">
        <v>6</v>
      </c>
      <c r="E542" s="44"/>
      <c r="F542" s="44">
        <f>D542</f>
        <v>6</v>
      </c>
      <c r="G542" s="44">
        <v>6</v>
      </c>
      <c r="H542" s="44"/>
      <c r="I542" s="44"/>
      <c r="J542" s="7">
        <f>G542+H542</f>
        <v>6</v>
      </c>
      <c r="K542" s="44">
        <f>H542</f>
        <v>0</v>
      </c>
      <c r="L542" s="44">
        <f>J542</f>
        <v>6</v>
      </c>
      <c r="M542" s="44">
        <f>K542</f>
        <v>0</v>
      </c>
      <c r="N542" s="44">
        <v>4</v>
      </c>
      <c r="O542" s="44"/>
      <c r="P542" s="44">
        <f>N542</f>
        <v>4</v>
      </c>
      <c r="Q542" s="24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  <c r="CZ542" s="53"/>
      <c r="DA542" s="53"/>
      <c r="DB542" s="53"/>
      <c r="DC542" s="53"/>
      <c r="DD542" s="53"/>
      <c r="DE542" s="53"/>
      <c r="DF542" s="53"/>
      <c r="DG542" s="53"/>
      <c r="DH542" s="53"/>
      <c r="DI542" s="53"/>
      <c r="DJ542" s="53"/>
      <c r="DK542" s="53"/>
      <c r="DL542" s="53"/>
      <c r="DM542" s="53"/>
      <c r="DN542" s="53"/>
      <c r="DO542" s="53"/>
      <c r="DP542" s="53"/>
      <c r="DQ542" s="53"/>
      <c r="DR542" s="53"/>
      <c r="DS542" s="53"/>
      <c r="DT542" s="53"/>
      <c r="DU542" s="53"/>
      <c r="DV542" s="53"/>
      <c r="DW542" s="53"/>
      <c r="DX542" s="53"/>
      <c r="DY542" s="53"/>
      <c r="DZ542" s="53"/>
      <c r="EA542" s="53"/>
      <c r="EB542" s="53"/>
      <c r="EC542" s="53"/>
      <c r="ED542" s="53"/>
      <c r="EE542" s="53"/>
      <c r="EF542" s="53"/>
      <c r="EG542" s="53"/>
      <c r="EH542" s="53"/>
      <c r="EI542" s="53"/>
      <c r="EJ542" s="53"/>
      <c r="EK542" s="53"/>
      <c r="EL542" s="53"/>
      <c r="EM542" s="53"/>
      <c r="EN542" s="53"/>
      <c r="EO542" s="53"/>
      <c r="EP542" s="53"/>
      <c r="EQ542" s="53"/>
      <c r="ER542" s="53"/>
      <c r="ES542" s="53"/>
      <c r="ET542" s="53"/>
      <c r="EU542" s="53"/>
      <c r="EV542" s="53"/>
      <c r="EW542" s="53"/>
      <c r="EX542" s="53"/>
      <c r="EY542" s="53"/>
      <c r="EZ542" s="53"/>
      <c r="FA542" s="53"/>
      <c r="FB542" s="53"/>
      <c r="FC542" s="53"/>
      <c r="FD542" s="53"/>
      <c r="FE542" s="53"/>
      <c r="FF542" s="53"/>
      <c r="FG542" s="53"/>
      <c r="FH542" s="53"/>
      <c r="FI542" s="53"/>
      <c r="FJ542" s="53"/>
      <c r="FK542" s="53"/>
      <c r="FL542" s="53"/>
      <c r="FM542" s="53"/>
      <c r="FN542" s="53"/>
      <c r="FO542" s="53"/>
      <c r="FP542" s="53"/>
      <c r="FQ542" s="53"/>
      <c r="FR542" s="53"/>
      <c r="FS542" s="53"/>
      <c r="FT542" s="53"/>
      <c r="FU542" s="53"/>
      <c r="FV542" s="53"/>
      <c r="FW542" s="53"/>
      <c r="FX542" s="53"/>
      <c r="FY542" s="53"/>
      <c r="FZ542" s="53"/>
      <c r="GA542" s="53"/>
      <c r="GB542" s="53"/>
      <c r="GC542" s="53"/>
      <c r="GD542" s="53"/>
      <c r="GE542" s="53"/>
      <c r="GF542" s="53"/>
      <c r="GG542" s="53"/>
      <c r="GH542" s="53"/>
      <c r="GI542" s="53"/>
      <c r="GJ542" s="53"/>
      <c r="GK542" s="53"/>
      <c r="GL542" s="53"/>
      <c r="GM542" s="53"/>
      <c r="GN542" s="53"/>
      <c r="GO542" s="53"/>
      <c r="GP542" s="53"/>
      <c r="GQ542" s="53"/>
      <c r="GR542" s="53"/>
      <c r="GS542" s="53"/>
      <c r="GT542" s="53"/>
      <c r="GU542" s="53"/>
      <c r="GV542" s="53"/>
      <c r="GW542" s="53"/>
      <c r="GX542" s="53"/>
      <c r="GY542" s="53"/>
      <c r="GZ542" s="53"/>
      <c r="HA542" s="53"/>
      <c r="HB542" s="53"/>
      <c r="HC542" s="53"/>
      <c r="HD542" s="53"/>
      <c r="HE542" s="53"/>
      <c r="HF542" s="53"/>
      <c r="HG542" s="53"/>
      <c r="HH542" s="53"/>
      <c r="HI542" s="53"/>
      <c r="HJ542" s="53"/>
      <c r="HK542" s="53"/>
      <c r="HL542" s="53"/>
      <c r="HM542" s="53"/>
      <c r="HN542" s="53"/>
      <c r="HO542" s="53"/>
      <c r="HP542" s="53"/>
      <c r="HQ542" s="53"/>
      <c r="HR542" s="53"/>
      <c r="HS542" s="53"/>
      <c r="HT542" s="53"/>
      <c r="HU542" s="53"/>
      <c r="HV542" s="53"/>
      <c r="HW542" s="53"/>
      <c r="HX542" s="53"/>
      <c r="HY542" s="53"/>
      <c r="HZ542" s="53"/>
      <c r="IA542" s="53"/>
    </row>
    <row r="543" spans="1:235" ht="11.25">
      <c r="A543" s="5" t="s">
        <v>5</v>
      </c>
      <c r="B543" s="6"/>
      <c r="C543" s="6"/>
      <c r="D543" s="44"/>
      <c r="E543" s="44"/>
      <c r="F543" s="44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  <c r="GB543" s="53"/>
      <c r="GC543" s="53"/>
      <c r="GD543" s="53"/>
      <c r="GE543" s="53"/>
      <c r="GF543" s="53"/>
      <c r="GG543" s="53"/>
      <c r="GH543" s="53"/>
      <c r="GI543" s="53"/>
      <c r="GJ543" s="53"/>
      <c r="GK543" s="53"/>
      <c r="GL543" s="53"/>
      <c r="GM543" s="53"/>
      <c r="GN543" s="53"/>
      <c r="GO543" s="53"/>
      <c r="GP543" s="53"/>
      <c r="GQ543" s="53"/>
      <c r="GR543" s="53"/>
      <c r="GS543" s="53"/>
      <c r="GT543" s="53"/>
      <c r="GU543" s="53"/>
      <c r="GV543" s="53"/>
      <c r="GW543" s="53"/>
      <c r="GX543" s="53"/>
      <c r="GY543" s="53"/>
      <c r="GZ543" s="53"/>
      <c r="HA543" s="53"/>
      <c r="HB543" s="53"/>
      <c r="HC543" s="53"/>
      <c r="HD543" s="53"/>
      <c r="HE543" s="53"/>
      <c r="HF543" s="53"/>
      <c r="HG543" s="53"/>
      <c r="HH543" s="53"/>
      <c r="HI543" s="53"/>
      <c r="HJ543" s="53"/>
      <c r="HK543" s="53"/>
      <c r="HL543" s="53"/>
      <c r="HM543" s="53"/>
      <c r="HN543" s="53"/>
      <c r="HO543" s="53"/>
      <c r="HP543" s="53"/>
      <c r="HQ543" s="53"/>
      <c r="HR543" s="53"/>
      <c r="HS543" s="53"/>
      <c r="HT543" s="53"/>
      <c r="HU543" s="53"/>
      <c r="HV543" s="53"/>
      <c r="HW543" s="53"/>
      <c r="HX543" s="53"/>
      <c r="HY543" s="53"/>
      <c r="HZ543" s="53"/>
      <c r="IA543" s="53"/>
    </row>
    <row r="544" spans="1:235" ht="32.25" customHeight="1">
      <c r="A544" s="8" t="s">
        <v>167</v>
      </c>
      <c r="B544" s="6"/>
      <c r="C544" s="6"/>
      <c r="D544" s="44">
        <v>6</v>
      </c>
      <c r="E544" s="44"/>
      <c r="F544" s="44">
        <f>D544</f>
        <v>6</v>
      </c>
      <c r="G544" s="7">
        <v>6</v>
      </c>
      <c r="H544" s="7"/>
      <c r="I544" s="7"/>
      <c r="J544" s="7">
        <f>G544+H544</f>
        <v>6</v>
      </c>
      <c r="K544" s="7"/>
      <c r="L544" s="7"/>
      <c r="M544" s="7"/>
      <c r="N544" s="7">
        <v>4</v>
      </c>
      <c r="O544" s="7"/>
      <c r="P544" s="7">
        <f>N544</f>
        <v>4</v>
      </c>
      <c r="Q544" s="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  <c r="GB544" s="53"/>
      <c r="GC544" s="53"/>
      <c r="GD544" s="53"/>
      <c r="GE544" s="53"/>
      <c r="GF544" s="53"/>
      <c r="GG544" s="53"/>
      <c r="GH544" s="53"/>
      <c r="GI544" s="53"/>
      <c r="GJ544" s="53"/>
      <c r="GK544" s="53"/>
      <c r="GL544" s="53"/>
      <c r="GM544" s="53"/>
      <c r="GN544" s="53"/>
      <c r="GO544" s="53"/>
      <c r="GP544" s="53"/>
      <c r="GQ544" s="53"/>
      <c r="GR544" s="53"/>
      <c r="GS544" s="53"/>
      <c r="GT544" s="53"/>
      <c r="GU544" s="53"/>
      <c r="GV544" s="53"/>
      <c r="GW544" s="53"/>
      <c r="GX544" s="53"/>
      <c r="GY544" s="53"/>
      <c r="GZ544" s="53"/>
      <c r="HA544" s="53"/>
      <c r="HB544" s="53"/>
      <c r="HC544" s="53"/>
      <c r="HD544" s="53"/>
      <c r="HE544" s="53"/>
      <c r="HF544" s="53"/>
      <c r="HG544" s="53"/>
      <c r="HH544" s="53"/>
      <c r="HI544" s="53"/>
      <c r="HJ544" s="53"/>
      <c r="HK544" s="53"/>
      <c r="HL544" s="53"/>
      <c r="HM544" s="53"/>
      <c r="HN544" s="53"/>
      <c r="HO544" s="53"/>
      <c r="HP544" s="53"/>
      <c r="HQ544" s="53"/>
      <c r="HR544" s="53"/>
      <c r="HS544" s="53"/>
      <c r="HT544" s="53"/>
      <c r="HU544" s="53"/>
      <c r="HV544" s="53"/>
      <c r="HW544" s="53"/>
      <c r="HX544" s="53"/>
      <c r="HY544" s="53"/>
      <c r="HZ544" s="53"/>
      <c r="IA544" s="53"/>
    </row>
    <row r="545" spans="1:235" ht="22.5">
      <c r="A545" s="8" t="s">
        <v>164</v>
      </c>
      <c r="B545" s="6"/>
      <c r="C545" s="6"/>
      <c r="D545" s="44"/>
      <c r="E545" s="44"/>
      <c r="F545" s="44">
        <f>D545</f>
        <v>0</v>
      </c>
      <c r="G545" s="7"/>
      <c r="H545" s="7"/>
      <c r="I545" s="7"/>
      <c r="J545" s="7">
        <f>G545+H545</f>
        <v>0</v>
      </c>
      <c r="K545" s="7"/>
      <c r="L545" s="7"/>
      <c r="M545" s="7"/>
      <c r="N545" s="7"/>
      <c r="O545" s="7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5" t="s">
        <v>7</v>
      </c>
      <c r="B546" s="6"/>
      <c r="C546" s="6"/>
      <c r="D546" s="44"/>
      <c r="E546" s="44"/>
      <c r="F546" s="44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22.5">
      <c r="A547" s="8" t="s">
        <v>168</v>
      </c>
      <c r="B547" s="6"/>
      <c r="C547" s="6"/>
      <c r="D547" s="44">
        <f>200000/6</f>
        <v>33333.333333333336</v>
      </c>
      <c r="E547" s="44"/>
      <c r="F547" s="44">
        <f>D547</f>
        <v>33333.333333333336</v>
      </c>
      <c r="G547" s="7">
        <v>50000</v>
      </c>
      <c r="H547" s="7"/>
      <c r="I547" s="7"/>
      <c r="J547" s="7">
        <f>G547+H547</f>
        <v>50000</v>
      </c>
      <c r="K547" s="7"/>
      <c r="L547" s="7"/>
      <c r="M547" s="7"/>
      <c r="N547" s="7">
        <v>50000</v>
      </c>
      <c r="O547" s="7"/>
      <c r="P547" s="7">
        <f>N547</f>
        <v>50000</v>
      </c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37" t="s">
        <v>260</v>
      </c>
      <c r="B548" s="6"/>
      <c r="C548" s="6"/>
      <c r="D548" s="36">
        <f>D550</f>
        <v>0</v>
      </c>
      <c r="E548" s="36">
        <f aca="true" t="shared" si="63" ref="E548:P548">E550</f>
        <v>127784300</v>
      </c>
      <c r="F548" s="36">
        <f t="shared" si="63"/>
        <v>127784300</v>
      </c>
      <c r="G548" s="36">
        <f t="shared" si="63"/>
        <v>0</v>
      </c>
      <c r="H548" s="36">
        <f t="shared" si="63"/>
        <v>68207872</v>
      </c>
      <c r="I548" s="36">
        <f t="shared" si="63"/>
        <v>0</v>
      </c>
      <c r="J548" s="36">
        <f t="shared" si="63"/>
        <v>68207872</v>
      </c>
      <c r="K548" s="36">
        <f t="shared" si="63"/>
        <v>0</v>
      </c>
      <c r="L548" s="36">
        <f t="shared" si="63"/>
        <v>0</v>
      </c>
      <c r="M548" s="36">
        <f t="shared" si="63"/>
        <v>0</v>
      </c>
      <c r="N548" s="36">
        <f t="shared" si="63"/>
        <v>0</v>
      </c>
      <c r="O548" s="36">
        <f t="shared" si="63"/>
        <v>0</v>
      </c>
      <c r="P548" s="36">
        <f t="shared" si="63"/>
        <v>0</v>
      </c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22.5">
      <c r="A549" s="8" t="s">
        <v>170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17" s="159" customFormat="1" ht="33.75">
      <c r="A550" s="157" t="s">
        <v>425</v>
      </c>
      <c r="B550" s="141"/>
      <c r="C550" s="141"/>
      <c r="D550" s="145"/>
      <c r="E550" s="145">
        <f>E552</f>
        <v>127784300</v>
      </c>
      <c r="F550" s="145">
        <f>D550+E550</f>
        <v>127784300</v>
      </c>
      <c r="G550" s="145"/>
      <c r="H550" s="145">
        <f>H554*H556</f>
        <v>68207872</v>
      </c>
      <c r="I550" s="145">
        <f>I552</f>
        <v>0</v>
      </c>
      <c r="J550" s="145">
        <f>H550+I550</f>
        <v>68207872</v>
      </c>
      <c r="K550" s="145"/>
      <c r="L550" s="145"/>
      <c r="M550" s="145"/>
      <c r="N550" s="145"/>
      <c r="O550" s="145">
        <f>O554*O556</f>
        <v>0</v>
      </c>
      <c r="P550" s="145">
        <f>O550</f>
        <v>0</v>
      </c>
      <c r="Q550" s="158"/>
    </row>
    <row r="551" spans="1:235" ht="11.25">
      <c r="A551" s="5" t="s">
        <v>4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8" t="s">
        <v>43</v>
      </c>
      <c r="B552" s="6"/>
      <c r="C552" s="6"/>
      <c r="D552" s="7"/>
      <c r="E552" s="7">
        <v>127784300</v>
      </c>
      <c r="F552" s="7">
        <f>D552+E552</f>
        <v>127784300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5</v>
      </c>
      <c r="B553" s="6"/>
      <c r="C553" s="6"/>
      <c r="D553" s="7"/>
      <c r="E553" s="7"/>
      <c r="F553" s="7">
        <f>D553+E553</f>
        <v>0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8" t="s">
        <v>171</v>
      </c>
      <c r="B554" s="6"/>
      <c r="C554" s="6"/>
      <c r="D554" s="7"/>
      <c r="E554" s="7">
        <v>10</v>
      </c>
      <c r="F554" s="7">
        <f>D554+E554</f>
        <v>10</v>
      </c>
      <c r="G554" s="7"/>
      <c r="H554" s="7">
        <v>4</v>
      </c>
      <c r="I554" s="7"/>
      <c r="J554" s="7">
        <v>4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7</v>
      </c>
      <c r="B555" s="6"/>
      <c r="C555" s="6"/>
      <c r="D555" s="7"/>
      <c r="E555" s="7"/>
      <c r="F555" s="7">
        <f>D555+E555</f>
        <v>0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24.75" customHeight="1">
      <c r="A556" s="8" t="s">
        <v>172</v>
      </c>
      <c r="B556" s="6"/>
      <c r="C556" s="6"/>
      <c r="D556" s="7"/>
      <c r="E556" s="7">
        <f>399355600/9</f>
        <v>44372844.44444445</v>
      </c>
      <c r="F556" s="7">
        <f>D556+E556</f>
        <v>44372844.44444445</v>
      </c>
      <c r="G556" s="7"/>
      <c r="H556" s="7">
        <v>17051968</v>
      </c>
      <c r="I556" s="7"/>
      <c r="J556" s="7">
        <v>17051968</v>
      </c>
      <c r="K556" s="7"/>
      <c r="L556" s="7"/>
      <c r="M556" s="7"/>
      <c r="N556" s="7"/>
      <c r="O556" s="7"/>
      <c r="P556" s="85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37" t="s">
        <v>261</v>
      </c>
      <c r="B557" s="6"/>
      <c r="C557" s="6"/>
      <c r="D557" s="36">
        <f>D559</f>
        <v>760000</v>
      </c>
      <c r="E557" s="36">
        <f aca="true" t="shared" si="64" ref="E557:P557">E559</f>
        <v>1220000</v>
      </c>
      <c r="F557" s="36">
        <f t="shared" si="64"/>
        <v>1980000</v>
      </c>
      <c r="G557" s="36">
        <f t="shared" si="64"/>
        <v>3840000</v>
      </c>
      <c r="H557" s="36">
        <f t="shared" si="64"/>
        <v>6160000</v>
      </c>
      <c r="I557" s="36">
        <f t="shared" si="64"/>
        <v>10000000</v>
      </c>
      <c r="J557" s="36">
        <f t="shared" si="64"/>
        <v>10000000</v>
      </c>
      <c r="K557" s="36">
        <f t="shared" si="64"/>
        <v>0</v>
      </c>
      <c r="L557" s="36">
        <f t="shared" si="64"/>
        <v>0</v>
      </c>
      <c r="M557" s="36">
        <f t="shared" si="64"/>
        <v>0</v>
      </c>
      <c r="N557" s="36">
        <f t="shared" si="64"/>
        <v>760000</v>
      </c>
      <c r="O557" s="36">
        <f t="shared" si="64"/>
        <v>1220000</v>
      </c>
      <c r="P557" s="36">
        <f t="shared" si="64"/>
        <v>1980000</v>
      </c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56.25">
      <c r="A558" s="8" t="s">
        <v>181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17" s="39" customFormat="1" ht="36" customHeight="1">
      <c r="A559" s="34" t="s">
        <v>426</v>
      </c>
      <c r="B559" s="35"/>
      <c r="C559" s="35"/>
      <c r="D559" s="36">
        <f>D561</f>
        <v>760000</v>
      </c>
      <c r="E559" s="36">
        <f>E561</f>
        <v>1220000</v>
      </c>
      <c r="F559" s="36">
        <f>D559+E559</f>
        <v>1980000</v>
      </c>
      <c r="G559" s="36">
        <f>G561</f>
        <v>3840000</v>
      </c>
      <c r="H559" s="36">
        <f>H561</f>
        <v>6160000</v>
      </c>
      <c r="I559" s="36">
        <f>G559+H559</f>
        <v>10000000</v>
      </c>
      <c r="J559" s="36">
        <f>G559+H559</f>
        <v>10000000</v>
      </c>
      <c r="K559" s="36"/>
      <c r="L559" s="36"/>
      <c r="M559" s="36"/>
      <c r="N559" s="36">
        <f>N563*N565</f>
        <v>760000</v>
      </c>
      <c r="O559" s="36">
        <f>O563*O565</f>
        <v>1220000</v>
      </c>
      <c r="P559" s="36">
        <f>N559+O559</f>
        <v>1980000</v>
      </c>
      <c r="Q559" s="78"/>
    </row>
    <row r="560" spans="1:235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43</v>
      </c>
      <c r="B561" s="6"/>
      <c r="C561" s="6"/>
      <c r="D561" s="7">
        <f>D563*D565</f>
        <v>760000</v>
      </c>
      <c r="E561" s="7">
        <f>E563*E565</f>
        <v>1220000</v>
      </c>
      <c r="F561" s="7">
        <f>D561+E561</f>
        <v>1980000</v>
      </c>
      <c r="G561" s="7">
        <f>G563*G565</f>
        <v>3840000</v>
      </c>
      <c r="H561" s="7">
        <f>H563*H565</f>
        <v>6160000</v>
      </c>
      <c r="I561" s="7"/>
      <c r="J561" s="7">
        <f>G561+H561</f>
        <v>10000000</v>
      </c>
      <c r="K561" s="7"/>
      <c r="L561" s="7"/>
      <c r="M561" s="7"/>
      <c r="N561" s="7">
        <f>N563*N565</f>
        <v>760000</v>
      </c>
      <c r="O561" s="7">
        <f>O563*O565</f>
        <v>1220000</v>
      </c>
      <c r="P561" s="7">
        <f>N561+O561</f>
        <v>1980000</v>
      </c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22.5">
      <c r="A563" s="8" t="s">
        <v>182</v>
      </c>
      <c r="B563" s="6"/>
      <c r="C563" s="6"/>
      <c r="D563" s="7">
        <v>1</v>
      </c>
      <c r="E563" s="7">
        <v>1</v>
      </c>
      <c r="F563" s="7">
        <f>D563+E563</f>
        <v>2</v>
      </c>
      <c r="G563" s="7">
        <v>1</v>
      </c>
      <c r="H563" s="7">
        <v>1</v>
      </c>
      <c r="I563" s="7"/>
      <c r="J563" s="7">
        <v>1</v>
      </c>
      <c r="K563" s="7"/>
      <c r="L563" s="7"/>
      <c r="M563" s="7"/>
      <c r="N563" s="7">
        <v>1</v>
      </c>
      <c r="O563" s="7">
        <v>1</v>
      </c>
      <c r="P563" s="7">
        <v>1</v>
      </c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22.5">
      <c r="A565" s="8" t="s">
        <v>183</v>
      </c>
      <c r="B565" s="6"/>
      <c r="C565" s="6"/>
      <c r="D565" s="7">
        <v>760000</v>
      </c>
      <c r="E565" s="7">
        <v>1220000</v>
      </c>
      <c r="F565" s="7">
        <f>D565+E565</f>
        <v>1980000</v>
      </c>
      <c r="G565" s="7">
        <v>3840000</v>
      </c>
      <c r="H565" s="7">
        <v>6160000</v>
      </c>
      <c r="I565" s="7"/>
      <c r="J565" s="23">
        <f>J561/J563</f>
        <v>10000000</v>
      </c>
      <c r="K565" s="23"/>
      <c r="L565" s="23"/>
      <c r="M565" s="23"/>
      <c r="N565" s="23">
        <v>760000</v>
      </c>
      <c r="O565" s="23">
        <v>1220000</v>
      </c>
      <c r="P565" s="7">
        <f>N565+O565</f>
        <v>1980000</v>
      </c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/>
      <c r="B566" s="6"/>
      <c r="C566" s="6"/>
      <c r="D566" s="7"/>
      <c r="E566" s="7"/>
      <c r="F566" s="7"/>
      <c r="G566" s="7"/>
      <c r="H566" s="7"/>
      <c r="I566" s="7"/>
      <c r="J566" s="23"/>
      <c r="K566" s="23"/>
      <c r="L566" s="23"/>
      <c r="M566" s="23"/>
      <c r="N566" s="23"/>
      <c r="O566" s="23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17" s="52" customFormat="1" ht="11.25">
      <c r="A567" s="37" t="s">
        <v>352</v>
      </c>
      <c r="B567" s="37"/>
      <c r="C567" s="37"/>
      <c r="D567" s="30">
        <f>D571</f>
        <v>2178000</v>
      </c>
      <c r="E567" s="30">
        <f>E571</f>
        <v>0</v>
      </c>
      <c r="F567" s="30">
        <f>D567+E567</f>
        <v>2178000</v>
      </c>
      <c r="G567" s="30">
        <v>0</v>
      </c>
      <c r="H567" s="30">
        <v>0</v>
      </c>
      <c r="I567" s="30" t="e">
        <f>#REF!</f>
        <v>#REF!</v>
      </c>
      <c r="J567" s="129">
        <v>0</v>
      </c>
      <c r="K567" s="129" t="e">
        <f>#REF!</f>
        <v>#REF!</v>
      </c>
      <c r="L567" s="129" t="e">
        <f>#REF!</f>
        <v>#REF!</v>
      </c>
      <c r="M567" s="129" t="e">
        <f>#REF!</f>
        <v>#REF!</v>
      </c>
      <c r="N567" s="129">
        <v>0</v>
      </c>
      <c r="O567" s="129">
        <v>0</v>
      </c>
      <c r="P567" s="30">
        <v>0</v>
      </c>
      <c r="Q567" s="75" t="e">
        <f>#REF!</f>
        <v>#REF!</v>
      </c>
    </row>
    <row r="568" spans="1:235" ht="33.75">
      <c r="A568" s="8" t="s">
        <v>353</v>
      </c>
      <c r="B568" s="6"/>
      <c r="C568" s="6"/>
      <c r="D568" s="7"/>
      <c r="E568" s="7"/>
      <c r="F568" s="7"/>
      <c r="G568" s="7"/>
      <c r="H568" s="7"/>
      <c r="I568" s="7"/>
      <c r="J568" s="23"/>
      <c r="K568" s="23"/>
      <c r="L568" s="23"/>
      <c r="M568" s="23"/>
      <c r="N568" s="23"/>
      <c r="O568" s="23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52" customFormat="1" ht="22.5">
      <c r="A569" s="34" t="s">
        <v>427</v>
      </c>
      <c r="B569" s="37"/>
      <c r="C569" s="37"/>
      <c r="D569" s="30">
        <v>2178000</v>
      </c>
      <c r="E569" s="30"/>
      <c r="F569" s="30">
        <v>2178000</v>
      </c>
      <c r="G569" s="30"/>
      <c r="H569" s="30"/>
      <c r="I569" s="30"/>
      <c r="J569" s="129"/>
      <c r="K569" s="129"/>
      <c r="L569" s="129"/>
      <c r="M569" s="129"/>
      <c r="N569" s="129"/>
      <c r="O569" s="129"/>
      <c r="P569" s="30"/>
      <c r="Q569" s="75"/>
    </row>
    <row r="570" spans="1:235" ht="11.25">
      <c r="A570" s="5" t="s">
        <v>4</v>
      </c>
      <c r="B570" s="6"/>
      <c r="C570" s="6"/>
      <c r="D570" s="7"/>
      <c r="E570" s="7"/>
      <c r="F570" s="7"/>
      <c r="G570" s="7"/>
      <c r="H570" s="7"/>
      <c r="I570" s="7"/>
      <c r="J570" s="23"/>
      <c r="K570" s="23"/>
      <c r="L570" s="23"/>
      <c r="M570" s="23"/>
      <c r="N570" s="23"/>
      <c r="O570" s="23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43</v>
      </c>
      <c r="B571" s="6"/>
      <c r="C571" s="6"/>
      <c r="D571" s="7">
        <v>2178000</v>
      </c>
      <c r="E571" s="7"/>
      <c r="F571" s="7">
        <f>D571+E571</f>
        <v>2178000</v>
      </c>
      <c r="G571" s="7"/>
      <c r="H571" s="7"/>
      <c r="I571" s="7"/>
      <c r="J571" s="23"/>
      <c r="K571" s="23"/>
      <c r="L571" s="23"/>
      <c r="M571" s="23"/>
      <c r="N571" s="23"/>
      <c r="O571" s="23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5</v>
      </c>
      <c r="B572" s="6"/>
      <c r="C572" s="6"/>
      <c r="D572" s="7"/>
      <c r="E572" s="7"/>
      <c r="F572" s="7"/>
      <c r="G572" s="7"/>
      <c r="H572" s="7"/>
      <c r="I572" s="7"/>
      <c r="J572" s="23"/>
      <c r="K572" s="23"/>
      <c r="L572" s="23"/>
      <c r="M572" s="23"/>
      <c r="N572" s="23"/>
      <c r="O572" s="23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22.5">
      <c r="A573" s="8" t="s">
        <v>354</v>
      </c>
      <c r="B573" s="6"/>
      <c r="C573" s="6"/>
      <c r="D573" s="7">
        <v>60</v>
      </c>
      <c r="E573" s="7"/>
      <c r="F573" s="7">
        <v>60</v>
      </c>
      <c r="G573" s="7"/>
      <c r="H573" s="7"/>
      <c r="I573" s="7"/>
      <c r="J573" s="23"/>
      <c r="K573" s="23"/>
      <c r="L573" s="23"/>
      <c r="M573" s="23"/>
      <c r="N573" s="23"/>
      <c r="O573" s="23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7</v>
      </c>
      <c r="B574" s="6"/>
      <c r="C574" s="6"/>
      <c r="D574" s="7"/>
      <c r="E574" s="7"/>
      <c r="F574" s="7"/>
      <c r="G574" s="7"/>
      <c r="H574" s="7"/>
      <c r="I574" s="7"/>
      <c r="J574" s="23"/>
      <c r="K574" s="23"/>
      <c r="L574" s="23"/>
      <c r="M574" s="23"/>
      <c r="N574" s="23"/>
      <c r="O574" s="23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22.5">
      <c r="A575" s="8" t="s">
        <v>355</v>
      </c>
      <c r="B575" s="6"/>
      <c r="C575" s="6"/>
      <c r="D575" s="7">
        <f>D571/D573</f>
        <v>36300</v>
      </c>
      <c r="E575" s="7"/>
      <c r="F575" s="7">
        <f>F571/F573</f>
        <v>36300</v>
      </c>
      <c r="G575" s="7"/>
      <c r="H575" s="7"/>
      <c r="I575" s="7"/>
      <c r="J575" s="23"/>
      <c r="K575" s="23"/>
      <c r="L575" s="23"/>
      <c r="M575" s="23"/>
      <c r="N575" s="23"/>
      <c r="O575" s="23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8"/>
      <c r="B576" s="6"/>
      <c r="C576" s="6"/>
      <c r="D576" s="7"/>
      <c r="E576" s="7"/>
      <c r="F576" s="7"/>
      <c r="G576" s="7"/>
      <c r="H576" s="7"/>
      <c r="I576" s="7"/>
      <c r="J576" s="23"/>
      <c r="K576" s="23"/>
      <c r="L576" s="23"/>
      <c r="M576" s="23"/>
      <c r="N576" s="23"/>
      <c r="O576" s="23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37" t="s">
        <v>337</v>
      </c>
      <c r="B577" s="6"/>
      <c r="C577" s="6"/>
      <c r="D577" s="36">
        <f>D579</f>
        <v>3000000</v>
      </c>
      <c r="E577" s="36">
        <f aca="true" t="shared" si="65" ref="E577:Q577">E579</f>
        <v>0</v>
      </c>
      <c r="F577" s="36">
        <f t="shared" si="65"/>
        <v>3000000</v>
      </c>
      <c r="G577" s="36">
        <f t="shared" si="65"/>
        <v>3000000</v>
      </c>
      <c r="H577" s="36">
        <f t="shared" si="65"/>
        <v>0</v>
      </c>
      <c r="I577" s="36">
        <f t="shared" si="65"/>
        <v>0</v>
      </c>
      <c r="J577" s="36">
        <f t="shared" si="65"/>
        <v>3000000</v>
      </c>
      <c r="K577" s="36">
        <f t="shared" si="65"/>
        <v>0</v>
      </c>
      <c r="L577" s="36">
        <f t="shared" si="65"/>
        <v>0</v>
      </c>
      <c r="M577" s="36">
        <f t="shared" si="65"/>
        <v>0</v>
      </c>
      <c r="N577" s="36">
        <f t="shared" si="65"/>
        <v>0</v>
      </c>
      <c r="O577" s="36">
        <f t="shared" si="65"/>
        <v>0</v>
      </c>
      <c r="P577" s="36">
        <f t="shared" si="65"/>
        <v>0</v>
      </c>
      <c r="Q577" s="36">
        <f t="shared" si="65"/>
        <v>0</v>
      </c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22.5">
      <c r="A578" s="8" t="s">
        <v>264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17" s="39" customFormat="1" ht="37.5" customHeight="1">
      <c r="A579" s="34" t="s">
        <v>428</v>
      </c>
      <c r="B579" s="35"/>
      <c r="C579" s="35"/>
      <c r="D579" s="45">
        <f>D581</f>
        <v>3000000</v>
      </c>
      <c r="E579" s="45"/>
      <c r="F579" s="45">
        <f>D579+E579</f>
        <v>3000000</v>
      </c>
      <c r="G579" s="36">
        <f>G584*G586</f>
        <v>3000000</v>
      </c>
      <c r="H579" s="36"/>
      <c r="I579" s="36"/>
      <c r="J579" s="36">
        <f>J581</f>
        <v>3000000</v>
      </c>
      <c r="K579" s="36"/>
      <c r="L579" s="36"/>
      <c r="M579" s="36"/>
      <c r="N579" s="36">
        <f>N581</f>
        <v>0</v>
      </c>
      <c r="O579" s="36"/>
      <c r="P579" s="36">
        <f>N579</f>
        <v>0</v>
      </c>
      <c r="Q579" s="78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0.5" customHeight="1">
      <c r="A581" s="8" t="s">
        <v>43</v>
      </c>
      <c r="B581" s="6"/>
      <c r="C581" s="6"/>
      <c r="D581" s="84">
        <f>D584*D586</f>
        <v>3000000</v>
      </c>
      <c r="E581" s="84"/>
      <c r="F581" s="84">
        <f>D581+E581</f>
        <v>3000000</v>
      </c>
      <c r="G581" s="7">
        <f>G584*G586</f>
        <v>3000000</v>
      </c>
      <c r="H581" s="7"/>
      <c r="I581" s="7"/>
      <c r="J581" s="7">
        <f>G581+H581</f>
        <v>3000000</v>
      </c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84"/>
      <c r="E582" s="84"/>
      <c r="F582" s="8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0.75" customHeight="1">
      <c r="A583" s="8" t="s">
        <v>169</v>
      </c>
      <c r="B583" s="6"/>
      <c r="C583" s="6"/>
      <c r="D583" s="84"/>
      <c r="E583" s="84"/>
      <c r="F583" s="84">
        <f>D583+E583</f>
        <v>0</v>
      </c>
      <c r="G583" s="84"/>
      <c r="H583" s="84"/>
      <c r="I583" s="84"/>
      <c r="J583" s="84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176</v>
      </c>
      <c r="B584" s="6"/>
      <c r="C584" s="6"/>
      <c r="D584" s="84">
        <v>667</v>
      </c>
      <c r="E584" s="84"/>
      <c r="F584" s="84">
        <f>D584+E584</f>
        <v>667</v>
      </c>
      <c r="G584" s="84">
        <v>667</v>
      </c>
      <c r="H584" s="84"/>
      <c r="I584" s="84"/>
      <c r="J584" s="84">
        <f>G584+H584</f>
        <v>667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0.5" customHeight="1">
      <c r="A585" s="5" t="s">
        <v>7</v>
      </c>
      <c r="B585" s="6"/>
      <c r="C585" s="6"/>
      <c r="D585" s="84"/>
      <c r="E585" s="84"/>
      <c r="F585" s="8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 customHeight="1">
      <c r="A586" s="8" t="s">
        <v>177</v>
      </c>
      <c r="B586" s="6"/>
      <c r="C586" s="6"/>
      <c r="D586" s="7">
        <f>3000000/667</f>
        <v>4497.751124437781</v>
      </c>
      <c r="E586" s="7"/>
      <c r="F586" s="84">
        <f>D586+E586</f>
        <v>4497.751124437781</v>
      </c>
      <c r="G586" s="7">
        <f>3000000/667</f>
        <v>4497.751124437781</v>
      </c>
      <c r="H586" s="7"/>
      <c r="I586" s="7"/>
      <c r="J586" s="7">
        <f>G586+H586</f>
        <v>4497.751124437781</v>
      </c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126" t="s">
        <v>338</v>
      </c>
      <c r="B587" s="6"/>
      <c r="C587" s="6"/>
      <c r="D587" s="30">
        <f>D588</f>
        <v>656000</v>
      </c>
      <c r="E587" s="30">
        <f>E588</f>
        <v>0</v>
      </c>
      <c r="F587" s="30">
        <f>F588</f>
        <v>656000</v>
      </c>
      <c r="G587" s="30">
        <f>G588</f>
        <v>819000</v>
      </c>
      <c r="H587" s="30"/>
      <c r="I587" s="30">
        <f>I588</f>
        <v>0</v>
      </c>
      <c r="J587" s="30">
        <f>G587</f>
        <v>819000</v>
      </c>
      <c r="K587" s="7"/>
      <c r="L587" s="7"/>
      <c r="M587" s="7"/>
      <c r="N587" s="30">
        <f>N588</f>
        <v>725000</v>
      </c>
      <c r="O587" s="30"/>
      <c r="P587" s="30">
        <f>N587</f>
        <v>725000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39" customFormat="1" ht="22.5">
      <c r="A588" s="34" t="s">
        <v>429</v>
      </c>
      <c r="B588" s="35"/>
      <c r="C588" s="35"/>
      <c r="D588" s="36">
        <f>D590</f>
        <v>656000</v>
      </c>
      <c r="E588" s="36"/>
      <c r="F588" s="7">
        <f>D588</f>
        <v>656000</v>
      </c>
      <c r="G588" s="36">
        <f>G592*G594</f>
        <v>819000</v>
      </c>
      <c r="H588" s="36"/>
      <c r="I588" s="36"/>
      <c r="J588" s="36">
        <f>G588</f>
        <v>819000</v>
      </c>
      <c r="K588" s="36"/>
      <c r="L588" s="36"/>
      <c r="M588" s="36"/>
      <c r="N588" s="36">
        <f>N592*N594</f>
        <v>725000</v>
      </c>
      <c r="O588" s="36"/>
      <c r="P588" s="30">
        <f>N588</f>
        <v>725000</v>
      </c>
      <c r="Q588" s="78"/>
    </row>
    <row r="589" spans="1:235" ht="11.25">
      <c r="A589" s="5" t="s">
        <v>4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22.5">
      <c r="A590" s="8" t="s">
        <v>49</v>
      </c>
      <c r="B590" s="6"/>
      <c r="C590" s="6"/>
      <c r="D590" s="7">
        <f>D592*D594</f>
        <v>656000</v>
      </c>
      <c r="E590" s="7"/>
      <c r="F590" s="7">
        <f>D590</f>
        <v>656000</v>
      </c>
      <c r="G590" s="7">
        <v>819000</v>
      </c>
      <c r="H590" s="7"/>
      <c r="I590" s="7"/>
      <c r="J590" s="7">
        <f>G590</f>
        <v>819000</v>
      </c>
      <c r="K590" s="7"/>
      <c r="L590" s="7"/>
      <c r="M590" s="7"/>
      <c r="N590" s="7">
        <f>N592*N594</f>
        <v>725000</v>
      </c>
      <c r="O590" s="7"/>
      <c r="P590" s="7">
        <f>N590</f>
        <v>725000</v>
      </c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5" t="s">
        <v>5</v>
      </c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27.75" customHeight="1">
      <c r="A592" s="8" t="s">
        <v>48</v>
      </c>
      <c r="B592" s="6"/>
      <c r="C592" s="6"/>
      <c r="D592" s="7">
        <v>16</v>
      </c>
      <c r="E592" s="7"/>
      <c r="F592" s="7">
        <f>D592</f>
        <v>16</v>
      </c>
      <c r="G592" s="7">
        <v>16</v>
      </c>
      <c r="H592" s="7"/>
      <c r="I592" s="7"/>
      <c r="J592" s="7">
        <f>G592</f>
        <v>16</v>
      </c>
      <c r="K592" s="7"/>
      <c r="L592" s="7"/>
      <c r="M592" s="7"/>
      <c r="N592" s="7">
        <v>16</v>
      </c>
      <c r="O592" s="7"/>
      <c r="P592" s="7">
        <f>N592</f>
        <v>16</v>
      </c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7</v>
      </c>
      <c r="B593" s="6"/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33.75">
      <c r="A594" s="8" t="s">
        <v>50</v>
      </c>
      <c r="B594" s="6"/>
      <c r="C594" s="6"/>
      <c r="D594" s="7">
        <v>41000</v>
      </c>
      <c r="E594" s="7"/>
      <c r="F594" s="7">
        <v>41000</v>
      </c>
      <c r="G594" s="7">
        <v>51187.5</v>
      </c>
      <c r="H594" s="7"/>
      <c r="I594" s="7"/>
      <c r="J594" s="7">
        <f>G594</f>
        <v>51187.5</v>
      </c>
      <c r="K594" s="7"/>
      <c r="L594" s="7"/>
      <c r="M594" s="7"/>
      <c r="N594" s="7">
        <v>45312.5</v>
      </c>
      <c r="O594" s="7"/>
      <c r="P594" s="7">
        <f>N594</f>
        <v>45312.5</v>
      </c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37" t="s">
        <v>369</v>
      </c>
      <c r="B595" s="6"/>
      <c r="C595" s="6"/>
      <c r="D595" s="36"/>
      <c r="E595" s="36">
        <f>E597+E610</f>
        <v>94580322</v>
      </c>
      <c r="F595" s="36">
        <f>D595+E595</f>
        <v>94580322</v>
      </c>
      <c r="G595" s="36">
        <f aca="true" t="shared" si="66" ref="G595:P595">G597+G610</f>
        <v>0</v>
      </c>
      <c r="H595" s="36">
        <f t="shared" si="66"/>
        <v>92000000</v>
      </c>
      <c r="I595" s="36">
        <f t="shared" si="66"/>
        <v>0</v>
      </c>
      <c r="J595" s="36">
        <f t="shared" si="66"/>
        <v>92000000</v>
      </c>
      <c r="K595" s="36">
        <f t="shared" si="66"/>
        <v>0</v>
      </c>
      <c r="L595" s="36">
        <f t="shared" si="66"/>
        <v>0</v>
      </c>
      <c r="M595" s="36">
        <f t="shared" si="66"/>
        <v>0</v>
      </c>
      <c r="N595" s="36">
        <f t="shared" si="66"/>
        <v>0</v>
      </c>
      <c r="O595" s="36">
        <f t="shared" si="66"/>
        <v>95000000</v>
      </c>
      <c r="P595" s="36">
        <f t="shared" si="66"/>
        <v>95000000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202</v>
      </c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17" s="39" customFormat="1" ht="22.5">
      <c r="A597" s="34" t="s">
        <v>430</v>
      </c>
      <c r="B597" s="35"/>
      <c r="C597" s="35"/>
      <c r="D597" s="86"/>
      <c r="E597" s="86">
        <f>E599+E605+E606+E607</f>
        <v>94580322</v>
      </c>
      <c r="F597" s="86">
        <f>D597+E597</f>
        <v>94580322</v>
      </c>
      <c r="G597" s="36">
        <f>G599</f>
        <v>0</v>
      </c>
      <c r="H597" s="36">
        <f>SUM(H599)</f>
        <v>92000000</v>
      </c>
      <c r="I597" s="36"/>
      <c r="J597" s="36">
        <f>G597+H597+I597</f>
        <v>92000000</v>
      </c>
      <c r="K597" s="36"/>
      <c r="L597" s="36"/>
      <c r="M597" s="36"/>
      <c r="N597" s="36"/>
      <c r="O597" s="36">
        <f>O599</f>
        <v>95000000</v>
      </c>
      <c r="P597" s="36">
        <f>N597+O597</f>
        <v>95000000</v>
      </c>
      <c r="Q597" s="78"/>
    </row>
    <row r="598" spans="1:17" s="39" customFormat="1" ht="11.25">
      <c r="A598" s="34" t="s">
        <v>4</v>
      </c>
      <c r="B598" s="35"/>
      <c r="C598" s="35"/>
      <c r="D598" s="86"/>
      <c r="E598" s="86"/>
      <c r="F598" s="8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78"/>
    </row>
    <row r="599" spans="1:17" s="39" customFormat="1" ht="11.25">
      <c r="A599" s="40" t="s">
        <v>43</v>
      </c>
      <c r="B599" s="41"/>
      <c r="C599" s="41"/>
      <c r="D599" s="80"/>
      <c r="E599" s="80">
        <f>E601*E603+1224322-0.03+30000+1000000+37400</f>
        <v>90291722</v>
      </c>
      <c r="F599" s="80">
        <f>F601*F603+1224322-0.03+30000+1000000</f>
        <v>90254322</v>
      </c>
      <c r="G599" s="87"/>
      <c r="H599" s="87">
        <v>92000000</v>
      </c>
      <c r="I599" s="87"/>
      <c r="J599" s="87">
        <f>H599</f>
        <v>92000000</v>
      </c>
      <c r="K599" s="87"/>
      <c r="L599" s="87"/>
      <c r="M599" s="87"/>
      <c r="N599" s="87"/>
      <c r="O599" s="87">
        <v>95000000</v>
      </c>
      <c r="P599" s="87">
        <f>O599</f>
        <v>95000000</v>
      </c>
      <c r="Q599" s="78"/>
    </row>
    <row r="600" spans="1:17" s="39" customFormat="1" ht="11.25">
      <c r="A600" s="34" t="s">
        <v>5</v>
      </c>
      <c r="B600" s="35"/>
      <c r="C600" s="35"/>
      <c r="D600" s="86"/>
      <c r="E600" s="86"/>
      <c r="F600" s="8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78"/>
    </row>
    <row r="601" spans="1:17" s="39" customFormat="1" ht="11.25">
      <c r="A601" s="40" t="s">
        <v>188</v>
      </c>
      <c r="B601" s="41"/>
      <c r="C601" s="41"/>
      <c r="D601" s="80"/>
      <c r="E601" s="80">
        <v>17</v>
      </c>
      <c r="F601" s="80">
        <v>17</v>
      </c>
      <c r="G601" s="87"/>
      <c r="H601" s="87">
        <v>11</v>
      </c>
      <c r="I601" s="87"/>
      <c r="J601" s="87">
        <f>H601</f>
        <v>11</v>
      </c>
      <c r="K601" s="87">
        <f>H601</f>
        <v>11</v>
      </c>
      <c r="L601" s="87">
        <f>J601</f>
        <v>11</v>
      </c>
      <c r="M601" s="87">
        <f>K601</f>
        <v>11</v>
      </c>
      <c r="N601" s="87"/>
      <c r="O601" s="87">
        <v>8</v>
      </c>
      <c r="P601" s="87">
        <f>O601</f>
        <v>8</v>
      </c>
      <c r="Q601" s="78"/>
    </row>
    <row r="602" spans="1:17" s="39" customFormat="1" ht="11.25">
      <c r="A602" s="40" t="s">
        <v>7</v>
      </c>
      <c r="B602" s="41"/>
      <c r="C602" s="41"/>
      <c r="D602" s="80"/>
      <c r="E602" s="80"/>
      <c r="F602" s="80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78"/>
    </row>
    <row r="603" spans="1:17" s="39" customFormat="1" ht="22.5">
      <c r="A603" s="40" t="s">
        <v>263</v>
      </c>
      <c r="B603" s="41"/>
      <c r="C603" s="41"/>
      <c r="D603" s="80"/>
      <c r="E603" s="87">
        <v>5176470.59</v>
      </c>
      <c r="F603" s="87">
        <v>5176470.59</v>
      </c>
      <c r="G603" s="87"/>
      <c r="H603" s="87">
        <f>SUM(H599)/H601</f>
        <v>8363636.363636363</v>
      </c>
      <c r="I603" s="87"/>
      <c r="J603" s="87">
        <f>SUM(J599)/J601</f>
        <v>8363636.363636363</v>
      </c>
      <c r="K603" s="87"/>
      <c r="L603" s="87"/>
      <c r="M603" s="87"/>
      <c r="N603" s="87"/>
      <c r="O603" s="87">
        <f>SUM(O599)/O601</f>
        <v>11875000</v>
      </c>
      <c r="P603" s="87">
        <f>SUM(P599)/P601</f>
        <v>11875000</v>
      </c>
      <c r="Q603" s="78"/>
    </row>
    <row r="604" spans="1:17" s="52" customFormat="1" ht="11.25">
      <c r="A604" s="34" t="s">
        <v>5</v>
      </c>
      <c r="B604" s="35"/>
      <c r="C604" s="35"/>
      <c r="D604" s="86"/>
      <c r="E604" s="86"/>
      <c r="F604" s="8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75"/>
    </row>
    <row r="605" spans="1:235" ht="33.75">
      <c r="A605" s="88" t="s">
        <v>282</v>
      </c>
      <c r="B605" s="29"/>
      <c r="C605" s="29"/>
      <c r="D605" s="89"/>
      <c r="E605" s="48">
        <v>621600</v>
      </c>
      <c r="F605" s="48">
        <v>621600</v>
      </c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88" t="s">
        <v>370</v>
      </c>
      <c r="B606" s="29"/>
      <c r="C606" s="29"/>
      <c r="D606" s="89"/>
      <c r="E606" s="48">
        <v>1247000</v>
      </c>
      <c r="F606" s="48">
        <f>E606</f>
        <v>1247000</v>
      </c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33.75">
      <c r="A607" s="88" t="s">
        <v>379</v>
      </c>
      <c r="B607" s="29"/>
      <c r="C607" s="29"/>
      <c r="D607" s="89"/>
      <c r="E607" s="48">
        <v>2420000</v>
      </c>
      <c r="F607" s="48">
        <f>E607</f>
        <v>2420000</v>
      </c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91" customFormat="1" ht="14.25" customHeight="1">
      <c r="A608" s="37" t="s">
        <v>339</v>
      </c>
      <c r="B608" s="37"/>
      <c r="C608" s="37"/>
      <c r="D608" s="81">
        <f>SUM(D610)</f>
        <v>0</v>
      </c>
      <c r="E608" s="81"/>
      <c r="F608" s="81">
        <f>SUM(F610)</f>
        <v>0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90"/>
    </row>
    <row r="609" spans="1:17" s="22" customFormat="1" ht="21.75" customHeight="1">
      <c r="A609" s="8" t="s">
        <v>341</v>
      </c>
      <c r="B609" s="6"/>
      <c r="C609" s="6"/>
      <c r="D609" s="84"/>
      <c r="E609" s="84"/>
      <c r="F609" s="84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4"/>
    </row>
    <row r="610" spans="1:17" s="95" customFormat="1" ht="16.5" customHeight="1">
      <c r="A610" s="92" t="s">
        <v>431</v>
      </c>
      <c r="B610" s="93"/>
      <c r="C610" s="93"/>
      <c r="D610" s="94">
        <f>SUM(D612)</f>
        <v>0</v>
      </c>
      <c r="E610" s="94">
        <f>SUM(E612)</f>
        <v>0</v>
      </c>
      <c r="F610" s="94">
        <f>SUM(F612)</f>
        <v>0</v>
      </c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78"/>
    </row>
    <row r="611" spans="1:235" ht="11.25">
      <c r="A611" s="34" t="s">
        <v>4</v>
      </c>
      <c r="B611" s="6"/>
      <c r="C611" s="6"/>
      <c r="D611" s="84"/>
      <c r="E611" s="84"/>
      <c r="F611" s="84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5" customHeight="1">
      <c r="A612" s="40" t="s">
        <v>43</v>
      </c>
      <c r="B612" s="6"/>
      <c r="C612" s="6"/>
      <c r="D612" s="84">
        <v>0</v>
      </c>
      <c r="E612" s="84"/>
      <c r="F612" s="84">
        <f>SUM(D612:E612)</f>
        <v>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17" s="52" customFormat="1" ht="11.25">
      <c r="A613" s="34" t="s">
        <v>5</v>
      </c>
      <c r="B613" s="37"/>
      <c r="C613" s="37"/>
      <c r="D613" s="81"/>
      <c r="E613" s="81"/>
      <c r="F613" s="81">
        <f>SUM(D613:E613)</f>
        <v>0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75"/>
    </row>
    <row r="614" spans="1:235" ht="13.5" customHeight="1">
      <c r="A614" s="34" t="s">
        <v>342</v>
      </c>
      <c r="B614" s="6"/>
      <c r="C614" s="6"/>
      <c r="D614" s="84">
        <v>0</v>
      </c>
      <c r="E614" s="84"/>
      <c r="F614" s="84">
        <f>SUM(D614:E614)</f>
        <v>0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52" customFormat="1" ht="16.5" customHeight="1">
      <c r="A615" s="34" t="s">
        <v>7</v>
      </c>
      <c r="B615" s="37"/>
      <c r="C615" s="37"/>
      <c r="D615" s="81"/>
      <c r="E615" s="81"/>
      <c r="F615" s="81"/>
      <c r="G615" s="81"/>
      <c r="H615" s="81"/>
      <c r="I615" s="81"/>
      <c r="J615" s="30"/>
      <c r="K615" s="81"/>
      <c r="L615" s="81"/>
      <c r="M615" s="81"/>
      <c r="N615" s="81"/>
      <c r="O615" s="81"/>
      <c r="P615" s="81"/>
      <c r="Q615" s="75"/>
    </row>
    <row r="616" spans="1:235" ht="11.25">
      <c r="A616" s="34" t="s">
        <v>340</v>
      </c>
      <c r="B616" s="6"/>
      <c r="C616" s="6"/>
      <c r="D616" s="84">
        <v>0</v>
      </c>
      <c r="E616" s="84"/>
      <c r="F616" s="84">
        <f>SUM(D616:E616)</f>
        <v>0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37" t="s">
        <v>262</v>
      </c>
      <c r="B617" s="6"/>
      <c r="C617" s="6"/>
      <c r="D617" s="81">
        <f>D619</f>
        <v>0</v>
      </c>
      <c r="E617" s="81">
        <f>E619</f>
        <v>-2074090</v>
      </c>
      <c r="F617" s="81">
        <f>F619</f>
        <v>-2074090</v>
      </c>
      <c r="G617" s="81">
        <f aca="true" t="shared" si="67" ref="G617:Q617">G619</f>
        <v>0</v>
      </c>
      <c r="H617" s="81">
        <f t="shared" si="67"/>
        <v>0</v>
      </c>
      <c r="I617" s="81">
        <f t="shared" si="67"/>
        <v>0</v>
      </c>
      <c r="J617" s="81">
        <f t="shared" si="67"/>
        <v>0</v>
      </c>
      <c r="K617" s="81">
        <f t="shared" si="67"/>
        <v>0</v>
      </c>
      <c r="L617" s="81">
        <f t="shared" si="67"/>
        <v>0</v>
      </c>
      <c r="M617" s="81">
        <f t="shared" si="67"/>
        <v>0</v>
      </c>
      <c r="N617" s="81">
        <f t="shared" si="67"/>
        <v>0</v>
      </c>
      <c r="O617" s="81">
        <f t="shared" si="67"/>
        <v>0</v>
      </c>
      <c r="P617" s="81">
        <f t="shared" si="67"/>
        <v>0</v>
      </c>
      <c r="Q617" s="81">
        <f t="shared" si="67"/>
        <v>0</v>
      </c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7.25" customHeight="1">
      <c r="A618" s="8" t="s">
        <v>199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17" s="52" customFormat="1" ht="22.5">
      <c r="A619" s="34" t="s">
        <v>432</v>
      </c>
      <c r="B619" s="37"/>
      <c r="C619" s="37"/>
      <c r="D619" s="81"/>
      <c r="E619" s="81">
        <f>E621</f>
        <v>-2074090</v>
      </c>
      <c r="F619" s="81">
        <f>D619+E619</f>
        <v>-2074090</v>
      </c>
      <c r="G619" s="30"/>
      <c r="H619" s="36">
        <f>H621</f>
        <v>0</v>
      </c>
      <c r="I619" s="36"/>
      <c r="J619" s="36">
        <f>H619</f>
        <v>0</v>
      </c>
      <c r="K619" s="36"/>
      <c r="L619" s="36"/>
      <c r="M619" s="36"/>
      <c r="N619" s="36"/>
      <c r="O619" s="36">
        <f>O621</f>
        <v>0</v>
      </c>
      <c r="P619" s="36">
        <f>O619</f>
        <v>0</v>
      </c>
      <c r="Q619" s="75"/>
    </row>
    <row r="620" spans="1:235" ht="11.25">
      <c r="A620" s="5" t="s">
        <v>4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201</v>
      </c>
      <c r="B621" s="6"/>
      <c r="C621" s="6"/>
      <c r="D621" s="49"/>
      <c r="E621" s="49">
        <f>E623*E625</f>
        <v>-2074090</v>
      </c>
      <c r="F621" s="49">
        <f>F623*F625</f>
        <v>-2074090</v>
      </c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5</v>
      </c>
      <c r="B622" s="6"/>
      <c r="C622" s="6"/>
      <c r="D622" s="49"/>
      <c r="E622" s="49"/>
      <c r="F622" s="49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22.5">
      <c r="A623" s="8" t="s">
        <v>200</v>
      </c>
      <c r="B623" s="6"/>
      <c r="C623" s="6"/>
      <c r="D623" s="49"/>
      <c r="E623" s="49">
        <v>2</v>
      </c>
      <c r="F623" s="49">
        <f>D623+E623</f>
        <v>2</v>
      </c>
      <c r="G623" s="87"/>
      <c r="H623" s="96"/>
      <c r="I623" s="87"/>
      <c r="J623" s="96"/>
      <c r="K623" s="87"/>
      <c r="L623" s="87"/>
      <c r="M623" s="87"/>
      <c r="N623" s="87"/>
      <c r="O623" s="96"/>
      <c r="P623" s="96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34" t="s">
        <v>7</v>
      </c>
      <c r="B624" s="6"/>
      <c r="C624" s="6"/>
      <c r="D624" s="49"/>
      <c r="E624" s="49"/>
      <c r="F624" s="49"/>
      <c r="G624" s="87"/>
      <c r="H624" s="96"/>
      <c r="I624" s="87"/>
      <c r="J624" s="96"/>
      <c r="K624" s="87"/>
      <c r="L624" s="87"/>
      <c r="M624" s="87"/>
      <c r="N624" s="87"/>
      <c r="O624" s="96"/>
      <c r="P624" s="96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>
      <c r="A625" s="40" t="s">
        <v>348</v>
      </c>
      <c r="B625" s="6"/>
      <c r="C625" s="6"/>
      <c r="D625" s="49"/>
      <c r="E625" s="49">
        <v>-1037045</v>
      </c>
      <c r="F625" s="49">
        <v>-1037045</v>
      </c>
      <c r="G625" s="87"/>
      <c r="H625" s="96"/>
      <c r="I625" s="87"/>
      <c r="J625" s="96"/>
      <c r="K625" s="87"/>
      <c r="L625" s="87"/>
      <c r="M625" s="87"/>
      <c r="N625" s="87"/>
      <c r="O625" s="96"/>
      <c r="P625" s="96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21.75" customHeight="1">
      <c r="A626" s="37" t="s">
        <v>269</v>
      </c>
      <c r="B626" s="6"/>
      <c r="C626" s="6"/>
      <c r="D626" s="81">
        <f>D628</f>
        <v>0</v>
      </c>
      <c r="E626" s="81">
        <f aca="true" t="shared" si="68" ref="E626:P626">E628</f>
        <v>74070200</v>
      </c>
      <c r="F626" s="81">
        <f t="shared" si="68"/>
        <v>74070200</v>
      </c>
      <c r="G626" s="81">
        <f t="shared" si="68"/>
        <v>0</v>
      </c>
      <c r="H626" s="81">
        <f t="shared" si="68"/>
        <v>0</v>
      </c>
      <c r="I626" s="81">
        <f t="shared" si="68"/>
        <v>0</v>
      </c>
      <c r="J626" s="81">
        <f t="shared" si="68"/>
        <v>0</v>
      </c>
      <c r="K626" s="81">
        <f t="shared" si="68"/>
        <v>0</v>
      </c>
      <c r="L626" s="81">
        <f t="shared" si="68"/>
        <v>0</v>
      </c>
      <c r="M626" s="81">
        <f t="shared" si="68"/>
        <v>0</v>
      </c>
      <c r="N626" s="81">
        <f t="shared" si="68"/>
        <v>0</v>
      </c>
      <c r="O626" s="81">
        <f t="shared" si="68"/>
        <v>0</v>
      </c>
      <c r="P626" s="81">
        <f t="shared" si="68"/>
        <v>0</v>
      </c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21.75" customHeight="1">
      <c r="A627" s="8" t="s">
        <v>265</v>
      </c>
      <c r="B627" s="6"/>
      <c r="C627" s="6"/>
      <c r="D627" s="84"/>
      <c r="E627" s="84"/>
      <c r="F627" s="84"/>
      <c r="G627" s="7"/>
      <c r="H627" s="7"/>
      <c r="I627" s="7"/>
      <c r="J627" s="7"/>
      <c r="K627" s="7"/>
      <c r="L627" s="7"/>
      <c r="M627" s="7"/>
      <c r="N627" s="7"/>
      <c r="O627" s="7"/>
      <c r="P627" s="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1.75" customHeight="1">
      <c r="A628" s="34" t="s">
        <v>433</v>
      </c>
      <c r="B628" s="37"/>
      <c r="C628" s="37"/>
      <c r="D628" s="81"/>
      <c r="E628" s="81">
        <f>E630</f>
        <v>74070200</v>
      </c>
      <c r="F628" s="81">
        <f>D628+E628</f>
        <v>74070200</v>
      </c>
      <c r="G628" s="30"/>
      <c r="H628" s="36">
        <f>H630</f>
        <v>0</v>
      </c>
      <c r="I628" s="36"/>
      <c r="J628" s="36">
        <f>H628</f>
        <v>0</v>
      </c>
      <c r="K628" s="36"/>
      <c r="L628" s="36"/>
      <c r="M628" s="36"/>
      <c r="N628" s="36"/>
      <c r="O628" s="36">
        <f>O630</f>
        <v>0</v>
      </c>
      <c r="P628" s="36">
        <f>O628</f>
        <v>0</v>
      </c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21.75" customHeight="1">
      <c r="A629" s="5" t="s">
        <v>4</v>
      </c>
      <c r="B629" s="6"/>
      <c r="C629" s="6"/>
      <c r="D629" s="84"/>
      <c r="E629" s="84"/>
      <c r="F629" s="84"/>
      <c r="G629" s="7"/>
      <c r="H629" s="7"/>
      <c r="I629" s="7"/>
      <c r="J629" s="7"/>
      <c r="K629" s="7"/>
      <c r="L629" s="7"/>
      <c r="M629" s="7"/>
      <c r="N629" s="7"/>
      <c r="O629" s="7"/>
      <c r="P629" s="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1.75" customHeight="1">
      <c r="A630" s="8" t="s">
        <v>268</v>
      </c>
      <c r="B630" s="6"/>
      <c r="C630" s="6"/>
      <c r="D630" s="49"/>
      <c r="E630" s="49">
        <v>74070200</v>
      </c>
      <c r="F630" s="49">
        <f>D630+E630</f>
        <v>74070200</v>
      </c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1.75" customHeight="1">
      <c r="A631" s="5" t="s">
        <v>5</v>
      </c>
      <c r="B631" s="6"/>
      <c r="C631" s="6"/>
      <c r="D631" s="49"/>
      <c r="E631" s="49"/>
      <c r="F631" s="49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1.75" customHeight="1">
      <c r="A632" s="8" t="s">
        <v>266</v>
      </c>
      <c r="B632" s="6"/>
      <c r="C632" s="6"/>
      <c r="D632" s="49"/>
      <c r="E632" s="49">
        <v>1</v>
      </c>
      <c r="F632" s="49">
        <f>D632+E632</f>
        <v>1</v>
      </c>
      <c r="G632" s="87"/>
      <c r="H632" s="96"/>
      <c r="I632" s="87"/>
      <c r="J632" s="96"/>
      <c r="K632" s="87"/>
      <c r="L632" s="87"/>
      <c r="M632" s="87"/>
      <c r="N632" s="87"/>
      <c r="O632" s="96"/>
      <c r="P632" s="96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1.75" customHeight="1">
      <c r="A633" s="5" t="s">
        <v>7</v>
      </c>
      <c r="B633" s="6"/>
      <c r="C633" s="6"/>
      <c r="D633" s="49"/>
      <c r="E633" s="49"/>
      <c r="F633" s="49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1.75" customHeight="1">
      <c r="A634" s="8" t="s">
        <v>267</v>
      </c>
      <c r="B634" s="127"/>
      <c r="C634" s="127"/>
      <c r="D634" s="36"/>
      <c r="E634" s="87">
        <f>E630/E632</f>
        <v>74070200</v>
      </c>
      <c r="F634" s="49">
        <f>D634+E634</f>
        <v>74070200</v>
      </c>
      <c r="G634" s="128"/>
      <c r="H634" s="128"/>
      <c r="I634" s="128"/>
      <c r="J634" s="30"/>
      <c r="K634" s="30"/>
      <c r="L634" s="30"/>
      <c r="M634" s="30"/>
      <c r="N634" s="30"/>
      <c r="O634" s="30"/>
      <c r="P634" s="30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6.5" customHeight="1">
      <c r="A635" s="97"/>
      <c r="B635" s="98"/>
      <c r="C635" s="98"/>
      <c r="D635" s="99"/>
      <c r="E635" s="4"/>
      <c r="F635" s="4"/>
      <c r="G635" s="4"/>
      <c r="H635" s="4"/>
      <c r="I635" s="4"/>
      <c r="J635" s="100"/>
      <c r="K635" s="100"/>
      <c r="L635" s="100"/>
      <c r="M635" s="100"/>
      <c r="N635" s="100"/>
      <c r="O635" s="100"/>
      <c r="P635" s="100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7.25" customHeight="1">
      <c r="A636" s="97"/>
      <c r="B636" s="98"/>
      <c r="C636" s="98"/>
      <c r="D636" s="99"/>
      <c r="E636" s="4"/>
      <c r="F636" s="4"/>
      <c r="G636" s="4"/>
      <c r="H636" s="4"/>
      <c r="I636" s="4"/>
      <c r="J636" s="100"/>
      <c r="K636" s="100"/>
      <c r="L636" s="100"/>
      <c r="M636" s="100"/>
      <c r="N636" s="100"/>
      <c r="O636" s="100"/>
      <c r="P636" s="100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5.75" customHeight="1">
      <c r="A637" s="98"/>
      <c r="B637" s="98"/>
      <c r="C637" s="98"/>
      <c r="D637" s="99"/>
      <c r="E637" s="2"/>
      <c r="F637" s="2"/>
      <c r="G637" s="2"/>
      <c r="H637" s="2"/>
      <c r="I637" s="2"/>
      <c r="J637" s="100"/>
      <c r="K637" s="100"/>
      <c r="L637" s="100"/>
      <c r="M637" s="100"/>
      <c r="N637" s="100"/>
      <c r="O637" s="100"/>
      <c r="P637" s="100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5.75" customHeight="1">
      <c r="A638" s="98"/>
      <c r="B638" s="98"/>
      <c r="C638" s="98"/>
      <c r="D638" s="99"/>
      <c r="E638" s="2"/>
      <c r="F638" s="2"/>
      <c r="G638" s="2"/>
      <c r="H638" s="2"/>
      <c r="I638" s="2"/>
      <c r="J638" s="100"/>
      <c r="K638" s="100"/>
      <c r="L638" s="100"/>
      <c r="M638" s="100"/>
      <c r="N638" s="100"/>
      <c r="O638" s="100"/>
      <c r="P638" s="100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20.25" customHeight="1">
      <c r="A639" s="167" t="s">
        <v>356</v>
      </c>
      <c r="B639" s="167"/>
      <c r="C639" s="167"/>
      <c r="D639" s="102"/>
      <c r="E639" s="102"/>
      <c r="F639" s="103"/>
      <c r="G639" s="104"/>
      <c r="H639" s="104"/>
      <c r="I639" s="104"/>
      <c r="J639" s="105"/>
      <c r="K639" s="105"/>
      <c r="L639" s="105"/>
      <c r="M639" s="105"/>
      <c r="N639" s="104"/>
      <c r="O639" s="178" t="s">
        <v>357</v>
      </c>
      <c r="P639" s="178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8.25" customHeight="1">
      <c r="A640" s="101"/>
      <c r="B640" s="101"/>
      <c r="C640" s="101"/>
      <c r="D640" s="102"/>
      <c r="E640" s="102"/>
      <c r="F640" s="103"/>
      <c r="G640" s="104"/>
      <c r="H640" s="104"/>
      <c r="I640" s="104"/>
      <c r="J640" s="105"/>
      <c r="K640" s="105"/>
      <c r="L640" s="105"/>
      <c r="M640" s="105"/>
      <c r="N640" s="104"/>
      <c r="O640" s="106"/>
      <c r="P640" s="106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2.75" customHeight="1">
      <c r="A641" s="101"/>
      <c r="B641" s="101"/>
      <c r="C641" s="101"/>
      <c r="D641" s="102"/>
      <c r="E641" s="102"/>
      <c r="F641" s="103"/>
      <c r="G641" s="104"/>
      <c r="H641" s="104"/>
      <c r="I641" s="104"/>
      <c r="J641" s="105"/>
      <c r="K641" s="105"/>
      <c r="L641" s="105"/>
      <c r="M641" s="105"/>
      <c r="N641" s="104"/>
      <c r="O641" s="106"/>
      <c r="P641" s="106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8.75" customHeight="1">
      <c r="A642" s="166" t="s">
        <v>363</v>
      </c>
      <c r="B642" s="166"/>
      <c r="C642" s="107"/>
      <c r="D642" s="108"/>
      <c r="E642" s="102"/>
      <c r="F642" s="104"/>
      <c r="G642" s="102"/>
      <c r="H642" s="102"/>
      <c r="I642" s="102"/>
      <c r="J642" s="109"/>
      <c r="K642" s="109"/>
      <c r="L642" s="109"/>
      <c r="M642" s="109"/>
      <c r="N642" s="109"/>
      <c r="O642" s="109"/>
      <c r="P642" s="109"/>
      <c r="Q642" s="110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11.25" customHeight="1">
      <c r="A643" s="28" t="s">
        <v>150</v>
      </c>
      <c r="B643" s="28"/>
      <c r="C643" s="111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28.5" customHeight="1">
      <c r="A644" s="112"/>
      <c r="B644" s="113"/>
      <c r="C644" s="114"/>
      <c r="D644" s="115"/>
      <c r="E644" s="115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1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4"/>
      <c r="O657" s="104"/>
      <c r="P657" s="104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4"/>
      <c r="O658" s="104"/>
      <c r="P658" s="104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4"/>
      <c r="O659" s="104"/>
      <c r="P659" s="104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104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104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104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104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104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104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104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104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104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104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104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104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104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</sheetData>
  <sheetProtection/>
  <mergeCells count="20">
    <mergeCell ref="J9:P9"/>
    <mergeCell ref="F14:G14"/>
    <mergeCell ref="J3:L3"/>
    <mergeCell ref="A13:P13"/>
    <mergeCell ref="O639:P639"/>
    <mergeCell ref="N15:P15"/>
    <mergeCell ref="N16:O16"/>
    <mergeCell ref="P16:P17"/>
    <mergeCell ref="J16:J17"/>
    <mergeCell ref="K16:M16"/>
    <mergeCell ref="A15:A17"/>
    <mergeCell ref="B15:B17"/>
    <mergeCell ref="C15:C17"/>
    <mergeCell ref="D16:E16"/>
    <mergeCell ref="G15:J15"/>
    <mergeCell ref="A642:B642"/>
    <mergeCell ref="A639:C639"/>
    <mergeCell ref="F16:F17"/>
    <mergeCell ref="D15:F15"/>
    <mergeCell ref="G16:I16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2018-09-25T07:11:15Z</cp:lastPrinted>
  <dcterms:created xsi:type="dcterms:W3CDTF">2014-04-22T08:24:49Z</dcterms:created>
  <dcterms:modified xsi:type="dcterms:W3CDTF">2018-09-25T07:28:31Z</dcterms:modified>
  <cp:category/>
  <cp:version/>
  <cp:contentType/>
  <cp:contentStatus/>
</cp:coreProperties>
</file>